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55" yWindow="65521" windowWidth="12300" windowHeight="10560" activeTab="0"/>
  </bookViews>
  <sheets>
    <sheet name="July 2016" sheetId="1" r:id="rId1"/>
  </sheets>
  <definedNames>
    <definedName name="_xlnm.Print_Titles" localSheetId="0">'July 2016'!$A:$A,'July 2016'!$6:$7</definedName>
  </definedNames>
  <calcPr fullCalcOnLoad="1"/>
</workbook>
</file>

<file path=xl/sharedStrings.xml><?xml version="1.0" encoding="utf-8"?>
<sst xmlns="http://schemas.openxmlformats.org/spreadsheetml/2006/main" count="141" uniqueCount="130">
  <si>
    <t xml:space="preserve">Arizona  </t>
  </si>
  <si>
    <t xml:space="preserve">Colorado </t>
  </si>
  <si>
    <t xml:space="preserve">District of Columbia  </t>
  </si>
  <si>
    <t xml:space="preserve">Idaho </t>
  </si>
  <si>
    <t xml:space="preserve">Delaware </t>
  </si>
  <si>
    <t xml:space="preserve">Kansas </t>
  </si>
  <si>
    <t xml:space="preserve">Kentucky </t>
  </si>
  <si>
    <t xml:space="preserve">Louisiana </t>
  </si>
  <si>
    <t xml:space="preserve">Maine </t>
  </si>
  <si>
    <t xml:space="preserve">Maryland </t>
  </si>
  <si>
    <t xml:space="preserve">Minnesota </t>
  </si>
  <si>
    <t xml:space="preserve">North Dakota </t>
  </si>
  <si>
    <t xml:space="preserve">Pennsylvania </t>
  </si>
  <si>
    <t xml:space="preserve">South Dakota </t>
  </si>
  <si>
    <t xml:space="preserve">Rhode Island </t>
  </si>
  <si>
    <t xml:space="preserve">Nebraska </t>
  </si>
  <si>
    <t xml:space="preserve">New Hampshire </t>
  </si>
  <si>
    <t xml:space="preserve">North Carolina </t>
  </si>
  <si>
    <t xml:space="preserve">Oklahoma </t>
  </si>
  <si>
    <t xml:space="preserve">Tennessee </t>
  </si>
  <si>
    <t xml:space="preserve">Wisconsin </t>
  </si>
  <si>
    <t xml:space="preserve">Wyoming </t>
  </si>
  <si>
    <t xml:space="preserve">New Mexico </t>
  </si>
  <si>
    <t xml:space="preserve">Ohio </t>
  </si>
  <si>
    <t xml:space="preserve">Texas </t>
  </si>
  <si>
    <t xml:space="preserve">Utah </t>
  </si>
  <si>
    <t xml:space="preserve">West Virginia </t>
  </si>
  <si>
    <t xml:space="preserve">Mississippi[4] </t>
  </si>
  <si>
    <t xml:space="preserve">Missouri[4] </t>
  </si>
  <si>
    <t xml:space="preserve">Montana[4] </t>
  </si>
  <si>
    <t xml:space="preserve">Nevada[4] </t>
  </si>
  <si>
    <t xml:space="preserve">Oregon[4] </t>
  </si>
  <si>
    <t xml:space="preserve">South Carolina[4] </t>
  </si>
  <si>
    <t xml:space="preserve">Washington[4] </t>
  </si>
  <si>
    <t xml:space="preserve">Alabama[4] </t>
  </si>
  <si>
    <t xml:space="preserve">Average state tax </t>
  </si>
  <si>
    <t>5 The State of Alaska suspended its motor fuels taxes on all fuel types and uses for a period of one year beginning September 1, 2008 and ending August 31, 2009.</t>
  </si>
  <si>
    <t>Massachusetts</t>
  </si>
  <si>
    <t>State tax</t>
  </si>
  <si>
    <t>State &amp; Federal</t>
  </si>
  <si>
    <t xml:space="preserve">Other taxes &amp; Fees[2]   </t>
  </si>
  <si>
    <t>4 Local option taxes (LOTS) are allowed.</t>
  </si>
  <si>
    <t>maureen.klein@eia.gov</t>
  </si>
  <si>
    <t xml:space="preserve">                                        Gasoline   </t>
  </si>
  <si>
    <t xml:space="preserve">             Excise</t>
  </si>
  <si>
    <t xml:space="preserve">                 LUST Fee </t>
  </si>
  <si>
    <t xml:space="preserve">         Total</t>
  </si>
  <si>
    <t xml:space="preserve">              Excise</t>
  </si>
  <si>
    <t xml:space="preserve">        Total</t>
  </si>
  <si>
    <t xml:space="preserve">                                              Diesel</t>
  </si>
  <si>
    <t>American Samoa</t>
  </si>
  <si>
    <t>Guam</t>
  </si>
  <si>
    <t>Northern Mariana Islands</t>
  </si>
  <si>
    <t>Puerto Rico</t>
  </si>
  <si>
    <t xml:space="preserve">Leaking Underground Storage Tank (LUST) fee: $0.001/gal. </t>
  </si>
  <si>
    <t>"Use Class motor vehicle" diesel rate = $0.26/gal; Storage Tank tax: $0.01/gal.</t>
  </si>
  <si>
    <t>Border Zone rates may apply (state excise rate will not be more than $0.01/gal higher than the adjoining state's rate.  See A.C.A. § 26-55-210 for details); Environmental Assurance fee: $0.003/gal.</t>
  </si>
  <si>
    <t xml:space="preserve">Environmental Response Surcharge (ERS Fee): $100 per tanker load (8000 gallons) or $0.0125/gal on all motor fuels. </t>
  </si>
  <si>
    <t xml:space="preserve">Petroleum Products Gross Earnings tax (PPGET): 8.1% on first sale of all products in the state.  PPGET does not apply to products to be used as heating fuels or bunker fuels.  </t>
  </si>
  <si>
    <t xml:space="preserve">DE Hazardous Substance: 0.9% tax on gross receipts from the sales of petroleum or petroleum products.  </t>
  </si>
  <si>
    <t xml:space="preserve">The listed gasoline rate does not include additional local option taxes above the statewide minimum of $0.05/gal.  See http://dor.myflorida.com/dor/tips/pdf/14b05-01_chart.pdf for more information.  Environmental taxes and other fees: Coastal Protection tax $0.00048/gal; Water Quality tax $0.0012/gal; Inland Protection tax  $0.019/gal; Petroleum Inspection fee $0.00125/gal on gasoline, kerosene and No. 1 fuel oil. Total of these additional taxes and fees: $0.02193/gal for gasoline, $0.02068/gal for diesel. </t>
  </si>
  <si>
    <t xml:space="preserve">Petroleum Transfer Fee (all fuels): $0.01/gal. </t>
  </si>
  <si>
    <t>Environmental Assurance Fee: $0.01/gal. Petroleum Product Inspection Fee: 0.015 cents per barrel (bbl = 50 gals) or $0.0003/gal.</t>
  </si>
  <si>
    <t>State Inspection fee (applies to all petroleum products): $0.00125/gal. Motor Fuels Underground Storage Tank Trust Fund fee applies to gasoline, No. 1 diesel, No. 2 diesel, kerosene, and all aviation fuels (not to LPG): $72 per 9000 gallon load ($0.008/gal).</t>
  </si>
  <si>
    <t>Seawall Tax: $0.03/gal (gasoline only) in effect in Harrison, Hancock, and Jackson Counties.  Environmental Protection Fee: $0.004/gal.  Underground Storage Tank fee: $100 per tank per year.</t>
  </si>
  <si>
    <t>Petroleum Inspection fee:  $0.025 per 50 gallons ($0.0005/gal); Transport Load Fee $20.00 per 8,000 gallons ($0.0025/gal).</t>
  </si>
  <si>
    <t xml:space="preserve">Petroleum Storage Tank Cleanup fee : $0.0075/gal on gasoline, diesel and fuel oil, aviation gasoline, and (non-military use) jet fuel. </t>
  </si>
  <si>
    <t>Petroleum Release Remedial Action fee: gasoline, gasohol, aviation gasoline, ethanol: $0.009/gal; diesel, jet fuel, all others products: $0.003/gal.</t>
  </si>
  <si>
    <t>Petroleum Products Loading fee: $150 per 8000 gallon load on gasoline and special fuels ($0.01875/gal).  LOTS allowed, not in effect.</t>
  </si>
  <si>
    <t>Inspection fee: $0.00025/gal on gasoline, kerosene, tractor fuel, heating oil, or diesel fuel.</t>
  </si>
  <si>
    <t xml:space="preserve">Petroleum Storage Underground Tank Release fee: $0.010/gal on gasoline, diesel fuel and blended fuel (gasohol, ethanol and fuel grade ethanol).  </t>
  </si>
  <si>
    <t>LOTS allowed and levied at the county and municipal levels. Petroleum load fee: $7.00 per load (load = anything over 100 gals.)</t>
  </si>
  <si>
    <t>Inspection Fee: $0.0025/gal; Environmental Impact Fee: $0.005/gal.</t>
  </si>
  <si>
    <t>Tank Inspection Fee: $0.02/gal.</t>
  </si>
  <si>
    <t xml:space="preserve">Special Privilege Tax: $0.01/gal.  Environmental Assurance fee:  $0.004/gal. </t>
  </si>
  <si>
    <t>Petro products delivery fee varies on load size (applies to all petro products).</t>
  </si>
  <si>
    <t xml:space="preserve">Environmental Assurance fee: $0.0065/gal. </t>
  </si>
  <si>
    <t xml:space="preserve">Petroleum Inspection fee: $0.02/gal. </t>
  </si>
  <si>
    <t xml:space="preserve">License Tax: $0.01/gal.  </t>
  </si>
  <si>
    <t>Not subject to federal excise. Automotive Surcharge (gasoline): $0.04/gal.  Mass Transit Automotive Surcharge (diesel): $0.04/gal.</t>
  </si>
  <si>
    <t>Alaska</t>
  </si>
  <si>
    <t xml:space="preserve">Vermont </t>
  </si>
  <si>
    <t xml:space="preserve">Questions concerning this information may be directed to:  </t>
  </si>
  <si>
    <t>Notes</t>
  </si>
  <si>
    <t>2 May include sales and/or use taxes, inspection fees, environmental fees, or other charges.</t>
  </si>
  <si>
    <t>Federal</t>
  </si>
  <si>
    <t xml:space="preserve">Oil Discharge and Disposal Cleanup Fund fee: $0.015/gal on gasoline and diesel fuels, excluding heating fuels.  Oil Pollution Control Fund fee: $0.00125/gal on all petroleum products except LPG and natural gas. </t>
  </si>
  <si>
    <t xml:space="preserve">Federal and state motor fuels taxes[1]  </t>
  </si>
  <si>
    <t>U.S. Virgin Islands</t>
  </si>
  <si>
    <r>
      <rPr>
        <sz val="9"/>
        <rFont val="Calibri"/>
        <family val="2"/>
      </rPr>
      <t xml:space="preserve">2.25% state sales tax on gasoline, 9.42% state sales tax on diesel (prepaid rates for these sales taxes: gasoline $0.05/gal; diesel $0.225/gal).  </t>
    </r>
    <r>
      <rPr>
        <b/>
        <sz val="9"/>
        <rFont val="Calibri"/>
        <family val="2"/>
      </rPr>
      <t>Additional District sales taxes may apply.</t>
    </r>
    <r>
      <rPr>
        <sz val="9"/>
        <rFont val="Calibri"/>
        <family val="2"/>
      </rPr>
      <t xml:space="preserve">  State Underground Storage Tank fee (all products): $0.02/gal. Oil Spill Prevention and Administration Fee (all products): $0.065 per barrel ($0.00155/gal).  </t>
    </r>
  </si>
  <si>
    <t>Petroleum Products Gross Receipts Tax: $0.04/gal.  Spill Compensation and Control Act: $0.023  per barrel ($0.0005/gal) on all petroleum products.</t>
  </si>
  <si>
    <t xml:space="preserve">Gasoline and Oil Inspection fee: $0.0025/gal on all motor fuels.  </t>
  </si>
  <si>
    <t>A variable rate is calculated annually and replaces the OCS and Liquid Fuels Tax (see PA Bulletin for updated rate info).  Underground Storage Tank Fund fee: $0.011/gal.  See PA Insurance Dept, Bureau of Special Funds, USTIF for UST fees.</t>
  </si>
  <si>
    <t>Environmental Protection Regulatory fee (EPRF): $0.01/gal. Uniform Oil Response and Prevention fee: $0.05 cents per barrel ($0.0012/gal).</t>
  </si>
  <si>
    <t>Storage tank fee = $0.006/gal.   Wholesale Sales Tax: 2.1% on fuels sold in the Northern Virginia area and the Hampton Roads Planning District Commission area.</t>
  </si>
  <si>
    <t xml:space="preserve">Not subject to federal excise. </t>
  </si>
  <si>
    <t>Arkansas</t>
  </si>
  <si>
    <t xml:space="preserve">California[4]  </t>
  </si>
  <si>
    <t xml:space="preserve">Florida[4]  </t>
  </si>
  <si>
    <t xml:space="preserve">Georgia[4]  </t>
  </si>
  <si>
    <t>Total State[3]</t>
  </si>
  <si>
    <t xml:space="preserve">3 Average of Total State taxes may not equal the sum due to rounding. </t>
  </si>
  <si>
    <t>Connecticut</t>
  </si>
  <si>
    <t xml:space="preserve">Hawaii[4]  </t>
  </si>
  <si>
    <t xml:space="preserve">Illinois[4]  </t>
  </si>
  <si>
    <t>Indiana</t>
  </si>
  <si>
    <t>Iowa</t>
  </si>
  <si>
    <t>Michigan</t>
  </si>
  <si>
    <t>New Jersey</t>
  </si>
  <si>
    <t xml:space="preserve">New York[4] </t>
  </si>
  <si>
    <t>Virginia</t>
  </si>
  <si>
    <t>Refined Fuel Surcharge: $0.0095/gal.</t>
  </si>
  <si>
    <t>Additional county and local option taxes on motor fuels add $0.05 to $0.10/gal to the state rate (County mandatory: $0.01/gal, County Option: $0.04-$0.9/gal). Petroleum Products Inspection Fee: $0.00055/gal on gasoline; Clean-up Fee on gasoline, No. 1 and No. 2 distillates: $0.0075/gal.</t>
  </si>
  <si>
    <t xml:space="preserve">Inspection Fee (applies to all gasoline): $0.02/gal. The Inspection Fee only applies to diesel fuel that is not subject to excise.  Storage Tank Trust Fund Charge: $0.01/gal.  Wholesale Oil License fee: $0.0075/gal on diesel fuel only.  LOTs arithmetic average = $0.019/gal. No sales tax when excise is paid.  </t>
  </si>
  <si>
    <t>Georgia Underground Storage Tank (GUST) fee on petro products: $0.005/gal.  The average retail price used for the Prepaid Local Tax (TSPLOST) will change as of 1/1/16; for more information, see https://dor.georgia.gov/motor-fuel-rates</t>
  </si>
  <si>
    <t xml:space="preserve">"Part B", mandatory prepaid sales tax, aka "Tax Prepayment by Motor Fuel Retailers"  (sales tax is 6.25%): $0.13/gal for gasoline and diesel. For gasohol and biodiesel (1 to 10% blends), the prepaid rate is $0.10/gal.  Underground Storage Tank tax: $0.003/gal; Environmental Impact Fee: $0.008/gal.  </t>
  </si>
  <si>
    <t>Petroleum Business Tax (13-A) - requires annual adjustment (gasoline $0.17/gal, diesel $0.1525/gal).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$0.175/gal, $0.21/gal, $0.16/gal for Regions 1, 2, 3, respectively.   Oil Spill Prevention, Control, and Compensation License fee: $0.08/bbl plus a surcharge of $0.0425/bbl, all petroleum products ($0.0029/gal).</t>
  </si>
  <si>
    <t>Petroleum Distributor fee: $0.01/gal.  Motor Fuel Transportation Infrastructure Assessment (MFTIA)fee: gasoline $0.0396/gal.; diesel $0.03/gal.  Motor Fuel Tax Assessment (MFTA) applies to gasoline only: $0.134/gal.</t>
  </si>
  <si>
    <t>Oil Spill Administration Tax: $0.04 per barrel ($0.0009523/gal). Oil Spill Response tax: $0.01/bbl ($0.000238/gal). Hazardous Substance tax: .007 times the w/s price of the substance.  "Border Zone Area Motor Fuel Tax" $0.01/gal in counties bordering Canada.</t>
  </si>
  <si>
    <t xml:space="preserve">Excise tax $0.205/gal, Consumers Sales and Service Tax: $0.127/gal. </t>
  </si>
  <si>
    <t xml:space="preserve">In addition to State rates: Honolulu: $0.165/gal; Maui: $0.23/gal; Hawaii: $0.088/gal; Kauai: $0.17/gal.  Environmental Response Tax $0.025/gal. </t>
  </si>
  <si>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rPr>
      <t>The Gasoline Use Tax is calculated on a monthly basis</t>
    </r>
    <r>
      <rPr>
        <sz val="9"/>
        <rFont val="Calibri"/>
        <family val="2"/>
      </rPr>
      <t xml:space="preserve"> (see Departmental Notices for new rates). The rate is $0.141/gal as of 7/1/16.  </t>
    </r>
    <r>
      <rPr>
        <b/>
        <sz val="9"/>
        <rFont val="Calibri"/>
        <family val="2"/>
      </rPr>
      <t xml:space="preserve"> A 7% sales tax applies at the pump to retail, on-highway use diesel before state and federal excise taxes are applied</t>
    </r>
    <r>
      <rPr>
        <sz val="9"/>
        <rFont val="Calibri"/>
        <family val="2"/>
      </rPr>
      <t xml:space="preserve">. Oil Inspection fee: $0.01/gal.  </t>
    </r>
  </si>
  <si>
    <t>Rate for ethanol-blended gasoline: $0.29/gal. Rate for B11 (or higher) diesel: $0.295/gal.  Environmental Protection Charge: $0.01/gal on petroleum products.</t>
  </si>
  <si>
    <t>Petroleum Storage Tank Environmental Assurance Fee: $0.014/gal.  Rates are calculated quarterly on the average wholesale price of fuel.  Beginning July 1, 2016, rates are calculated and adjusted on an annual basis.</t>
  </si>
  <si>
    <t xml:space="preserve">Maine Coastal and Inland Surface Oil Clean-up Fund fee (no longer in effect after July 3, 2015): $0.03 per barrel ($0.0007/gal) for all crude oil and refined oil, including #6 fuel oil, #2 fuel oil, kerosene, gasoline, jet fuel, diesel fuel and liquid asphalt.  Ground Water Oil Clean-up Fund fees: $0.59 per barrel ($0.014/gal) of gasoline; $0.28 per barrel ($0.0067/gal) of refined petroleum products and their by-products (other than gasoline and #6 fuel oil), including #2 fuel oil, kerosene, jet fuel and diesel fuel; and $0.04 per barrel of #6 fuel oil.  Petroleum Marketing Fund Fee: $0.40 per 10,000 gallons of home heating oil and motor fuel oil.  </t>
  </si>
  <si>
    <t>CPI component $0.012/gal as of 7/1/16, Sales and Use Tax Equivalent rate (SUTE) component $0.088/gal as of 7/1/16. Oil transfer Fee: $0.08 per barrel ($0.0019/gal) of oil transferred into the State.</t>
  </si>
  <si>
    <r>
      <t>Underground Storage Tank Petroleum Product Cleanup Fund Delivery fee: $255.10 per 10k load ($0.02551/gal). Underground Storage Tank fee: $250 per year, per tank. Uniform Oil Response +</t>
    </r>
    <r>
      <rPr>
        <b/>
        <sz val="9"/>
        <rFont val="Calibri"/>
        <family val="2"/>
      </rPr>
      <t xml:space="preserve"> </t>
    </r>
    <r>
      <rPr>
        <sz val="9"/>
        <rFont val="Calibri"/>
        <family val="2"/>
      </rPr>
      <t>Prevention fee: $0.05/barrel ($0.001/gal), all products.</t>
    </r>
  </si>
  <si>
    <r>
      <t xml:space="preserve">The July 2016 Prepaid Sales Tax rates on fuels:  gasoline $0.122/gal; diesel fuel $0.122/gal. </t>
    </r>
    <r>
      <rPr>
        <b/>
        <u val="single"/>
        <sz val="9"/>
        <rFont val="Calibri"/>
        <family val="2"/>
      </rPr>
      <t>NOTE</t>
    </r>
    <r>
      <rPr>
        <sz val="9"/>
        <rFont val="Calibri"/>
        <family val="2"/>
      </rPr>
      <t xml:space="preserve">: The prepaid sales tax rates are calculated each month, see Revenue Administrative Bulletins (RABs) for current rates.  Environmental protection regulatory fee: $0.00875/gal all products. </t>
    </r>
  </si>
  <si>
    <t>Petroleum Tank Release Cleanup Fee (not currently in effect): $20 per 1,000 gallons ($0.02/gal). Inspection fee: $1 for every 1,000 gallons received ($0.001/gal).</t>
  </si>
  <si>
    <t xml:space="preserve">1 This list includes rates of general application (including, but not limited to, excise taxes, environmental taxes, special taxes, and inspection fees), exclusive of county and local taxes. Rates are also exclusive of any state taxes based on gross or net receipts. The information included in this document is for general informational purposes only and should not be construed as legal, tax, or other advice. Contact the appropriate state agencies for official information or guidance about motor fuel taxes and fees. State rates in effect as of July 1, 2016. Sources: State and Territorial statutes and government agencies.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</si>
</sst>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
  </numFmts>
  <fonts count="55">
    <font>
      <sz val="11"/>
      <color theme="1"/>
      <name val="Calibri"/>
      <family val="2"/>
    </font>
    <font>
      <sz val="10"/>
      <color indexed="8"/>
      <name val="Calibri"/>
      <family val="2"/>
    </font>
    <font>
      <sz val="10"/>
      <name val="Arial"/>
      <family val="2"/>
    </font>
    <font>
      <u val="single"/>
      <sz val="10"/>
      <color indexed="12"/>
      <name val="Arial"/>
      <family val="2"/>
    </font>
    <font>
      <sz val="9"/>
      <name val="Calibri"/>
      <family val="2"/>
    </font>
    <font>
      <b/>
      <sz val="9"/>
      <name val="Calibri"/>
      <family val="2"/>
    </font>
    <font>
      <b/>
      <u val="single"/>
      <sz val="9"/>
      <name val="Calibri"/>
      <family val="2"/>
    </font>
    <font>
      <sz val="11"/>
      <color indexed="8"/>
      <name val="Calibri"/>
      <family val="2"/>
    </font>
    <font>
      <sz val="9"/>
      <color indexed="8"/>
      <name val="Calibri"/>
      <family val="2"/>
    </font>
    <font>
      <u val="single"/>
      <sz val="11"/>
      <color indexed="57"/>
      <name val="Calibri"/>
      <family val="2"/>
    </font>
    <font>
      <b/>
      <sz val="9"/>
      <color indexed="8"/>
      <name val="Calibri"/>
      <family val="2"/>
    </font>
    <font>
      <b/>
      <sz val="11"/>
      <color indexed="56"/>
      <name val="Calibri"/>
      <family val="2"/>
    </font>
    <font>
      <u val="single"/>
      <sz val="10"/>
      <color indexed="30"/>
      <name val="Calibri"/>
      <family val="2"/>
    </font>
    <font>
      <u val="single"/>
      <sz val="10"/>
      <color indexed="30"/>
      <name val="Arial"/>
      <family val="2"/>
    </font>
    <font>
      <b/>
      <sz val="12"/>
      <color indexed="30"/>
      <name val="Calibri"/>
      <family val="2"/>
    </font>
    <font>
      <u val="single"/>
      <sz val="9"/>
      <color indexed="30"/>
      <name val="Calibri"/>
      <family val="2"/>
    </font>
    <font>
      <sz val="18"/>
      <color indexed="56"/>
      <name val="Times New Roman"/>
      <family val="2"/>
    </font>
    <font>
      <b/>
      <sz val="15"/>
      <color indexed="56"/>
      <name val="Calibri"/>
      <family val="2"/>
    </font>
    <font>
      <b/>
      <sz val="13"/>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theme="1"/>
      <name val="Calibri"/>
      <family val="2"/>
    </font>
    <font>
      <sz val="10"/>
      <color theme="0"/>
      <name val="Calibri"/>
      <family val="2"/>
    </font>
    <font>
      <sz val="10"/>
      <color rgb="FF9C0006"/>
      <name val="Calibri"/>
      <family val="2"/>
    </font>
    <font>
      <sz val="9"/>
      <color theme="1"/>
      <name val="Calibri"/>
      <family val="2"/>
    </font>
    <font>
      <b/>
      <sz val="10"/>
      <color rgb="FFFA7D00"/>
      <name val="Calibri"/>
      <family val="2"/>
    </font>
    <font>
      <b/>
      <sz val="10"/>
      <color theme="0"/>
      <name val="Calibri"/>
      <family val="2"/>
    </font>
    <font>
      <i/>
      <sz val="10"/>
      <color rgb="FF7F7F7F"/>
      <name val="Calibri"/>
      <family val="2"/>
    </font>
    <font>
      <u val="single"/>
      <sz val="11"/>
      <color theme="6"/>
      <name val="Calibri"/>
      <family val="2"/>
    </font>
    <font>
      <sz val="10"/>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u val="single"/>
      <sz val="10"/>
      <color theme="10"/>
      <name val="Arial"/>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2"/>
      <color theme="4"/>
      <name val="Calibri"/>
      <family val="2"/>
    </font>
    <font>
      <sz val="18"/>
      <color theme="3"/>
      <name val="Times New Roman"/>
      <family val="2"/>
    </font>
    <font>
      <b/>
      <sz val="10"/>
      <color theme="1"/>
      <name val="Calibri"/>
      <family val="2"/>
    </font>
    <font>
      <sz val="10"/>
      <color rgb="FFFF0000"/>
      <name val="Calibri"/>
      <family val="2"/>
    </font>
    <font>
      <u val="single"/>
      <sz val="9"/>
      <color theme="4"/>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
      <left/>
      <right/>
      <top style="dashed">
        <color theme="0" tint="-0.24993999302387238"/>
      </top>
      <bottom style="thin">
        <color theme="4"/>
      </bottom>
    </border>
    <border>
      <left/>
      <right/>
      <top style="thin">
        <color theme="0" tint="-0.24997000396251678"/>
      </top>
      <bottom style="thick">
        <color theme="4"/>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0" borderId="1" applyNumberFormat="0" applyFont="0" applyProtection="0">
      <alignment wrapText="1"/>
    </xf>
    <xf numFmtId="0" fontId="35" fillId="27" borderId="2" applyNumberFormat="0" applyAlignment="0" applyProtection="0"/>
    <xf numFmtId="0" fontId="36"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4" fillId="0" borderId="0" applyNumberFormat="0" applyFill="0" applyBorder="0" applyAlignment="0" applyProtection="0"/>
    <xf numFmtId="0" fontId="34" fillId="0" borderId="0" applyNumberFormat="0" applyProtection="0">
      <alignment vertical="top" wrapText="1"/>
    </xf>
    <xf numFmtId="0" fontId="34" fillId="0" borderId="4" applyNumberFormat="0" applyProtection="0">
      <alignment vertical="top" wrapText="1"/>
    </xf>
    <xf numFmtId="0" fontId="39" fillId="29" borderId="0" applyNumberFormat="0" applyBorder="0" applyAlignment="0" applyProtection="0"/>
    <xf numFmtId="0" fontId="40" fillId="0" borderId="5" applyNumberFormat="0" applyProtection="0">
      <alignment wrapText="1"/>
    </xf>
    <xf numFmtId="0" fontId="40" fillId="0" borderId="6" applyNumberFormat="0" applyProtection="0">
      <alignment horizontal="left" wrapText="1"/>
    </xf>
    <xf numFmtId="0" fontId="41" fillId="0" borderId="5"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0" borderId="0" applyNumberFormat="0" applyFill="0" applyBorder="0" applyAlignment="0" applyProtection="0"/>
    <xf numFmtId="0" fontId="46" fillId="30" borderId="2" applyNumberFormat="0" applyAlignment="0" applyProtection="0"/>
    <xf numFmtId="0" fontId="47" fillId="0" borderId="9" applyNumberFormat="0" applyFill="0" applyAlignment="0" applyProtection="0"/>
    <xf numFmtId="0" fontId="48" fillId="31" borderId="0" applyNumberFormat="0" applyBorder="0" applyAlignment="0" applyProtection="0"/>
    <xf numFmtId="0" fontId="2" fillId="0" borderId="0">
      <alignment/>
      <protection/>
    </xf>
    <xf numFmtId="0" fontId="0" fillId="32" borderId="10" applyNumberFormat="0" applyFont="0" applyAlignment="0" applyProtection="0"/>
    <xf numFmtId="0" fontId="49" fillId="27" borderId="11" applyNumberFormat="0" applyAlignment="0" applyProtection="0"/>
    <xf numFmtId="0" fontId="40" fillId="0" borderId="12" applyNumberFormat="0" applyProtection="0">
      <alignment wrapText="1"/>
    </xf>
    <xf numFmtId="9" fontId="0" fillId="0" borderId="0" applyFont="0" applyFill="0" applyBorder="0" applyAlignment="0" applyProtection="0"/>
    <xf numFmtId="0" fontId="34" fillId="0" borderId="13" applyNumberFormat="0" applyFont="0" applyFill="0" applyProtection="0">
      <alignment wrapText="1"/>
    </xf>
    <xf numFmtId="0" fontId="40" fillId="0" borderId="14" applyNumberFormat="0" applyFill="0" applyProtection="0">
      <alignment wrapText="1"/>
    </xf>
    <xf numFmtId="0" fontId="50" fillId="0" borderId="0" applyNumberFormat="0" applyProtection="0">
      <alignment horizontal="left"/>
    </xf>
    <xf numFmtId="0" fontId="51" fillId="0" borderId="0" applyNumberFormat="0" applyFill="0" applyBorder="0" applyAlignment="0" applyProtection="0"/>
    <xf numFmtId="0" fontId="52" fillId="0" borderId="15" applyNumberFormat="0" applyFill="0" applyAlignment="0" applyProtection="0"/>
    <xf numFmtId="0" fontId="53" fillId="0" borderId="0" applyNumberFormat="0" applyFill="0" applyBorder="0" applyAlignment="0" applyProtection="0"/>
  </cellStyleXfs>
  <cellXfs count="51">
    <xf numFmtId="0" fontId="0" fillId="0" borderId="0" xfId="0" applyFont="1" applyAlignment="1">
      <alignment/>
    </xf>
    <xf numFmtId="0" fontId="0" fillId="0" borderId="0" xfId="0" applyAlignment="1">
      <alignment/>
    </xf>
    <xf numFmtId="2" fontId="0" fillId="0" borderId="0" xfId="0" applyNumberFormat="1" applyAlignment="1">
      <alignment/>
    </xf>
    <xf numFmtId="0" fontId="40" fillId="0" borderId="5" xfId="53">
      <alignment wrapText="1"/>
    </xf>
    <xf numFmtId="2" fontId="40" fillId="0" borderId="5" xfId="53" applyNumberFormat="1" applyAlignment="1">
      <alignment horizontal="right" wrapText="1"/>
    </xf>
    <xf numFmtId="0" fontId="40" fillId="0" borderId="5" xfId="53" applyAlignment="1">
      <alignment horizontal="right" wrapText="1"/>
    </xf>
    <xf numFmtId="0" fontId="0" fillId="0" borderId="0" xfId="0" applyAlignment="1">
      <alignment/>
    </xf>
    <xf numFmtId="0" fontId="40" fillId="0" borderId="14" xfId="71">
      <alignment wrapText="1"/>
    </xf>
    <xf numFmtId="164" fontId="40" fillId="0" borderId="14" xfId="71" applyNumberFormat="1">
      <alignment wrapText="1"/>
    </xf>
    <xf numFmtId="0" fontId="0" fillId="0" borderId="0" xfId="0" applyAlignment="1">
      <alignment/>
    </xf>
    <xf numFmtId="2" fontId="0" fillId="0" borderId="0" xfId="0" applyNumberFormat="1" applyAlignment="1">
      <alignment/>
    </xf>
    <xf numFmtId="0" fontId="40" fillId="0" borderId="5" xfId="53">
      <alignment wrapText="1"/>
    </xf>
    <xf numFmtId="0" fontId="34" fillId="0" borderId="1" xfId="40" applyFont="1">
      <alignment wrapText="1"/>
    </xf>
    <xf numFmtId="0" fontId="34" fillId="0" borderId="0" xfId="0" applyFont="1" applyAlignment="1">
      <alignment/>
    </xf>
    <xf numFmtId="164" fontId="43" fillId="0" borderId="0" xfId="57" applyNumberFormat="1" applyBorder="1" applyAlignment="1">
      <alignment horizontal="center" vertical="center"/>
    </xf>
    <xf numFmtId="0" fontId="0" fillId="0" borderId="0" xfId="0" applyAlignment="1">
      <alignment/>
    </xf>
    <xf numFmtId="0" fontId="0" fillId="0" borderId="0" xfId="0" applyAlignment="1">
      <alignment/>
    </xf>
    <xf numFmtId="0" fontId="2" fillId="0" borderId="0" xfId="65">
      <alignment/>
      <protection/>
    </xf>
    <xf numFmtId="2" fontId="40" fillId="0" borderId="5" xfId="53" applyNumberFormat="1">
      <alignment wrapText="1"/>
    </xf>
    <xf numFmtId="165" fontId="40" fillId="0" borderId="14" xfId="71" applyNumberFormat="1">
      <alignment wrapText="1"/>
    </xf>
    <xf numFmtId="0" fontId="34" fillId="0" borderId="1" xfId="40">
      <alignment wrapText="1"/>
    </xf>
    <xf numFmtId="164" fontId="40" fillId="0" borderId="14" xfId="71" applyNumberFormat="1">
      <alignment wrapText="1"/>
    </xf>
    <xf numFmtId="2" fontId="40" fillId="0" borderId="5" xfId="53" applyNumberFormat="1">
      <alignment wrapText="1"/>
    </xf>
    <xf numFmtId="0" fontId="40" fillId="0" borderId="12" xfId="68">
      <alignment wrapText="1"/>
    </xf>
    <xf numFmtId="0" fontId="0" fillId="0" borderId="0" xfId="0" applyBorder="1" applyAlignment="1">
      <alignment vertical="center" wrapText="1"/>
    </xf>
    <xf numFmtId="0" fontId="0" fillId="0" borderId="0" xfId="0" applyAlignment="1">
      <alignment/>
    </xf>
    <xf numFmtId="0" fontId="34" fillId="0" borderId="5" xfId="53" applyFont="1">
      <alignment wrapText="1"/>
    </xf>
    <xf numFmtId="0" fontId="34" fillId="0" borderId="16" xfId="53" applyFont="1" applyBorder="1">
      <alignment wrapText="1"/>
    </xf>
    <xf numFmtId="0" fontId="4" fillId="0" borderId="1" xfId="40" applyFont="1">
      <alignment wrapText="1"/>
    </xf>
    <xf numFmtId="0" fontId="5" fillId="0" borderId="1" xfId="40" applyFont="1" applyAlignment="1">
      <alignment vertical="top" wrapText="1"/>
    </xf>
    <xf numFmtId="0" fontId="34" fillId="0" borderId="5" xfId="53" applyFont="1" applyAlignment="1">
      <alignment horizontal="left"/>
    </xf>
    <xf numFmtId="0" fontId="34" fillId="0" borderId="0" xfId="50">
      <alignment vertical="top" wrapText="1"/>
    </xf>
    <xf numFmtId="0" fontId="34" fillId="0" borderId="4" xfId="51">
      <alignment vertical="top" wrapText="1"/>
    </xf>
    <xf numFmtId="166" fontId="34" fillId="0" borderId="1" xfId="40" applyNumberFormat="1" applyFont="1">
      <alignment wrapText="1"/>
    </xf>
    <xf numFmtId="0" fontId="54" fillId="0" borderId="0" xfId="59" applyFont="1" applyAlignment="1" applyProtection="1">
      <alignment horizontal="left"/>
      <protection/>
    </xf>
    <xf numFmtId="0" fontId="31" fillId="0" borderId="0" xfId="0" applyFont="1" applyAlignment="1">
      <alignment/>
    </xf>
    <xf numFmtId="166" fontId="34" fillId="0" borderId="16" xfId="53" applyNumberFormat="1" applyFont="1" applyBorder="1">
      <alignment wrapText="1"/>
    </xf>
    <xf numFmtId="0" fontId="50" fillId="0" borderId="0" xfId="72" applyAlignment="1">
      <alignment horizontal="left"/>
    </xf>
    <xf numFmtId="0" fontId="34" fillId="0" borderId="0" xfId="0" applyFont="1" applyAlignment="1">
      <alignment vertical="top"/>
    </xf>
    <xf numFmtId="0" fontId="0" fillId="0" borderId="0" xfId="0" applyBorder="1" applyAlignment="1">
      <alignment/>
    </xf>
    <xf numFmtId="164" fontId="40" fillId="0" borderId="14" xfId="71" applyNumberFormat="1">
      <alignment wrapText="1"/>
    </xf>
    <xf numFmtId="166" fontId="34" fillId="0" borderId="1" xfId="40" applyNumberFormat="1">
      <alignment wrapText="1"/>
    </xf>
    <xf numFmtId="0" fontId="4" fillId="0" borderId="1" xfId="40" applyFont="1" applyAlignment="1">
      <alignment horizontal="left" wrapText="1"/>
    </xf>
    <xf numFmtId="166" fontId="40" fillId="0" borderId="14" xfId="71" applyNumberFormat="1">
      <alignment wrapText="1"/>
    </xf>
    <xf numFmtId="0" fontId="34" fillId="0" borderId="0" xfId="50">
      <alignment vertical="top" wrapText="1"/>
    </xf>
    <xf numFmtId="0" fontId="34" fillId="0" borderId="4" xfId="51">
      <alignment vertical="top" wrapText="1"/>
    </xf>
    <xf numFmtId="2" fontId="40" fillId="0" borderId="12" xfId="68" applyNumberFormat="1" applyAlignment="1">
      <alignment wrapText="1"/>
    </xf>
    <xf numFmtId="0" fontId="0" fillId="0" borderId="12" xfId="0" applyBorder="1" applyAlignment="1">
      <alignment wrapText="1"/>
    </xf>
    <xf numFmtId="2" fontId="40" fillId="0" borderId="17" xfId="53" applyNumberFormat="1" applyBorder="1" applyAlignment="1">
      <alignment horizontal="right" wrapText="1"/>
    </xf>
    <xf numFmtId="0" fontId="40" fillId="0" borderId="17" xfId="53" applyBorder="1" applyAlignment="1">
      <alignment horizontal="right" wrapText="1"/>
    </xf>
    <xf numFmtId="164" fontId="40" fillId="0" borderId="14" xfId="71" applyNumberFormat="1">
      <alignment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Hyperlink 2" xfId="60"/>
    <cellStyle name="Hyperlink 3" xfId="61"/>
    <cellStyle name="Input" xfId="62"/>
    <cellStyle name="Linked Cell" xfId="63"/>
    <cellStyle name="Neutral" xfId="64"/>
    <cellStyle name="Normal 3" xfId="65"/>
    <cellStyle name="Note" xfId="66"/>
    <cellStyle name="Output" xfId="67"/>
    <cellStyle name="Parent row" xfId="68"/>
    <cellStyle name="Percent" xfId="69"/>
    <cellStyle name="Section Break" xfId="70"/>
    <cellStyle name="Section Break: parent row" xfId="71"/>
    <cellStyle name="Table title" xfId="72"/>
    <cellStyle name="Title" xfId="73"/>
    <cellStyle name="Total" xfId="74"/>
    <cellStyle name="Warning Text" xfId="75"/>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5019675</xdr:colOff>
      <xdr:row>0</xdr:row>
      <xdr:rowOff>38100</xdr:rowOff>
    </xdr:from>
    <xdr:to>
      <xdr:col>11</xdr:col>
      <xdr:colOff>5467350</xdr:colOff>
      <xdr:row>1</xdr:row>
      <xdr:rowOff>180975</xdr:rowOff>
    </xdr:to>
    <xdr:pic>
      <xdr:nvPicPr>
        <xdr:cNvPr id="1" name="Picture 1"/>
        <xdr:cNvPicPr preferRelativeResize="1">
          <a:picLocks noChangeAspect="1"/>
        </xdr:cNvPicPr>
      </xdr:nvPicPr>
      <xdr:blipFill>
        <a:blip r:embed="rId1"/>
        <a:stretch>
          <a:fillRect/>
        </a:stretch>
      </xdr:blipFill>
      <xdr:spPr>
        <a:xfrm>
          <a:off x="11868150" y="38100"/>
          <a:ext cx="4476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ureen.klein@eia.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1"/>
  <sheetViews>
    <sheetView showGridLines="0" tabSelected="1" zoomScalePageLayoutView="0" workbookViewId="0" topLeftCell="A1">
      <pane ySplit="7" topLeftCell="A8" activePane="bottomLeft" state="frozen"/>
      <selection pane="topLeft" activeCell="A1" sqref="A1"/>
      <selection pane="bottomLeft" activeCell="O2" sqref="O2"/>
    </sheetView>
  </sheetViews>
  <sheetFormatPr defaultColWidth="9.140625" defaultRowHeight="15"/>
  <cols>
    <col min="1" max="1" width="21.7109375" style="0" customWidth="1"/>
    <col min="2" max="2" width="9.57421875" style="2" customWidth="1"/>
    <col min="3" max="3" width="10.140625" style="2" customWidth="1"/>
    <col min="4" max="4" width="9.140625" style="2" customWidth="1"/>
    <col min="5" max="5" width="8.7109375" style="2" customWidth="1"/>
    <col min="6" max="6" width="2.57421875" style="1" customWidth="1"/>
    <col min="7" max="7" width="9.7109375" style="2" customWidth="1"/>
    <col min="8" max="8" width="10.421875" style="2" customWidth="1"/>
    <col min="9" max="9" width="9.140625" style="2" customWidth="1"/>
    <col min="10" max="10" width="8.7109375" style="2" customWidth="1"/>
    <col min="11" max="11" width="2.8515625" style="10" customWidth="1"/>
    <col min="12" max="12" width="82.7109375" style="0" customWidth="1"/>
  </cols>
  <sheetData>
    <row r="1" spans="1:11" s="1" customFormat="1" ht="15.75">
      <c r="A1" s="37" t="s">
        <v>87</v>
      </c>
      <c r="B1" s="2"/>
      <c r="C1" s="2"/>
      <c r="D1" s="2"/>
      <c r="E1" s="2"/>
      <c r="G1" s="2"/>
      <c r="H1" s="2"/>
      <c r="I1" s="2"/>
      <c r="J1" s="2"/>
      <c r="K1" s="10"/>
    </row>
    <row r="2" spans="1:11" s="1" customFormat="1" ht="31.5" customHeight="1">
      <c r="A2" s="38"/>
      <c r="B2" s="46" t="s">
        <v>43</v>
      </c>
      <c r="C2" s="47"/>
      <c r="D2" s="47"/>
      <c r="E2" s="47"/>
      <c r="F2" s="25"/>
      <c r="G2" s="46" t="s">
        <v>49</v>
      </c>
      <c r="H2" s="47"/>
      <c r="I2" s="47"/>
      <c r="J2" s="47"/>
      <c r="K2" s="24"/>
    </row>
    <row r="3" spans="1:12" s="1" customFormat="1" ht="15.75" customHeight="1" thickBot="1">
      <c r="A3" s="11"/>
      <c r="B3" s="4" t="s">
        <v>44</v>
      </c>
      <c r="C3" s="48" t="s">
        <v>45</v>
      </c>
      <c r="D3" s="49"/>
      <c r="E3" s="18" t="s">
        <v>46</v>
      </c>
      <c r="F3" s="11"/>
      <c r="G3" s="4" t="s">
        <v>47</v>
      </c>
      <c r="H3" s="48" t="s">
        <v>45</v>
      </c>
      <c r="I3" s="49"/>
      <c r="J3" s="18" t="s">
        <v>48</v>
      </c>
      <c r="K3" s="22"/>
      <c r="L3" s="26" t="s">
        <v>83</v>
      </c>
    </row>
    <row r="4" spans="1:12" s="16" customFormat="1" ht="15.75" thickTop="1">
      <c r="A4" s="7" t="s">
        <v>85</v>
      </c>
      <c r="B4" s="8">
        <v>0.183</v>
      </c>
      <c r="C4" s="50">
        <f>0.001</f>
        <v>0.001</v>
      </c>
      <c r="D4" s="50"/>
      <c r="E4" s="8">
        <f>B4+C4</f>
        <v>0.184</v>
      </c>
      <c r="F4" s="19"/>
      <c r="G4" s="8">
        <v>0.243</v>
      </c>
      <c r="H4" s="50">
        <f>0.001</f>
        <v>0.001</v>
      </c>
      <c r="I4" s="50"/>
      <c r="J4" s="8">
        <v>0.24400000000000002</v>
      </c>
      <c r="K4" s="21"/>
      <c r="L4" s="28" t="s">
        <v>54</v>
      </c>
    </row>
    <row r="5" spans="8:11" s="16" customFormat="1" ht="27" customHeight="1">
      <c r="H5" s="14"/>
      <c r="I5" s="14"/>
      <c r="J5" s="17"/>
      <c r="K5" s="17"/>
    </row>
    <row r="6" spans="1:11" s="16" customFormat="1" ht="17.25" customHeight="1">
      <c r="A6" s="13"/>
      <c r="B6" s="46" t="s">
        <v>43</v>
      </c>
      <c r="C6" s="47"/>
      <c r="D6" s="47"/>
      <c r="E6" s="47"/>
      <c r="F6" s="25"/>
      <c r="G6" s="46" t="s">
        <v>49</v>
      </c>
      <c r="H6" s="47"/>
      <c r="I6" s="47"/>
      <c r="J6" s="47"/>
      <c r="K6" s="24"/>
    </row>
    <row r="7" spans="1:14" ht="45.75" customHeight="1" thickBot="1">
      <c r="A7" s="3"/>
      <c r="B7" s="4" t="s">
        <v>38</v>
      </c>
      <c r="C7" s="4" t="s">
        <v>40</v>
      </c>
      <c r="D7" s="4" t="s">
        <v>100</v>
      </c>
      <c r="E7" s="4" t="s">
        <v>39</v>
      </c>
      <c r="F7" s="5"/>
      <c r="G7" s="4" t="s">
        <v>38</v>
      </c>
      <c r="H7" s="4" t="s">
        <v>40</v>
      </c>
      <c r="I7" s="4" t="s">
        <v>100</v>
      </c>
      <c r="J7" s="4" t="s">
        <v>39</v>
      </c>
      <c r="K7" s="4"/>
      <c r="L7" s="30" t="s">
        <v>83</v>
      </c>
      <c r="N7" s="39"/>
    </row>
    <row r="8" spans="1:14" ht="15.75" thickTop="1">
      <c r="A8" s="23" t="s">
        <v>35</v>
      </c>
      <c r="B8" s="8">
        <f>AVERAGE(B9:B59)</f>
        <v>0.23011764705882357</v>
      </c>
      <c r="C8" s="8">
        <f>AVERAGE(C9:C59)</f>
        <v>0.04069889555555555</v>
      </c>
      <c r="D8" s="8">
        <f>AVERAGE(D9:D59)</f>
        <v>0.266028437254902</v>
      </c>
      <c r="E8" s="8">
        <f>AVERAGE(E9:E59)</f>
        <v>0.4500284372549021</v>
      </c>
      <c r="F8" s="7"/>
      <c r="G8" s="40">
        <f>AVERAGE(G9:G59)</f>
        <v>0.23950980392156865</v>
      </c>
      <c r="H8" s="40">
        <f>AVERAGE(H9:H59)</f>
        <v>0.037981784444444444</v>
      </c>
      <c r="I8" s="40">
        <f>AVERAGE(I9:I59)</f>
        <v>0.27302314313725495</v>
      </c>
      <c r="J8" s="43">
        <f>AVERAGE(J9:J59)</f>
        <v>0.5170231431372551</v>
      </c>
      <c r="K8" s="21"/>
      <c r="L8" s="23"/>
      <c r="M8" s="39"/>
      <c r="N8" s="39"/>
    </row>
    <row r="9" spans="1:12" ht="38.25" customHeight="1">
      <c r="A9" s="12" t="s">
        <v>34</v>
      </c>
      <c r="B9" s="33">
        <v>0.16</v>
      </c>
      <c r="C9" s="33">
        <f>0.02+0.01</f>
        <v>0.03</v>
      </c>
      <c r="D9" s="33">
        <f>$B9+$C9</f>
        <v>0.19</v>
      </c>
      <c r="E9" s="33">
        <f>$D9+$E$4</f>
        <v>0.374</v>
      </c>
      <c r="F9" s="33"/>
      <c r="G9" s="33">
        <v>0.19</v>
      </c>
      <c r="H9" s="33">
        <f>0.0075+0.01</f>
        <v>0.0175</v>
      </c>
      <c r="I9" s="33">
        <f>$G9+$H9</f>
        <v>0.20750000000000002</v>
      </c>
      <c r="J9" s="33">
        <f>$I9+$J$4</f>
        <v>0.4515</v>
      </c>
      <c r="K9" s="33"/>
      <c r="L9" s="28" t="s">
        <v>113</v>
      </c>
    </row>
    <row r="10" spans="1:12" ht="15">
      <c r="A10" s="12" t="s">
        <v>80</v>
      </c>
      <c r="B10" s="33">
        <v>0.08</v>
      </c>
      <c r="C10" s="33">
        <f>0.0095</f>
        <v>0.0095</v>
      </c>
      <c r="D10" s="33">
        <f aca="true" t="shared" si="0" ref="D10:D64">$B10+$C10</f>
        <v>0.0895</v>
      </c>
      <c r="E10" s="33">
        <f aca="true" t="shared" si="1" ref="E10:E59">$D10+$E$4</f>
        <v>0.27349999999999997</v>
      </c>
      <c r="F10" s="33"/>
      <c r="G10" s="33">
        <v>0.08</v>
      </c>
      <c r="H10" s="33">
        <f>0.0095</f>
        <v>0.0095</v>
      </c>
      <c r="I10" s="33">
        <f aca="true" t="shared" si="2" ref="I10:I64">$G10+$H10</f>
        <v>0.0895</v>
      </c>
      <c r="J10" s="33">
        <f aca="true" t="shared" si="3" ref="J10:J59">$I10+$J$4</f>
        <v>0.3335</v>
      </c>
      <c r="K10" s="33"/>
      <c r="L10" s="12" t="s">
        <v>111</v>
      </c>
    </row>
    <row r="11" spans="1:12" ht="15">
      <c r="A11" s="12" t="s">
        <v>0</v>
      </c>
      <c r="B11" s="33">
        <v>0.18</v>
      </c>
      <c r="C11" s="33">
        <f>0.01</f>
        <v>0.01</v>
      </c>
      <c r="D11" s="33">
        <f t="shared" si="0"/>
        <v>0.19</v>
      </c>
      <c r="E11" s="33">
        <f t="shared" si="1"/>
        <v>0.374</v>
      </c>
      <c r="F11" s="33"/>
      <c r="G11" s="33">
        <v>0.18</v>
      </c>
      <c r="H11" s="33">
        <f>0.01</f>
        <v>0.01</v>
      </c>
      <c r="I11" s="33">
        <f t="shared" si="2"/>
        <v>0.19</v>
      </c>
      <c r="J11" s="33">
        <f t="shared" si="3"/>
        <v>0.43400000000000005</v>
      </c>
      <c r="K11" s="33"/>
      <c r="L11" s="28" t="s">
        <v>55</v>
      </c>
    </row>
    <row r="12" spans="1:12" ht="26.25" customHeight="1">
      <c r="A12" s="12" t="s">
        <v>96</v>
      </c>
      <c r="B12" s="33">
        <v>0.215</v>
      </c>
      <c r="C12" s="33">
        <f>0.003</f>
        <v>0.003</v>
      </c>
      <c r="D12" s="33">
        <f t="shared" si="0"/>
        <v>0.218</v>
      </c>
      <c r="E12" s="33">
        <f t="shared" si="1"/>
        <v>0.402</v>
      </c>
      <c r="F12" s="33"/>
      <c r="G12" s="33">
        <v>0.225</v>
      </c>
      <c r="H12" s="33">
        <f>0.003</f>
        <v>0.003</v>
      </c>
      <c r="I12" s="33">
        <f t="shared" si="2"/>
        <v>0.228</v>
      </c>
      <c r="J12" s="33">
        <f t="shared" si="3"/>
        <v>0.47200000000000003</v>
      </c>
      <c r="K12" s="33"/>
      <c r="L12" s="28" t="s">
        <v>56</v>
      </c>
    </row>
    <row r="13" spans="1:12" ht="51.75" customHeight="1">
      <c r="A13" s="12" t="s">
        <v>97</v>
      </c>
      <c r="B13" s="33">
        <v>0.278</v>
      </c>
      <c r="C13" s="33">
        <f>0.05+0.02+0.00155</f>
        <v>0.07155</v>
      </c>
      <c r="D13" s="33">
        <f t="shared" si="0"/>
        <v>0.34955</v>
      </c>
      <c r="E13" s="33">
        <f t="shared" si="1"/>
        <v>0.53355</v>
      </c>
      <c r="F13" s="33"/>
      <c r="G13" s="33">
        <v>0.16</v>
      </c>
      <c r="H13" s="33">
        <f>0.225+0.02+0.00155</f>
        <v>0.24655</v>
      </c>
      <c r="I13" s="33">
        <f t="shared" si="2"/>
        <v>0.40654999999999997</v>
      </c>
      <c r="J13" s="33">
        <f t="shared" si="3"/>
        <v>0.65055</v>
      </c>
      <c r="K13" s="33"/>
      <c r="L13" s="29" t="s">
        <v>89</v>
      </c>
    </row>
    <row r="14" spans="1:12" ht="24.75">
      <c r="A14" s="12" t="s">
        <v>1</v>
      </c>
      <c r="B14" s="33">
        <v>0.22</v>
      </c>
      <c r="C14" s="33">
        <f>0.0125</f>
        <v>0.0125</v>
      </c>
      <c r="D14" s="33">
        <f t="shared" si="0"/>
        <v>0.2325</v>
      </c>
      <c r="E14" s="33">
        <f t="shared" si="1"/>
        <v>0.4165</v>
      </c>
      <c r="F14" s="33"/>
      <c r="G14" s="33">
        <v>0.205</v>
      </c>
      <c r="H14" s="33">
        <f>0.0125</f>
        <v>0.0125</v>
      </c>
      <c r="I14" s="33">
        <f t="shared" si="2"/>
        <v>0.2175</v>
      </c>
      <c r="J14" s="33">
        <f t="shared" si="3"/>
        <v>0.4615</v>
      </c>
      <c r="K14" s="33"/>
      <c r="L14" s="28" t="s">
        <v>57</v>
      </c>
    </row>
    <row r="15" spans="1:12" ht="24.75" customHeight="1">
      <c r="A15" s="12" t="s">
        <v>102</v>
      </c>
      <c r="B15" s="33">
        <v>0.25</v>
      </c>
      <c r="C15" s="33"/>
      <c r="D15" s="33">
        <f t="shared" si="0"/>
        <v>0.25</v>
      </c>
      <c r="E15" s="33">
        <f t="shared" si="1"/>
        <v>0.434</v>
      </c>
      <c r="F15" s="33"/>
      <c r="G15" s="33">
        <v>0.417</v>
      </c>
      <c r="H15" s="33"/>
      <c r="I15" s="33">
        <f t="shared" si="2"/>
        <v>0.417</v>
      </c>
      <c r="J15" s="33">
        <f t="shared" si="3"/>
        <v>0.661</v>
      </c>
      <c r="K15" s="33"/>
      <c r="L15" s="28" t="s">
        <v>58</v>
      </c>
    </row>
    <row r="16" spans="1:12" ht="14.25" customHeight="1">
      <c r="A16" s="12" t="s">
        <v>4</v>
      </c>
      <c r="B16" s="33">
        <v>0.23</v>
      </c>
      <c r="C16" s="33"/>
      <c r="D16" s="33">
        <f t="shared" si="0"/>
        <v>0.23</v>
      </c>
      <c r="E16" s="33">
        <f t="shared" si="1"/>
        <v>0.41400000000000003</v>
      </c>
      <c r="F16" s="33"/>
      <c r="G16" s="33">
        <v>0.22</v>
      </c>
      <c r="H16" s="33"/>
      <c r="I16" s="33">
        <f t="shared" si="2"/>
        <v>0.22</v>
      </c>
      <c r="J16" s="33">
        <f t="shared" si="3"/>
        <v>0.464</v>
      </c>
      <c r="K16" s="33"/>
      <c r="L16" s="28" t="s">
        <v>59</v>
      </c>
    </row>
    <row r="17" spans="1:12" ht="15">
      <c r="A17" s="12" t="s">
        <v>2</v>
      </c>
      <c r="B17" s="33">
        <v>0.235</v>
      </c>
      <c r="C17" s="33"/>
      <c r="D17" s="33">
        <f t="shared" si="0"/>
        <v>0.235</v>
      </c>
      <c r="E17" s="33">
        <f t="shared" si="1"/>
        <v>0.419</v>
      </c>
      <c r="F17" s="33"/>
      <c r="G17" s="33">
        <v>0.235</v>
      </c>
      <c r="H17" s="33"/>
      <c r="I17" s="33">
        <f t="shared" si="2"/>
        <v>0.235</v>
      </c>
      <c r="J17" s="33">
        <f t="shared" si="3"/>
        <v>0.479</v>
      </c>
      <c r="K17" s="33"/>
      <c r="L17" s="12"/>
    </row>
    <row r="18" spans="1:12" ht="63" customHeight="1">
      <c r="A18" s="12" t="s">
        <v>98</v>
      </c>
      <c r="B18" s="33">
        <v>0.04</v>
      </c>
      <c r="C18" s="33">
        <v>0.266</v>
      </c>
      <c r="D18" s="33">
        <f t="shared" si="0"/>
        <v>0.306</v>
      </c>
      <c r="E18" s="33">
        <f t="shared" si="1"/>
        <v>0.49</v>
      </c>
      <c r="F18" s="33"/>
      <c r="G18" s="33">
        <v>0.04</v>
      </c>
      <c r="H18" s="33">
        <f>0.277+0.02068</f>
        <v>0.29768</v>
      </c>
      <c r="I18" s="33">
        <f t="shared" si="2"/>
        <v>0.33768</v>
      </c>
      <c r="J18" s="33">
        <f t="shared" si="3"/>
        <v>0.58168</v>
      </c>
      <c r="K18" s="33"/>
      <c r="L18" s="28" t="s">
        <v>60</v>
      </c>
    </row>
    <row r="19" spans="1:12" ht="36.75">
      <c r="A19" s="12" t="s">
        <v>99</v>
      </c>
      <c r="B19" s="33">
        <v>0.26</v>
      </c>
      <c r="C19" s="33">
        <f>0.005</f>
        <v>0.005</v>
      </c>
      <c r="D19" s="33">
        <f t="shared" si="0"/>
        <v>0.265</v>
      </c>
      <c r="E19" s="33">
        <f t="shared" si="1"/>
        <v>0.449</v>
      </c>
      <c r="F19" s="33"/>
      <c r="G19" s="33">
        <v>0.29</v>
      </c>
      <c r="H19" s="33">
        <f>0.005</f>
        <v>0.005</v>
      </c>
      <c r="I19" s="33">
        <f t="shared" si="2"/>
        <v>0.295</v>
      </c>
      <c r="J19" s="33">
        <f t="shared" si="3"/>
        <v>0.539</v>
      </c>
      <c r="K19" s="33"/>
      <c r="L19" s="28" t="s">
        <v>114</v>
      </c>
    </row>
    <row r="20" spans="1:12" ht="24.75">
      <c r="A20" s="12" t="s">
        <v>103</v>
      </c>
      <c r="B20" s="33">
        <v>0.16</v>
      </c>
      <c r="C20" s="33">
        <f>0.025</f>
        <v>0.025</v>
      </c>
      <c r="D20" s="33">
        <f t="shared" si="0"/>
        <v>0.185</v>
      </c>
      <c r="E20" s="33">
        <f t="shared" si="1"/>
        <v>0.369</v>
      </c>
      <c r="F20" s="33"/>
      <c r="G20" s="33">
        <v>0.16</v>
      </c>
      <c r="H20" s="33">
        <f>0.025</f>
        <v>0.025</v>
      </c>
      <c r="I20" s="33">
        <f t="shared" si="2"/>
        <v>0.185</v>
      </c>
      <c r="J20" s="33">
        <f t="shared" si="3"/>
        <v>0.42900000000000005</v>
      </c>
      <c r="K20" s="33"/>
      <c r="L20" s="28" t="s">
        <v>120</v>
      </c>
    </row>
    <row r="21" spans="1:12" ht="15">
      <c r="A21" s="12" t="s">
        <v>3</v>
      </c>
      <c r="B21" s="33">
        <v>0.32</v>
      </c>
      <c r="C21" s="33">
        <f>0.01</f>
        <v>0.01</v>
      </c>
      <c r="D21" s="33">
        <f>$B21+$C21</f>
        <v>0.33</v>
      </c>
      <c r="E21" s="33">
        <f t="shared" si="1"/>
        <v>0.514</v>
      </c>
      <c r="F21" s="33"/>
      <c r="G21" s="33">
        <v>0.32</v>
      </c>
      <c r="H21" s="33">
        <f>0.01</f>
        <v>0.01</v>
      </c>
      <c r="I21" s="33">
        <f t="shared" si="2"/>
        <v>0.33</v>
      </c>
      <c r="J21" s="33">
        <f t="shared" si="3"/>
        <v>0.5740000000000001</v>
      </c>
      <c r="K21" s="33"/>
      <c r="L21" s="28" t="s">
        <v>61</v>
      </c>
    </row>
    <row r="22" spans="1:12" ht="38.25" customHeight="1">
      <c r="A22" s="12" t="s">
        <v>104</v>
      </c>
      <c r="B22" s="33">
        <v>0.19</v>
      </c>
      <c r="C22" s="33">
        <f>0.003+0.008+0.13</f>
        <v>0.14100000000000001</v>
      </c>
      <c r="D22" s="33">
        <f t="shared" si="0"/>
        <v>0.331</v>
      </c>
      <c r="E22" s="33">
        <f t="shared" si="1"/>
        <v>0.515</v>
      </c>
      <c r="F22" s="33"/>
      <c r="G22" s="33">
        <v>0.215</v>
      </c>
      <c r="H22" s="33">
        <f>0.003+0.008+0.13</f>
        <v>0.14100000000000001</v>
      </c>
      <c r="I22" s="33">
        <f t="shared" si="2"/>
        <v>0.356</v>
      </c>
      <c r="J22" s="33">
        <f t="shared" si="3"/>
        <v>0.6</v>
      </c>
      <c r="K22" s="33"/>
      <c r="L22" s="28" t="s">
        <v>115</v>
      </c>
    </row>
    <row r="23" spans="1:12" ht="61.5" customHeight="1">
      <c r="A23" s="12" t="s">
        <v>105</v>
      </c>
      <c r="B23" s="33">
        <v>0.18</v>
      </c>
      <c r="C23" s="33">
        <f>0.141+0.01</f>
        <v>0.151</v>
      </c>
      <c r="D23" s="33">
        <f t="shared" si="0"/>
        <v>0.33099999999999996</v>
      </c>
      <c r="E23" s="33">
        <f t="shared" si="1"/>
        <v>0.5149999999999999</v>
      </c>
      <c r="F23" s="33"/>
      <c r="G23" s="33">
        <v>0.16</v>
      </c>
      <c r="H23" s="33">
        <f>0.01</f>
        <v>0.01</v>
      </c>
      <c r="I23" s="33">
        <f t="shared" si="2"/>
        <v>0.17</v>
      </c>
      <c r="J23" s="33">
        <f t="shared" si="3"/>
        <v>0.41400000000000003</v>
      </c>
      <c r="K23" s="33"/>
      <c r="L23" s="28" t="s">
        <v>121</v>
      </c>
    </row>
    <row r="24" spans="1:12" ht="24.75">
      <c r="A24" s="12" t="s">
        <v>106</v>
      </c>
      <c r="B24" s="33">
        <v>0.307</v>
      </c>
      <c r="C24" s="33">
        <f>0.01</f>
        <v>0.01</v>
      </c>
      <c r="D24" s="33">
        <f t="shared" si="0"/>
        <v>0.317</v>
      </c>
      <c r="E24" s="33">
        <f t="shared" si="1"/>
        <v>0.501</v>
      </c>
      <c r="F24" s="33"/>
      <c r="G24" s="33">
        <v>0.325</v>
      </c>
      <c r="H24" s="33">
        <f>0.01</f>
        <v>0.01</v>
      </c>
      <c r="I24" s="33">
        <f t="shared" si="2"/>
        <v>0.335</v>
      </c>
      <c r="J24" s="33">
        <f t="shared" si="3"/>
        <v>0.5790000000000001</v>
      </c>
      <c r="K24" s="33"/>
      <c r="L24" s="28" t="s">
        <v>122</v>
      </c>
    </row>
    <row r="25" spans="1:12" ht="24.75">
      <c r="A25" s="12" t="s">
        <v>5</v>
      </c>
      <c r="B25" s="33">
        <v>0.24</v>
      </c>
      <c r="C25" s="33">
        <f>0.01+0.0003</f>
        <v>0.0103</v>
      </c>
      <c r="D25" s="33">
        <f t="shared" si="0"/>
        <v>0.25029999999999997</v>
      </c>
      <c r="E25" s="33">
        <f t="shared" si="1"/>
        <v>0.43429999999999996</v>
      </c>
      <c r="F25" s="33"/>
      <c r="G25" s="33">
        <v>0.26</v>
      </c>
      <c r="H25" s="33">
        <f>0.01+0.0003</f>
        <v>0.0103</v>
      </c>
      <c r="I25" s="33">
        <f t="shared" si="2"/>
        <v>0.2703</v>
      </c>
      <c r="J25" s="33">
        <f t="shared" si="3"/>
        <v>0.5143</v>
      </c>
      <c r="K25" s="33"/>
      <c r="L25" s="28" t="s">
        <v>62</v>
      </c>
    </row>
    <row r="26" spans="1:12" ht="36.75">
      <c r="A26" s="12" t="s">
        <v>6</v>
      </c>
      <c r="B26" s="33">
        <v>0.246</v>
      </c>
      <c r="C26" s="33">
        <f>0.014</f>
        <v>0.014</v>
      </c>
      <c r="D26" s="33">
        <f t="shared" si="0"/>
        <v>0.26</v>
      </c>
      <c r="E26" s="33">
        <f t="shared" si="1"/>
        <v>0.444</v>
      </c>
      <c r="F26" s="33"/>
      <c r="G26" s="33">
        <v>0.216</v>
      </c>
      <c r="H26" s="33">
        <f>0.014</f>
        <v>0.014</v>
      </c>
      <c r="I26" s="33">
        <f t="shared" si="2"/>
        <v>0.23</v>
      </c>
      <c r="J26" s="33">
        <f t="shared" si="3"/>
        <v>0.47400000000000003</v>
      </c>
      <c r="K26" s="33"/>
      <c r="L26" s="42" t="s">
        <v>123</v>
      </c>
    </row>
    <row r="27" spans="1:12" ht="36.75">
      <c r="A27" s="12" t="s">
        <v>7</v>
      </c>
      <c r="B27" s="33">
        <v>0.2</v>
      </c>
      <c r="C27" s="33">
        <f>0.00125+0.008</f>
        <v>0.00925</v>
      </c>
      <c r="D27" s="33">
        <f t="shared" si="0"/>
        <v>0.20925000000000002</v>
      </c>
      <c r="E27" s="33">
        <f t="shared" si="1"/>
        <v>0.39325</v>
      </c>
      <c r="F27" s="33"/>
      <c r="G27" s="33">
        <v>0.2</v>
      </c>
      <c r="H27" s="33">
        <f>0.00125+0.008</f>
        <v>0.00925</v>
      </c>
      <c r="I27" s="33">
        <f t="shared" si="2"/>
        <v>0.20925000000000002</v>
      </c>
      <c r="J27" s="33">
        <f t="shared" si="3"/>
        <v>0.45325000000000004</v>
      </c>
      <c r="K27" s="33"/>
      <c r="L27" s="28" t="s">
        <v>63</v>
      </c>
    </row>
    <row r="28" spans="1:12" ht="84.75">
      <c r="A28" s="12" t="s">
        <v>8</v>
      </c>
      <c r="B28" s="33">
        <v>0.3</v>
      </c>
      <c r="C28" s="33">
        <v>0.014</v>
      </c>
      <c r="D28" s="33">
        <f t="shared" si="0"/>
        <v>0.314</v>
      </c>
      <c r="E28" s="33">
        <f t="shared" si="1"/>
        <v>0.498</v>
      </c>
      <c r="F28" s="33"/>
      <c r="G28" s="33">
        <v>0.312</v>
      </c>
      <c r="H28" s="33">
        <v>0.0067</v>
      </c>
      <c r="I28" s="33">
        <f t="shared" si="2"/>
        <v>0.3187</v>
      </c>
      <c r="J28" s="33">
        <f t="shared" si="3"/>
        <v>0.5627</v>
      </c>
      <c r="K28" s="33"/>
      <c r="L28" s="28" t="s">
        <v>124</v>
      </c>
    </row>
    <row r="29" spans="1:12" ht="26.25" customHeight="1">
      <c r="A29" s="12" t="s">
        <v>9</v>
      </c>
      <c r="B29" s="33">
        <v>0.247</v>
      </c>
      <c r="C29" s="33">
        <f>0.088+0.0019</f>
        <v>0.0899</v>
      </c>
      <c r="D29" s="33">
        <f t="shared" si="0"/>
        <v>0.3369</v>
      </c>
      <c r="E29" s="33">
        <f t="shared" si="1"/>
        <v>0.5208999999999999</v>
      </c>
      <c r="F29" s="33"/>
      <c r="G29" s="33">
        <v>0.2535</v>
      </c>
      <c r="H29" s="33">
        <f>0.088+0.0019</f>
        <v>0.0899</v>
      </c>
      <c r="I29" s="33">
        <f t="shared" si="2"/>
        <v>0.3434</v>
      </c>
      <c r="J29" s="33">
        <f t="shared" si="3"/>
        <v>0.5874</v>
      </c>
      <c r="K29" s="33"/>
      <c r="L29" s="28" t="s">
        <v>125</v>
      </c>
    </row>
    <row r="30" spans="1:12" ht="36.75">
      <c r="A30" s="12" t="s">
        <v>37</v>
      </c>
      <c r="B30" s="33">
        <v>0.24</v>
      </c>
      <c r="C30" s="33">
        <f>0.02551+0.001</f>
        <v>0.026510000000000002</v>
      </c>
      <c r="D30" s="33">
        <f t="shared" si="0"/>
        <v>0.26650999999999997</v>
      </c>
      <c r="E30" s="33">
        <f t="shared" si="1"/>
        <v>0.45050999999999997</v>
      </c>
      <c r="F30" s="33"/>
      <c r="G30" s="33">
        <v>0.24</v>
      </c>
      <c r="H30" s="33">
        <f>0.02551+0.001</f>
        <v>0.026510000000000002</v>
      </c>
      <c r="I30" s="33">
        <f t="shared" si="2"/>
        <v>0.26650999999999997</v>
      </c>
      <c r="J30" s="33">
        <f t="shared" si="3"/>
        <v>0.51051</v>
      </c>
      <c r="K30" s="33"/>
      <c r="L30" s="28" t="s">
        <v>126</v>
      </c>
    </row>
    <row r="31" spans="1:12" ht="39" customHeight="1">
      <c r="A31" s="12" t="s">
        <v>107</v>
      </c>
      <c r="B31" s="33">
        <v>0.19</v>
      </c>
      <c r="C31" s="33">
        <f>0.122+0.00875</f>
        <v>0.13075</v>
      </c>
      <c r="D31" s="33">
        <f t="shared" si="0"/>
        <v>0.32075</v>
      </c>
      <c r="E31" s="33">
        <f t="shared" si="1"/>
        <v>0.50475</v>
      </c>
      <c r="F31" s="33"/>
      <c r="G31" s="33">
        <v>0.15</v>
      </c>
      <c r="H31" s="33">
        <f>0.122+0.00875</f>
        <v>0.13075</v>
      </c>
      <c r="I31" s="33">
        <f t="shared" si="2"/>
        <v>0.28075</v>
      </c>
      <c r="J31" s="33">
        <f t="shared" si="3"/>
        <v>0.52475</v>
      </c>
      <c r="K31" s="33"/>
      <c r="L31" s="28" t="s">
        <v>127</v>
      </c>
    </row>
    <row r="32" spans="1:12" s="9" customFormat="1" ht="26.25" customHeight="1">
      <c r="A32" s="12" t="s">
        <v>10</v>
      </c>
      <c r="B32" s="33">
        <v>0.285</v>
      </c>
      <c r="C32" s="33">
        <v>0.001</v>
      </c>
      <c r="D32" s="33">
        <f t="shared" si="0"/>
        <v>0.286</v>
      </c>
      <c r="E32" s="33">
        <f t="shared" si="1"/>
        <v>0.47</v>
      </c>
      <c r="F32" s="33"/>
      <c r="G32" s="33">
        <v>0.285</v>
      </c>
      <c r="H32" s="33">
        <v>0.001</v>
      </c>
      <c r="I32" s="33">
        <f t="shared" si="2"/>
        <v>0.286</v>
      </c>
      <c r="J32" s="33">
        <f t="shared" si="3"/>
        <v>0.53</v>
      </c>
      <c r="K32" s="33"/>
      <c r="L32" s="28" t="s">
        <v>128</v>
      </c>
    </row>
    <row r="33" spans="1:12" s="15" customFormat="1" ht="27" customHeight="1">
      <c r="A33" s="12" t="s">
        <v>27</v>
      </c>
      <c r="B33" s="33">
        <v>0.18</v>
      </c>
      <c r="C33" s="33">
        <f>0.004</f>
        <v>0.004</v>
      </c>
      <c r="D33" s="33">
        <f t="shared" si="0"/>
        <v>0.184</v>
      </c>
      <c r="E33" s="33">
        <f t="shared" si="1"/>
        <v>0.368</v>
      </c>
      <c r="F33" s="33"/>
      <c r="G33" s="33">
        <v>0.18</v>
      </c>
      <c r="H33" s="33">
        <f>0.004</f>
        <v>0.004</v>
      </c>
      <c r="I33" s="33">
        <f t="shared" si="2"/>
        <v>0.184</v>
      </c>
      <c r="J33" s="33">
        <f t="shared" si="3"/>
        <v>0.42800000000000005</v>
      </c>
      <c r="K33" s="33"/>
      <c r="L33" s="28" t="s">
        <v>64</v>
      </c>
    </row>
    <row r="34" spans="1:12" s="15" customFormat="1" ht="24.75">
      <c r="A34" s="12" t="s">
        <v>28</v>
      </c>
      <c r="B34" s="33">
        <v>0.17</v>
      </c>
      <c r="C34" s="33">
        <f>0.0005+0.0025</f>
        <v>0.003</v>
      </c>
      <c r="D34" s="33">
        <f t="shared" si="0"/>
        <v>0.17300000000000001</v>
      </c>
      <c r="E34" s="33">
        <f t="shared" si="1"/>
        <v>0.357</v>
      </c>
      <c r="F34" s="33"/>
      <c r="G34" s="33">
        <v>0.17</v>
      </c>
      <c r="H34" s="33">
        <f>0.0005+0.0025</f>
        <v>0.003</v>
      </c>
      <c r="I34" s="33">
        <f t="shared" si="2"/>
        <v>0.17300000000000001</v>
      </c>
      <c r="J34" s="33">
        <f t="shared" si="3"/>
        <v>0.41700000000000004</v>
      </c>
      <c r="K34" s="33"/>
      <c r="L34" s="28" t="s">
        <v>65</v>
      </c>
    </row>
    <row r="35" spans="1:12" s="15" customFormat="1" ht="24.75">
      <c r="A35" s="12" t="s">
        <v>29</v>
      </c>
      <c r="B35" s="33">
        <v>0.27</v>
      </c>
      <c r="C35" s="33">
        <f>0.0075</f>
        <v>0.0075</v>
      </c>
      <c r="D35" s="33">
        <f t="shared" si="0"/>
        <v>0.2775</v>
      </c>
      <c r="E35" s="33">
        <f t="shared" si="1"/>
        <v>0.4615</v>
      </c>
      <c r="F35" s="33"/>
      <c r="G35" s="33">
        <v>0.2775</v>
      </c>
      <c r="H35" s="33">
        <f>0.0075</f>
        <v>0.0075</v>
      </c>
      <c r="I35" s="33">
        <f t="shared" si="2"/>
        <v>0.28500000000000003</v>
      </c>
      <c r="J35" s="33">
        <f t="shared" si="3"/>
        <v>0.529</v>
      </c>
      <c r="K35" s="33"/>
      <c r="L35" s="28" t="s">
        <v>66</v>
      </c>
    </row>
    <row r="36" spans="1:12" s="15" customFormat="1" ht="24.75">
      <c r="A36" s="12" t="s">
        <v>15</v>
      </c>
      <c r="B36" s="33">
        <v>0.258</v>
      </c>
      <c r="C36" s="33">
        <f>0.009</f>
        <v>0.009</v>
      </c>
      <c r="D36" s="33">
        <f t="shared" si="0"/>
        <v>0.267</v>
      </c>
      <c r="E36" s="33">
        <f t="shared" si="1"/>
        <v>0.451</v>
      </c>
      <c r="F36" s="33"/>
      <c r="G36" s="33">
        <v>0.258</v>
      </c>
      <c r="H36" s="33">
        <f>0.003</f>
        <v>0.003</v>
      </c>
      <c r="I36" s="33">
        <f t="shared" si="2"/>
        <v>0.261</v>
      </c>
      <c r="J36" s="33">
        <f t="shared" si="3"/>
        <v>0.505</v>
      </c>
      <c r="K36" s="33"/>
      <c r="L36" s="28" t="s">
        <v>67</v>
      </c>
    </row>
    <row r="37" spans="1:12" s="15" customFormat="1" ht="38.25" customHeight="1">
      <c r="A37" s="12" t="s">
        <v>30</v>
      </c>
      <c r="B37" s="33">
        <v>0.23</v>
      </c>
      <c r="C37" s="33">
        <f>0.00055+0.0075</f>
        <v>0.00805</v>
      </c>
      <c r="D37" s="33">
        <f t="shared" si="0"/>
        <v>0.23805</v>
      </c>
      <c r="E37" s="33">
        <f t="shared" si="1"/>
        <v>0.42205000000000004</v>
      </c>
      <c r="F37" s="33"/>
      <c r="G37" s="33">
        <v>0.27</v>
      </c>
      <c r="H37" s="33">
        <f>0.0075</f>
        <v>0.0075</v>
      </c>
      <c r="I37" s="33">
        <f t="shared" si="2"/>
        <v>0.2775</v>
      </c>
      <c r="J37" s="33">
        <f t="shared" si="3"/>
        <v>0.5215000000000001</v>
      </c>
      <c r="K37" s="33"/>
      <c r="L37" s="28" t="s">
        <v>112</v>
      </c>
    </row>
    <row r="38" spans="1:12" s="15" customFormat="1" ht="27.75" customHeight="1">
      <c r="A38" s="12" t="s">
        <v>16</v>
      </c>
      <c r="B38" s="33">
        <v>0.222</v>
      </c>
      <c r="C38" s="33">
        <f>0.015+0.00125</f>
        <v>0.01625</v>
      </c>
      <c r="D38" s="33">
        <f t="shared" si="0"/>
        <v>0.23825000000000002</v>
      </c>
      <c r="E38" s="33">
        <f t="shared" si="1"/>
        <v>0.42225</v>
      </c>
      <c r="F38" s="33"/>
      <c r="G38" s="33">
        <v>0.222</v>
      </c>
      <c r="H38" s="33">
        <f>0.015+0.00125</f>
        <v>0.01625</v>
      </c>
      <c r="I38" s="33">
        <f t="shared" si="2"/>
        <v>0.23825000000000002</v>
      </c>
      <c r="J38" s="33">
        <f t="shared" si="3"/>
        <v>0.48225000000000007</v>
      </c>
      <c r="K38" s="33"/>
      <c r="L38" s="28" t="s">
        <v>86</v>
      </c>
    </row>
    <row r="39" spans="1:12" s="15" customFormat="1" ht="27" customHeight="1">
      <c r="A39" s="12" t="s">
        <v>108</v>
      </c>
      <c r="B39" s="33">
        <v>0.105</v>
      </c>
      <c r="C39" s="33">
        <f>0.04+0.0005</f>
        <v>0.0405</v>
      </c>
      <c r="D39" s="33">
        <f t="shared" si="0"/>
        <v>0.1455</v>
      </c>
      <c r="E39" s="33">
        <f t="shared" si="1"/>
        <v>0.3295</v>
      </c>
      <c r="F39" s="33"/>
      <c r="G39" s="33">
        <v>0.135</v>
      </c>
      <c r="H39" s="33">
        <f>0.04+0.0005</f>
        <v>0.0405</v>
      </c>
      <c r="I39" s="33">
        <f t="shared" si="2"/>
        <v>0.17550000000000002</v>
      </c>
      <c r="J39" s="33">
        <f t="shared" si="3"/>
        <v>0.41950000000000004</v>
      </c>
      <c r="K39" s="33"/>
      <c r="L39" s="28" t="s">
        <v>90</v>
      </c>
    </row>
    <row r="40" spans="1:12" s="15" customFormat="1" ht="24.75">
      <c r="A40" s="12" t="s">
        <v>22</v>
      </c>
      <c r="B40" s="33">
        <v>0.17</v>
      </c>
      <c r="C40" s="33">
        <f>0.01875</f>
        <v>0.01875</v>
      </c>
      <c r="D40" s="33">
        <f t="shared" si="0"/>
        <v>0.18875</v>
      </c>
      <c r="E40" s="33">
        <f t="shared" si="1"/>
        <v>0.37275</v>
      </c>
      <c r="F40" s="33"/>
      <c r="G40" s="33">
        <v>0.21</v>
      </c>
      <c r="H40" s="33">
        <f>0.01875</f>
        <v>0.01875</v>
      </c>
      <c r="I40" s="33">
        <f t="shared" si="2"/>
        <v>0.22874999999999998</v>
      </c>
      <c r="J40" s="33">
        <f t="shared" si="3"/>
        <v>0.47275</v>
      </c>
      <c r="K40" s="33"/>
      <c r="L40" s="28" t="s">
        <v>68</v>
      </c>
    </row>
    <row r="41" spans="1:12" s="15" customFormat="1" ht="86.25" customHeight="1">
      <c r="A41" s="12" t="s">
        <v>109</v>
      </c>
      <c r="B41" s="33">
        <v>0.08</v>
      </c>
      <c r="C41" s="33">
        <f>0.17+0.0005+0.08+0.0029</f>
        <v>0.2534</v>
      </c>
      <c r="D41" s="33">
        <f t="shared" si="0"/>
        <v>0.33340000000000003</v>
      </c>
      <c r="E41" s="33">
        <f t="shared" si="1"/>
        <v>0.5174000000000001</v>
      </c>
      <c r="F41" s="33"/>
      <c r="G41" s="33">
        <v>0.08</v>
      </c>
      <c r="H41" s="33">
        <f>0.1525+0.08+0.0029</f>
        <v>0.2354</v>
      </c>
      <c r="I41" s="33">
        <f t="shared" si="2"/>
        <v>0.3154</v>
      </c>
      <c r="J41" s="33">
        <f t="shared" si="3"/>
        <v>0.5594</v>
      </c>
      <c r="K41" s="33"/>
      <c r="L41" s="28" t="s">
        <v>116</v>
      </c>
    </row>
    <row r="42" spans="1:12" s="15" customFormat="1" ht="15">
      <c r="A42" s="12" t="s">
        <v>17</v>
      </c>
      <c r="B42" s="33">
        <v>0.34</v>
      </c>
      <c r="C42" s="33">
        <f>0.0025</f>
        <v>0.0025</v>
      </c>
      <c r="D42" s="33">
        <f t="shared" si="0"/>
        <v>0.3425</v>
      </c>
      <c r="E42" s="33">
        <f t="shared" si="1"/>
        <v>0.5265</v>
      </c>
      <c r="F42" s="33"/>
      <c r="G42" s="33">
        <v>0.34</v>
      </c>
      <c r="H42" s="33">
        <f>0.0025</f>
        <v>0.0025</v>
      </c>
      <c r="I42" s="33">
        <f t="shared" si="2"/>
        <v>0.3425</v>
      </c>
      <c r="J42" s="33">
        <f t="shared" si="3"/>
        <v>0.5865</v>
      </c>
      <c r="K42" s="33"/>
      <c r="L42" s="28" t="s">
        <v>91</v>
      </c>
    </row>
    <row r="43" spans="1:12" s="15" customFormat="1" ht="15" customHeight="1">
      <c r="A43" s="12" t="s">
        <v>11</v>
      </c>
      <c r="B43" s="33">
        <v>0.23</v>
      </c>
      <c r="C43" s="33">
        <f>0.00025</f>
        <v>0.00025</v>
      </c>
      <c r="D43" s="33">
        <f t="shared" si="0"/>
        <v>0.23025</v>
      </c>
      <c r="E43" s="33">
        <f t="shared" si="1"/>
        <v>0.41425</v>
      </c>
      <c r="F43" s="33"/>
      <c r="G43" s="33">
        <v>0.23</v>
      </c>
      <c r="H43" s="33">
        <f>0.00025</f>
        <v>0.00025</v>
      </c>
      <c r="I43" s="33">
        <f t="shared" si="2"/>
        <v>0.23025</v>
      </c>
      <c r="J43" s="33">
        <f t="shared" si="3"/>
        <v>0.47425000000000006</v>
      </c>
      <c r="K43" s="33"/>
      <c r="L43" s="28" t="s">
        <v>69</v>
      </c>
    </row>
    <row r="44" spans="1:12" s="15" customFormat="1" ht="15">
      <c r="A44" s="12" t="s">
        <v>23</v>
      </c>
      <c r="B44" s="33">
        <v>0.28</v>
      </c>
      <c r="C44" s="33"/>
      <c r="D44" s="33">
        <f t="shared" si="0"/>
        <v>0.28</v>
      </c>
      <c r="E44" s="33">
        <f t="shared" si="1"/>
        <v>0.464</v>
      </c>
      <c r="F44" s="33"/>
      <c r="G44" s="33">
        <v>0.28</v>
      </c>
      <c r="H44" s="33"/>
      <c r="I44" s="33">
        <f t="shared" si="2"/>
        <v>0.28</v>
      </c>
      <c r="J44" s="33">
        <f t="shared" si="3"/>
        <v>0.524</v>
      </c>
      <c r="K44" s="33"/>
      <c r="L44" s="12"/>
    </row>
    <row r="45" spans="1:12" s="15" customFormat="1" ht="24.75">
      <c r="A45" s="12" t="s">
        <v>18</v>
      </c>
      <c r="B45" s="33">
        <v>0.16</v>
      </c>
      <c r="C45" s="33">
        <f>0.01</f>
        <v>0.01</v>
      </c>
      <c r="D45" s="33">
        <f t="shared" si="0"/>
        <v>0.17</v>
      </c>
      <c r="E45" s="33">
        <f t="shared" si="1"/>
        <v>0.354</v>
      </c>
      <c r="F45" s="33"/>
      <c r="G45" s="33">
        <v>0.13</v>
      </c>
      <c r="H45" s="33">
        <f>0.01</f>
        <v>0.01</v>
      </c>
      <c r="I45" s="33">
        <f t="shared" si="2"/>
        <v>0.14</v>
      </c>
      <c r="J45" s="33">
        <f t="shared" si="3"/>
        <v>0.384</v>
      </c>
      <c r="K45" s="33"/>
      <c r="L45" s="28" t="s">
        <v>70</v>
      </c>
    </row>
    <row r="46" spans="1:12" s="15" customFormat="1" ht="24.75">
      <c r="A46" s="12" t="s">
        <v>31</v>
      </c>
      <c r="B46" s="33">
        <v>0.3</v>
      </c>
      <c r="C46" s="33"/>
      <c r="D46" s="33">
        <f t="shared" si="0"/>
        <v>0.3</v>
      </c>
      <c r="E46" s="33">
        <f t="shared" si="1"/>
        <v>0.484</v>
      </c>
      <c r="F46" s="33"/>
      <c r="G46" s="33">
        <v>0.3</v>
      </c>
      <c r="H46" s="33"/>
      <c r="I46" s="33">
        <f t="shared" si="2"/>
        <v>0.3</v>
      </c>
      <c r="J46" s="33">
        <f t="shared" si="3"/>
        <v>0.544</v>
      </c>
      <c r="K46" s="33"/>
      <c r="L46" s="28" t="s">
        <v>71</v>
      </c>
    </row>
    <row r="47" spans="1:12" s="15" customFormat="1" ht="37.5" customHeight="1">
      <c r="A47" s="12" t="s">
        <v>12</v>
      </c>
      <c r="B47" s="33">
        <v>0.503</v>
      </c>
      <c r="C47" s="33">
        <f>0.011</f>
        <v>0.011</v>
      </c>
      <c r="D47" s="33">
        <f t="shared" si="0"/>
        <v>0.514</v>
      </c>
      <c r="E47" s="33">
        <f t="shared" si="1"/>
        <v>0.698</v>
      </c>
      <c r="F47" s="33"/>
      <c r="G47" s="33">
        <v>0.64</v>
      </c>
      <c r="H47" s="33">
        <f>0.011</f>
        <v>0.011</v>
      </c>
      <c r="I47" s="33">
        <f t="shared" si="2"/>
        <v>0.651</v>
      </c>
      <c r="J47" s="33">
        <f t="shared" si="3"/>
        <v>0.895</v>
      </c>
      <c r="K47" s="33"/>
      <c r="L47" s="28" t="s">
        <v>92</v>
      </c>
    </row>
    <row r="48" spans="1:12" s="15" customFormat="1" ht="26.25" customHeight="1">
      <c r="A48" s="12" t="s">
        <v>14</v>
      </c>
      <c r="B48" s="33">
        <v>0.33</v>
      </c>
      <c r="C48" s="33">
        <f>0.01+0.0012</f>
        <v>0.0112</v>
      </c>
      <c r="D48" s="33">
        <f t="shared" si="0"/>
        <v>0.3412</v>
      </c>
      <c r="E48" s="33">
        <f t="shared" si="1"/>
        <v>0.5252</v>
      </c>
      <c r="F48" s="33"/>
      <c r="G48" s="33">
        <v>0.33</v>
      </c>
      <c r="H48" s="33">
        <f>0.01+0.0012</f>
        <v>0.0112</v>
      </c>
      <c r="I48" s="33">
        <f t="shared" si="2"/>
        <v>0.3412</v>
      </c>
      <c r="J48" s="33">
        <f t="shared" si="3"/>
        <v>0.5852</v>
      </c>
      <c r="K48" s="33"/>
      <c r="L48" s="28" t="s">
        <v>93</v>
      </c>
    </row>
    <row r="49" spans="1:12" s="15" customFormat="1" ht="15">
      <c r="A49" s="12" t="s">
        <v>32</v>
      </c>
      <c r="B49" s="33">
        <v>0.16</v>
      </c>
      <c r="C49" s="33">
        <f>0.0025+0.005</f>
        <v>0.0075</v>
      </c>
      <c r="D49" s="33">
        <f t="shared" si="0"/>
        <v>0.1675</v>
      </c>
      <c r="E49" s="33">
        <f t="shared" si="1"/>
        <v>0.35150000000000003</v>
      </c>
      <c r="F49" s="33"/>
      <c r="G49" s="33">
        <v>0.16</v>
      </c>
      <c r="H49" s="33">
        <f>0.0025+0.005</f>
        <v>0.0075</v>
      </c>
      <c r="I49" s="33">
        <f t="shared" si="2"/>
        <v>0.1675</v>
      </c>
      <c r="J49" s="33">
        <f t="shared" si="3"/>
        <v>0.41150000000000003</v>
      </c>
      <c r="K49" s="33"/>
      <c r="L49" s="28" t="s">
        <v>72</v>
      </c>
    </row>
    <row r="50" spans="1:12" s="15" customFormat="1" ht="15">
      <c r="A50" s="12" t="s">
        <v>13</v>
      </c>
      <c r="B50" s="33">
        <v>0.28</v>
      </c>
      <c r="C50" s="33">
        <f>0.02</f>
        <v>0.02</v>
      </c>
      <c r="D50" s="33">
        <f t="shared" si="0"/>
        <v>0.30000000000000004</v>
      </c>
      <c r="E50" s="33">
        <f t="shared" si="1"/>
        <v>0.48400000000000004</v>
      </c>
      <c r="F50" s="33"/>
      <c r="G50" s="33">
        <v>0.28</v>
      </c>
      <c r="H50" s="33">
        <f>0.02</f>
        <v>0.02</v>
      </c>
      <c r="I50" s="33">
        <f t="shared" si="2"/>
        <v>0.30000000000000004</v>
      </c>
      <c r="J50" s="33">
        <f t="shared" si="3"/>
        <v>0.544</v>
      </c>
      <c r="K50" s="33"/>
      <c r="L50" s="28" t="s">
        <v>73</v>
      </c>
    </row>
    <row r="51" spans="1:12" s="15" customFormat="1" ht="15">
      <c r="A51" s="12" t="s">
        <v>19</v>
      </c>
      <c r="B51" s="33">
        <v>0.2</v>
      </c>
      <c r="C51" s="33">
        <f>0.01+0.004</f>
        <v>0.014</v>
      </c>
      <c r="D51" s="33">
        <f t="shared" si="0"/>
        <v>0.21400000000000002</v>
      </c>
      <c r="E51" s="33">
        <f t="shared" si="1"/>
        <v>0.398</v>
      </c>
      <c r="F51" s="33"/>
      <c r="G51" s="33">
        <v>0.17</v>
      </c>
      <c r="H51" s="33">
        <f>0.01+0.004</f>
        <v>0.014</v>
      </c>
      <c r="I51" s="33">
        <f t="shared" si="2"/>
        <v>0.18400000000000002</v>
      </c>
      <c r="J51" s="33">
        <f t="shared" si="3"/>
        <v>0.42800000000000005</v>
      </c>
      <c r="K51" s="33"/>
      <c r="L51" s="28" t="s">
        <v>74</v>
      </c>
    </row>
    <row r="52" spans="1:12" s="15" customFormat="1" ht="15">
      <c r="A52" s="12" t="s">
        <v>24</v>
      </c>
      <c r="B52" s="33">
        <v>0.2</v>
      </c>
      <c r="C52" s="33"/>
      <c r="D52" s="33">
        <f t="shared" si="0"/>
        <v>0.2</v>
      </c>
      <c r="E52" s="33">
        <f t="shared" si="1"/>
        <v>0.384</v>
      </c>
      <c r="F52" s="33"/>
      <c r="G52" s="33">
        <v>0.2</v>
      </c>
      <c r="H52" s="33"/>
      <c r="I52" s="33">
        <f t="shared" si="2"/>
        <v>0.2</v>
      </c>
      <c r="J52" s="33">
        <f t="shared" si="3"/>
        <v>0.44400000000000006</v>
      </c>
      <c r="K52" s="33"/>
      <c r="L52" s="28" t="s">
        <v>75</v>
      </c>
    </row>
    <row r="53" spans="1:12" s="15" customFormat="1" ht="15">
      <c r="A53" s="12" t="s">
        <v>25</v>
      </c>
      <c r="B53" s="33">
        <v>0.294</v>
      </c>
      <c r="C53" s="33">
        <f>0.0065</f>
        <v>0.0065</v>
      </c>
      <c r="D53" s="33">
        <f t="shared" si="0"/>
        <v>0.3005</v>
      </c>
      <c r="E53" s="33">
        <f t="shared" si="1"/>
        <v>0.4845</v>
      </c>
      <c r="F53" s="33"/>
      <c r="G53" s="33">
        <v>0.294</v>
      </c>
      <c r="H53" s="33">
        <f>0.0065</f>
        <v>0.0065</v>
      </c>
      <c r="I53" s="33">
        <f t="shared" si="2"/>
        <v>0.3005</v>
      </c>
      <c r="J53" s="33">
        <f t="shared" si="3"/>
        <v>0.5445</v>
      </c>
      <c r="K53" s="33"/>
      <c r="L53" s="28" t="s">
        <v>76</v>
      </c>
    </row>
    <row r="54" spans="1:12" s="15" customFormat="1" ht="36.75">
      <c r="A54" s="12" t="s">
        <v>81</v>
      </c>
      <c r="B54" s="33">
        <v>0.121</v>
      </c>
      <c r="C54" s="33">
        <f>0.0396+0.134+0.01</f>
        <v>0.1836</v>
      </c>
      <c r="D54" s="33">
        <f t="shared" si="0"/>
        <v>0.3046</v>
      </c>
      <c r="E54" s="33">
        <f t="shared" si="1"/>
        <v>0.4886</v>
      </c>
      <c r="F54" s="33"/>
      <c r="G54" s="33">
        <v>0.28</v>
      </c>
      <c r="H54" s="33">
        <f>0.01+0.03</f>
        <v>0.04</v>
      </c>
      <c r="I54" s="33">
        <f t="shared" si="2"/>
        <v>0.32</v>
      </c>
      <c r="J54" s="33">
        <f t="shared" si="3"/>
        <v>0.5640000000000001</v>
      </c>
      <c r="K54" s="33"/>
      <c r="L54" s="28" t="s">
        <v>117</v>
      </c>
    </row>
    <row r="55" spans="1:12" s="15" customFormat="1" ht="24.75">
      <c r="A55" s="12" t="s">
        <v>110</v>
      </c>
      <c r="B55" s="33">
        <v>0.162</v>
      </c>
      <c r="C55" s="33">
        <f>0.006</f>
        <v>0.006</v>
      </c>
      <c r="D55" s="33">
        <f t="shared" si="0"/>
        <v>0.168</v>
      </c>
      <c r="E55" s="33">
        <f t="shared" si="1"/>
        <v>0.352</v>
      </c>
      <c r="F55" s="33"/>
      <c r="G55" s="33">
        <v>0.20199999999999999</v>
      </c>
      <c r="H55" s="33">
        <f>0.006</f>
        <v>0.006</v>
      </c>
      <c r="I55" s="33">
        <f t="shared" si="2"/>
        <v>0.208</v>
      </c>
      <c r="J55" s="33">
        <f t="shared" si="3"/>
        <v>0.452</v>
      </c>
      <c r="K55" s="33"/>
      <c r="L55" s="28" t="s">
        <v>94</v>
      </c>
    </row>
    <row r="56" spans="1:12" s="15" customFormat="1" ht="36.75">
      <c r="A56" s="12" t="s">
        <v>33</v>
      </c>
      <c r="B56" s="33">
        <v>0.494</v>
      </c>
      <c r="C56" s="33">
        <f>0.0009523+0.000238</f>
        <v>0.0011903</v>
      </c>
      <c r="D56" s="33">
        <f t="shared" si="0"/>
        <v>0.49519029999999997</v>
      </c>
      <c r="E56" s="33">
        <f t="shared" si="1"/>
        <v>0.6791902999999999</v>
      </c>
      <c r="F56" s="33"/>
      <c r="G56" s="33">
        <v>0.494</v>
      </c>
      <c r="H56" s="33">
        <f>0.0009523+0.000238</f>
        <v>0.0011903</v>
      </c>
      <c r="I56" s="33">
        <f t="shared" si="2"/>
        <v>0.49519029999999997</v>
      </c>
      <c r="J56" s="33">
        <f t="shared" si="3"/>
        <v>0.7391903</v>
      </c>
      <c r="K56" s="33"/>
      <c r="L56" s="28" t="s">
        <v>118</v>
      </c>
    </row>
    <row r="57" spans="1:12" s="15" customFormat="1" ht="15">
      <c r="A57" s="12" t="s">
        <v>26</v>
      </c>
      <c r="B57" s="33">
        <v>0.205</v>
      </c>
      <c r="C57" s="33">
        <v>0.127</v>
      </c>
      <c r="D57" s="33">
        <f t="shared" si="0"/>
        <v>0.33199999999999996</v>
      </c>
      <c r="E57" s="33">
        <f t="shared" si="1"/>
        <v>0.516</v>
      </c>
      <c r="F57" s="33"/>
      <c r="G57" s="33">
        <v>0.205</v>
      </c>
      <c r="H57" s="33">
        <v>0.127</v>
      </c>
      <c r="I57" s="33">
        <f t="shared" si="2"/>
        <v>0.33199999999999996</v>
      </c>
      <c r="J57" s="33">
        <f t="shared" si="3"/>
        <v>0.576</v>
      </c>
      <c r="K57" s="33"/>
      <c r="L57" s="28" t="s">
        <v>119</v>
      </c>
    </row>
    <row r="58" spans="1:12" s="15" customFormat="1" ht="15">
      <c r="A58" s="12" t="s">
        <v>20</v>
      </c>
      <c r="B58" s="33">
        <v>0.309</v>
      </c>
      <c r="C58" s="33">
        <f>0.02</f>
        <v>0.02</v>
      </c>
      <c r="D58" s="33">
        <f t="shared" si="0"/>
        <v>0.329</v>
      </c>
      <c r="E58" s="33">
        <f t="shared" si="1"/>
        <v>0.513</v>
      </c>
      <c r="F58" s="33"/>
      <c r="G58" s="33">
        <v>0.309</v>
      </c>
      <c r="H58" s="33">
        <f>0.02</f>
        <v>0.02</v>
      </c>
      <c r="I58" s="33">
        <f t="shared" si="2"/>
        <v>0.329</v>
      </c>
      <c r="J58" s="33">
        <f t="shared" si="3"/>
        <v>0.5730000000000001</v>
      </c>
      <c r="K58" s="33"/>
      <c r="L58" s="28" t="s">
        <v>77</v>
      </c>
    </row>
    <row r="59" spans="1:12" s="15" customFormat="1" ht="15">
      <c r="A59" s="27" t="s">
        <v>21</v>
      </c>
      <c r="B59" s="36">
        <v>0.23</v>
      </c>
      <c r="C59" s="36">
        <f>0.01</f>
        <v>0.01</v>
      </c>
      <c r="D59" s="36">
        <f t="shared" si="0"/>
        <v>0.24000000000000002</v>
      </c>
      <c r="E59" s="36">
        <f t="shared" si="1"/>
        <v>0.42400000000000004</v>
      </c>
      <c r="F59" s="36"/>
      <c r="G59" s="36">
        <v>0.23</v>
      </c>
      <c r="H59" s="36">
        <f>0.01</f>
        <v>0.01</v>
      </c>
      <c r="I59" s="36">
        <f t="shared" si="2"/>
        <v>0.24000000000000002</v>
      </c>
      <c r="J59" s="36">
        <f t="shared" si="3"/>
        <v>0.48400000000000004</v>
      </c>
      <c r="K59" s="36"/>
      <c r="L59" s="27" t="s">
        <v>78</v>
      </c>
    </row>
    <row r="60" spans="1:12" s="15" customFormat="1" ht="15">
      <c r="A60" s="20" t="s">
        <v>50</v>
      </c>
      <c r="B60" s="41">
        <v>0.35</v>
      </c>
      <c r="C60" s="41"/>
      <c r="D60" s="41">
        <f t="shared" si="0"/>
        <v>0.35</v>
      </c>
      <c r="E60" s="41"/>
      <c r="F60" s="41"/>
      <c r="G60" s="41">
        <v>0.315</v>
      </c>
      <c r="H60" s="41">
        <f>0.035</f>
        <v>0.035</v>
      </c>
      <c r="I60" s="41">
        <f t="shared" si="2"/>
        <v>0.35</v>
      </c>
      <c r="J60" s="41"/>
      <c r="K60" s="41"/>
      <c r="L60" s="12" t="s">
        <v>95</v>
      </c>
    </row>
    <row r="61" spans="1:12" s="15" customFormat="1" ht="24.75">
      <c r="A61" s="12" t="s">
        <v>51</v>
      </c>
      <c r="B61" s="33">
        <v>0.11</v>
      </c>
      <c r="C61" s="33">
        <f>0.04</f>
        <v>0.04</v>
      </c>
      <c r="D61" s="33">
        <f t="shared" si="0"/>
        <v>0.15</v>
      </c>
      <c r="E61" s="33"/>
      <c r="F61" s="33"/>
      <c r="G61" s="33">
        <v>0.1</v>
      </c>
      <c r="H61" s="33">
        <f>0.04</f>
        <v>0.04</v>
      </c>
      <c r="I61" s="33">
        <f t="shared" si="2"/>
        <v>0.14</v>
      </c>
      <c r="J61" s="33"/>
      <c r="K61" s="33"/>
      <c r="L61" s="28" t="s">
        <v>79</v>
      </c>
    </row>
    <row r="62" spans="1:12" s="15" customFormat="1" ht="15" customHeight="1">
      <c r="A62" s="12" t="s">
        <v>52</v>
      </c>
      <c r="B62" s="33">
        <v>0.15</v>
      </c>
      <c r="C62" s="33"/>
      <c r="D62" s="33">
        <f t="shared" si="0"/>
        <v>0.15</v>
      </c>
      <c r="E62" s="33"/>
      <c r="F62" s="33"/>
      <c r="G62" s="33">
        <v>0.15</v>
      </c>
      <c r="H62" s="33"/>
      <c r="I62" s="33">
        <f t="shared" si="2"/>
        <v>0.15</v>
      </c>
      <c r="J62" s="33"/>
      <c r="K62" s="33"/>
      <c r="L62" s="28" t="s">
        <v>95</v>
      </c>
    </row>
    <row r="63" spans="1:12" s="15" customFormat="1" ht="14.25" customHeight="1">
      <c r="A63" s="12" t="s">
        <v>53</v>
      </c>
      <c r="B63" s="33">
        <v>0.16</v>
      </c>
      <c r="C63" s="33"/>
      <c r="D63" s="33">
        <f t="shared" si="0"/>
        <v>0.16</v>
      </c>
      <c r="E63" s="33"/>
      <c r="F63" s="33"/>
      <c r="G63" s="33">
        <v>0.08</v>
      </c>
      <c r="H63" s="33"/>
      <c r="I63" s="33">
        <f t="shared" si="2"/>
        <v>0.08</v>
      </c>
      <c r="J63" s="33"/>
      <c r="K63" s="33"/>
      <c r="L63" s="28" t="s">
        <v>95</v>
      </c>
    </row>
    <row r="64" spans="1:12" s="15" customFormat="1" ht="15.75" thickBot="1">
      <c r="A64" s="12" t="s">
        <v>88</v>
      </c>
      <c r="B64" s="33">
        <v>0.14</v>
      </c>
      <c r="C64" s="33"/>
      <c r="D64" s="33">
        <f t="shared" si="0"/>
        <v>0.14</v>
      </c>
      <c r="E64" s="33"/>
      <c r="F64" s="33"/>
      <c r="G64" s="33">
        <v>0.14</v>
      </c>
      <c r="H64" s="33"/>
      <c r="I64" s="33">
        <f t="shared" si="2"/>
        <v>0.14</v>
      </c>
      <c r="J64" s="33"/>
      <c r="K64" s="33"/>
      <c r="L64" s="28" t="s">
        <v>95</v>
      </c>
    </row>
    <row r="65" spans="1:12" s="6" customFormat="1" ht="63" customHeight="1">
      <c r="A65" s="45" t="s">
        <v>129</v>
      </c>
      <c r="B65" s="45"/>
      <c r="C65" s="45"/>
      <c r="D65" s="45"/>
      <c r="E65" s="45"/>
      <c r="F65" s="45"/>
      <c r="G65" s="45"/>
      <c r="H65" s="45"/>
      <c r="I65" s="45"/>
      <c r="J65" s="45"/>
      <c r="K65" s="32"/>
      <c r="L65" s="32"/>
    </row>
    <row r="66" spans="1:12" s="6" customFormat="1" ht="15" customHeight="1">
      <c r="A66" s="44" t="s">
        <v>84</v>
      </c>
      <c r="B66" s="44"/>
      <c r="C66" s="44"/>
      <c r="D66" s="44"/>
      <c r="E66" s="44"/>
      <c r="F66" s="44"/>
      <c r="G66" s="44"/>
      <c r="H66" s="44"/>
      <c r="I66" s="44"/>
      <c r="J66" s="44"/>
      <c r="K66" s="31"/>
      <c r="L66" s="16"/>
    </row>
    <row r="67" spans="1:12" ht="15" customHeight="1">
      <c r="A67" s="44" t="s">
        <v>101</v>
      </c>
      <c r="B67" s="44"/>
      <c r="C67" s="44"/>
      <c r="D67" s="44"/>
      <c r="E67" s="44"/>
      <c r="F67" s="44"/>
      <c r="G67" s="44"/>
      <c r="H67" s="44"/>
      <c r="I67" s="44"/>
      <c r="J67" s="44"/>
      <c r="K67" s="31"/>
      <c r="L67" s="16"/>
    </row>
    <row r="68" spans="1:12" ht="15" customHeight="1">
      <c r="A68" s="44" t="s">
        <v>41</v>
      </c>
      <c r="B68" s="44"/>
      <c r="C68" s="44"/>
      <c r="D68" s="44"/>
      <c r="E68" s="44"/>
      <c r="F68" s="44"/>
      <c r="G68" s="44"/>
      <c r="H68" s="44"/>
      <c r="I68" s="44"/>
      <c r="J68" s="44"/>
      <c r="K68" s="31"/>
      <c r="L68" s="16"/>
    </row>
    <row r="69" spans="1:12" ht="27" customHeight="1">
      <c r="A69" s="44" t="s">
        <v>36</v>
      </c>
      <c r="B69" s="44"/>
      <c r="C69" s="44"/>
      <c r="D69" s="44"/>
      <c r="E69" s="44"/>
      <c r="F69" s="44"/>
      <c r="G69" s="44"/>
      <c r="H69" s="44"/>
      <c r="I69" s="44"/>
      <c r="J69" s="44"/>
      <c r="K69" s="31"/>
      <c r="L69" s="16"/>
    </row>
    <row r="71" spans="1:10" ht="15">
      <c r="A71" s="35" t="s">
        <v>82</v>
      </c>
      <c r="B71" s="15"/>
      <c r="C71" s="15"/>
      <c r="D71" s="15"/>
      <c r="E71" s="34" t="s">
        <v>42</v>
      </c>
      <c r="F71" s="15"/>
      <c r="G71" s="15"/>
      <c r="H71" s="15"/>
      <c r="I71" s="10"/>
      <c r="J71" s="10"/>
    </row>
  </sheetData>
  <sheetProtection/>
  <mergeCells count="13">
    <mergeCell ref="A66:J66"/>
    <mergeCell ref="A67:J67"/>
    <mergeCell ref="A68:J68"/>
    <mergeCell ref="A69:J69"/>
    <mergeCell ref="A65:J65"/>
    <mergeCell ref="B2:E2"/>
    <mergeCell ref="G2:J2"/>
    <mergeCell ref="C3:D3"/>
    <mergeCell ref="H3:I3"/>
    <mergeCell ref="C4:D4"/>
    <mergeCell ref="H4:I4"/>
    <mergeCell ref="B6:E6"/>
    <mergeCell ref="G6:J6"/>
  </mergeCells>
  <hyperlinks>
    <hyperlink ref="E71" r:id="rId1" display="mailto:maureen.klein@eia.gov"/>
  </hyperlinks>
  <printOptions/>
  <pageMargins left="0.17" right="0.17" top="0.4" bottom="0.38" header="0.3" footer="0.3"/>
  <pageSetup horizontalDpi="600" verticalDpi="600" orientation="landscape" r:id="rId3"/>
  <ignoredErrors>
    <ignoredError sqref="B8 G8" formulaRange="1"/>
    <ignoredError sqref="H36 H2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Wells, Peggy</dc:creator>
  <cp:keywords/>
  <dc:description/>
  <cp:lastModifiedBy>Wells, Patricia </cp:lastModifiedBy>
  <cp:lastPrinted>2016-03-07T21:58:22Z</cp:lastPrinted>
  <dcterms:created xsi:type="dcterms:W3CDTF">2012-03-07T20:42:24Z</dcterms:created>
  <dcterms:modified xsi:type="dcterms:W3CDTF">2016-09-30T15:00:31Z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