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224" windowWidth="12240" windowHeight="7320" tabRatio="726" activeTab="0"/>
  </bookViews>
  <sheets>
    <sheet name="Menu" sheetId="1" r:id="rId1"/>
    <sheet name="Inputs" sheetId="2" r:id="rId2"/>
    <sheet name="Values of Time" sheetId="3" r:id="rId3"/>
    <sheet name="Transit Ben" sheetId="4" state="veryHidden" r:id="rId4"/>
    <sheet name="Transit Costs" sheetId="5" state="veryHidden" r:id="rId5"/>
    <sheet name="Multimodal" sheetId="6" state="veryHidden" r:id="rId6"/>
    <sheet name="Base Case" sheetId="7" r:id="rId7"/>
    <sheet name="Free Flow CP" sheetId="8" r:id="rId8"/>
    <sheet name="Moderate CP" sheetId="9" r:id="rId9"/>
    <sheet name="Traffic  Impacts" sheetId="10" r:id="rId10"/>
    <sheet name="ETC Costs" sheetId="11" r:id="rId11"/>
    <sheet name="Collection Cost" sheetId="12" r:id="rId12"/>
    <sheet name="EmissionsFuelConsumption" sheetId="13" r:id="rId13"/>
    <sheet name="Analysis" sheetId="14" r:id="rId14"/>
    <sheet name="Results" sheetId="15" r:id="rId15"/>
    <sheet name="Sheet1" sheetId="16" r:id="rId16"/>
    <sheet name="Sheet2" sheetId="17" r:id="rId17"/>
  </sheets>
  <externalReferences>
    <externalReference r:id="rId20"/>
  </externalReferences>
  <definedNames>
    <definedName name="_AtRisk_SimSetting_AutomaticallyGenerateReports" hidden="1">FALSE</definedName>
    <definedName name="_AtRisk_SimSetting_AutomaticResultsDisplayMode" hidden="1">1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D2_SUM">'[1]IND SUMMARY'!$A$5:$D$25</definedName>
    <definedName name="_xlnm.Print_Area" localSheetId="13">'Analysis'!$A$1:$E$108</definedName>
    <definedName name="_xlnm.Print_Area" localSheetId="11">'Collection Cost'!$B$1:$L$27</definedName>
    <definedName name="_xlnm.Print_Area" localSheetId="12">'EmissionsFuelConsumption'!$A$5:$H$27</definedName>
    <definedName name="_xlnm.Print_Area" localSheetId="7">'Free Flow CP'!$B$1:$E$126</definedName>
    <definedName name="_xlnm.Print_Area" localSheetId="1">'Inputs'!$B$3:$C$100</definedName>
    <definedName name="_xlnm.Print_Area" localSheetId="8">'Moderate CP'!$B$1:$D$132</definedName>
    <definedName name="_xlnm.Print_Area" localSheetId="5">'Multimodal'!$B$1:$C$33</definedName>
    <definedName name="_xlnm.Print_Area" localSheetId="14">'Results'!$A$1:$E$109</definedName>
    <definedName name="_xlnm.Print_Area" localSheetId="3">'Transit Ben'!$B$1:$C$44</definedName>
    <definedName name="_xlnm.Print_Area" localSheetId="4">'Transit Costs'!$B$1:$G$22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""</definedName>
    <definedName name="RiskBeforeSimMacro" hidden="1">""</definedName>
    <definedName name="RiskCollectDistributionSamples" hidden="1">0</definedName>
    <definedName name="RiskExcelReportsGoInNewWorkbook">TRUE</definedName>
    <definedName name="RiskExcelReportsToGenerate">2048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10000</definedName>
    <definedName name="RiskNumSimulations" hidden="1">1</definedName>
    <definedName name="RiskPauseOnError" hidden="1">FALSE</definedName>
    <definedName name="RiskRealTimeResults">TRUE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0</definedName>
    <definedName name="RiskTemplateSheetName">"myTemplate"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fullCalcOnLoad="1"/>
</workbook>
</file>

<file path=xl/sharedStrings.xml><?xml version="1.0" encoding="utf-8"?>
<sst xmlns="http://schemas.openxmlformats.org/spreadsheetml/2006/main" count="1313" uniqueCount="788">
  <si>
    <t>Total annual costs</t>
  </si>
  <si>
    <t>Average speed with congestion-based tolls</t>
  </si>
  <si>
    <t>Base peak period average travel speed (mph)</t>
  </si>
  <si>
    <t>Average freeway trip length (miles)</t>
  </si>
  <si>
    <t>Average time saved per freeway trip</t>
  </si>
  <si>
    <t>Time saved per vehicle diverted (minutes)</t>
  </si>
  <si>
    <t>Time saved by all tolled vehicles (minutes)</t>
  </si>
  <si>
    <t>Value of time (dollars per hour)</t>
  </si>
  <si>
    <t>Value of time saved per vehicle diverted ($)</t>
  </si>
  <si>
    <t>Average value of time per hour saved</t>
  </si>
  <si>
    <t>Value of time saved</t>
  </si>
  <si>
    <t>Fuel cost per gallon</t>
  </si>
  <si>
    <t>Fuel saved per minute of delay (gallons)</t>
  </si>
  <si>
    <t>Value of fuel saved per minute of delay reduced</t>
  </si>
  <si>
    <t>Value of fuel saved over a 10-mile trip</t>
  </si>
  <si>
    <t>User cost savings per freeway trip</t>
  </si>
  <si>
    <t>Toll revenues</t>
  </si>
  <si>
    <t>Total benefits</t>
  </si>
  <si>
    <t>Average number of lanes (both directions)</t>
  </si>
  <si>
    <t>User cost savings to priced motorists</t>
  </si>
  <si>
    <t>Toll tag reader</t>
  </si>
  <si>
    <t>Camera and structure (violations)</t>
  </si>
  <si>
    <t>Controller</t>
  </si>
  <si>
    <t>Small building/structure</t>
  </si>
  <si>
    <t>Conduit, design and fiber optic install (per mile)</t>
  </si>
  <si>
    <t>Dynamic message sign,structure, and controller</t>
  </si>
  <si>
    <t>Information dissemination</t>
  </si>
  <si>
    <t>Arterial surveillance/cell phone probes</t>
  </si>
  <si>
    <t>Change in fuel tax receipts</t>
  </si>
  <si>
    <t>Average trip length on freeway (miles)</t>
  </si>
  <si>
    <t>Travel time on freeway (minutes)</t>
  </si>
  <si>
    <t>Travel time saved on freeway (minutes)</t>
  </si>
  <si>
    <t>Total bus operating cost savings</t>
  </si>
  <si>
    <t>Average number of passengers per bus</t>
  </si>
  <si>
    <t>Existing peak period buses per hour (both directions)</t>
  </si>
  <si>
    <t>User cost savings to existing bus passengers</t>
  </si>
  <si>
    <t>Number of new bus passengers</t>
  </si>
  <si>
    <t>Consumer surplus change for new riders</t>
  </si>
  <si>
    <t>Bus operating cost savings</t>
  </si>
  <si>
    <t>Average subsidy per passenger mile</t>
  </si>
  <si>
    <t>Average bus trip length (miles)</t>
  </si>
  <si>
    <t>Average subsidy per passenger trip</t>
  </si>
  <si>
    <t>Annual subsidy</t>
  </si>
  <si>
    <t>Annual new bus passenger trips</t>
  </si>
  <si>
    <t>Average cost per space per day</t>
  </si>
  <si>
    <t>Number of new parking spaces needed daily</t>
  </si>
  <si>
    <t>Daily parking cost</t>
  </si>
  <si>
    <t>Annual parking cost</t>
  </si>
  <si>
    <t>Total annual transit subsidy and parking costs</t>
  </si>
  <si>
    <t>Transportation Management Center:</t>
  </si>
  <si>
    <t>Annualization factor</t>
  </si>
  <si>
    <t>Annualized capital cost</t>
  </si>
  <si>
    <t>Transponders</t>
  </si>
  <si>
    <t>Multimodal benefit/cost ratio</t>
  </si>
  <si>
    <t xml:space="preserve">Express bus service costs </t>
  </si>
  <si>
    <t xml:space="preserve">Park-and-ride costs </t>
  </si>
  <si>
    <t>Total costs</t>
  </si>
  <si>
    <t>Annual toll revenues for managed highway network</t>
  </si>
  <si>
    <t>Annual transit benefits for managed network</t>
  </si>
  <si>
    <t xml:space="preserve">Provide average number of lanes </t>
  </si>
  <si>
    <t>Provide average number of hours the lanes are congested</t>
  </si>
  <si>
    <t>Divide travel time on a parallel arterial by congested freeway time</t>
  </si>
  <si>
    <t>Bus operating cost per hour</t>
  </si>
  <si>
    <t>Provide average bus operating cost per hour</t>
  </si>
  <si>
    <t>Provide existing number of buses operating on freeway segment</t>
  </si>
  <si>
    <t>Bus operating costs saved</t>
  </si>
  <si>
    <t>Provide average number of passengers per bus on freeway segment</t>
  </si>
  <si>
    <t>Provide estimated subsidy per passenger mile</t>
  </si>
  <si>
    <t>Provide estimated cost per day to provide parking</t>
  </si>
  <si>
    <t>Average travel time on freeway (minutes)</t>
  </si>
  <si>
    <t>Transit benefits per day on managed highway segment</t>
  </si>
  <si>
    <t>Number of new bus passengers per day for network</t>
  </si>
  <si>
    <t>Estimated average value of time of diverted motorists</t>
  </si>
  <si>
    <t>Annualized capital cost tolling</t>
  </si>
  <si>
    <t>Travel time for average freeway trip (minutes) before pricing</t>
  </si>
  <si>
    <t>Travel time for average freeway trip (minutes) with pricing</t>
  </si>
  <si>
    <t>Travel time saved on average trip (minutes) with pricing</t>
  </si>
  <si>
    <t>Total value of time and fuel cost savings</t>
  </si>
  <si>
    <t>Average prior peak period traffic volume per hour per lane</t>
  </si>
  <si>
    <t xml:space="preserve">Daily benefits on 10-mile freeway </t>
  </si>
  <si>
    <t>Consumer surplus change for diverted motorists</t>
  </si>
  <si>
    <t>Average time saved per existing bus rider</t>
  </si>
  <si>
    <t>User cost savings per existing bus rider</t>
  </si>
  <si>
    <t>Operating cost savings per existing bus vehicle trip</t>
  </si>
  <si>
    <t>Number of hours of express bus service</t>
  </si>
  <si>
    <t>Table 6. Annualized Highway System Costs (Thousands of Dollars)</t>
  </si>
  <si>
    <t xml:space="preserve">Annual cost for operations </t>
  </si>
  <si>
    <t>Table 7. Transit and Park-and-Ride Costs</t>
  </si>
  <si>
    <t>Number of new bus passenger trips per day per 10-mile segment</t>
  </si>
  <si>
    <t>Annual new bus passengers for network</t>
  </si>
  <si>
    <t>Table 8. Benefits, Costs and Financial Feasibility</t>
  </si>
  <si>
    <t xml:space="preserve">Annualized benefits (million $) </t>
  </si>
  <si>
    <t xml:space="preserve">Transit benefits </t>
  </si>
  <si>
    <t xml:space="preserve">Highway costs </t>
  </si>
  <si>
    <t xml:space="preserve">Transit costs </t>
  </si>
  <si>
    <t>Lane miles</t>
  </si>
  <si>
    <t>Gantry location intervals (miles)</t>
  </si>
  <si>
    <t>Annual tolled vehicle trips per lane for 10-mile highway</t>
  </si>
  <si>
    <t>Annual benefits per lane for 10-mile highway</t>
  </si>
  <si>
    <t>Annual toll revenues per lane for 10-mile highway</t>
  </si>
  <si>
    <t>Number of lane miles of priced highway network</t>
  </si>
  <si>
    <t>Annual tolled vehicle trips for full network</t>
  </si>
  <si>
    <t>Provide lane miles of freeway network to be priced</t>
  </si>
  <si>
    <t>Los Angeles</t>
  </si>
  <si>
    <t>San Francisco</t>
  </si>
  <si>
    <t>Chicago</t>
  </si>
  <si>
    <t>Washington</t>
  </si>
  <si>
    <t>Atlanta</t>
  </si>
  <si>
    <t>Number of bus runs per day</t>
  </si>
  <si>
    <t>Number of lane miles of managed network</t>
  </si>
  <si>
    <t>Number of new bus passenger trips/lane/day per 10-mile segment</t>
  </si>
  <si>
    <t>Number of gantry units</t>
  </si>
  <si>
    <t>Miles of network</t>
  </si>
  <si>
    <t>Cost per transponder</t>
  </si>
  <si>
    <t>Total capital cost for open toad tolling</t>
  </si>
  <si>
    <t>Number of dynamic message signs</t>
  </si>
  <si>
    <t>Travel delay reduced (hours)</t>
  </si>
  <si>
    <t>Travel delay reduced (hours) per person</t>
  </si>
  <si>
    <t>Area population</t>
  </si>
  <si>
    <t>Area peak period travelers</t>
  </si>
  <si>
    <t>Travel delay reduced (hours) per peak period traveler</t>
  </si>
  <si>
    <t>Fuel saved (gallons)</t>
  </si>
  <si>
    <t>Fuel saved (gallons) per person</t>
  </si>
  <si>
    <t>Fuel saved (gallons) per traveler</t>
  </si>
  <si>
    <t>Total delay reduced</t>
  </si>
  <si>
    <t>Annual delay reduced (hours)</t>
  </si>
  <si>
    <t>Delay reduced per traveler</t>
  </si>
  <si>
    <t>Total fuel saved</t>
  </si>
  <si>
    <t>Fuel saved per traveler</t>
  </si>
  <si>
    <t xml:space="preserve">Highway time and fuel savings </t>
  </si>
  <si>
    <t>Value of reliable trip times</t>
  </si>
  <si>
    <t>Travel time index</t>
  </si>
  <si>
    <t>Annual delay (hours)</t>
  </si>
  <si>
    <t>Annual excess fuel consumed (gallons)</t>
  </si>
  <si>
    <t>Daily freeway VMT</t>
  </si>
  <si>
    <t>Annual delay per traveler (hours)</t>
  </si>
  <si>
    <t>Annual excess fuel consumed per traveler (gallons)</t>
  </si>
  <si>
    <t>Net social benefits</t>
  </si>
  <si>
    <t>Annual benefits for full network</t>
  </si>
  <si>
    <t>Annual benefits for network</t>
  </si>
  <si>
    <t>Annualized costs (million $)</t>
  </si>
  <si>
    <t>Area drivers (69% of total population)</t>
  </si>
  <si>
    <t>Annual new bus passengers per lane for 10-mile highway</t>
  </si>
  <si>
    <t xml:space="preserve">Surplus per person </t>
  </si>
  <si>
    <t xml:space="preserve">Annual toll revenues vs. costs  </t>
  </si>
  <si>
    <t>Toll revenues (million $)</t>
  </si>
  <si>
    <t>Multimodal costs (million $)</t>
  </si>
  <si>
    <t>Surplus (million $)</t>
  </si>
  <si>
    <t>Fuel tax rate per VMT</t>
  </si>
  <si>
    <t xml:space="preserve">Annualization factor </t>
  </si>
  <si>
    <t>Annual fuel tax receipts</t>
  </si>
  <si>
    <t>Daily VMT (all roadways)</t>
  </si>
  <si>
    <t>Annual fuel tax receipts (all roads)</t>
  </si>
  <si>
    <t>Assumed avg. vehicle occupancy for certified vanpools</t>
  </si>
  <si>
    <t>Percent of vehicles exempt from tolls (certified vanpools)</t>
  </si>
  <si>
    <t>Number of vehicles exempt from tolls (certified vanpools)</t>
  </si>
  <si>
    <t>Percent of toll-discount vehicles (low-income users)</t>
  </si>
  <si>
    <t>Number of toll-discount vehicles (low-income users)</t>
  </si>
  <si>
    <t>Number of tolled vehicles paying full toll</t>
  </si>
  <si>
    <t>Total number of full-toll equivalent vehicles</t>
  </si>
  <si>
    <t>Average percentage of full toll paid by low-income users</t>
  </si>
  <si>
    <t>User cost savings to exempt vehicles (vanpools)</t>
  </si>
  <si>
    <t>User cost savings to motorists choosing telecommuting, etc.</t>
  </si>
  <si>
    <t xml:space="preserve">Annual vehicle miles of travel </t>
  </si>
  <si>
    <t>Annual vehicle miles of travel with pricing</t>
  </si>
  <si>
    <t>Percent shift from driving to transit</t>
  </si>
  <si>
    <t>Net user cost savings per exempt vanpool vehicle trip</t>
  </si>
  <si>
    <t>5-City total</t>
  </si>
  <si>
    <t>Annual fuel savings (gallons)</t>
  </si>
  <si>
    <t>Current annual fuel tax receipts (million $)</t>
  </si>
  <si>
    <t>Total multimodal benefits</t>
  </si>
  <si>
    <t>Total multimodal costs</t>
  </si>
  <si>
    <t>Table 2.  Benefits to Toll-Paying Motorists</t>
  </si>
  <si>
    <t>Input</t>
  </si>
  <si>
    <t>Table 5. Transit Benefits</t>
  </si>
  <si>
    <t>Transponders per person</t>
  </si>
  <si>
    <t>Number of days of operation per year</t>
  </si>
  <si>
    <t>Table 3. Daily Highway User Benefits and Toll Revenues</t>
  </si>
  <si>
    <t>Table 4. Annual Highway User Benefits and Toll Revenues</t>
  </si>
  <si>
    <t>Receipts from existing fuel-tax based system</t>
  </si>
  <si>
    <t>Daily fuel tax receipts</t>
  </si>
  <si>
    <t>Total passengers per day (both directions)</t>
  </si>
  <si>
    <t>Population (thousands)</t>
  </si>
  <si>
    <t>Transponders (thousands)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</si>
  <si>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</si>
  <si>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</si>
  <si>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</si>
  <si>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</si>
  <si>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</si>
  <si>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</si>
  <si>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</si>
  <si>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</si>
  <si>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</si>
  <si>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</si>
  <si>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</si>
  <si>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</si>
  <si>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</si>
  <si>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</si>
  <si>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</si>
  <si>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</si>
  <si>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</si>
  <si>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</si>
  <si>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</si>
  <si>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</si>
  <si>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</si>
  <si>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Calculation</t>
  </si>
  <si>
    <t>Number of freeway lane miles</t>
  </si>
  <si>
    <t>V</t>
  </si>
  <si>
    <t>W</t>
  </si>
  <si>
    <t>X</t>
  </si>
  <si>
    <t>Y</t>
  </si>
  <si>
    <t>A X B</t>
  </si>
  <si>
    <t>T X U</t>
  </si>
  <si>
    <t>V X W</t>
  </si>
  <si>
    <t>Table 2 A</t>
  </si>
  <si>
    <t>Table 2 D</t>
  </si>
  <si>
    <t>Table 2 G</t>
  </si>
  <si>
    <t>Table 2 H</t>
  </si>
  <si>
    <t>Table 2 B</t>
  </si>
  <si>
    <t>Table 2 C</t>
  </si>
  <si>
    <t>Table 2 E</t>
  </si>
  <si>
    <t>Table 2 F</t>
  </si>
  <si>
    <t>Z</t>
  </si>
  <si>
    <t>AA</t>
  </si>
  <si>
    <t>AB</t>
  </si>
  <si>
    <t>AC</t>
  </si>
  <si>
    <t>AD</t>
  </si>
  <si>
    <t>AE</t>
  </si>
  <si>
    <t>AF</t>
  </si>
  <si>
    <t>F X I / 60</t>
  </si>
  <si>
    <t>K X L</t>
  </si>
  <si>
    <t>M X F</t>
  </si>
  <si>
    <t>J + N</t>
  </si>
  <si>
    <t>P X Q</t>
  </si>
  <si>
    <t>R X S</t>
  </si>
  <si>
    <t>T X H</t>
  </si>
  <si>
    <t>V X Table 3 H</t>
  </si>
  <si>
    <t>W X H X 50%</t>
  </si>
  <si>
    <t>O X R</t>
  </si>
  <si>
    <t>U + X + Y</t>
  </si>
  <si>
    <t>AA X Z / Table 3 F</t>
  </si>
  <si>
    <t>W X AA /Table 3 F</t>
  </si>
  <si>
    <t>AD X AC /B</t>
  </si>
  <si>
    <t>AB X AC / B</t>
  </si>
  <si>
    <t>From T below</t>
  </si>
  <si>
    <t>A + B</t>
  </si>
  <si>
    <t>D / E</t>
  </si>
  <si>
    <t>F X G</t>
  </si>
  <si>
    <t>D / Table 3 F</t>
  </si>
  <si>
    <t>I X J</t>
  </si>
  <si>
    <t>same as F</t>
  </si>
  <si>
    <t>L X M</t>
  </si>
  <si>
    <t>H + K + N + O + T</t>
  </si>
  <si>
    <t>Q X P</t>
  </si>
  <si>
    <t>S X R</t>
  </si>
  <si>
    <t>U  / W</t>
  </si>
  <si>
    <t>Table 5 W</t>
  </si>
  <si>
    <t>E X (Table 4 D /Table 2 C)</t>
  </si>
  <si>
    <t>H X C</t>
  </si>
  <si>
    <t>F / 2</t>
  </si>
  <si>
    <t>J X K</t>
  </si>
  <si>
    <t>H + N</t>
  </si>
  <si>
    <t>Weekday operation assumed</t>
  </si>
  <si>
    <t>Notes</t>
  </si>
  <si>
    <t>Table 4F</t>
  </si>
  <si>
    <t>A x 20%</t>
  </si>
  <si>
    <t>Table 5AF</t>
  </si>
  <si>
    <t>A + B + C</t>
  </si>
  <si>
    <t>Table 6C</t>
  </si>
  <si>
    <t>Table 7O</t>
  </si>
  <si>
    <t>E + F</t>
  </si>
  <si>
    <t>D - G</t>
  </si>
  <si>
    <t>D / G</t>
  </si>
  <si>
    <t>Table 4H</t>
  </si>
  <si>
    <t>J - K</t>
  </si>
  <si>
    <t>Table 4N</t>
  </si>
  <si>
    <t>Table 4O</t>
  </si>
  <si>
    <t>Table 4P</t>
  </si>
  <si>
    <t>Table 4Q</t>
  </si>
  <si>
    <t>Table 4X</t>
  </si>
  <si>
    <t xml:space="preserve">  </t>
  </si>
  <si>
    <t>From Exhibit A-7, Appendix A, 2007 Urban Mobility Report</t>
  </si>
  <si>
    <t>Implied VCR</t>
  </si>
  <si>
    <t>Extreme</t>
  </si>
  <si>
    <t>Severe</t>
  </si>
  <si>
    <t>Uncongested</t>
  </si>
  <si>
    <t>Heavy</t>
  </si>
  <si>
    <t xml:space="preserve"> </t>
  </si>
  <si>
    <t>$0.47 per mile. Compare with SR 91 Express lanes $1.</t>
  </si>
  <si>
    <t xml:space="preserve">For peak period, </t>
  </si>
  <si>
    <t>Truck share of VMT</t>
  </si>
  <si>
    <t>Value of time saved, autos</t>
  </si>
  <si>
    <t>Value of time per vehicle-hour, autos</t>
  </si>
  <si>
    <t>Value of time per vehicle-hour, trucks</t>
  </si>
  <si>
    <t>Value of time saved, trucks</t>
  </si>
  <si>
    <t>Average value of time saved, trucks and autos</t>
  </si>
  <si>
    <t>Average value of time per vehicle-hour, trucks and autos</t>
  </si>
  <si>
    <t>Arterials</t>
  </si>
  <si>
    <t>Freeways</t>
  </si>
  <si>
    <t>Base Case</t>
  </si>
  <si>
    <t>Medium</t>
  </si>
  <si>
    <t>Level of congestion</t>
  </si>
  <si>
    <t>% Impact on VMT</t>
  </si>
  <si>
    <t>Number of hours in morning and afternoon peaks</t>
  </si>
  <si>
    <t>Congestion Pricing Target</t>
  </si>
  <si>
    <t>Free-Flow</t>
  </si>
  <si>
    <t>Impact on VMT</t>
  </si>
  <si>
    <r>
      <t xml:space="preserve">Total </t>
    </r>
    <r>
      <rPr>
        <sz val="10"/>
        <rFont val="Arial"/>
        <family val="2"/>
      </rPr>
      <t>(percent)</t>
    </r>
  </si>
  <si>
    <t>Current VMT</t>
  </si>
  <si>
    <t>A. Congestion Pricing Target: Free-Flow (60MPH)</t>
  </si>
  <si>
    <t>B. Congestion Pricing Target: Elimination of Severe /Extreme Congestion</t>
  </si>
  <si>
    <t>Eliminate Severe/Extreme Congestion</t>
  </si>
  <si>
    <r>
      <t xml:space="preserve">Total </t>
    </r>
    <r>
      <rPr>
        <sz val="10"/>
        <rFont val="Arial"/>
        <family val="2"/>
      </rPr>
      <t>(per day)</t>
    </r>
  </si>
  <si>
    <r>
      <t xml:space="preserve">Total </t>
    </r>
    <r>
      <rPr>
        <sz val="10"/>
        <rFont val="Arial"/>
        <family val="2"/>
      </rPr>
      <t>(per day</t>
    </r>
  </si>
  <si>
    <t>B. Impacts of Congestion Pricing</t>
  </si>
  <si>
    <t xml:space="preserve">Reduction in freeway traffic  </t>
  </si>
  <si>
    <t>Share that shifts to arterials</t>
  </si>
  <si>
    <t xml:space="preserve">   VMT per day</t>
  </si>
  <si>
    <t>Percent</t>
  </si>
  <si>
    <t>Increase in arterial traffic:</t>
  </si>
  <si>
    <t xml:space="preserve">Number of vehicles diverted </t>
  </si>
  <si>
    <t>Average freeway traffic volume with pricing (daily)</t>
  </si>
  <si>
    <t>Average prior peak period traffic volume (10-mile segment)</t>
  </si>
  <si>
    <t>Travel time on arterial route before pricing</t>
  </si>
  <si>
    <t>Extra travel time relative to priced freeway travel time, before pricing</t>
  </si>
  <si>
    <t>Ratio of prior arterial travel time to prior freeway travel time</t>
  </si>
  <si>
    <t>Travel time on arterial route with pricing</t>
  </si>
  <si>
    <t>Savings in travel time from taking tolled freeway</t>
  </si>
  <si>
    <t>Average time using alternative toll-free arterial road</t>
  </si>
  <si>
    <t>Transit share of commuting trips</t>
  </si>
  <si>
    <t xml:space="preserve">C. Estimation of Share that Shifts to Arterials </t>
  </si>
  <si>
    <t>transit share of commuting trips</t>
  </si>
  <si>
    <t>London, UK</t>
  </si>
  <si>
    <t>Oxford Economic Forecasting (2005, p.9)</t>
  </si>
  <si>
    <t>Impact of Congestion Charging Scheme:</t>
  </si>
  <si>
    <t>Impact of congestion pricing on freeways</t>
  </si>
  <si>
    <t xml:space="preserve">% of traffic reduction in charging zone that diverts to other roadways </t>
  </si>
  <si>
    <t xml:space="preserve">% of traffic reduction on freeways that  diverts to other roadways </t>
  </si>
  <si>
    <t>Based on WSA study for SCAG</t>
  </si>
  <si>
    <t>FHWA</t>
  </si>
  <si>
    <t>Other Federal Funds</t>
  </si>
  <si>
    <t>Federal</t>
  </si>
  <si>
    <t>% Total</t>
  </si>
  <si>
    <t>$ Total</t>
  </si>
  <si>
    <t>Collection Cost %</t>
  </si>
  <si>
    <t>Road and Crossing Tolls</t>
  </si>
  <si>
    <t>State</t>
  </si>
  <si>
    <t>Motor Fuel Tax</t>
  </si>
  <si>
    <t>Motor Vehicle Tax</t>
  </si>
  <si>
    <t>Miscellaneous</t>
  </si>
  <si>
    <t>General Revenue</t>
  </si>
  <si>
    <t>Highway User Imposts Paid to Local Governments</t>
  </si>
  <si>
    <t>Local</t>
  </si>
  <si>
    <t>Motor Fuel Tax / Motor Vehicle Tax</t>
  </si>
  <si>
    <t>Property Taxes and Special Assessments</t>
  </si>
  <si>
    <t>General Revenue, Local Payments/Other Local Imposts, Miscellaneous</t>
  </si>
  <si>
    <t>Totals</t>
  </si>
  <si>
    <t>State VMT</t>
  </si>
  <si>
    <t>Metro area VMT</t>
  </si>
  <si>
    <t>Truck</t>
  </si>
  <si>
    <t>NOX Emissions</t>
  </si>
  <si>
    <t>Capital Costs ($K)</t>
  </si>
  <si>
    <t>Centerline miles (both directions)</t>
  </si>
  <si>
    <t>PS</t>
  </si>
  <si>
    <t>Average number of lanes</t>
  </si>
  <si>
    <t>Per gantry location:</t>
  </si>
  <si>
    <t>Gantry structure cost per lane</t>
  </si>
  <si>
    <t>Gantry costs average $300K To $400K for two lane span. Approx $700k for 3 lanes (does this include camera etc.?)</t>
  </si>
  <si>
    <t>Cost of one gantry structure</t>
  </si>
  <si>
    <t>Table 3F * X</t>
  </si>
  <si>
    <r>
      <t>Subtotal</t>
    </r>
    <r>
      <rPr>
        <sz val="10"/>
        <rFont val="Arial"/>
        <family val="2"/>
      </rPr>
      <t>: Total Cost Per Gantry Unit</t>
    </r>
  </si>
  <si>
    <r>
      <t>Total: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Systemwide Gantry Costs</t>
    </r>
  </si>
  <si>
    <t>Telecommunications infrastructure:</t>
  </si>
  <si>
    <t>D / Table 3F</t>
  </si>
  <si>
    <r>
      <t xml:space="preserve">Total: </t>
    </r>
    <r>
      <rPr>
        <sz val="10"/>
        <rFont val="Arial"/>
        <family val="2"/>
      </rPr>
      <t xml:space="preserve">Conduit, design and fiber optic install </t>
    </r>
  </si>
  <si>
    <t>Roadside Information equipment:</t>
  </si>
  <si>
    <r>
      <t>Total</t>
    </r>
    <r>
      <rPr>
        <sz val="10"/>
        <rFont val="Arial"/>
        <family val="2"/>
      </rPr>
      <t>: Dynamic message sign,structure, and controller</t>
    </r>
  </si>
  <si>
    <t>Building/infrastructure costs (traffic ops and cust serv)</t>
  </si>
  <si>
    <t>Software</t>
  </si>
  <si>
    <r>
      <t xml:space="preserve">Total: </t>
    </r>
    <r>
      <rPr>
        <sz val="10"/>
        <rFont val="Arial"/>
        <family val="2"/>
      </rPr>
      <t>Transportation Management Center</t>
    </r>
  </si>
  <si>
    <r>
      <t xml:space="preserve">Total: </t>
    </r>
    <r>
      <rPr>
        <sz val="10"/>
        <rFont val="Arial"/>
        <family val="2"/>
      </rPr>
      <t>Transponder cost</t>
    </r>
  </si>
  <si>
    <t>Average Cost per Transaction</t>
  </si>
  <si>
    <t>Free Flow CP</t>
  </si>
  <si>
    <t>Moderate CP</t>
  </si>
  <si>
    <t>Emissions Rate Auto</t>
  </si>
  <si>
    <t>Emissions Rate Bus</t>
  </si>
  <si>
    <t>NOx Emissions grams/mile</t>
  </si>
  <si>
    <t>Average miles per gallon</t>
  </si>
  <si>
    <t>Total VMT Per day</t>
  </si>
  <si>
    <t>Percent in Peak Period</t>
  </si>
  <si>
    <t>Average Trip Length</t>
  </si>
  <si>
    <t>Average Speed With Pricing (Free Flow)</t>
  </si>
  <si>
    <t>Truck Share of VMT</t>
  </si>
  <si>
    <t>Variable</t>
  </si>
  <si>
    <t>Assumption</t>
  </si>
  <si>
    <t>RESULTS</t>
  </si>
  <si>
    <t>Free Flow Congestion Pricing</t>
  </si>
  <si>
    <t>Peak Period Freeway Speed Before Pricing</t>
  </si>
  <si>
    <t>Average Toll Per Trip</t>
  </si>
  <si>
    <t>Average Toll Per Mile</t>
  </si>
  <si>
    <t>Peak Period Freeway Speed After Pricing</t>
  </si>
  <si>
    <t>Peak Period Arterial Speed Before Pricing</t>
  </si>
  <si>
    <t>Peak Period Arterial Speed After Pricing</t>
  </si>
  <si>
    <t>Moderate Congestion Pricing</t>
  </si>
  <si>
    <t>Current Freeway Peak Period VMT</t>
  </si>
  <si>
    <t>Freeway VMT with Congestion Pricing</t>
  </si>
  <si>
    <t>Diversion to Arterials</t>
  </si>
  <si>
    <t>Gantry Intervals</t>
  </si>
  <si>
    <t>Camera and Structure (violations)</t>
  </si>
  <si>
    <t>Dynamic message sign, structure, and controller</t>
  </si>
  <si>
    <t>Transponder market penetration</t>
  </si>
  <si>
    <t>Employee compensation, U.S.</t>
  </si>
  <si>
    <t>All civilian employees</t>
  </si>
  <si>
    <t>mean hourly compensation</t>
  </si>
  <si>
    <t>mean hourly wage</t>
  </si>
  <si>
    <t xml:space="preserve">ratio: total compensation to wage  </t>
  </si>
  <si>
    <t>Personal Travel</t>
  </si>
  <si>
    <t>Median household Income, 2005</t>
  </si>
  <si>
    <t xml:space="preserve">Average cost of time per person-hour </t>
  </si>
  <si>
    <t xml:space="preserve">Average vehicle occupancy </t>
  </si>
  <si>
    <t>Average cost of time per vehicle-hour</t>
  </si>
  <si>
    <t>Truck Travel</t>
  </si>
  <si>
    <t xml:space="preserve">truck drivers - heavy </t>
  </si>
  <si>
    <t># employees</t>
  </si>
  <si>
    <t>truck drivers - light</t>
  </si>
  <si>
    <t>all truck drivers</t>
  </si>
  <si>
    <t>#employees</t>
  </si>
  <si>
    <t>Number of drivers per truck</t>
  </si>
  <si>
    <t xml:space="preserve">Average driver cost per hour </t>
  </si>
  <si>
    <t>Average cost of time per hour:</t>
  </si>
  <si>
    <t>freight contents and fuel</t>
  </si>
  <si>
    <t>Average cost of time per hour</t>
  </si>
  <si>
    <t>all occupations</t>
  </si>
  <si>
    <t>Other business travel</t>
  </si>
  <si>
    <t>average vehicle occupancy</t>
  </si>
  <si>
    <t>Average cost of time per vehicle hour</t>
  </si>
  <si>
    <t>Travel by vehicle type (% of VMT)</t>
  </si>
  <si>
    <t>Car</t>
  </si>
  <si>
    <t>Car travel by purpose</t>
  </si>
  <si>
    <t>Average Cost of time per vehicle-hour</t>
  </si>
  <si>
    <t>Cars</t>
  </si>
  <si>
    <t>Trucks</t>
  </si>
  <si>
    <t>All vehicles</t>
  </si>
  <si>
    <t>[2]</t>
  </si>
  <si>
    <t>VALUE OF TIME</t>
  </si>
  <si>
    <t>Value of time for cars</t>
  </si>
  <si>
    <t>Value of time for trucks</t>
  </si>
  <si>
    <t>median household income, 2005</t>
  </si>
  <si>
    <t>Truck drivers - heavy</t>
  </si>
  <si>
    <t>number of employees</t>
  </si>
  <si>
    <t xml:space="preserve">Truck drivers - light </t>
  </si>
  <si>
    <t xml:space="preserve">mean hourly wage </t>
  </si>
  <si>
    <t>All occupations</t>
  </si>
  <si>
    <t>SOCIOECONOMIC INPUTS</t>
  </si>
  <si>
    <t>TRAFFIC INPUTS</t>
  </si>
  <si>
    <t>ETC CAPITAL &amp; OPERATIONAL COST ASSUMPTIONS ($K)</t>
  </si>
  <si>
    <t>CURRENT FUNDING SOURCES, COLLECTION COST ASSUMPTIONS</t>
  </si>
  <si>
    <t>Urbanized area VMT</t>
  </si>
  <si>
    <t>Assumed average trip length is 10 miles</t>
  </si>
  <si>
    <t>Number of transactions (freeflow scenario)</t>
  </si>
  <si>
    <t>Number of transactions (moderate scenario)</t>
  </si>
  <si>
    <r>
      <t>Total:</t>
    </r>
    <r>
      <rPr>
        <sz val="10"/>
        <rFont val="Arial"/>
        <family val="2"/>
      </rPr>
      <t xml:space="preserve"> Annual Cost of Operations (freeflow)</t>
    </r>
  </si>
  <si>
    <r>
      <t>Total:</t>
    </r>
    <r>
      <rPr>
        <sz val="10"/>
        <rFont val="Arial"/>
        <family val="2"/>
      </rPr>
      <t xml:space="preserve"> Annual Cost of Operations (moderate)</t>
    </r>
  </si>
  <si>
    <t>Total annual costs (freeflow)</t>
  </si>
  <si>
    <t>Total annual costs (moderate)</t>
  </si>
  <si>
    <t>Moderate</t>
  </si>
  <si>
    <t>Freeflow</t>
  </si>
  <si>
    <t>Annualized capital costs</t>
  </si>
  <si>
    <t>ETC COSTS ($K)</t>
  </si>
  <si>
    <t>Annual operational costs</t>
  </si>
  <si>
    <t>Collection Cost for Metro Area ($millions)</t>
  </si>
  <si>
    <t>COLLECTION COST ESTIMATES ($ millions)</t>
  </si>
  <si>
    <t>Average toll per mile, unadjusted estimate</t>
  </si>
  <si>
    <t>Table 2. Impacts on Expressway Traffic Volumes, Peak Periods</t>
  </si>
  <si>
    <t>No incidents</t>
  </si>
  <si>
    <t>Including incidents</t>
  </si>
  <si>
    <r>
      <t xml:space="preserve">Source: BLS, </t>
    </r>
    <r>
      <rPr>
        <i/>
        <sz val="10"/>
        <rFont val="Arial"/>
        <family val="2"/>
      </rPr>
      <t>Employer Costs for Employee Compensation</t>
    </r>
    <r>
      <rPr>
        <sz val="10"/>
        <rFont val="Arial"/>
        <family val="2"/>
      </rPr>
      <t xml:space="preserve">, http://www.bls.gov/news.release/ecec.toc.htm </t>
    </r>
  </si>
  <si>
    <t>2005 data (from Texas Transportation Institute):</t>
  </si>
  <si>
    <t>Source</t>
  </si>
  <si>
    <t>FHWA Highway Statistics or Urban Mobility Report</t>
  </si>
  <si>
    <t>TTI Urban Mobility Report, Specific to Metro Area</t>
  </si>
  <si>
    <t>CONGESTION PRICING 1</t>
  </si>
  <si>
    <t>CONGESTION PRICING 2</t>
  </si>
  <si>
    <t>Table 3. Impacts on Arterials Volumes and Speeds (continued)</t>
  </si>
  <si>
    <t>Additional notes</t>
  </si>
  <si>
    <t>Total, all levels of government</t>
  </si>
  <si>
    <t>Total, All levels of government</t>
  </si>
  <si>
    <t>Freeway traffic volume (certified vanpools)</t>
  </si>
  <si>
    <t>Freeway traffic volume charged full toll</t>
  </si>
  <si>
    <t>Freeway full-toll equivalent volume of traffic (allowing for discount for low-income travelers)</t>
  </si>
  <si>
    <t>Freeway full toll-equivalent volume of traffic (allowing for discount for low-income travelers)</t>
  </si>
  <si>
    <t>Congestion Pricing Revenue - Gross ($M)</t>
  </si>
  <si>
    <t>Congestion Pricing Revenue - Net of electronic tolling costs ($M)</t>
  </si>
  <si>
    <t>Travel time index (for peak period)</t>
  </si>
  <si>
    <r>
      <t>b</t>
    </r>
    <r>
      <rPr>
        <sz val="10"/>
        <rFont val="Arial"/>
        <family val="2"/>
      </rPr>
      <t xml:space="preserve"> It takes 4.3 person to staff a 24/7 operation at a loaded rate of $25/hr, and where labor is unionized, wages are closer to $40./hr</t>
    </r>
  </si>
  <si>
    <r>
      <t xml:space="preserve">a </t>
    </r>
    <r>
      <rPr>
        <sz val="10"/>
        <rFont val="Arial"/>
        <family val="2"/>
      </rPr>
      <t>The Itemized capital costs are not entirely comprehensive  and costs should be updated to reflect local conditions.</t>
    </r>
  </si>
  <si>
    <r>
      <t xml:space="preserve">See note </t>
    </r>
    <r>
      <rPr>
        <b/>
        <sz val="10"/>
        <rFont val="Arial"/>
        <family val="2"/>
      </rPr>
      <t xml:space="preserve">b </t>
    </r>
  </si>
  <si>
    <r>
      <t>See note</t>
    </r>
    <r>
      <rPr>
        <b/>
        <sz val="10"/>
        <rFont val="Arial"/>
        <family val="2"/>
      </rPr>
      <t xml:space="preserve"> a</t>
    </r>
  </si>
  <si>
    <t>Operational Costs ($K)</t>
  </si>
  <si>
    <t>Appendix A, 2007 Urban Mobility Report</t>
  </si>
  <si>
    <r>
      <t>Average speed (</t>
    </r>
    <r>
      <rPr>
        <sz val="10"/>
        <rFont val="Arial"/>
        <family val="2"/>
      </rPr>
      <t>no incidents</t>
    </r>
    <r>
      <rPr>
        <b/>
        <sz val="10"/>
        <rFont val="Arial"/>
        <family val="2"/>
      </rPr>
      <t>)</t>
    </r>
  </si>
  <si>
    <t>EPA: 10,084 grams of carbon dioxide per gallon of diesel fuel</t>
  </si>
  <si>
    <t>EPA: 8,788 grams of carbon dioxide per gallon of gasoline</t>
  </si>
  <si>
    <t>Interest rate</t>
  </si>
  <si>
    <t>Asset Life</t>
  </si>
  <si>
    <t>Amortization factor</t>
  </si>
  <si>
    <t>Discount rate</t>
  </si>
  <si>
    <t>Peak Period Travelers</t>
  </si>
  <si>
    <t>Composite value of time</t>
  </si>
  <si>
    <t>Cost Summary ($K)</t>
  </si>
  <si>
    <t>Personal</t>
  </si>
  <si>
    <t xml:space="preserve">Business </t>
  </si>
  <si>
    <t>EMISSIONS AND FUEL CONSUMPTION</t>
  </si>
  <si>
    <t>Asset Life (years)</t>
  </si>
  <si>
    <t>Average cost per toll transaction</t>
  </si>
  <si>
    <t>Avg Spd</t>
  </si>
  <si>
    <t>LDGV</t>
  </si>
  <si>
    <t>HDDV8B</t>
  </si>
  <si>
    <t>COM BUS</t>
  </si>
  <si>
    <t>Base Case Fuel Consumption (thousands of gallons)</t>
  </si>
  <si>
    <t>Base Case Fuel Consumption</t>
  </si>
  <si>
    <t>% Change in Fuel Consumption</t>
  </si>
  <si>
    <t>% Change in Freeway Fuel Economy</t>
  </si>
  <si>
    <t>% Change in Arterial Fuel Economy</t>
  </si>
  <si>
    <t>TOLLS AND REVENUE</t>
  </si>
  <si>
    <t>Percent Change in Freeway Speed From Pricing</t>
  </si>
  <si>
    <t>FREEWAY SPEEDS</t>
  </si>
  <si>
    <t>ARTERIAL SPEEDS</t>
  </si>
  <si>
    <t>Percent Change in Arterial Speed</t>
  </si>
  <si>
    <t>Peak Period Freeway VMT with Congestion Pricing</t>
  </si>
  <si>
    <t>Percent Change in Freeway VMT with Congestion Pricing</t>
  </si>
  <si>
    <t>Percent Change in Arterial VMT</t>
  </si>
  <si>
    <t>TRAFFIC VOLUME - FREEWAY</t>
  </si>
  <si>
    <t>TRAFFIC VOLUME - ARTERIAL</t>
  </si>
  <si>
    <t>Current Peak Period Arterial VMT</t>
  </si>
  <si>
    <t>Diversion to Arterials with Aggressive Pricing</t>
  </si>
  <si>
    <t>Diversion to Arterials with Moderate Pricing</t>
  </si>
  <si>
    <t>Percent Change in Arterial VMT with Aggressive Pricing</t>
  </si>
  <si>
    <t>Percent Change in Arterial VMT with Moderate Pricing</t>
  </si>
  <si>
    <t>Peak Period Fuel Consumption with Aggressive Pricing</t>
  </si>
  <si>
    <t xml:space="preserve">Base Case Fuel Consumption </t>
  </si>
  <si>
    <t>FUEL CONSUMPTION (thousands of gallons)</t>
  </si>
  <si>
    <t>Percent Change in Fuel Consumption with Aggressive Pricing</t>
  </si>
  <si>
    <t>Peak Period Fuel Consumption with Moderate Pricing</t>
  </si>
  <si>
    <t>Percent Change in Fuel Consumption with Moderate Pricing</t>
  </si>
  <si>
    <t>VEHICLE EMISSIONS (thousands of grams)</t>
  </si>
  <si>
    <t>Peak Period CO2 Emissions with Aggressive Pricing</t>
  </si>
  <si>
    <t>Base Case CO2 Emissions</t>
  </si>
  <si>
    <t>Percent Change in CO2 Emissions with Aggressive Pricing</t>
  </si>
  <si>
    <t>Peak Period CO2 Emissions with Moderate Pricing</t>
  </si>
  <si>
    <t>Percent Change in CO2 Emissions with Moderate Pricing</t>
  </si>
  <si>
    <t>Base Case NOX Emissions</t>
  </si>
  <si>
    <t>Peak Period NOX Emissions with Aggressive Pricing</t>
  </si>
  <si>
    <t>Percent Change in NOX Emissions with Aggressive Pricing</t>
  </si>
  <si>
    <t>Peak Period NOX Emissions with Moderate Pricing</t>
  </si>
  <si>
    <t>Percent Change in NOX Emissions with Moderate Pricing</t>
  </si>
  <si>
    <t>Aggressive Congestion Pricing</t>
  </si>
  <si>
    <r>
      <t>Average speed (</t>
    </r>
    <r>
      <rPr>
        <sz val="10"/>
        <rFont val="Arial"/>
        <family val="2"/>
      </rPr>
      <t>incl. incidents</t>
    </r>
    <r>
      <rPr>
        <b/>
        <sz val="10"/>
        <rFont val="Arial"/>
        <family val="2"/>
      </rPr>
      <t>)</t>
    </r>
  </si>
  <si>
    <t>TRANSIT SHARE OF COMMUTING TRIPS</t>
  </si>
  <si>
    <t>Explanation of formula for share shifting to arterials: Linear extrapolation between London and Los Angeles cases.</t>
  </si>
  <si>
    <t>Average freeway speed with pricing</t>
  </si>
  <si>
    <t>Percent Impact of Pricing</t>
  </si>
  <si>
    <t xml:space="preserve">Annualization Factor </t>
  </si>
  <si>
    <t>User-specified: 250 or 330</t>
  </si>
  <si>
    <t>Revenues</t>
  </si>
  <si>
    <t>Revenue Sources</t>
  </si>
  <si>
    <t>Costs</t>
  </si>
  <si>
    <t>Total ($millions)</t>
  </si>
  <si>
    <t>COLLECTION COSTS FOR CURRENT FUNDING SOURCES (estimates, $ millions)</t>
  </si>
  <si>
    <t xml:space="preserve">Collection costs as % of revenue </t>
  </si>
  <si>
    <r>
      <t xml:space="preserve">FHWA </t>
    </r>
    <r>
      <rPr>
        <i/>
        <sz val="8"/>
        <rFont val="Arial"/>
        <family val="2"/>
      </rPr>
      <t>Highway Statistics</t>
    </r>
  </si>
  <si>
    <r>
      <t>Data sources</t>
    </r>
    <r>
      <rPr>
        <sz val="10"/>
        <rFont val="Arial"/>
        <family val="2"/>
      </rPr>
      <t xml:space="preserve">: For revenues and VMT, FHWA </t>
    </r>
    <r>
      <rPr>
        <i/>
        <sz val="10"/>
        <rFont val="Arial"/>
        <family val="2"/>
      </rPr>
      <t>Highway Statistics</t>
    </r>
  </si>
  <si>
    <t>Default values in red</t>
  </si>
  <si>
    <t xml:space="preserve">Revenues ($ M) from Funding Sources in the State(s) where Urban Area is Located </t>
  </si>
  <si>
    <t xml:space="preserve">INSTRUCTION: Users must substitute in values pertaining to the specific urban area they are analyzing.  </t>
  </si>
  <si>
    <r>
      <t>Exceptions: core values (</t>
    </r>
    <r>
      <rPr>
        <sz val="10"/>
        <color indexed="12"/>
        <rFont val="Arial"/>
        <family val="2"/>
      </rPr>
      <t>blue fon</t>
    </r>
    <r>
      <rPr>
        <sz val="10"/>
        <rFont val="Arial"/>
        <family val="2"/>
      </rPr>
      <t>t) and default values (</t>
    </r>
    <r>
      <rPr>
        <sz val="10"/>
        <color indexed="10"/>
        <rFont val="Arial"/>
        <family val="2"/>
      </rPr>
      <t>red font</t>
    </r>
    <r>
      <rPr>
        <sz val="10"/>
        <rFont val="Arial"/>
        <family val="2"/>
      </rPr>
      <t>)</t>
    </r>
  </si>
  <si>
    <t>Inputs</t>
  </si>
  <si>
    <t>Cores values in blue</t>
  </si>
  <si>
    <t>=&gt; User Input Cells</t>
  </si>
  <si>
    <t>Blue italicized figures are inputs from the inputs page</t>
  </si>
  <si>
    <t>VALUE OF TIME INPUTS</t>
  </si>
  <si>
    <t>Menu</t>
  </si>
  <si>
    <t>Values of Time</t>
  </si>
  <si>
    <t>Sheet</t>
  </si>
  <si>
    <t>TRUCE 3.0 Key</t>
  </si>
  <si>
    <t>Sheets</t>
  </si>
  <si>
    <t>Description</t>
  </si>
  <si>
    <t>Traffic Impacts</t>
  </si>
  <si>
    <t>ETC Costs</t>
  </si>
  <si>
    <t>Collection Cost</t>
  </si>
  <si>
    <t>Analysis</t>
  </si>
  <si>
    <t>Results</t>
  </si>
  <si>
    <t>Emissions Fuel Consumption</t>
  </si>
  <si>
    <t xml:space="preserve">General user inputs for the model, including traffic, socioeconomic, funding, cost, and congestion.  </t>
  </si>
  <si>
    <t>User inputs on the Values of Time by trip purpose and vehicle type.</t>
  </si>
  <si>
    <t>Intermediate calculations for benefits to toll-paying motorists and highway user benefits and toll revenues for the free flow congestion pricing scenario.</t>
  </si>
  <si>
    <t>Intermediate calculations for benefits to toll-paying motorists and highway user benefits and toll revenues for the moderate congestion pricing scenario.</t>
  </si>
  <si>
    <t>Intermediate calculations for the annual highway system costs.</t>
  </si>
  <si>
    <t>Intermediate calculations for the collections cost.</t>
  </si>
  <si>
    <t>Intermediate calculations for emissions and fuel consumption.</t>
  </si>
  <si>
    <t>Results of the congestion pricing analysis.</t>
  </si>
  <si>
    <t>Intermediate calculations for the analysis.</t>
  </si>
  <si>
    <t>Intermediate calculations for the average speed and traffic volume by congestion level for freeways, impacts on expressway traffic volumes during the peak period, and impacts on arterial volumes and speeds.</t>
  </si>
  <si>
    <t>=&gt; User Input Sheet</t>
  </si>
  <si>
    <t>=&gt; Intermediate Calculation Sheet</t>
  </si>
  <si>
    <t>=&gt; Results Sheet</t>
  </si>
  <si>
    <t>Average Peak Period Network Speed After Pricing</t>
  </si>
  <si>
    <t>Average Peak Period Network Speed Before Pricing</t>
  </si>
  <si>
    <t>Change in Average Peak Period Network Speed due to Pricing</t>
  </si>
  <si>
    <t>Network VHT Before Pricing</t>
  </si>
  <si>
    <t>Network VHT After Pricing</t>
  </si>
  <si>
    <t>Peak Period Network Time Savings due to Pricing</t>
  </si>
  <si>
    <t>Peak Period Freeway VMT Before Pricing</t>
  </si>
  <si>
    <t>Peak Period Arterial VMT Before Pricing</t>
  </si>
  <si>
    <t>Peak Period Freeway VMT After Pricing</t>
  </si>
  <si>
    <t>Peak Period Arterial VMT After Pricing</t>
  </si>
  <si>
    <t>Average Network Travel Time After Pricing (minutes)</t>
  </si>
  <si>
    <t>Average Network Travel Time Before Pricing (minutes)</t>
  </si>
  <si>
    <t>Average Trip Travel Time Savings (minutes)</t>
  </si>
  <si>
    <t>Post-Pricing Volumes with Pre-Pricing Speed (VHT)</t>
  </si>
  <si>
    <t>Post-Pricing Volumes with Post-Pricing Speed (VHT)</t>
  </si>
  <si>
    <t>Daily Peak Period Time Savings to Network Users after Pricing (hours)</t>
  </si>
  <si>
    <t>Time Savings to Remaining Users After Pricing (hours)</t>
  </si>
  <si>
    <t>SPEED ANALYSIS AND TIME SAVINGS</t>
  </si>
  <si>
    <t>Annual Time Savings to Remaining Users After Pricing (hours)</t>
  </si>
  <si>
    <t>Average toll per mile, autos</t>
  </si>
  <si>
    <t>Average toll per mile, trucks</t>
  </si>
  <si>
    <t>Average toll per mile</t>
  </si>
  <si>
    <t xml:space="preserve">Table 1.  Average Speed by Congestion Level, Freeways (Base Case) </t>
  </si>
  <si>
    <t>Severe/Extreme (Hyper-congestion)</t>
  </si>
  <si>
    <t>Uncongested to Heavy (Normal congestion)</t>
  </si>
  <si>
    <t>Roadway Congestion Index</t>
  </si>
  <si>
    <t>Principal Arterials</t>
  </si>
  <si>
    <t>All Arterials</t>
  </si>
  <si>
    <t>Urban Total</t>
  </si>
  <si>
    <t>Annual VMT, State</t>
  </si>
  <si>
    <t>Average Trip Length (miles)</t>
  </si>
  <si>
    <t>Average # of Freeway Lanes in Both Directions</t>
  </si>
  <si>
    <t xml:space="preserve">Lane Miles of Roads </t>
  </si>
  <si>
    <t xml:space="preserve">Freeways </t>
  </si>
  <si>
    <t>South Carolina</t>
  </si>
  <si>
    <t>Daily VMT</t>
  </si>
  <si>
    <t>Daily VMT per lane-mile</t>
  </si>
  <si>
    <t>Total</t>
  </si>
  <si>
    <r>
      <t>Daily VMT, Congested Peak</t>
    </r>
    <r>
      <rPr>
        <sz val="10"/>
        <rFont val="Arial"/>
        <family val="2"/>
      </rPr>
      <t xml:space="preserve"> </t>
    </r>
  </si>
  <si>
    <t>Daily VMT, % in Congested Peak</t>
  </si>
  <si>
    <t xml:space="preserve">Table 1. Traffic Volumes </t>
  </si>
  <si>
    <t xml:space="preserve">Table 2.  Average Speed by Congestion Level, Freeways, Congested Peak </t>
  </si>
  <si>
    <t>Aggregated Level of congestion</t>
  </si>
  <si>
    <t>All congestion levels</t>
  </si>
  <si>
    <t xml:space="preserve">Table 3.  Distribution of VMT by Level of Congestion, Freeways, Congested Peak </t>
  </si>
  <si>
    <t>Daily VMT, % in Peak</t>
  </si>
  <si>
    <t>Congested Peak VMT/Peak VMT</t>
  </si>
  <si>
    <t>Percentile in WTP distribution</t>
  </si>
  <si>
    <t>Percent in congested peak periods</t>
  </si>
  <si>
    <t>Congested peak period freeway VMT, current</t>
  </si>
  <si>
    <t>Incident Delay Ratio, Freeways</t>
  </si>
  <si>
    <t>Incident Delay Ratio, Arterials</t>
  </si>
  <si>
    <t>Daily VMT, Peak</t>
  </si>
  <si>
    <t>Table 4. Distribution of VMT by Level of Congestion, Freeways, Peak</t>
  </si>
  <si>
    <t>New VCR, congested peak</t>
  </si>
  <si>
    <t>American Community Survey</t>
  </si>
  <si>
    <t>Peak period freeway VMT, current congested peak</t>
  </si>
  <si>
    <t>Average arterial travel speed (mph) before pricing (congested peak)</t>
  </si>
  <si>
    <t>Average arterial speed with pricing (congested peak)</t>
  </si>
  <si>
    <t>Average expressway speed (mph) before pricing (congested peak)</t>
  </si>
  <si>
    <t>Percent freeway traffic volume reduction with pricing (congested peak)</t>
  </si>
  <si>
    <t xml:space="preserve">% reduction in freeway traffic volume, congested peak </t>
  </si>
  <si>
    <t xml:space="preserve">Table 5: Average Speeds by Congestion Level, Freeways and Arterials </t>
  </si>
  <si>
    <t>Congested Peak</t>
  </si>
  <si>
    <t>Entire Peak</t>
  </si>
  <si>
    <t>Free-flow Speed (no incidents)</t>
  </si>
  <si>
    <t>Current Speed (no incidents</t>
  </si>
  <si>
    <t>A. Current Arterial Conditions</t>
  </si>
  <si>
    <t>New Speed (no incidents)</t>
  </si>
  <si>
    <t>Congested peak</t>
  </si>
  <si>
    <t>Entire peak</t>
  </si>
  <si>
    <t>New Speed (incl. incidents)</t>
  </si>
  <si>
    <t>Congestion tolls for congested peak-period</t>
  </si>
  <si>
    <t>Congestion tolls for congested peak period</t>
  </si>
  <si>
    <t>Daily VMT, Congested Peak-Period, (000)</t>
  </si>
  <si>
    <t>Table 3. Impacts on Arterials Volumes and Speeds, Congested Peak</t>
  </si>
  <si>
    <t>Daily VMT (000), Peak-Period</t>
  </si>
  <si>
    <t>Average Speed, Congested Peak-Period</t>
  </si>
  <si>
    <t>Emissions Rate Truck</t>
  </si>
  <si>
    <t>Total CO2 emissions (thousands grams)</t>
  </si>
  <si>
    <t>Daily Congested Peak-Period Emissions W/ Fuel Economy</t>
  </si>
  <si>
    <t>Fuel Usage (thousands gallons)</t>
  </si>
  <si>
    <t>Total NOx (thousands grams)</t>
  </si>
  <si>
    <t>Congested Peak-Period Average Speeds</t>
  </si>
  <si>
    <t>Freeway Speed Before Pricing</t>
  </si>
  <si>
    <t>Freeway Speed After Pricing</t>
  </si>
  <si>
    <t>Freeways, Before Pricing</t>
  </si>
  <si>
    <t>Freeways, After Pricing</t>
  </si>
  <si>
    <t>Arterials, Before Pricing</t>
  </si>
  <si>
    <t>Arterials, After Pricing</t>
  </si>
  <si>
    <t>Congested Peak-Period Emissions</t>
  </si>
  <si>
    <t>CO2 Emissions, Before Pricing (thousands of grams/day)</t>
  </si>
  <si>
    <t>CO2 Emissions, After Pricing (thousands of grams/day)</t>
  </si>
  <si>
    <t>NOx Emissions before Pricing (thousands of grams/day)</t>
  </si>
  <si>
    <t>NOx Emissions with Pricing (thousands of grams/day)</t>
  </si>
  <si>
    <t>Fuel Consumption before Pricing (thousands of gallons/day)</t>
  </si>
  <si>
    <t>Fuel Consumption with Pricing (thousands of gallons/day)</t>
  </si>
  <si>
    <t xml:space="preserve">Congested Peak-Period Emissions </t>
  </si>
  <si>
    <t>Congested Peak-Period Fuel Consumption</t>
  </si>
  <si>
    <t>Congested Peak-Period VMT (daily)</t>
  </si>
  <si>
    <t>CO2 Emissions before Pricing (thousands of grams)</t>
  </si>
  <si>
    <t>CO2 Emissions with Pricing (thousands of grams)</t>
  </si>
  <si>
    <t>NOx Emissions before Pricing (thousands of grams)</t>
  </si>
  <si>
    <t>NOx Emissions with Pricing (thousands of grams)</t>
  </si>
  <si>
    <t>Fuel Consumption before pricing</t>
  </si>
  <si>
    <t>Fuel Consumption with pricing (thousands of gallons)</t>
  </si>
  <si>
    <t>Average Toll Per Trip (congested peak)</t>
  </si>
  <si>
    <t>Average Toll Per Mile (congested peak)</t>
  </si>
  <si>
    <t xml:space="preserve">Average Freeway Speed Before Pricing </t>
  </si>
  <si>
    <t>Average Freeway Speed After Pricing</t>
  </si>
  <si>
    <t xml:space="preserve">Average Arterial Speed After Pricing </t>
  </si>
  <si>
    <t xml:space="preserve">Current Freeway VMT </t>
  </si>
  <si>
    <t xml:space="preserve">Percent Change in Freeway VMT with Congestion Pricing </t>
  </si>
  <si>
    <t>Current Arterial VMT</t>
  </si>
  <si>
    <t xml:space="preserve">Arterial VMT with Congestion Pricing </t>
  </si>
  <si>
    <t>Traffic Volume and Speeds, Congested Peak-Period</t>
  </si>
  <si>
    <t>Emissions and Fuel Consumption, Congested Peak-Period</t>
  </si>
  <si>
    <t>Fuel Consumption under congestion pricing (thousands of gallons)</t>
  </si>
  <si>
    <t>Freeway Average Fuel Economy</t>
  </si>
  <si>
    <t>Arterial Average Fuel Economy</t>
  </si>
  <si>
    <t>Average Arterial Speed Before Pricing</t>
  </si>
  <si>
    <t>Arterial Speed Before Pricing</t>
  </si>
  <si>
    <t>Arterial Speed After Pricing</t>
  </si>
  <si>
    <t>Current Freeway VMT</t>
  </si>
  <si>
    <t>Fuel Consumption (thousands of gallons)</t>
  </si>
  <si>
    <t>Freeway Average Fuel Economy, After Pricing</t>
  </si>
  <si>
    <t xml:space="preserve">Freeway Average Fuel Economy, Base Case </t>
  </si>
  <si>
    <t>Arterial Average Fuel Economy, Base Case</t>
  </si>
  <si>
    <t>BENEFIT-COST ANALYSIS</t>
  </si>
  <si>
    <r>
      <t>Value of Annual Time Savings to Remaining Users After Pricing (</t>
    </r>
    <r>
      <rPr>
        <i/>
        <sz val="10"/>
        <rFont val="Arial"/>
        <family val="2"/>
      </rPr>
      <t>$ millions</t>
    </r>
    <r>
      <rPr>
        <sz val="10"/>
        <rFont val="Arial"/>
        <family val="2"/>
      </rPr>
      <t>)</t>
    </r>
  </si>
  <si>
    <t>Value of Annual Time Savings to Remaining Users After Pricing ($ millions)</t>
  </si>
  <si>
    <t>Mean/(1-P)</t>
  </si>
  <si>
    <r>
      <t>Distribution of log (</t>
    </r>
    <r>
      <rPr>
        <sz val="10"/>
        <rFont val="Arial"/>
        <family val="2"/>
      </rPr>
      <t>λ</t>
    </r>
    <r>
      <rPr>
        <sz val="10"/>
        <rFont val="Arial"/>
        <family val="2"/>
      </rPr>
      <t xml:space="preserve">*VOT), autos </t>
    </r>
  </si>
  <si>
    <t>Mean</t>
  </si>
  <si>
    <t>Variance</t>
  </si>
  <si>
    <t>Standard Deviation</t>
  </si>
  <si>
    <t xml:space="preserve">Distribution of (λ*VOT), autos </t>
  </si>
  <si>
    <t>Ordinate of distribution of log (λ*VOT)</t>
  </si>
  <si>
    <t>Mean+Variance (log (λ*VOT)</t>
  </si>
  <si>
    <t>P*</t>
  </si>
  <si>
    <t>(1-P*)</t>
  </si>
  <si>
    <r>
      <t xml:space="preserve">(1) Value of Annual Time Savings to Remaining Users After Pricing </t>
    </r>
    <r>
      <rPr>
        <i/>
        <sz val="10"/>
        <rFont val="Arial"/>
        <family val="2"/>
      </rPr>
      <t>($ millions</t>
    </r>
    <r>
      <rPr>
        <sz val="10"/>
        <rFont val="Arial"/>
        <family val="2"/>
      </rPr>
      <t>)</t>
    </r>
  </si>
  <si>
    <t>Reverse Conditional Mean (λ*VOT), autos</t>
  </si>
  <si>
    <t>Reverse Conditional Mean (λ*VOT), trucks</t>
  </si>
  <si>
    <t>Reverse Conditional Mean (λ*VOT), all vehicles</t>
  </si>
  <si>
    <t xml:space="preserve">(2) Calculation of Consumer Surplus Loss for Travelers Diverting to Arterials </t>
  </si>
  <si>
    <t xml:space="preserve">Annual Consumer Surplus Loss for Other Travelers Deterred by Pricing   </t>
  </si>
  <si>
    <r>
      <t>Annual Consumer Surplus Loss for Travelers Diverting to Arterials (</t>
    </r>
    <r>
      <rPr>
        <i/>
        <sz val="10"/>
        <rFont val="Arial"/>
        <family val="2"/>
      </rPr>
      <t>$ millions</t>
    </r>
    <r>
      <rPr>
        <sz val="10"/>
        <rFont val="Arial"/>
        <family val="2"/>
      </rPr>
      <t>)</t>
    </r>
  </si>
  <si>
    <t>(3) Calculation of Consumer Surplus Loss for Other Travelers Deterred by Pricing</t>
  </si>
  <si>
    <t>Percent of freeway traffic reduction diverting to arterials</t>
  </si>
  <si>
    <t xml:space="preserve">Daily freeway VMT deterred by pricing, not diverting to arterials </t>
  </si>
  <si>
    <t>Annual Consumer Surplus Loss Per Trip Diverted to Arterials ($ millions)</t>
  </si>
  <si>
    <t>Reduction on Daily Freeway Traffic Due to Pricing</t>
  </si>
  <si>
    <t xml:space="preserve">Value of Annual Time Savings to Remaining Users After Pricing </t>
  </si>
  <si>
    <t>Loss of consumer surplus on deterred freeway traffic</t>
  </si>
  <si>
    <t>Costs of toll collection</t>
  </si>
  <si>
    <t>BENEFIT-COST ANALYSIS ($ millions, annual)</t>
  </si>
  <si>
    <t>Net benefit</t>
  </si>
  <si>
    <t>Current VMT Peak Period</t>
  </si>
  <si>
    <t>Current VMT Congested Peak Period</t>
  </si>
  <si>
    <t>Conditional Mean (λ*VOT), autos</t>
  </si>
  <si>
    <t>Conditional Mean (λ*VOT), trucks</t>
  </si>
  <si>
    <t>Conditional Mean (λ*VOT), all vehicles</t>
  </si>
  <si>
    <t>Conditional Mean (λ*VOT),all vehicles</t>
  </si>
  <si>
    <t>Minimum Average Speed With Pricing (Moderate), excluding incident delay</t>
  </si>
  <si>
    <t xml:space="preserve">American Community Survey, Table B08302, calculated as the # commuters leaving home for work between 6 and 10 a.m. </t>
  </si>
  <si>
    <t>Includes "Interstate" and "Freeways and Expressways"</t>
  </si>
  <si>
    <t>Includes"Principal" and "Minor" Arterials</t>
  </si>
  <si>
    <t>Highway Statistics Table HM-60 for statewide data</t>
  </si>
  <si>
    <t xml:space="preserve">Population, Urbanized </t>
  </si>
  <si>
    <t>Annual VMT, Urban (millions):</t>
  </si>
  <si>
    <t>Bureau of Labor Statistics (http://www.bls.gov/bls/blswage.htm</t>
  </si>
  <si>
    <t>American Community Survey, data for states  (At the ACS web  site, go to "American Fact Finder",  "2005-2007 ACS 3-Year Estimates",  "Data Profile".</t>
  </si>
  <si>
    <t>Annual Monetized Time Savings to Peak Period Network Users after Pricing ($M)</t>
  </si>
  <si>
    <t>Annual Monetiized Time Savings to Peak Period Network Users after Pricing ($M)</t>
  </si>
  <si>
    <t>Percent of Peak-Period VMT on Freeways</t>
  </si>
  <si>
    <t xml:space="preserve">FHWA Highway Statistics, Table  PS-1  (Data from Table  VM-1, and unpublished TTI Urban Mobility Report data may also be considered) </t>
  </si>
  <si>
    <t>American Community Survey, estimate for  state residents average for 2005-2007</t>
  </si>
  <si>
    <t>Urbanized Areas</t>
  </si>
  <si>
    <t>Case Study State</t>
  </si>
  <si>
    <t xml:space="preserve">TTI Urban Mobility Report, Weighted average of ratios for individual urban areas iwthin the state   </t>
  </si>
  <si>
    <t>Description of actual traffic patterns in the analysis year in the absence of congestion pricing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</si>
</sst>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$&quot;#,##0.0"/>
    <numFmt numFmtId="167" formatCode="0.0"/>
    <numFmt numFmtId="168" formatCode="#,##0.000_);\(#,##0.000\)"/>
    <numFmt numFmtId="169" formatCode="0.0%"/>
    <numFmt numFmtId="170" formatCode="#,##0.0"/>
    <numFmt numFmtId="171" formatCode="0.000"/>
    <numFmt numFmtId="172" formatCode="&quot;$&quot;#,##0.000"/>
    <numFmt numFmtId="173" formatCode="_(* #,##0_);_(* \(#,##0\);_ &quot;-&quot;"/>
    <numFmt numFmtId="174" formatCode="0.00000000000000000%"/>
    <numFmt numFmtId="175" formatCode="0.000000%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 MT"/>
      <family val="0"/>
    </font>
    <font>
      <i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u val="single"/>
      <sz val="10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 MT"/>
      <family val="0"/>
    </font>
    <font>
      <i/>
      <sz val="10"/>
      <color indexed="12"/>
      <name val="Arial"/>
      <family val="2"/>
    </font>
    <font>
      <b/>
      <u val="single"/>
      <sz val="14"/>
      <color indexed="12"/>
      <name val="Arial"/>
      <family val="2"/>
    </font>
    <font>
      <sz val="10"/>
      <color indexed="18"/>
      <name val="Arial"/>
      <family val="2"/>
    </font>
    <font>
      <i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Arial"/>
      <family val="2"/>
    </font>
    <font>
      <sz val="1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65" fontId="0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164" fontId="2" fillId="0" borderId="10" xfId="0" applyNumberFormat="1" applyFont="1" applyBorder="1" applyAlignment="1">
      <alignment/>
    </xf>
    <xf numFmtId="2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0" xfId="0" applyNumberFormat="1" applyFont="1" applyAlignment="1">
      <alignment horizontal="left"/>
    </xf>
    <xf numFmtId="164" fontId="0" fillId="0" borderId="1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169" fontId="0" fillId="33" borderId="0" xfId="0" applyNumberFormat="1" applyFont="1" applyFill="1" applyBorder="1" applyAlignment="1">
      <alignment horizontal="center"/>
    </xf>
    <xf numFmtId="166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wrapText="1"/>
    </xf>
    <xf numFmtId="0" fontId="2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1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ill="1" applyBorder="1" applyAlignment="1">
      <alignment/>
    </xf>
    <xf numFmtId="0" fontId="0" fillId="33" borderId="0" xfId="0" applyFill="1" applyAlignment="1">
      <alignment wrapText="1"/>
    </xf>
    <xf numFmtId="167" fontId="0" fillId="33" borderId="0" xfId="0" applyNumberFormat="1" applyFill="1" applyBorder="1" applyAlignment="1">
      <alignment/>
    </xf>
    <xf numFmtId="0" fontId="2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/>
    </xf>
    <xf numFmtId="165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Alignment="1">
      <alignment horizontal="right"/>
    </xf>
    <xf numFmtId="169" fontId="0" fillId="34" borderId="0" xfId="0" applyNumberFormat="1" applyFont="1" applyFill="1" applyBorder="1" applyAlignment="1">
      <alignment horizontal="center"/>
    </xf>
    <xf numFmtId="166" fontId="0" fillId="34" borderId="0" xfId="0" applyNumberFormat="1" applyFont="1" applyFill="1" applyBorder="1" applyAlignment="1">
      <alignment horizontal="center"/>
    </xf>
    <xf numFmtId="164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2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170" fontId="7" fillId="33" borderId="0" xfId="0" applyNumberFormat="1" applyFont="1" applyFill="1" applyBorder="1" applyAlignment="1">
      <alignment horizontal="right"/>
    </xf>
    <xf numFmtId="165" fontId="0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 wrapText="1"/>
    </xf>
    <xf numFmtId="164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170" fontId="0" fillId="33" borderId="0" xfId="0" applyNumberFormat="1" applyFill="1" applyAlignment="1">
      <alignment/>
    </xf>
    <xf numFmtId="4" fontId="0" fillId="33" borderId="0" xfId="0" applyNumberFormat="1" applyFill="1" applyBorder="1" applyAlignment="1">
      <alignment/>
    </xf>
    <xf numFmtId="0" fontId="2" fillId="33" borderId="11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right"/>
    </xf>
    <xf numFmtId="0" fontId="0" fillId="33" borderId="11" xfId="0" applyFill="1" applyBorder="1" applyAlignment="1">
      <alignment/>
    </xf>
    <xf numFmtId="4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 horizontal="left" wrapText="1"/>
    </xf>
    <xf numFmtId="164" fontId="0" fillId="33" borderId="11" xfId="0" applyNumberFormat="1" applyFont="1" applyFill="1" applyBorder="1" applyAlignment="1">
      <alignment horizontal="right"/>
    </xf>
    <xf numFmtId="165" fontId="0" fillId="33" borderId="11" xfId="0" applyNumberFormat="1" applyFill="1" applyBorder="1" applyAlignment="1">
      <alignment/>
    </xf>
    <xf numFmtId="0" fontId="8" fillId="33" borderId="0" xfId="0" applyFont="1" applyFill="1" applyAlignment="1">
      <alignment wrapText="1"/>
    </xf>
    <xf numFmtId="165" fontId="0" fillId="33" borderId="0" xfId="0" applyNumberFormat="1" applyFill="1" applyAlignment="1">
      <alignment horizontal="right"/>
    </xf>
    <xf numFmtId="3" fontId="8" fillId="33" borderId="0" xfId="0" applyNumberFormat="1" applyFont="1" applyFill="1" applyAlignment="1">
      <alignment wrapText="1"/>
    </xf>
    <xf numFmtId="0" fontId="0" fillId="33" borderId="0" xfId="0" applyFont="1" applyFill="1" applyBorder="1" applyAlignment="1">
      <alignment wrapText="1"/>
    </xf>
    <xf numFmtId="169" fontId="0" fillId="33" borderId="0" xfId="0" applyNumberFormat="1" applyFont="1" applyFill="1" applyBorder="1" applyAlignment="1">
      <alignment horizontal="right"/>
    </xf>
    <xf numFmtId="10" fontId="0" fillId="33" borderId="0" xfId="0" applyNumberFormat="1" applyFont="1" applyFill="1" applyBorder="1" applyAlignment="1">
      <alignment horizontal="right"/>
    </xf>
    <xf numFmtId="167" fontId="0" fillId="33" borderId="0" xfId="0" applyNumberFormat="1" applyFill="1" applyAlignment="1">
      <alignment wrapText="1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3" fontId="0" fillId="33" borderId="11" xfId="0" applyNumberFormat="1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wrapText="1"/>
    </xf>
    <xf numFmtId="3" fontId="0" fillId="33" borderId="12" xfId="0" applyNumberFormat="1" applyFont="1" applyFill="1" applyBorder="1" applyAlignment="1">
      <alignment horizontal="right"/>
    </xf>
    <xf numFmtId="0" fontId="7" fillId="33" borderId="0" xfId="0" applyFont="1" applyFill="1" applyAlignment="1">
      <alignment horizontal="right"/>
    </xf>
    <xf numFmtId="37" fontId="6" fillId="33" borderId="0" xfId="0" applyNumberFormat="1" applyFont="1" applyFill="1" applyBorder="1" applyAlignment="1" applyProtection="1">
      <alignment/>
      <protection/>
    </xf>
    <xf numFmtId="0" fontId="7" fillId="33" borderId="0" xfId="0" applyFont="1" applyFill="1" applyAlignment="1">
      <alignment wrapText="1"/>
    </xf>
    <xf numFmtId="169" fontId="0" fillId="33" borderId="0" xfId="0" applyNumberFormat="1" applyFill="1" applyAlignment="1">
      <alignment/>
    </xf>
    <xf numFmtId="167" fontId="0" fillId="33" borderId="0" xfId="0" applyNumberFormat="1" applyFill="1" applyAlignment="1">
      <alignment/>
    </xf>
    <xf numFmtId="3" fontId="0" fillId="33" borderId="11" xfId="0" applyNumberFormat="1" applyFill="1" applyBorder="1" applyAlignment="1">
      <alignment/>
    </xf>
    <xf numFmtId="3" fontId="2" fillId="33" borderId="0" xfId="0" applyNumberFormat="1" applyFont="1" applyFill="1" applyAlignment="1">
      <alignment/>
    </xf>
    <xf numFmtId="2" fontId="2" fillId="33" borderId="0" xfId="0" applyNumberFormat="1" applyFont="1" applyFill="1" applyAlignment="1">
      <alignment/>
    </xf>
    <xf numFmtId="0" fontId="7" fillId="33" borderId="0" xfId="0" applyFont="1" applyFill="1" applyAlignment="1">
      <alignment horizontal="left" indent="2"/>
    </xf>
    <xf numFmtId="0" fontId="7" fillId="33" borderId="0" xfId="0" applyFont="1" applyFill="1" applyAlignment="1">
      <alignment horizontal="left" indent="3"/>
    </xf>
    <xf numFmtId="9" fontId="0" fillId="33" borderId="0" xfId="0" applyNumberFormat="1" applyFill="1" applyAlignment="1">
      <alignment/>
    </xf>
    <xf numFmtId="0" fontId="7" fillId="33" borderId="11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174" fontId="0" fillId="33" borderId="0" xfId="0" applyNumberFormat="1" applyFill="1" applyAlignment="1">
      <alignment/>
    </xf>
    <xf numFmtId="175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7" fillId="33" borderId="11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1" xfId="52" applyNumberFormat="1" applyFont="1" applyFill="1" applyBorder="1" applyAlignment="1" applyProtection="1" quotePrefix="1">
      <alignment/>
      <protection/>
    </xf>
    <xf numFmtId="170" fontId="7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7" fillId="33" borderId="11" xfId="0" applyFont="1" applyFill="1" applyBorder="1" applyAlignment="1">
      <alignment wrapText="1"/>
    </xf>
    <xf numFmtId="3" fontId="0" fillId="33" borderId="11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 horizontal="center"/>
    </xf>
    <xf numFmtId="3" fontId="0" fillId="34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/>
    </xf>
    <xf numFmtId="164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left"/>
    </xf>
    <xf numFmtId="164" fontId="3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66" fontId="2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165" fontId="0" fillId="33" borderId="0" xfId="0" applyNumberFormat="1" applyFill="1" applyBorder="1" applyAlignment="1">
      <alignment horizontal="left"/>
    </xf>
    <xf numFmtId="164" fontId="0" fillId="33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/>
    </xf>
    <xf numFmtId="164" fontId="0" fillId="33" borderId="0" xfId="0" applyNumberFormat="1" applyFont="1" applyFill="1" applyBorder="1" applyAlignment="1">
      <alignment/>
    </xf>
    <xf numFmtId="9" fontId="0" fillId="33" borderId="0" xfId="0" applyNumberFormat="1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168" fontId="6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>
      <alignment wrapText="1"/>
    </xf>
    <xf numFmtId="5" fontId="6" fillId="33" borderId="0" xfId="0" applyNumberFormat="1" applyFont="1" applyFill="1" applyBorder="1" applyAlignment="1" applyProtection="1">
      <alignment/>
      <protection/>
    </xf>
    <xf numFmtId="166" fontId="0" fillId="33" borderId="0" xfId="0" applyNumberFormat="1" applyFill="1" applyBorder="1" applyAlignment="1">
      <alignment/>
    </xf>
    <xf numFmtId="5" fontId="0" fillId="33" borderId="0" xfId="0" applyNumberForma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66" fontId="2" fillId="33" borderId="11" xfId="0" applyNumberFormat="1" applyFont="1" applyFill="1" applyBorder="1" applyAlignment="1">
      <alignment/>
    </xf>
    <xf numFmtId="164" fontId="2" fillId="33" borderId="11" xfId="0" applyNumberFormat="1" applyFont="1" applyFill="1" applyBorder="1" applyAlignment="1">
      <alignment/>
    </xf>
    <xf numFmtId="169" fontId="6" fillId="33" borderId="11" xfId="0" applyNumberFormat="1" applyFont="1" applyFill="1" applyBorder="1" applyAlignment="1" applyProtection="1">
      <alignment/>
      <protection/>
    </xf>
    <xf numFmtId="0" fontId="10" fillId="33" borderId="11" xfId="0" applyFont="1" applyFill="1" applyBorder="1" applyAlignment="1">
      <alignment/>
    </xf>
    <xf numFmtId="5" fontId="6" fillId="33" borderId="11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165" fontId="7" fillId="33" borderId="0" xfId="0" applyNumberFormat="1" applyFont="1" applyFill="1" applyBorder="1" applyAlignment="1">
      <alignment/>
    </xf>
    <xf numFmtId="165" fontId="0" fillId="33" borderId="0" xfId="0" applyNumberForma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 wrapText="1"/>
    </xf>
    <xf numFmtId="10" fontId="0" fillId="33" borderId="0" xfId="0" applyNumberFormat="1" applyFill="1" applyBorder="1" applyAlignment="1">
      <alignment/>
    </xf>
    <xf numFmtId="9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left"/>
    </xf>
    <xf numFmtId="0" fontId="0" fillId="33" borderId="0" xfId="0" applyFont="1" applyFill="1" applyBorder="1" applyAlignment="1">
      <alignment horizontal="left" wrapText="1"/>
    </xf>
    <xf numFmtId="167" fontId="0" fillId="33" borderId="0" xfId="0" applyNumberFormat="1" applyFill="1" applyBorder="1" applyAlignment="1">
      <alignment wrapText="1"/>
    </xf>
    <xf numFmtId="170" fontId="0" fillId="33" borderId="0" xfId="0" applyNumberFormat="1" applyFill="1" applyBorder="1" applyAlignment="1">
      <alignment/>
    </xf>
    <xf numFmtId="172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 wrapText="1"/>
    </xf>
    <xf numFmtId="164" fontId="0" fillId="33" borderId="11" xfId="0" applyNumberFormat="1" applyFill="1" applyBorder="1" applyAlignment="1">
      <alignment/>
    </xf>
    <xf numFmtId="0" fontId="9" fillId="33" borderId="11" xfId="0" applyFont="1" applyFill="1" applyBorder="1" applyAlignment="1">
      <alignment wrapText="1"/>
    </xf>
    <xf numFmtId="2" fontId="0" fillId="33" borderId="0" xfId="0" applyNumberFormat="1" applyFont="1" applyFill="1" applyBorder="1" applyAlignment="1">
      <alignment/>
    </xf>
    <xf numFmtId="169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 wrapText="1"/>
    </xf>
    <xf numFmtId="0" fontId="3" fillId="33" borderId="0" xfId="0" applyFont="1" applyFill="1" applyBorder="1" applyAlignment="1">
      <alignment horizontal="right" wrapText="1"/>
    </xf>
    <xf numFmtId="0" fontId="0" fillId="33" borderId="0" xfId="0" applyFont="1" applyFill="1" applyBorder="1" applyAlignment="1">
      <alignment horizontal="left" indent="2"/>
    </xf>
    <xf numFmtId="169" fontId="2" fillId="33" borderId="0" xfId="0" applyNumberFormat="1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/>
    </xf>
    <xf numFmtId="166" fontId="2" fillId="33" borderId="0" xfId="0" applyNumberFormat="1" applyFont="1" applyFill="1" applyBorder="1" applyAlignment="1">
      <alignment horizontal="center"/>
    </xf>
    <xf numFmtId="165" fontId="0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0" fillId="33" borderId="0" xfId="0" applyFill="1" applyAlignment="1">
      <alignment horizontal="left" indent="1"/>
    </xf>
    <xf numFmtId="165" fontId="0" fillId="33" borderId="0" xfId="0" applyNumberFormat="1" applyFill="1" applyBorder="1" applyAlignment="1">
      <alignment horizontal="center"/>
    </xf>
    <xf numFmtId="165" fontId="0" fillId="33" borderId="0" xfId="0" applyNumberFormat="1" applyFill="1" applyBorder="1" applyAlignment="1">
      <alignment horizontal="left" wrapText="1"/>
    </xf>
    <xf numFmtId="8" fontId="0" fillId="33" borderId="0" xfId="0" applyNumberForma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169" fontId="2" fillId="33" borderId="0" xfId="0" applyNumberFormat="1" applyFont="1" applyFill="1" applyAlignment="1">
      <alignment/>
    </xf>
    <xf numFmtId="8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17" fontId="0" fillId="33" borderId="0" xfId="0" applyNumberFormat="1" applyFill="1" applyAlignment="1">
      <alignment/>
    </xf>
    <xf numFmtId="2" fontId="0" fillId="33" borderId="0" xfId="0" applyNumberFormat="1" applyFill="1" applyAlignment="1">
      <alignment wrapText="1"/>
    </xf>
    <xf numFmtId="6" fontId="0" fillId="33" borderId="0" xfId="0" applyNumberFormat="1" applyFill="1" applyAlignment="1">
      <alignment/>
    </xf>
    <xf numFmtId="8" fontId="0" fillId="33" borderId="11" xfId="0" applyNumberFormat="1" applyFill="1" applyBorder="1" applyAlignment="1">
      <alignment/>
    </xf>
    <xf numFmtId="8" fontId="0" fillId="33" borderId="0" xfId="0" applyNumberFormat="1" applyFill="1" applyBorder="1" applyAlignment="1">
      <alignment/>
    </xf>
    <xf numFmtId="169" fontId="0" fillId="33" borderId="11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10" fillId="33" borderId="11" xfId="0" applyFont="1" applyFill="1" applyBorder="1" applyAlignment="1">
      <alignment horizontal="left"/>
    </xf>
    <xf numFmtId="10" fontId="0" fillId="33" borderId="11" xfId="0" applyNumberFormat="1" applyFill="1" applyBorder="1" applyAlignment="1">
      <alignment/>
    </xf>
    <xf numFmtId="165" fontId="0" fillId="33" borderId="0" xfId="0" applyNumberFormat="1" applyFill="1" applyAlignment="1">
      <alignment horizontal="center"/>
    </xf>
    <xf numFmtId="3" fontId="0" fillId="33" borderId="0" xfId="0" applyNumberFormat="1" applyFill="1" applyBorder="1" applyAlignment="1">
      <alignment horizontal="center"/>
    </xf>
    <xf numFmtId="164" fontId="0" fillId="33" borderId="0" xfId="0" applyNumberFormat="1" applyFill="1" applyAlignment="1">
      <alignment horizontal="center"/>
    </xf>
    <xf numFmtId="0" fontId="14" fillId="33" borderId="0" xfId="0" applyFont="1" applyFill="1" applyAlignment="1">
      <alignment/>
    </xf>
    <xf numFmtId="2" fontId="14" fillId="33" borderId="0" xfId="0" applyNumberFormat="1" applyFont="1" applyFill="1" applyAlignment="1">
      <alignment/>
    </xf>
    <xf numFmtId="164" fontId="0" fillId="33" borderId="11" xfId="0" applyNumberFormat="1" applyFill="1" applyBorder="1" applyAlignment="1">
      <alignment horizontal="center"/>
    </xf>
    <xf numFmtId="169" fontId="0" fillId="33" borderId="0" xfId="0" applyNumberFormat="1" applyFill="1" applyAlignment="1">
      <alignment horizontal="center"/>
    </xf>
    <xf numFmtId="3" fontId="14" fillId="33" borderId="0" xfId="0" applyNumberFormat="1" applyFont="1" applyFill="1" applyAlignment="1">
      <alignment/>
    </xf>
    <xf numFmtId="170" fontId="0" fillId="33" borderId="0" xfId="0" applyNumberForma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169" fontId="0" fillId="33" borderId="11" xfId="0" applyNumberFormat="1" applyFill="1" applyBorder="1" applyAlignment="1">
      <alignment horizontal="center"/>
    </xf>
    <xf numFmtId="167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69" fontId="0" fillId="33" borderId="0" xfId="0" applyNumberFormat="1" applyFill="1" applyBorder="1" applyAlignment="1">
      <alignment horizontal="center"/>
    </xf>
    <xf numFmtId="164" fontId="0" fillId="34" borderId="0" xfId="0" applyNumberFormat="1" applyFont="1" applyFill="1" applyBorder="1" applyAlignment="1">
      <alignment/>
    </xf>
    <xf numFmtId="10" fontId="0" fillId="34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 indent="2"/>
    </xf>
    <xf numFmtId="0" fontId="2" fillId="34" borderId="0" xfId="0" applyFont="1" applyFill="1" applyBorder="1" applyAlignment="1">
      <alignment/>
    </xf>
    <xf numFmtId="2" fontId="0" fillId="35" borderId="0" xfId="0" applyNumberFormat="1" applyFill="1" applyAlignment="1">
      <alignment/>
    </xf>
    <xf numFmtId="3" fontId="0" fillId="35" borderId="0" xfId="0" applyNumberFormat="1" applyFont="1" applyFill="1" applyAlignment="1">
      <alignment/>
    </xf>
    <xf numFmtId="3" fontId="0" fillId="35" borderId="0" xfId="0" applyNumberFormat="1" applyFill="1" applyAlignment="1">
      <alignment/>
    </xf>
    <xf numFmtId="169" fontId="0" fillId="35" borderId="0" xfId="0" applyNumberFormat="1" applyFill="1" applyAlignment="1">
      <alignment/>
    </xf>
    <xf numFmtId="3" fontId="0" fillId="35" borderId="0" xfId="0" applyNumberFormat="1" applyFill="1" applyBorder="1" applyAlignment="1">
      <alignment/>
    </xf>
    <xf numFmtId="3" fontId="0" fillId="36" borderId="13" xfId="0" applyNumberFormat="1" applyFill="1" applyBorder="1" applyAlignment="1">
      <alignment horizontal="right"/>
    </xf>
    <xf numFmtId="9" fontId="17" fillId="36" borderId="13" xfId="0" applyNumberFormat="1" applyFont="1" applyFill="1" applyBorder="1" applyAlignment="1">
      <alignment horizontal="right"/>
    </xf>
    <xf numFmtId="164" fontId="0" fillId="36" borderId="13" xfId="0" applyNumberFormat="1" applyFill="1" applyBorder="1" applyAlignment="1">
      <alignment/>
    </xf>
    <xf numFmtId="165" fontId="0" fillId="36" borderId="13" xfId="0" applyNumberFormat="1" applyFill="1" applyBorder="1" applyAlignment="1">
      <alignment horizontal="right"/>
    </xf>
    <xf numFmtId="0" fontId="0" fillId="36" borderId="13" xfId="0" applyFill="1" applyBorder="1" applyAlignment="1">
      <alignment horizontal="right"/>
    </xf>
    <xf numFmtId="10" fontId="0" fillId="36" borderId="13" xfId="0" applyNumberFormat="1" applyFill="1" applyBorder="1" applyAlignment="1">
      <alignment horizontal="right"/>
    </xf>
    <xf numFmtId="0" fontId="17" fillId="36" borderId="13" xfId="0" applyFont="1" applyFill="1" applyBorder="1" applyAlignment="1">
      <alignment horizontal="right"/>
    </xf>
    <xf numFmtId="170" fontId="5" fillId="33" borderId="0" xfId="0" applyNumberFormat="1" applyFont="1" applyFill="1" applyBorder="1" applyAlignment="1">
      <alignment horizontal="right"/>
    </xf>
    <xf numFmtId="164" fontId="0" fillId="36" borderId="13" xfId="0" applyNumberFormat="1" applyFont="1" applyFill="1" applyBorder="1" applyAlignment="1">
      <alignment horizontal="right"/>
    </xf>
    <xf numFmtId="0" fontId="0" fillId="36" borderId="13" xfId="0" applyFill="1" applyBorder="1" applyAlignment="1">
      <alignment/>
    </xf>
    <xf numFmtId="0" fontId="0" fillId="0" borderId="0" xfId="0" applyAlignment="1" quotePrefix="1">
      <alignment/>
    </xf>
    <xf numFmtId="3" fontId="0" fillId="36" borderId="14" xfId="0" applyNumberFormat="1" applyFill="1" applyBorder="1" applyAlignment="1">
      <alignment horizontal="right"/>
    </xf>
    <xf numFmtId="3" fontId="0" fillId="36" borderId="14" xfId="0" applyNumberFormat="1" applyFont="1" applyFill="1" applyBorder="1" applyAlignment="1">
      <alignment horizontal="right"/>
    </xf>
    <xf numFmtId="169" fontId="16" fillId="36" borderId="13" xfId="0" applyNumberFormat="1" applyFont="1" applyFill="1" applyBorder="1" applyAlignment="1">
      <alignment horizontal="right"/>
    </xf>
    <xf numFmtId="169" fontId="0" fillId="36" borderId="13" xfId="0" applyNumberFormat="1" applyFont="1" applyFill="1" applyBorder="1" applyAlignment="1">
      <alignment horizontal="right"/>
    </xf>
    <xf numFmtId="164" fontId="16" fillId="36" borderId="13" xfId="0" applyNumberFormat="1" applyFont="1" applyFill="1" applyBorder="1" applyAlignment="1">
      <alignment horizontal="right"/>
    </xf>
    <xf numFmtId="9" fontId="16" fillId="36" borderId="13" xfId="0" applyNumberFormat="1" applyFont="1" applyFill="1" applyBorder="1" applyAlignment="1">
      <alignment horizontal="right"/>
    </xf>
    <xf numFmtId="3" fontId="16" fillId="36" borderId="13" xfId="0" applyNumberFormat="1" applyFont="1" applyFill="1" applyBorder="1" applyAlignment="1">
      <alignment horizontal="right"/>
    </xf>
    <xf numFmtId="165" fontId="16" fillId="36" borderId="13" xfId="0" applyNumberFormat="1" applyFont="1" applyFill="1" applyBorder="1" applyAlignment="1">
      <alignment horizontal="right"/>
    </xf>
    <xf numFmtId="164" fontId="16" fillId="36" borderId="15" xfId="0" applyNumberFormat="1" applyFont="1" applyFill="1" applyBorder="1" applyAlignment="1">
      <alignment horizontal="right"/>
    </xf>
    <xf numFmtId="0" fontId="16" fillId="36" borderId="14" xfId="0" applyFont="1" applyFill="1" applyBorder="1" applyAlignment="1">
      <alignment horizontal="right"/>
    </xf>
    <xf numFmtId="169" fontId="0" fillId="36" borderId="13" xfId="0" applyNumberFormat="1" applyFill="1" applyBorder="1" applyAlignment="1">
      <alignment horizontal="right"/>
    </xf>
    <xf numFmtId="0" fontId="17" fillId="34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0" fontId="0" fillId="37" borderId="13" xfId="0" applyFill="1" applyBorder="1" applyAlignment="1">
      <alignment/>
    </xf>
    <xf numFmtId="0" fontId="0" fillId="38" borderId="13" xfId="0" applyFill="1" applyBorder="1" applyAlignment="1">
      <alignment/>
    </xf>
    <xf numFmtId="0" fontId="0" fillId="39" borderId="13" xfId="0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/>
    </xf>
    <xf numFmtId="165" fontId="21" fillId="33" borderId="0" xfId="0" applyNumberFormat="1" applyFont="1" applyFill="1" applyBorder="1" applyAlignment="1" applyProtection="1">
      <alignment/>
      <protection/>
    </xf>
    <xf numFmtId="3" fontId="22" fillId="33" borderId="0" xfId="0" applyNumberFormat="1" applyFont="1" applyFill="1" applyBorder="1" applyAlignment="1">
      <alignment/>
    </xf>
    <xf numFmtId="3" fontId="22" fillId="33" borderId="11" xfId="0" applyNumberFormat="1" applyFont="1" applyFill="1" applyBorder="1" applyAlignment="1">
      <alignment/>
    </xf>
    <xf numFmtId="164" fontId="22" fillId="33" borderId="0" xfId="0" applyNumberFormat="1" applyFont="1" applyFill="1" applyBorder="1" applyAlignment="1">
      <alignment/>
    </xf>
    <xf numFmtId="9" fontId="22" fillId="33" borderId="0" xfId="0" applyNumberFormat="1" applyFont="1" applyFill="1" applyBorder="1" applyAlignment="1">
      <alignment/>
    </xf>
    <xf numFmtId="166" fontId="22" fillId="33" borderId="0" xfId="0" applyNumberFormat="1" applyFont="1" applyFill="1" applyBorder="1" applyAlignment="1">
      <alignment/>
    </xf>
    <xf numFmtId="168" fontId="21" fillId="33" borderId="0" xfId="0" applyNumberFormat="1" applyFont="1" applyFill="1" applyBorder="1" applyAlignment="1" applyProtection="1">
      <alignment/>
      <protection/>
    </xf>
    <xf numFmtId="2" fontId="22" fillId="33" borderId="0" xfId="0" applyNumberFormat="1" applyFont="1" applyFill="1" applyBorder="1" applyAlignment="1">
      <alignment/>
    </xf>
    <xf numFmtId="169" fontId="22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165" fontId="22" fillId="33" borderId="0" xfId="0" applyNumberFormat="1" applyFont="1" applyFill="1" applyAlignment="1">
      <alignment/>
    </xf>
    <xf numFmtId="3" fontId="22" fillId="33" borderId="0" xfId="0" applyNumberFormat="1" applyFont="1" applyFill="1" applyAlignment="1">
      <alignment/>
    </xf>
    <xf numFmtId="170" fontId="0" fillId="36" borderId="13" xfId="0" applyNumberFormat="1" applyFill="1" applyBorder="1" applyAlignment="1">
      <alignment/>
    </xf>
    <xf numFmtId="8" fontId="0" fillId="36" borderId="13" xfId="0" applyNumberFormat="1" applyFill="1" applyBorder="1" applyAlignment="1">
      <alignment/>
    </xf>
    <xf numFmtId="8" fontId="22" fillId="33" borderId="0" xfId="0" applyNumberFormat="1" applyFont="1" applyFill="1" applyAlignment="1">
      <alignment/>
    </xf>
    <xf numFmtId="169" fontId="22" fillId="33" borderId="0" xfId="0" applyNumberFormat="1" applyFont="1" applyFill="1" applyAlignment="1">
      <alignment/>
    </xf>
    <xf numFmtId="169" fontId="0" fillId="36" borderId="13" xfId="0" applyNumberFormat="1" applyFill="1" applyBorder="1" applyAlignment="1">
      <alignment/>
    </xf>
    <xf numFmtId="4" fontId="0" fillId="36" borderId="13" xfId="0" applyNumberFormat="1" applyFill="1" applyBorder="1" applyAlignment="1">
      <alignment/>
    </xf>
    <xf numFmtId="0" fontId="18" fillId="33" borderId="0" xfId="0" applyFont="1" applyFill="1" applyAlignment="1">
      <alignment wrapText="1"/>
    </xf>
    <xf numFmtId="0" fontId="18" fillId="33" borderId="0" xfId="0" applyFont="1" applyFill="1" applyAlignment="1">
      <alignment vertical="center" wrapText="1"/>
    </xf>
    <xf numFmtId="0" fontId="10" fillId="33" borderId="0" xfId="0" applyFont="1" applyFill="1" applyBorder="1" applyAlignment="1">
      <alignment vertical="top" wrapText="1"/>
    </xf>
    <xf numFmtId="2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wrapText="1"/>
    </xf>
    <xf numFmtId="0" fontId="10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Alignment="1">
      <alignment horizontal="center"/>
    </xf>
    <xf numFmtId="0" fontId="23" fillId="0" borderId="13" xfId="52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10" fillId="33" borderId="0" xfId="0" applyFont="1" applyFill="1" applyBorder="1" applyAlignment="1">
      <alignment vertical="top"/>
    </xf>
    <xf numFmtId="9" fontId="0" fillId="33" borderId="0" xfId="58" applyFont="1" applyFill="1" applyAlignment="1">
      <alignment horizontal="right"/>
    </xf>
    <xf numFmtId="9" fontId="0" fillId="33" borderId="11" xfId="58" applyFont="1" applyFill="1" applyBorder="1" applyAlignment="1">
      <alignment horizontal="right"/>
    </xf>
    <xf numFmtId="3" fontId="0" fillId="33" borderId="0" xfId="0" applyNumberFormat="1" applyFill="1" applyBorder="1" applyAlignment="1">
      <alignment horizontal="right"/>
    </xf>
    <xf numFmtId="4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0" fontId="0" fillId="35" borderId="0" xfId="0" applyFont="1" applyFill="1" applyBorder="1" applyAlignment="1">
      <alignment/>
    </xf>
    <xf numFmtId="3" fontId="0" fillId="36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167" fontId="10" fillId="33" borderId="0" xfId="0" applyNumberFormat="1" applyFont="1" applyFill="1" applyBorder="1" applyAlignment="1">
      <alignment/>
    </xf>
    <xf numFmtId="167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0" fillId="33" borderId="0" xfId="0" applyFill="1" applyAlignment="1">
      <alignment horizontal="left" wrapText="1" indent="4"/>
    </xf>
    <xf numFmtId="0" fontId="0" fillId="33" borderId="0" xfId="0" applyFill="1" applyAlignment="1">
      <alignment horizontal="left" wrapText="1" indent="3"/>
    </xf>
    <xf numFmtId="0" fontId="0" fillId="33" borderId="0" xfId="0" applyFill="1" applyAlignment="1">
      <alignment horizontal="left" indent="4"/>
    </xf>
    <xf numFmtId="0" fontId="0" fillId="33" borderId="0" xfId="0" applyFont="1" applyFill="1" applyAlignment="1">
      <alignment wrapText="1"/>
    </xf>
    <xf numFmtId="0" fontId="0" fillId="36" borderId="0" xfId="0" applyFill="1" applyAlignment="1">
      <alignment/>
    </xf>
    <xf numFmtId="169" fontId="0" fillId="33" borderId="0" xfId="0" applyNumberFormat="1" applyFont="1" applyFill="1" applyBorder="1" applyAlignment="1">
      <alignment/>
    </xf>
    <xf numFmtId="167" fontId="0" fillId="33" borderId="0" xfId="52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wrapText="1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7" fillId="33" borderId="14" xfId="0" applyFont="1" applyFill="1" applyBorder="1" applyAlignment="1">
      <alignment horizontal="right" wrapText="1"/>
    </xf>
    <xf numFmtId="0" fontId="7" fillId="33" borderId="11" xfId="0" applyFont="1" applyFill="1" applyBorder="1" applyAlignment="1">
      <alignment horizontal="left" indent="3"/>
    </xf>
    <xf numFmtId="0" fontId="7" fillId="33" borderId="0" xfId="0" applyFont="1" applyFill="1" applyBorder="1" applyAlignment="1">
      <alignment horizontal="left" indent="3"/>
    </xf>
    <xf numFmtId="0" fontId="0" fillId="35" borderId="0" xfId="0" applyFill="1" applyAlignment="1">
      <alignment horizontal="left" indent="3"/>
    </xf>
    <xf numFmtId="0" fontId="0" fillId="33" borderId="0" xfId="0" applyFill="1" applyAlignment="1">
      <alignment horizontal="left" indent="3"/>
    </xf>
    <xf numFmtId="0" fontId="7" fillId="35" borderId="0" xfId="0" applyFont="1" applyFill="1" applyAlignment="1">
      <alignment horizontal="left" indent="3"/>
    </xf>
    <xf numFmtId="0" fontId="0" fillId="35" borderId="0" xfId="0" applyFill="1" applyBorder="1" applyAlignment="1">
      <alignment horizontal="left" indent="3"/>
    </xf>
    <xf numFmtId="0" fontId="0" fillId="33" borderId="0" xfId="0" applyFill="1" applyBorder="1" applyAlignment="1">
      <alignment horizontal="left" indent="3"/>
    </xf>
    <xf numFmtId="0" fontId="0" fillId="33" borderId="11" xfId="0" applyFill="1" applyBorder="1" applyAlignment="1">
      <alignment horizontal="left" indent="3"/>
    </xf>
    <xf numFmtId="171" fontId="0" fillId="33" borderId="0" xfId="0" applyNumberFormat="1" applyFill="1" applyAlignment="1">
      <alignment/>
    </xf>
    <xf numFmtId="0" fontId="0" fillId="33" borderId="0" xfId="0" applyFont="1" applyFill="1" applyAlignment="1">
      <alignment horizontal="left" indent="3"/>
    </xf>
    <xf numFmtId="0" fontId="0" fillId="33" borderId="0" xfId="0" applyFont="1" applyFill="1" applyBorder="1" applyAlignment="1">
      <alignment horizontal="left" indent="3"/>
    </xf>
    <xf numFmtId="0" fontId="0" fillId="35" borderId="0" xfId="0" applyFill="1" applyAlignment="1">
      <alignment/>
    </xf>
    <xf numFmtId="0" fontId="0" fillId="33" borderId="0" xfId="0" applyFont="1" applyFill="1" applyAlignment="1">
      <alignment horizontal="left" indent="5"/>
    </xf>
    <xf numFmtId="0" fontId="0" fillId="33" borderId="0" xfId="0" applyFill="1" applyAlignment="1">
      <alignment horizontal="left" indent="5"/>
    </xf>
    <xf numFmtId="172" fontId="0" fillId="35" borderId="0" xfId="0" applyNumberFormat="1" applyFill="1" applyAlignment="1">
      <alignment/>
    </xf>
    <xf numFmtId="3" fontId="7" fillId="33" borderId="0" xfId="0" applyNumberFormat="1" applyFont="1" applyFill="1" applyBorder="1" applyAlignment="1">
      <alignment/>
    </xf>
    <xf numFmtId="2" fontId="0" fillId="33" borderId="0" xfId="0" applyNumberFormat="1" applyFill="1" applyAlignment="1">
      <alignment horizontal="left" wrapText="1" indent="2"/>
    </xf>
    <xf numFmtId="2" fontId="0" fillId="33" borderId="0" xfId="0" applyNumberFormat="1" applyFill="1" applyAlignment="1">
      <alignment horizontal="left" indent="2"/>
    </xf>
    <xf numFmtId="0" fontId="0" fillId="33" borderId="0" xfId="0" applyFill="1" applyAlignment="1">
      <alignment horizontal="left" indent="2"/>
    </xf>
    <xf numFmtId="166" fontId="0" fillId="33" borderId="0" xfId="0" applyNumberFormat="1" applyFill="1" applyAlignment="1">
      <alignment horizontal="center"/>
    </xf>
    <xf numFmtId="3" fontId="0" fillId="33" borderId="0" xfId="0" applyNumberFormat="1" applyFill="1" applyBorder="1" applyAlignment="1">
      <alignment horizontal="left" wrapText="1"/>
    </xf>
    <xf numFmtId="0" fontId="7" fillId="33" borderId="11" xfId="0" applyFont="1" applyFill="1" applyBorder="1" applyAlignment="1">
      <alignment horizontal="center" wrapText="1"/>
    </xf>
    <xf numFmtId="167" fontId="0" fillId="36" borderId="13" xfId="0" applyNumberFormat="1" applyFont="1" applyFill="1" applyBorder="1" applyAlignment="1">
      <alignment horizontal="right"/>
    </xf>
    <xf numFmtId="0" fontId="10" fillId="33" borderId="11" xfId="0" applyFont="1" applyFill="1" applyBorder="1" applyAlignment="1" quotePrefix="1">
      <alignment horizontal="center"/>
    </xf>
    <xf numFmtId="0" fontId="25" fillId="33" borderId="11" xfId="0" applyFont="1" applyFill="1" applyBorder="1" applyAlignment="1">
      <alignment horizontal="right" wrapText="1"/>
    </xf>
    <xf numFmtId="173" fontId="0" fillId="33" borderId="0" xfId="0" applyNumberFormat="1" applyFill="1" applyAlignment="1">
      <alignment horizontal="right"/>
    </xf>
    <xf numFmtId="173" fontId="0" fillId="36" borderId="13" xfId="0" applyNumberFormat="1" applyFill="1" applyBorder="1" applyAlignment="1">
      <alignment horizontal="right"/>
    </xf>
    <xf numFmtId="37" fontId="0" fillId="36" borderId="13" xfId="0" applyNumberFormat="1" applyFill="1" applyBorder="1" applyAlignment="1">
      <alignment horizontal="right"/>
    </xf>
    <xf numFmtId="3" fontId="0" fillId="40" borderId="14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169" fontId="0" fillId="33" borderId="0" xfId="0" applyNumberFormat="1" applyFill="1" applyBorder="1" applyAlignment="1">
      <alignment horizontal="right"/>
    </xf>
    <xf numFmtId="167" fontId="0" fillId="33" borderId="0" xfId="0" applyNumberFormat="1" applyFont="1" applyFill="1" applyAlignment="1">
      <alignment horizontal="right"/>
    </xf>
    <xf numFmtId="169" fontId="0" fillId="33" borderId="0" xfId="0" applyNumberFormat="1" applyFill="1" applyAlignment="1">
      <alignment horizontal="right"/>
    </xf>
    <xf numFmtId="170" fontId="0" fillId="33" borderId="0" xfId="0" applyNumberFormat="1" applyFill="1" applyAlignment="1">
      <alignment horizontal="right"/>
    </xf>
    <xf numFmtId="0" fontId="8" fillId="33" borderId="0" xfId="0" applyFont="1" applyFill="1" applyAlignment="1">
      <alignment wrapText="1"/>
    </xf>
    <xf numFmtId="0" fontId="0" fillId="0" borderId="13" xfId="0" applyFont="1" applyBorder="1" applyAlignment="1">
      <alignment vertical="center" wrapText="1"/>
    </xf>
    <xf numFmtId="0" fontId="18" fillId="33" borderId="0" xfId="0" applyFont="1" applyFill="1" applyAlignment="1">
      <alignment horizontal="center"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Motor Fuel/ Motor Vehicle Tax
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Property Taxes
52%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Local Sales and Other Taxes
19%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Permits and Fines.
11%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Toll Revenue
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Motor Fuel Tax / Motor Vehicle Tax</c:v>
              </c:pt>
              <c:pt idx="1">
                <c:v>General Revenue</c:v>
              </c:pt>
              <c:pt idx="2">
                <c:v>Property Taxes and Special Assessments</c:v>
              </c:pt>
              <c:pt idx="3">
                <c:v>Local Payments to State / Other Local Imposts</c:v>
              </c:pt>
              <c:pt idx="4">
                <c:v>Miscellaneous</c:v>
              </c:pt>
              <c:pt idx="5">
                <c:v>Road and Crossing Tolls</c:v>
              </c:pt>
            </c:strLit>
          </c:cat>
          <c:val>
            <c:numLit>
              <c:ptCount val="6"/>
              <c:pt idx="0">
                <c:v>0.00415802025583052</c:v>
              </c:pt>
              <c:pt idx="1">
                <c:v>0.0291505547825487</c:v>
              </c:pt>
              <c:pt idx="2">
                <c:v>0.121044102685174</c:v>
              </c:pt>
              <c:pt idx="3">
                <c:v>0.044789917783371</c:v>
              </c:pt>
              <c:pt idx="4">
                <c:v>0.0264568483956683</c:v>
              </c:pt>
              <c:pt idx="5">
                <c:v>0.00609100806387991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21</xdr:row>
      <xdr:rowOff>57150</xdr:rowOff>
    </xdr:from>
    <xdr:to>
      <xdr:col>12</xdr:col>
      <xdr:colOff>0</xdr:colOff>
      <xdr:row>27</xdr:row>
      <xdr:rowOff>0</xdr:rowOff>
    </xdr:to>
    <xdr:graphicFrame>
      <xdr:nvGraphicFramePr>
        <xdr:cNvPr id="1" name="Chart 2"/>
        <xdr:cNvGraphicFramePr/>
      </xdr:nvGraphicFramePr>
      <xdr:xfrm>
        <a:off x="9020175" y="3762375"/>
        <a:ext cx="0" cy="92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sdt-srv3\economics\Documents%20and%20Settings\David%20Luskin\My%20Documents\HDR\Arizona\Documents%20and%20Settings\David%20Luskin\Local%20Settings\Temporary%20Internet%20Files\Content.IE5\7PIRSLUZ\EST%20BY%20ZIP%20CODES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ATA"/>
      <sheetName val="NY County Data"/>
      <sheetName val="Legend"/>
      <sheetName val="IND SUMMARY"/>
      <sheetName val="D2_14"/>
      <sheetName val="D2"/>
      <sheetName val="ZIPESTD2_14"/>
      <sheetName val="ZIPESTD2"/>
      <sheetName val="x10281"/>
      <sheetName val="x10282"/>
      <sheetName val="x10280"/>
      <sheetName val="x10006"/>
      <sheetName val="10004"/>
      <sheetName val="10005"/>
      <sheetName val="10038"/>
      <sheetName val="10007"/>
      <sheetName val="10002"/>
      <sheetName val="10013"/>
      <sheetName val="10012"/>
      <sheetName val="10009"/>
      <sheetName val="10003"/>
      <sheetName val="10011"/>
      <sheetName val="10014"/>
      <sheetName val="10010"/>
      <sheetName val="10001"/>
      <sheetName val="10016"/>
      <sheetName val="10018"/>
      <sheetName val="10017"/>
      <sheetName val="x10036"/>
      <sheetName val="x10020"/>
      <sheetName val="x10019"/>
      <sheetName val="x10022"/>
    </sheetNames>
    <sheetDataSet>
      <sheetData sheetId="3">
        <row r="5">
          <cell r="A5" t="str">
            <v>------ Total</v>
          </cell>
          <cell r="B5" t="str">
            <v>TOTAL</v>
          </cell>
          <cell r="C5">
            <v>75930</v>
          </cell>
          <cell r="D5">
            <v>1486562.7478632892</v>
          </cell>
        </row>
        <row r="6">
          <cell r="A6" t="str">
            <v>11---- Total</v>
          </cell>
          <cell r="B6" t="str">
            <v>Forestry, fishing, hunting, and agricultur</v>
          </cell>
          <cell r="C6">
            <v>14</v>
          </cell>
          <cell r="D6">
            <v>0</v>
          </cell>
        </row>
        <row r="7">
          <cell r="A7" t="str">
            <v>21---- Total</v>
          </cell>
          <cell r="B7" t="str">
            <v>Mining</v>
          </cell>
          <cell r="C7">
            <v>10</v>
          </cell>
          <cell r="D7">
            <v>0</v>
          </cell>
        </row>
        <row r="8">
          <cell r="A8" t="str">
            <v>22---- Total</v>
          </cell>
          <cell r="B8" t="str">
            <v>Utilities</v>
          </cell>
          <cell r="C8">
            <v>20</v>
          </cell>
          <cell r="D8">
            <v>0</v>
          </cell>
        </row>
        <row r="9">
          <cell r="A9" t="str">
            <v>23---- Total</v>
          </cell>
          <cell r="B9" t="str">
            <v>Construction</v>
          </cell>
          <cell r="C9">
            <v>1361</v>
          </cell>
          <cell r="D9">
            <v>22399.28825065274</v>
          </cell>
        </row>
        <row r="10">
          <cell r="A10" t="str">
            <v>31---- Total</v>
          </cell>
          <cell r="B10" t="str">
            <v>Manufacturing</v>
          </cell>
          <cell r="C10">
            <v>2924</v>
          </cell>
          <cell r="D10">
            <v>40818.89697340263</v>
          </cell>
        </row>
        <row r="11">
          <cell r="A11" t="str">
            <v>42---- Total</v>
          </cell>
          <cell r="B11" t="str">
            <v>Wholesale trade</v>
          </cell>
          <cell r="C11">
            <v>9269</v>
          </cell>
          <cell r="D11">
            <v>99065.61872751373</v>
          </cell>
        </row>
        <row r="12">
          <cell r="A12" t="str">
            <v>44---- Total</v>
          </cell>
          <cell r="B12" t="str">
            <v>Retail trade</v>
          </cell>
          <cell r="C12">
            <v>7949</v>
          </cell>
          <cell r="D12">
            <v>81503.2038412292</v>
          </cell>
        </row>
        <row r="13">
          <cell r="A13" t="str">
            <v>48---- Total</v>
          </cell>
          <cell r="B13" t="str">
            <v>Transportation &amp; warehousing</v>
          </cell>
          <cell r="C13">
            <v>790</v>
          </cell>
          <cell r="D13">
            <v>18648.859126984127</v>
          </cell>
        </row>
        <row r="14">
          <cell r="A14" t="str">
            <v>51---- Total</v>
          </cell>
          <cell r="B14" t="str">
            <v>Information</v>
          </cell>
          <cell r="C14">
            <v>3676</v>
          </cell>
          <cell r="D14">
            <v>141538.04117922322</v>
          </cell>
        </row>
        <row r="15">
          <cell r="A15" t="str">
            <v>52---- Total</v>
          </cell>
          <cell r="B15" t="str">
            <v>Finance &amp; insurance</v>
          </cell>
          <cell r="C15">
            <v>6264</v>
          </cell>
          <cell r="D15">
            <v>229849.01102779005</v>
          </cell>
        </row>
        <row r="16">
          <cell r="A16" t="str">
            <v>53---- Total</v>
          </cell>
          <cell r="B16" t="str">
            <v>Real estate &amp; rental &amp; leasing</v>
          </cell>
          <cell r="C16">
            <v>5534</v>
          </cell>
          <cell r="D16">
            <v>41566.9808</v>
          </cell>
        </row>
        <row r="17">
          <cell r="A17" t="str">
            <v>54---- Total</v>
          </cell>
          <cell r="B17" t="str">
            <v>Professional, scientific &amp; technical servi</v>
          </cell>
          <cell r="C17">
            <v>14061</v>
          </cell>
          <cell r="D17">
            <v>212623.87305925452</v>
          </cell>
        </row>
        <row r="18">
          <cell r="A18" t="str">
            <v>55---- Total</v>
          </cell>
          <cell r="B18" t="str">
            <v>Management of companies &amp; enterprises</v>
          </cell>
          <cell r="C18">
            <v>807</v>
          </cell>
          <cell r="D18">
            <v>75845.8161634103</v>
          </cell>
        </row>
        <row r="19">
          <cell r="A19" t="str">
            <v>56---- Total</v>
          </cell>
          <cell r="B19" t="str">
            <v>Admin, support, waste mgt, remediation ser</v>
          </cell>
          <cell r="C19">
            <v>3354</v>
          </cell>
          <cell r="D19">
            <v>112941.85975609756</v>
          </cell>
        </row>
        <row r="20">
          <cell r="A20" t="str">
            <v>61---- Total</v>
          </cell>
          <cell r="B20" t="str">
            <v>Educational services</v>
          </cell>
          <cell r="C20">
            <v>770</v>
          </cell>
          <cell r="D20">
            <v>61445.87155963303</v>
          </cell>
        </row>
        <row r="21">
          <cell r="A21" t="str">
            <v>62---- Total</v>
          </cell>
          <cell r="B21" t="str">
            <v>Health care and social assistance</v>
          </cell>
          <cell r="C21">
            <v>3844</v>
          </cell>
          <cell r="D21">
            <v>115332.27603443488</v>
          </cell>
        </row>
        <row r="22">
          <cell r="A22" t="str">
            <v>71---- Total</v>
          </cell>
          <cell r="B22" t="str">
            <v>Arts, entertainment &amp; recreation</v>
          </cell>
          <cell r="C22">
            <v>2824</v>
          </cell>
          <cell r="D22">
            <v>44115.50180305132</v>
          </cell>
        </row>
        <row r="23">
          <cell r="A23" t="str">
            <v>72---- Total</v>
          </cell>
          <cell r="B23" t="str">
            <v>Accommodation &amp; food services</v>
          </cell>
          <cell r="C23">
            <v>6046</v>
          </cell>
          <cell r="D23">
            <v>112340.77257229449</v>
          </cell>
        </row>
        <row r="24">
          <cell r="A24" t="str">
            <v>81---- Total</v>
          </cell>
          <cell r="B24" t="str">
            <v>Other services (except public administration</v>
          </cell>
          <cell r="C24">
            <v>6021</v>
          </cell>
          <cell r="D24">
            <v>59253.52760672164</v>
          </cell>
        </row>
        <row r="25">
          <cell r="A25" t="str">
            <v>99---- Total</v>
          </cell>
          <cell r="B25" t="str">
            <v>Unclassified establishments</v>
          </cell>
          <cell r="C25">
            <v>392</v>
          </cell>
          <cell r="D25">
            <v>478.16107382550337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F23"/>
  <sheetViews>
    <sheetView showGridLines="0" tabSelected="1" zoomScalePageLayoutView="0" workbookViewId="0" topLeftCell="A1">
      <selection activeCell="C1" sqref="C1"/>
    </sheetView>
  </sheetViews>
  <sheetFormatPr defaultColWidth="9.140625" defaultRowHeight="12.75"/>
  <cols>
    <col min="2" max="2" width="24.57421875" style="0" bestFit="1" customWidth="1"/>
    <col min="3" max="3" width="68.00390625" style="0" customWidth="1"/>
  </cols>
  <sheetData>
    <row r="1" ht="17.25">
      <c r="A1" s="290" t="s">
        <v>581</v>
      </c>
    </row>
    <row r="2" spans="2:3" ht="15">
      <c r="B2" s="291" t="s">
        <v>583</v>
      </c>
      <c r="C2" s="291" t="s">
        <v>586</v>
      </c>
    </row>
    <row r="3" spans="2:3" ht="34.5" customHeight="1">
      <c r="B3" s="292" t="s">
        <v>576</v>
      </c>
      <c r="C3" s="293" t="s">
        <v>593</v>
      </c>
    </row>
    <row r="4" spans="2:3" ht="34.5" customHeight="1">
      <c r="B4" s="292" t="s">
        <v>299</v>
      </c>
      <c r="C4" s="361" t="s">
        <v>787</v>
      </c>
    </row>
    <row r="5" spans="2:3" ht="34.5" customHeight="1">
      <c r="B5" s="292" t="s">
        <v>582</v>
      </c>
      <c r="C5" s="293" t="s">
        <v>594</v>
      </c>
    </row>
    <row r="6" spans="2:6" ht="34.5" customHeight="1">
      <c r="B6" s="292" t="s">
        <v>382</v>
      </c>
      <c r="C6" s="293" t="s">
        <v>595</v>
      </c>
      <c r="F6" s="286"/>
    </row>
    <row r="7" spans="2:6" ht="34.5" customHeight="1">
      <c r="B7" s="292" t="s">
        <v>383</v>
      </c>
      <c r="C7" s="293" t="s">
        <v>596</v>
      </c>
      <c r="F7" s="286"/>
    </row>
    <row r="8" spans="2:6" ht="34.5" customHeight="1">
      <c r="B8" s="292" t="s">
        <v>587</v>
      </c>
      <c r="C8" s="293" t="s">
        <v>602</v>
      </c>
      <c r="F8" s="286"/>
    </row>
    <row r="9" spans="2:3" ht="34.5" customHeight="1">
      <c r="B9" s="292" t="s">
        <v>588</v>
      </c>
      <c r="C9" s="293" t="s">
        <v>597</v>
      </c>
    </row>
    <row r="10" spans="2:3" ht="34.5" customHeight="1">
      <c r="B10" s="292" t="s">
        <v>589</v>
      </c>
      <c r="C10" s="293" t="s">
        <v>598</v>
      </c>
    </row>
    <row r="11" spans="2:3" ht="34.5" customHeight="1">
      <c r="B11" s="292" t="s">
        <v>592</v>
      </c>
      <c r="C11" s="293" t="s">
        <v>599</v>
      </c>
    </row>
    <row r="12" spans="2:3" ht="34.5" customHeight="1">
      <c r="B12" s="292" t="s">
        <v>590</v>
      </c>
      <c r="C12" s="293" t="s">
        <v>601</v>
      </c>
    </row>
    <row r="13" spans="2:3" ht="34.5" customHeight="1">
      <c r="B13" s="292" t="s">
        <v>591</v>
      </c>
      <c r="C13" s="293" t="s">
        <v>600</v>
      </c>
    </row>
    <row r="16" spans="1:2" ht="17.25">
      <c r="A16" s="290" t="s">
        <v>584</v>
      </c>
      <c r="B16" s="1"/>
    </row>
    <row r="18" spans="2:3" ht="12.75">
      <c r="B18" s="241"/>
      <c r="C18" s="242" t="s">
        <v>578</v>
      </c>
    </row>
    <row r="20" ht="12.75">
      <c r="B20" s="1" t="s">
        <v>585</v>
      </c>
    </row>
    <row r="21" spans="2:3" ht="12.75">
      <c r="B21" s="256"/>
      <c r="C21" s="242" t="s">
        <v>603</v>
      </c>
    </row>
    <row r="22" spans="2:3" ht="12.75">
      <c r="B22" s="257"/>
      <c r="C22" s="242" t="s">
        <v>604</v>
      </c>
    </row>
    <row r="23" spans="2:3" ht="12.75">
      <c r="B23" s="258"/>
      <c r="C23" s="242" t="s">
        <v>605</v>
      </c>
    </row>
  </sheetData>
  <sheetProtection/>
  <hyperlinks>
    <hyperlink ref="B3" location="Inputs!A1" display="Inputs"/>
    <hyperlink ref="B5" location="'Values of Time'!A1" display="Values of Time"/>
    <hyperlink ref="B6" location="'Free Flow CP'!A1" display="Free Flow CP"/>
    <hyperlink ref="B7" location="'Moderate CP'!A1" display="Moderate CP"/>
    <hyperlink ref="B8" location="'Traffic  Impacts'!A1" display="Traffic Impacts"/>
    <hyperlink ref="B9" location="'ETC Costs'!A1" display="ETC Costs"/>
    <hyperlink ref="B10" location="'Collection Cost'!A1" display="Collection Cost"/>
    <hyperlink ref="B11" location="EmissionsFuelConsumption!A1" display="Emissions Fuel Consumption"/>
    <hyperlink ref="B12" location="Analysis!A1" display="Analysis"/>
    <hyperlink ref="B13" location="Results!A1" display="Results"/>
    <hyperlink ref="B4" location="'Base Case'!A1" display="Base Case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2"/>
  </sheetPr>
  <dimension ref="A1:I81"/>
  <sheetViews>
    <sheetView zoomScalePageLayoutView="0" workbookViewId="0" topLeftCell="A1">
      <selection activeCell="C55" sqref="C55"/>
    </sheetView>
  </sheetViews>
  <sheetFormatPr defaultColWidth="9.140625" defaultRowHeight="12.75"/>
  <cols>
    <col min="1" max="1" width="36.28125" style="44" customWidth="1"/>
    <col min="2" max="2" width="15.28125" style="44" customWidth="1"/>
    <col min="3" max="3" width="14.7109375" style="44" customWidth="1"/>
    <col min="4" max="4" width="11.8515625" style="44" bestFit="1" customWidth="1"/>
    <col min="5" max="5" width="24.421875" style="44" bestFit="1" customWidth="1"/>
    <col min="6" max="7" width="9.140625" style="44" customWidth="1"/>
    <col min="8" max="9" width="9.28125" style="44" bestFit="1" customWidth="1"/>
    <col min="10" max="16384" width="9.140625" style="44" customWidth="1"/>
  </cols>
  <sheetData>
    <row r="1" ht="15">
      <c r="A1" s="286" t="s">
        <v>628</v>
      </c>
    </row>
    <row r="2" spans="2:4" ht="17.25">
      <c r="B2" s="191"/>
      <c r="C2" s="362"/>
      <c r="D2" s="362"/>
    </row>
    <row r="3" spans="2:4" ht="17.25">
      <c r="B3" s="362" t="str">
        <f>Inputs!C4</f>
        <v>Case Study State</v>
      </c>
      <c r="C3" s="363"/>
      <c r="D3" s="287"/>
    </row>
    <row r="4" spans="1:4" ht="27" thickBot="1">
      <c r="A4" s="78" t="s">
        <v>301</v>
      </c>
      <c r="B4" s="120" t="s">
        <v>474</v>
      </c>
      <c r="C4" s="120" t="s">
        <v>475</v>
      </c>
      <c r="D4" s="80"/>
    </row>
    <row r="5" spans="1:3" ht="12.75">
      <c r="A5" s="44" t="s">
        <v>285</v>
      </c>
      <c r="B5" s="44">
        <v>60</v>
      </c>
      <c r="C5" s="105">
        <f>'Base Case'!C34</f>
        <v>60</v>
      </c>
    </row>
    <row r="6" spans="1:3" ht="12.75">
      <c r="A6" s="44" t="s">
        <v>300</v>
      </c>
      <c r="B6" s="44">
        <v>55.7</v>
      </c>
      <c r="C6" s="105">
        <f>'Base Case'!C35</f>
        <v>50.95288915993291</v>
      </c>
    </row>
    <row r="7" spans="1:3" ht="12.75">
      <c r="A7" s="44" t="s">
        <v>286</v>
      </c>
      <c r="B7" s="44">
        <v>51.4</v>
      </c>
      <c r="C7" s="105">
        <f>'Base Case'!C36</f>
        <v>43.32677718460241</v>
      </c>
    </row>
    <row r="8" spans="1:3" ht="12.75">
      <c r="A8" s="44" t="s">
        <v>284</v>
      </c>
      <c r="B8" s="44">
        <v>41.5</v>
      </c>
      <c r="C8" s="105">
        <f>'Base Case'!C37</f>
        <v>29.625223081499104</v>
      </c>
    </row>
    <row r="9" spans="1:4" ht="13.5" thickBot="1">
      <c r="A9" s="80" t="s">
        <v>283</v>
      </c>
      <c r="B9" s="122">
        <v>35</v>
      </c>
      <c r="C9" s="105">
        <f>'Base Case'!C38</f>
        <v>22.702702702702705</v>
      </c>
      <c r="D9" s="80"/>
    </row>
    <row r="10" spans="1:4" ht="12.75">
      <c r="A10" s="42"/>
      <c r="B10" s="56"/>
      <c r="C10" s="42"/>
      <c r="D10" s="42"/>
    </row>
    <row r="11" spans="1:2" ht="12.75">
      <c r="A11" s="68"/>
      <c r="B11" s="49"/>
    </row>
    <row r="12" ht="13.5" customHeight="1">
      <c r="A12" s="286" t="s">
        <v>473</v>
      </c>
    </row>
    <row r="13" ht="13.5" customHeight="1">
      <c r="A13" s="48"/>
    </row>
    <row r="14" spans="1:4" ht="12.75">
      <c r="A14" s="48" t="s">
        <v>309</v>
      </c>
      <c r="B14" s="48"/>
      <c r="C14" s="48"/>
      <c r="D14" s="48"/>
    </row>
    <row r="15" spans="1:4" ht="36" customHeight="1">
      <c r="A15" s="48"/>
      <c r="B15" s="362" t="str">
        <f>Inputs!C4</f>
        <v>Case Study State</v>
      </c>
      <c r="C15" s="363"/>
      <c r="D15" s="287"/>
    </row>
    <row r="16" spans="1:4" ht="13.5" customHeight="1" thickBot="1">
      <c r="A16" s="78" t="s">
        <v>301</v>
      </c>
      <c r="B16" s="93" t="s">
        <v>308</v>
      </c>
      <c r="C16" s="93" t="s">
        <v>306</v>
      </c>
      <c r="D16" s="80"/>
    </row>
    <row r="17" spans="1:3" ht="12.75">
      <c r="A17" s="44" t="s">
        <v>285</v>
      </c>
      <c r="B17" s="277">
        <f>'Base Case'!B65</f>
        <v>0.5655877013019068</v>
      </c>
      <c r="C17" s="104">
        <v>0</v>
      </c>
    </row>
    <row r="18" spans="1:9" ht="12.75">
      <c r="A18" s="44" t="s">
        <v>300</v>
      </c>
      <c r="B18" s="277">
        <f>'Base Case'!B66</f>
        <v>0.1339771223362403</v>
      </c>
      <c r="C18" s="104">
        <v>-0.06</v>
      </c>
      <c r="I18" s="119"/>
    </row>
    <row r="19" spans="1:9" ht="12.75">
      <c r="A19" s="44" t="s">
        <v>286</v>
      </c>
      <c r="B19" s="277">
        <f>'Base Case'!B67</f>
        <v>0.1339771223362403</v>
      </c>
      <c r="C19" s="104">
        <v>-0.11</v>
      </c>
      <c r="I19" s="119"/>
    </row>
    <row r="20" spans="1:9" ht="12.75">
      <c r="A20" s="44" t="s">
        <v>284</v>
      </c>
      <c r="B20" s="277">
        <f>'Base Case'!B68</f>
        <v>0.05219751478604877</v>
      </c>
      <c r="C20" s="104">
        <v>-0.18</v>
      </c>
      <c r="I20" s="119"/>
    </row>
    <row r="21" spans="1:9" ht="12.75">
      <c r="A21" s="44" t="s">
        <v>283</v>
      </c>
      <c r="B21" s="277">
        <f>'Base Case'!B69</f>
        <v>0.11426053923956382</v>
      </c>
      <c r="C21" s="104">
        <v>-0.21</v>
      </c>
      <c r="I21" s="119"/>
    </row>
    <row r="22" spans="1:9" ht="12.75">
      <c r="A22" s="68" t="s">
        <v>307</v>
      </c>
      <c r="B22" s="104">
        <v>1</v>
      </c>
      <c r="C22" s="104">
        <f>(C17*B17+C18*B18+C19*B19+C20*B20+C21*B21)</f>
        <v>-0.056166376698958034</v>
      </c>
      <c r="I22" s="119"/>
    </row>
    <row r="23" spans="1:4" ht="13.5" thickBot="1">
      <c r="A23" s="93" t="s">
        <v>313</v>
      </c>
      <c r="B23" s="106">
        <f>'Base Case'!B20</f>
        <v>26283561.643835615</v>
      </c>
      <c r="C23" s="106">
        <f>C22*B23</f>
        <v>-1476252.424277956</v>
      </c>
      <c r="D23" s="80"/>
    </row>
    <row r="24" spans="1:2" ht="12.75">
      <c r="A24" s="68"/>
      <c r="B24" s="55"/>
    </row>
    <row r="25" ht="12.75">
      <c r="A25" s="48" t="s">
        <v>310</v>
      </c>
    </row>
    <row r="26" spans="1:4" ht="53.25" thickBot="1">
      <c r="A26" s="78" t="s">
        <v>301</v>
      </c>
      <c r="B26" s="93" t="s">
        <v>764</v>
      </c>
      <c r="C26" s="93" t="s">
        <v>302</v>
      </c>
      <c r="D26" s="93" t="s">
        <v>765</v>
      </c>
    </row>
    <row r="27" spans="1:4" ht="12.75">
      <c r="A27" s="44" t="s">
        <v>285</v>
      </c>
      <c r="B27" s="277">
        <f aca="true" t="shared" si="0" ref="B27:B32">B17</f>
        <v>0.5655877013019068</v>
      </c>
      <c r="C27" s="104">
        <v>0</v>
      </c>
      <c r="D27" s="104">
        <f>'Base Case'!B56</f>
        <v>0.2431469667297589</v>
      </c>
    </row>
    <row r="28" spans="1:5" ht="12.75">
      <c r="A28" s="44" t="s">
        <v>300</v>
      </c>
      <c r="B28" s="277">
        <f t="shared" si="0"/>
        <v>0.1339771223362403</v>
      </c>
      <c r="C28" s="104">
        <v>0</v>
      </c>
      <c r="D28" s="104">
        <f>'Base Case'!B57</f>
        <v>0.23342108806056858</v>
      </c>
      <c r="E28" s="117"/>
    </row>
    <row r="29" spans="1:4" ht="12.75">
      <c r="A29" s="44" t="s">
        <v>286</v>
      </c>
      <c r="B29" s="277">
        <f t="shared" si="0"/>
        <v>0.1339771223362403</v>
      </c>
      <c r="C29" s="104">
        <v>0</v>
      </c>
      <c r="D29" s="104">
        <f>'Base Case'!B58</f>
        <v>0.23342108806056858</v>
      </c>
    </row>
    <row r="30" spans="1:5" ht="12.75">
      <c r="A30" s="44" t="s">
        <v>284</v>
      </c>
      <c r="B30" s="277">
        <f t="shared" si="0"/>
        <v>0.05219751478604877</v>
      </c>
      <c r="C30" s="104">
        <f>-0.08</f>
        <v>-0.08</v>
      </c>
      <c r="D30" s="104">
        <f>'Base Case'!B59</f>
        <v>0.09094090455860908</v>
      </c>
      <c r="E30" s="118"/>
    </row>
    <row r="31" spans="1:4" ht="12.75">
      <c r="A31" s="44" t="s">
        <v>283</v>
      </c>
      <c r="B31" s="277">
        <f t="shared" si="0"/>
        <v>0.11426053923956382</v>
      </c>
      <c r="C31" s="104">
        <v>-0.11</v>
      </c>
      <c r="D31" s="104">
        <f>'Base Case'!B60</f>
        <v>0.19906995259049481</v>
      </c>
    </row>
    <row r="32" spans="1:4" ht="12.75">
      <c r="A32" s="68" t="s">
        <v>307</v>
      </c>
      <c r="B32" s="277">
        <f t="shared" si="0"/>
        <v>1</v>
      </c>
      <c r="C32" s="104">
        <f>(C27*B27+C28*B28+C29*B29+C30*B30+C31*B31)</f>
        <v>-0.016744460499235923</v>
      </c>
      <c r="D32" s="104">
        <f>SUM(D27:D31)</f>
        <v>1</v>
      </c>
    </row>
    <row r="33" spans="1:3" ht="12.75">
      <c r="A33" s="68" t="s">
        <v>312</v>
      </c>
      <c r="B33" s="49">
        <f>B23</f>
        <v>26283561.643835615</v>
      </c>
      <c r="C33" s="49">
        <f>C32*B33</f>
        <v>-440104.05972443783</v>
      </c>
    </row>
    <row r="34" spans="1:4" ht="12.75">
      <c r="A34" s="68" t="s">
        <v>500</v>
      </c>
      <c r="B34" s="105">
        <f>(B31*B7+B30*B7+B29*B7+B28*B6+B27*B5)</f>
        <v>56.84015585724224</v>
      </c>
      <c r="C34" s="105"/>
      <c r="D34" s="105">
        <f>(D31*B7+D30*B7+D29*B7+D28*B6+D27*B5)</f>
        <v>54.494774592536366</v>
      </c>
    </row>
    <row r="35" spans="1:4" ht="13.5" thickBot="1">
      <c r="A35" s="93" t="s">
        <v>557</v>
      </c>
      <c r="B35" s="123">
        <f>(B31*C7+B30*C7+B29*C7+B28*C6+B27*C5)</f>
        <v>53.77867148712637</v>
      </c>
      <c r="C35" s="122"/>
      <c r="D35" s="123">
        <f>(D31*C7+D30*C7+D29*C7+D28*C6+D27*C5)</f>
        <v>49.16091609272912</v>
      </c>
    </row>
    <row r="36" spans="1:4" ht="12.75">
      <c r="A36" s="113"/>
      <c r="B36" s="312"/>
      <c r="C36" s="56"/>
      <c r="D36" s="56"/>
    </row>
    <row r="37" ht="12.75">
      <c r="A37" s="92"/>
    </row>
    <row r="38" ht="15">
      <c r="A38" s="286" t="s">
        <v>681</v>
      </c>
    </row>
    <row r="39" ht="12.75">
      <c r="A39" s="48"/>
    </row>
    <row r="40" spans="1:4" ht="13.5" thickBot="1">
      <c r="A40" s="78" t="s">
        <v>673</v>
      </c>
      <c r="B40" s="120" t="s">
        <v>474</v>
      </c>
      <c r="C40" s="120"/>
      <c r="D40" s="80"/>
    </row>
    <row r="41" spans="1:2" ht="12.75">
      <c r="A41" s="44" t="s">
        <v>671</v>
      </c>
      <c r="B41" s="44">
        <v>35</v>
      </c>
    </row>
    <row r="42" spans="1:3" ht="12.75">
      <c r="A42" s="44" t="s">
        <v>672</v>
      </c>
      <c r="B42" s="105">
        <f>'Base Case'!B76</f>
        <v>29.1148727723145</v>
      </c>
      <c r="C42" s="53"/>
    </row>
    <row r="43" spans="1:3" ht="12.75">
      <c r="A43" s="44" t="s">
        <v>282</v>
      </c>
      <c r="B43" s="53">
        <f>(((B41/B42)-1)/0.15)^(1/4)</f>
        <v>1.0774259343640662</v>
      </c>
      <c r="C43" s="53"/>
    </row>
    <row r="44" spans="1:4" ht="12.75">
      <c r="A44" s="44" t="s">
        <v>388</v>
      </c>
      <c r="B44" s="273">
        <f>Inputs!C8*1000000/365*'Base Case'!B15</f>
        <v>12923800.678358043</v>
      </c>
      <c r="C44" s="283"/>
      <c r="D44" s="284"/>
    </row>
    <row r="45" spans="2:3" ht="12.75">
      <c r="B45" s="49"/>
      <c r="C45" s="53"/>
    </row>
    <row r="46" spans="2:3" ht="12.75">
      <c r="B46" s="49"/>
      <c r="C46" s="53"/>
    </row>
    <row r="47" spans="1:3" ht="15">
      <c r="A47" s="286" t="s">
        <v>483</v>
      </c>
      <c r="B47" s="49"/>
      <c r="C47" s="53"/>
    </row>
    <row r="48" spans="1:3" ht="12.75">
      <c r="A48" s="48"/>
      <c r="B48" s="49"/>
      <c r="C48" s="53"/>
    </row>
    <row r="49" spans="1:3" ht="12.75">
      <c r="A49" s="48" t="s">
        <v>314</v>
      </c>
      <c r="B49" s="49"/>
      <c r="C49" s="53"/>
    </row>
    <row r="50" spans="1:3" ht="12.75">
      <c r="A50" s="48"/>
      <c r="B50" s="49"/>
      <c r="C50" s="53"/>
    </row>
    <row r="51" spans="1:3" ht="12.75">
      <c r="A51" s="48"/>
      <c r="B51" s="107" t="s">
        <v>304</v>
      </c>
      <c r="C51" s="108"/>
    </row>
    <row r="52" spans="1:4" ht="41.25" customHeight="1" thickBot="1">
      <c r="A52" s="80"/>
      <c r="B52" s="112" t="s">
        <v>305</v>
      </c>
      <c r="C52" s="112" t="s">
        <v>311</v>
      </c>
      <c r="D52" s="80"/>
    </row>
    <row r="53" spans="1:3" ht="12.75">
      <c r="A53" s="44" t="s">
        <v>315</v>
      </c>
      <c r="B53" s="49">
        <f>C23</f>
        <v>-1476252.424277956</v>
      </c>
      <c r="C53" s="49">
        <f>C33</f>
        <v>-440104.05972443783</v>
      </c>
    </row>
    <row r="54" spans="1:3" ht="12.75">
      <c r="A54" s="44" t="s">
        <v>316</v>
      </c>
      <c r="B54" s="104">
        <f>B69</f>
        <v>0.5512738853503184</v>
      </c>
      <c r="C54" s="104">
        <f>B54</f>
        <v>0.5512738853503184</v>
      </c>
    </row>
    <row r="55" spans="1:3" ht="12.75">
      <c r="A55" s="44" t="s">
        <v>319</v>
      </c>
      <c r="C55" s="104"/>
    </row>
    <row r="56" spans="1:3" ht="12.75">
      <c r="A56" s="109" t="s">
        <v>317</v>
      </c>
      <c r="B56" s="49">
        <f>-B54*B53</f>
        <v>813819.4096895355</v>
      </c>
      <c r="C56" s="49">
        <f>-C54*C53</f>
        <v>242617.8749627394</v>
      </c>
    </row>
    <row r="57" spans="1:3" ht="12.75">
      <c r="A57" s="110" t="s">
        <v>318</v>
      </c>
      <c r="B57" s="104">
        <f>B56/B44</f>
        <v>0.06297059432774621</v>
      </c>
      <c r="C57" s="104">
        <f>C56/B44</f>
        <v>0.018772950852532323</v>
      </c>
    </row>
    <row r="58" spans="1:4" ht="12.75">
      <c r="A58" s="44" t="s">
        <v>660</v>
      </c>
      <c r="B58" s="53">
        <f>(1+B57)*B43</f>
        <v>1.1452720857950986</v>
      </c>
      <c r="C58" s="53">
        <f>(1+C57)*B43</f>
        <v>1.0976523984771265</v>
      </c>
      <c r="D58" s="53"/>
    </row>
    <row r="59" spans="1:4" ht="12.75">
      <c r="A59" s="44" t="s">
        <v>674</v>
      </c>
      <c r="B59" s="53"/>
      <c r="C59" s="53"/>
      <c r="D59" s="53"/>
    </row>
    <row r="60" spans="1:4" ht="13.5" thickBot="1">
      <c r="A60" s="324" t="s">
        <v>675</v>
      </c>
      <c r="B60" s="122">
        <f>B41/(1+0.15*(B58)^4)</f>
        <v>27.820543459620033</v>
      </c>
      <c r="C60" s="122">
        <f>B41/(1+0.15*(C58)^4)</f>
        <v>28.741621234055852</v>
      </c>
      <c r="D60" s="122"/>
    </row>
    <row r="61" spans="1:3" ht="13.5" thickBot="1">
      <c r="A61" s="324" t="s">
        <v>676</v>
      </c>
      <c r="B61" s="53">
        <f>1/(('Base Case'!B17)*(1/B60)+(1-'Base Case'!B17)*(1/35))</f>
        <v>30.484592846080645</v>
      </c>
      <c r="C61" s="53">
        <f>1/(('Base Case'!B17)*(1/C60)+(1-'Base Case'!B17)*(1/35))</f>
        <v>31.111659289904342</v>
      </c>
    </row>
    <row r="62" spans="1:4" ht="12.75">
      <c r="A62" s="44" t="s">
        <v>677</v>
      </c>
      <c r="B62" s="56"/>
      <c r="C62" s="56"/>
      <c r="D62" s="56"/>
    </row>
    <row r="63" spans="1:3" ht="13.5" thickBot="1">
      <c r="A63" s="324" t="s">
        <v>675</v>
      </c>
      <c r="B63" s="122">
        <f>(1/((1/B60)+(1+'Base Case'!B17*Inputs!C14)*((1/B60)-(1/35))))</f>
        <v>20.845005083451756</v>
      </c>
      <c r="C63" s="122">
        <f>(1/((1/C60)+(1+'Base Case'!B17*Inputs!C14)*((1/C60)-(1/35))))</f>
        <v>22.250892775346735</v>
      </c>
    </row>
    <row r="64" spans="1:3" ht="13.5" thickBot="1">
      <c r="A64" s="324" t="s">
        <v>676</v>
      </c>
      <c r="B64" s="122">
        <f>(1/((1/B61)+(1+'Base Case'!B17*Inputs!C14)*((1/B61)-(1/35))))</f>
        <v>25.18418817049949</v>
      </c>
      <c r="C64" s="122">
        <f>(1/((1/C61)+(1+'Base Case'!B17*Inputs!C14)*((1/C61)-(1/35))))</f>
        <v>26.338187564109145</v>
      </c>
    </row>
    <row r="65" spans="1:2" ht="12.75">
      <c r="A65" s="325"/>
      <c r="B65" s="49"/>
    </row>
    <row r="66" spans="1:2" ht="12.75">
      <c r="A66" s="325"/>
      <c r="B66" s="49"/>
    </row>
    <row r="67" ht="12.75">
      <c r="A67" s="48" t="s">
        <v>330</v>
      </c>
    </row>
    <row r="68" spans="1:4" ht="12.75">
      <c r="A68" s="44" t="s">
        <v>329</v>
      </c>
      <c r="B68" s="277">
        <f>Inputs!C104</f>
        <v>0.1</v>
      </c>
      <c r="C68" s="285"/>
      <c r="D68" s="285"/>
    </row>
    <row r="69" spans="1:4" ht="12.75">
      <c r="A69" s="44" t="s">
        <v>316</v>
      </c>
      <c r="B69" s="104">
        <f>0.6+(B68-0.066)*(70-25)/(6.6-38)</f>
        <v>0.5512738853503184</v>
      </c>
      <c r="C69" s="104"/>
      <c r="D69" s="104"/>
    </row>
    <row r="71" spans="1:3" ht="12.75">
      <c r="A71" s="44" t="s">
        <v>559</v>
      </c>
      <c r="C71" s="111"/>
    </row>
    <row r="72" ht="12.75">
      <c r="A72" s="48" t="s">
        <v>332</v>
      </c>
    </row>
    <row r="73" spans="1:3" ht="12.75">
      <c r="A73" s="44" t="s">
        <v>331</v>
      </c>
      <c r="B73" s="111">
        <v>0.38</v>
      </c>
      <c r="C73" s="44" t="s">
        <v>333</v>
      </c>
    </row>
    <row r="74" ht="12.75">
      <c r="A74" s="69" t="s">
        <v>334</v>
      </c>
    </row>
    <row r="75" spans="1:2" ht="26.25">
      <c r="A75" s="55" t="s">
        <v>336</v>
      </c>
      <c r="B75" s="111">
        <v>0.25</v>
      </c>
    </row>
    <row r="76" ht="12.75">
      <c r="A76" s="48" t="s">
        <v>103</v>
      </c>
    </row>
    <row r="77" spans="1:2" ht="12.75">
      <c r="A77" s="44" t="s">
        <v>331</v>
      </c>
      <c r="B77" s="104">
        <v>0.066</v>
      </c>
    </row>
    <row r="78" ht="12.75">
      <c r="A78" s="69" t="s">
        <v>335</v>
      </c>
    </row>
    <row r="79" spans="1:3" ht="26.25">
      <c r="A79" s="55" t="s">
        <v>337</v>
      </c>
      <c r="B79" s="111">
        <v>0.6</v>
      </c>
      <c r="C79" s="44" t="s">
        <v>338</v>
      </c>
    </row>
    <row r="81" ht="12.75">
      <c r="A81" s="261" t="s">
        <v>579</v>
      </c>
    </row>
  </sheetData>
  <sheetProtection/>
  <mergeCells count="3">
    <mergeCell ref="C2:D2"/>
    <mergeCell ref="B3:C3"/>
    <mergeCell ref="B15:C15"/>
  </mergeCells>
  <printOptions/>
  <pageMargins left="0.75" right="0.75" top="1" bottom="1" header="0.5" footer="0.5"/>
  <pageSetup horizontalDpi="600" verticalDpi="600" orientation="landscape" scale="42" r:id="rId1"/>
  <headerFooter alignWithMargins="0">
    <oddHeader>&amp;C&amp;A</oddHeader>
  </headerFooter>
  <rowBreaks count="1" manualBreakCount="1">
    <brk id="46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2"/>
  </sheetPr>
  <dimension ref="B1:G93"/>
  <sheetViews>
    <sheetView zoomScalePageLayoutView="0" workbookViewId="0" topLeftCell="A1">
      <pane xSplit="2" ySplit="3" topLeftCell="C2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1" sqref="B21"/>
    </sheetView>
  </sheetViews>
  <sheetFormatPr defaultColWidth="9.140625" defaultRowHeight="12.75"/>
  <cols>
    <col min="1" max="1" width="6.00390625" style="42" customWidth="1"/>
    <col min="2" max="2" width="48.140625" style="42" customWidth="1"/>
    <col min="3" max="3" width="23.8515625" style="42" customWidth="1"/>
    <col min="4" max="4" width="3.7109375" style="42" hidden="1" customWidth="1"/>
    <col min="5" max="5" width="99.28125" style="130" hidden="1" customWidth="1"/>
    <col min="6" max="6" width="16.421875" style="131" hidden="1" customWidth="1"/>
    <col min="7" max="7" width="37.57421875" style="42" customWidth="1"/>
    <col min="8" max="16384" width="9.140625" style="42" customWidth="1"/>
  </cols>
  <sheetData>
    <row r="1" ht="30.75">
      <c r="B1" s="282" t="s">
        <v>85</v>
      </c>
    </row>
    <row r="2" ht="12.75">
      <c r="B2" s="57"/>
    </row>
    <row r="3" spans="3:7" ht="15">
      <c r="C3" s="260" t="str">
        <f>Inputs!C4</f>
        <v>Case Study State</v>
      </c>
      <c r="D3" s="132"/>
      <c r="E3" s="133" t="s">
        <v>205</v>
      </c>
      <c r="F3" s="134" t="s">
        <v>263</v>
      </c>
      <c r="G3" s="57" t="s">
        <v>263</v>
      </c>
    </row>
    <row r="4" spans="3:4" ht="12.75">
      <c r="C4" s="131"/>
      <c r="D4" s="131"/>
    </row>
    <row r="5" spans="2:7" ht="15.75" thickBot="1">
      <c r="B5" s="155" t="s">
        <v>361</v>
      </c>
      <c r="C5" s="152"/>
      <c r="D5" s="136"/>
      <c r="G5" s="51" t="s">
        <v>497</v>
      </c>
    </row>
    <row r="6" spans="2:5" ht="12.75">
      <c r="B6" s="51" t="s">
        <v>95</v>
      </c>
      <c r="C6" s="263">
        <f>Inputs!C24</f>
        <v>3180</v>
      </c>
      <c r="D6" s="138"/>
      <c r="E6" s="130" t="s">
        <v>173</v>
      </c>
    </row>
    <row r="7" spans="2:4" ht="12.75">
      <c r="B7" s="51" t="s">
        <v>362</v>
      </c>
      <c r="C7" s="138">
        <f>C6/C10</f>
        <v>530</v>
      </c>
      <c r="D7" s="138" t="s">
        <v>363</v>
      </c>
    </row>
    <row r="8" spans="2:5" ht="12.75">
      <c r="B8" s="51" t="s">
        <v>96</v>
      </c>
      <c r="C8" s="263">
        <f>Inputs!C99</f>
        <v>5</v>
      </c>
      <c r="D8" s="138"/>
      <c r="E8" s="139" t="s">
        <v>173</v>
      </c>
    </row>
    <row r="9" spans="2:5" ht="12.75">
      <c r="B9" s="51" t="s">
        <v>111</v>
      </c>
      <c r="C9" s="138">
        <f>+C7/C8</f>
        <v>106</v>
      </c>
      <c r="D9" s="138"/>
      <c r="E9" s="130" t="s">
        <v>246</v>
      </c>
    </row>
    <row r="10" spans="2:4" ht="13.5" thickBot="1">
      <c r="B10" s="121" t="s">
        <v>364</v>
      </c>
      <c r="C10" s="264">
        <f>Inputs!C27</f>
        <v>6</v>
      </c>
      <c r="D10" s="138"/>
    </row>
    <row r="11" spans="2:4" ht="12.75">
      <c r="B11" s="51"/>
      <c r="C11" s="138"/>
      <c r="D11" s="138"/>
    </row>
    <row r="12" spans="2:3" ht="13.5" thickBot="1">
      <c r="B12" s="151" t="s">
        <v>365</v>
      </c>
      <c r="C12" s="80"/>
    </row>
    <row r="13" spans="2:7" ht="12.75">
      <c r="B13" s="42" t="s">
        <v>366</v>
      </c>
      <c r="C13" s="265">
        <f>Inputs!C83</f>
        <v>333</v>
      </c>
      <c r="D13" s="42" t="s">
        <v>363</v>
      </c>
      <c r="E13" s="130" t="s">
        <v>367</v>
      </c>
      <c r="F13" s="131">
        <f aca="true" t="shared" si="0" ref="F13:F20">C13*1000</f>
        <v>333000</v>
      </c>
      <c r="G13" s="42" t="s">
        <v>287</v>
      </c>
    </row>
    <row r="14" spans="2:6" ht="12.75">
      <c r="B14" s="42" t="s">
        <v>368</v>
      </c>
      <c r="C14" s="140">
        <f>C13*C10</f>
        <v>1998</v>
      </c>
      <c r="D14" s="42" t="s">
        <v>363</v>
      </c>
      <c r="E14" s="130" t="s">
        <v>369</v>
      </c>
      <c r="F14" s="131">
        <f t="shared" si="0"/>
        <v>1998000</v>
      </c>
    </row>
    <row r="15" spans="2:7" ht="12.75">
      <c r="B15" s="42" t="s">
        <v>20</v>
      </c>
      <c r="C15" s="265">
        <f>Inputs!C84</f>
        <v>300</v>
      </c>
      <c r="F15" s="131">
        <f t="shared" si="0"/>
        <v>300000</v>
      </c>
      <c r="G15" s="47"/>
    </row>
    <row r="16" spans="2:6" ht="12.75">
      <c r="B16" s="42" t="s">
        <v>21</v>
      </c>
      <c r="C16" s="265">
        <f>Inputs!C85</f>
        <v>8</v>
      </c>
      <c r="F16" s="131">
        <f t="shared" si="0"/>
        <v>8000</v>
      </c>
    </row>
    <row r="17" spans="2:7" ht="12.75">
      <c r="B17" s="42" t="s">
        <v>22</v>
      </c>
      <c r="C17" s="265">
        <f>Inputs!C86</f>
        <v>40</v>
      </c>
      <c r="F17" s="131">
        <f t="shared" si="0"/>
        <v>40000</v>
      </c>
      <c r="G17" s="47"/>
    </row>
    <row r="18" spans="2:7" ht="12.75">
      <c r="B18" s="42" t="s">
        <v>23</v>
      </c>
      <c r="C18" s="265">
        <f>Inputs!C87</f>
        <v>100</v>
      </c>
      <c r="F18" s="131">
        <f t="shared" si="0"/>
        <v>100000</v>
      </c>
      <c r="G18" s="47"/>
    </row>
    <row r="19" spans="2:6" ht="12.75">
      <c r="B19" s="137" t="s">
        <v>370</v>
      </c>
      <c r="C19" s="141">
        <f>SUM(C14:C18)</f>
        <v>2446</v>
      </c>
      <c r="D19" s="142"/>
      <c r="E19" s="130" t="s">
        <v>173</v>
      </c>
      <c r="F19" s="141">
        <f t="shared" si="0"/>
        <v>2446000</v>
      </c>
    </row>
    <row r="20" spans="2:6" ht="13.5" thickBot="1">
      <c r="B20" s="151" t="s">
        <v>371</v>
      </c>
      <c r="C20" s="153">
        <f>+C9*C19</f>
        <v>259276</v>
      </c>
      <c r="D20" s="141"/>
      <c r="E20" s="130" t="s">
        <v>247</v>
      </c>
      <c r="F20" s="141">
        <f t="shared" si="0"/>
        <v>259276000</v>
      </c>
    </row>
    <row r="21" spans="2:4" ht="12.75">
      <c r="B21" s="51"/>
      <c r="C21" s="141"/>
      <c r="D21" s="141"/>
    </row>
    <row r="22" spans="2:4" ht="13.5" thickBot="1">
      <c r="B22" s="151" t="s">
        <v>372</v>
      </c>
      <c r="C22" s="152"/>
      <c r="D22" s="136"/>
    </row>
    <row r="23" spans="2:6" ht="12.75">
      <c r="B23" s="42" t="s">
        <v>24</v>
      </c>
      <c r="C23" s="265">
        <f>Inputs!C88</f>
        <v>120</v>
      </c>
      <c r="D23" s="142"/>
      <c r="E23" s="139" t="s">
        <v>173</v>
      </c>
      <c r="F23" s="131">
        <f>C23*1000</f>
        <v>120000</v>
      </c>
    </row>
    <row r="24" spans="2:5" ht="12.75">
      <c r="B24" s="51" t="s">
        <v>112</v>
      </c>
      <c r="C24" s="138">
        <f>C7</f>
        <v>530</v>
      </c>
      <c r="D24" s="138"/>
      <c r="E24" s="130" t="s">
        <v>373</v>
      </c>
    </row>
    <row r="25" spans="2:6" ht="13.5" thickBot="1">
      <c r="B25" s="151" t="s">
        <v>374</v>
      </c>
      <c r="C25" s="153">
        <f>+C23*C24</f>
        <v>63600</v>
      </c>
      <c r="D25" s="141"/>
      <c r="E25" s="130" t="s">
        <v>249</v>
      </c>
      <c r="F25" s="141">
        <f>C25*1000</f>
        <v>63600000</v>
      </c>
    </row>
    <row r="26" spans="3:4" ht="12.75">
      <c r="C26" s="141"/>
      <c r="D26" s="141"/>
    </row>
    <row r="27" spans="2:3" ht="13.5" thickBot="1">
      <c r="B27" s="151" t="s">
        <v>375</v>
      </c>
      <c r="C27" s="80"/>
    </row>
    <row r="28" spans="2:7" ht="12.75">
      <c r="B28" s="42" t="s">
        <v>115</v>
      </c>
      <c r="C28" s="50">
        <f>+C9*2</f>
        <v>212</v>
      </c>
      <c r="D28" s="50"/>
      <c r="E28" s="130" t="s">
        <v>250</v>
      </c>
      <c r="G28" s="47"/>
    </row>
    <row r="29" spans="2:6" ht="12.75">
      <c r="B29" s="42" t="s">
        <v>25</v>
      </c>
      <c r="C29" s="265">
        <f>Inputs!C89</f>
        <v>200</v>
      </c>
      <c r="D29" s="142"/>
      <c r="E29" s="139" t="s">
        <v>173</v>
      </c>
      <c r="F29" s="131">
        <f>C29*1000</f>
        <v>200000</v>
      </c>
    </row>
    <row r="30" spans="2:6" ht="13.5" thickBot="1">
      <c r="B30" s="151" t="s">
        <v>376</v>
      </c>
      <c r="C30" s="153">
        <f>+C28*C29</f>
        <v>42400</v>
      </c>
      <c r="D30" s="141"/>
      <c r="E30" s="130" t="s">
        <v>251</v>
      </c>
      <c r="F30" s="141">
        <f>C30*1000</f>
        <v>42400000</v>
      </c>
    </row>
    <row r="31" spans="3:4" ht="12.75">
      <c r="C31" s="136"/>
      <c r="D31" s="136"/>
    </row>
    <row r="32" spans="2:3" ht="13.5" thickBot="1">
      <c r="B32" s="151" t="s">
        <v>49</v>
      </c>
      <c r="C32" s="80"/>
    </row>
    <row r="33" spans="2:6" ht="12.75">
      <c r="B33" s="42" t="s">
        <v>26</v>
      </c>
      <c r="C33" s="265">
        <f>Inputs!C90</f>
        <v>150</v>
      </c>
      <c r="D33" s="131"/>
      <c r="F33" s="131">
        <f>C33*1000</f>
        <v>150000</v>
      </c>
    </row>
    <row r="34" spans="2:6" ht="12.75">
      <c r="B34" s="42" t="s">
        <v>27</v>
      </c>
      <c r="C34" s="265">
        <f>Inputs!C91</f>
        <v>160</v>
      </c>
      <c r="D34" s="131"/>
      <c r="F34" s="131">
        <f>C34*1000</f>
        <v>160000</v>
      </c>
    </row>
    <row r="35" spans="2:6" ht="12.75">
      <c r="B35" s="42" t="s">
        <v>377</v>
      </c>
      <c r="C35" s="265">
        <f>Inputs!C92</f>
        <v>3500</v>
      </c>
      <c r="D35" s="131" t="s">
        <v>363</v>
      </c>
      <c r="F35" s="131">
        <f>C35*1000</f>
        <v>3500000</v>
      </c>
    </row>
    <row r="36" spans="2:7" ht="12.75">
      <c r="B36" s="42" t="s">
        <v>378</v>
      </c>
      <c r="C36" s="265">
        <f>Inputs!C93</f>
        <v>2000</v>
      </c>
      <c r="D36" s="142" t="s">
        <v>363</v>
      </c>
      <c r="F36" s="131">
        <f>C36*1000</f>
        <v>2000000</v>
      </c>
      <c r="G36" s="47" t="s">
        <v>496</v>
      </c>
    </row>
    <row r="37" spans="2:6" ht="13.5" thickBot="1">
      <c r="B37" s="151" t="s">
        <v>379</v>
      </c>
      <c r="C37" s="153">
        <f>SUM(C33:C36)</f>
        <v>5810</v>
      </c>
      <c r="D37" s="141"/>
      <c r="F37" s="141">
        <f>C37*1000</f>
        <v>5810000</v>
      </c>
    </row>
    <row r="38" spans="2:4" ht="12.75">
      <c r="B38" s="137"/>
      <c r="C38" s="141"/>
      <c r="D38" s="141"/>
    </row>
    <row r="39" spans="2:4" ht="13.5" thickBot="1">
      <c r="B39" s="151" t="s">
        <v>52</v>
      </c>
      <c r="C39" s="152"/>
      <c r="D39" s="136"/>
    </row>
    <row r="40" spans="2:7" ht="12.75">
      <c r="B40" s="51" t="s">
        <v>182</v>
      </c>
      <c r="C40" s="263">
        <f>Inputs!C45/1000</f>
        <v>4753</v>
      </c>
      <c r="D40" s="138"/>
      <c r="E40" s="130" t="s">
        <v>173</v>
      </c>
      <c r="F40" s="131">
        <f>C40*1000</f>
        <v>4753000</v>
      </c>
      <c r="G40" s="42" t="s">
        <v>287</v>
      </c>
    </row>
    <row r="41" spans="2:6" ht="12.75">
      <c r="B41" s="51" t="s">
        <v>175</v>
      </c>
      <c r="C41" s="266">
        <f>Inputs!C94</f>
        <v>0.8</v>
      </c>
      <c r="D41" s="143"/>
      <c r="E41" s="139" t="s">
        <v>173</v>
      </c>
      <c r="F41" s="131">
        <f>C41*1000</f>
        <v>800</v>
      </c>
    </row>
    <row r="42" spans="2:6" ht="12.75">
      <c r="B42" s="51" t="s">
        <v>183</v>
      </c>
      <c r="C42" s="138">
        <f>+C40*C41</f>
        <v>3802.4</v>
      </c>
      <c r="D42" s="138"/>
      <c r="E42" s="130" t="s">
        <v>253</v>
      </c>
      <c r="F42" s="131">
        <f>C42*1000</f>
        <v>3802400</v>
      </c>
    </row>
    <row r="43" spans="2:7" ht="12.75">
      <c r="B43" s="51" t="s">
        <v>113</v>
      </c>
      <c r="C43" s="267">
        <f>Inputs!C95</f>
        <v>25</v>
      </c>
      <c r="D43" s="144"/>
      <c r="E43" s="139" t="s">
        <v>173</v>
      </c>
      <c r="F43" s="131">
        <f>C43*1000</f>
        <v>25000</v>
      </c>
      <c r="G43" s="47"/>
    </row>
    <row r="44" spans="2:6" ht="13.5" thickBot="1">
      <c r="B44" s="151" t="s">
        <v>380</v>
      </c>
      <c r="C44" s="153">
        <f>+C43*C42</f>
        <v>95060</v>
      </c>
      <c r="D44" s="141"/>
      <c r="E44" s="130" t="s">
        <v>254</v>
      </c>
      <c r="F44" s="141">
        <f>C44*1000</f>
        <v>95060000</v>
      </c>
    </row>
    <row r="45" spans="2:6" ht="12.75">
      <c r="B45" s="137"/>
      <c r="C45" s="141"/>
      <c r="D45" s="141"/>
      <c r="F45" s="141"/>
    </row>
    <row r="46" spans="2:4" ht="13.5" thickBot="1">
      <c r="B46" s="121"/>
      <c r="C46" s="152"/>
      <c r="D46" s="136"/>
    </row>
    <row r="47" spans="2:6" ht="12.75">
      <c r="B47" s="137" t="s">
        <v>114</v>
      </c>
      <c r="C47" s="141">
        <f>C20+C25+C30+C37+C44</f>
        <v>466146</v>
      </c>
      <c r="D47" s="141"/>
      <c r="E47" s="130" t="s">
        <v>252</v>
      </c>
      <c r="F47" s="141">
        <f>C47*1000</f>
        <v>466146000</v>
      </c>
    </row>
    <row r="48" spans="2:6" ht="12.75">
      <c r="B48" s="42" t="s">
        <v>51</v>
      </c>
      <c r="C48" s="141">
        <f>PMT(C49,C50,-C47)</f>
        <v>63334.305252599</v>
      </c>
      <c r="D48" s="141"/>
      <c r="E48" s="130" t="s">
        <v>255</v>
      </c>
      <c r="F48" s="141">
        <f>C48*1000</f>
        <v>63334305.252599</v>
      </c>
    </row>
    <row r="49" spans="2:7" ht="12.75">
      <c r="B49" s="137" t="s">
        <v>503</v>
      </c>
      <c r="C49" s="268">
        <f>Inputs!C97</f>
        <v>0.06</v>
      </c>
      <c r="D49" s="145"/>
      <c r="E49" s="130" t="s">
        <v>173</v>
      </c>
      <c r="G49" s="47"/>
    </row>
    <row r="50" spans="2:7" ht="12.75">
      <c r="B50" s="42" t="s">
        <v>504</v>
      </c>
      <c r="C50" s="268">
        <f>Inputs!C96</f>
        <v>10</v>
      </c>
      <c r="D50" s="145"/>
      <c r="G50" s="47"/>
    </row>
    <row r="51" spans="2:7" ht="13.5" thickBot="1">
      <c r="B51" s="80" t="s">
        <v>505</v>
      </c>
      <c r="C51" s="154">
        <f>C48/C47</f>
        <v>0.13586795822038375</v>
      </c>
      <c r="D51" s="145"/>
      <c r="G51" s="47"/>
    </row>
    <row r="52" spans="3:4" ht="12.75">
      <c r="C52" s="145"/>
      <c r="D52" s="136"/>
    </row>
    <row r="53" spans="2:4" ht="15.75" thickBot="1">
      <c r="B53" s="155" t="s">
        <v>498</v>
      </c>
      <c r="C53" s="80"/>
      <c r="D53" s="136"/>
    </row>
    <row r="54" spans="2:4" ht="15">
      <c r="B54" s="135"/>
      <c r="D54" s="136"/>
    </row>
    <row r="55" spans="2:7" ht="12.75">
      <c r="B55" s="42" t="s">
        <v>381</v>
      </c>
      <c r="C55" s="262">
        <f>Inputs!C98</f>
        <v>0.2</v>
      </c>
      <c r="D55" s="136"/>
      <c r="G55" s="47"/>
    </row>
    <row r="56" spans="2:7" ht="12.75">
      <c r="B56" s="42" t="s">
        <v>459</v>
      </c>
      <c r="C56" s="102">
        <f>('Free Flow CP'!C70*'Free Flow CP'!C90)/10</f>
        <v>338883292.7354867</v>
      </c>
      <c r="D56" s="136"/>
      <c r="G56" s="146" t="s">
        <v>458</v>
      </c>
    </row>
    <row r="57" spans="2:4" ht="12.75">
      <c r="B57" s="42" t="s">
        <v>460</v>
      </c>
      <c r="C57" s="102">
        <f>'Moderate CP'!C76*'Moderate CP'!C96/10</f>
        <v>364683387.01286936</v>
      </c>
      <c r="D57" s="136"/>
    </row>
    <row r="58" spans="2:4" ht="12.75">
      <c r="B58" s="57" t="s">
        <v>461</v>
      </c>
      <c r="C58" s="147">
        <f>(C55*C56)/1000</f>
        <v>67776.65854709734</v>
      </c>
      <c r="D58" s="136"/>
    </row>
    <row r="59" spans="2:4" ht="13.5" thickBot="1">
      <c r="B59" s="78" t="s">
        <v>462</v>
      </c>
      <c r="C59" s="156">
        <f>(C57*C55)/1000</f>
        <v>72936.67740257387</v>
      </c>
      <c r="D59" s="136"/>
    </row>
    <row r="60" spans="2:4" ht="12.75">
      <c r="B60" s="57"/>
      <c r="C60" s="147"/>
      <c r="D60" s="136"/>
    </row>
    <row r="61" spans="2:4" ht="15.75" thickBot="1">
      <c r="B61" s="155" t="s">
        <v>509</v>
      </c>
      <c r="C61" s="156"/>
      <c r="D61" s="136"/>
    </row>
    <row r="62" spans="2:6" ht="12.75">
      <c r="B62" s="42" t="s">
        <v>73</v>
      </c>
      <c r="C62" s="131">
        <f>+C48</f>
        <v>63334.305252599</v>
      </c>
      <c r="D62" s="148"/>
      <c r="E62" s="130" t="s">
        <v>244</v>
      </c>
      <c r="F62" s="131">
        <f>C62*1000</f>
        <v>63334305.252599</v>
      </c>
    </row>
    <row r="63" spans="2:6" ht="12.75">
      <c r="B63" s="42" t="s">
        <v>86</v>
      </c>
      <c r="C63" s="131">
        <f>C58</f>
        <v>67776.65854709734</v>
      </c>
      <c r="D63" s="148"/>
      <c r="F63" s="131">
        <f>C63*1000</f>
        <v>67776658.54709734</v>
      </c>
    </row>
    <row r="64" spans="2:7" ht="12.75">
      <c r="B64" s="42" t="s">
        <v>463</v>
      </c>
      <c r="C64" s="141">
        <f>SUM(C62:C63)</f>
        <v>131110.96379969633</v>
      </c>
      <c r="D64" s="136"/>
      <c r="E64" s="130" t="s">
        <v>245</v>
      </c>
      <c r="F64" s="141">
        <f>C64*1000</f>
        <v>131110963.79969633</v>
      </c>
      <c r="G64" s="131"/>
    </row>
    <row r="65" spans="2:7" ht="13.5" thickBot="1">
      <c r="B65" s="80" t="s">
        <v>464</v>
      </c>
      <c r="C65" s="153">
        <f>C62+C59</f>
        <v>136270.98265517288</v>
      </c>
      <c r="G65" s="149"/>
    </row>
    <row r="67" ht="12.75">
      <c r="B67" s="57" t="s">
        <v>484</v>
      </c>
    </row>
    <row r="68" ht="12.75">
      <c r="B68" s="57"/>
    </row>
    <row r="69" ht="39">
      <c r="B69" s="113" t="s">
        <v>495</v>
      </c>
    </row>
    <row r="71" ht="39">
      <c r="B71" s="113" t="s">
        <v>494</v>
      </c>
    </row>
    <row r="72" spans="2:4" ht="12.75">
      <c r="B72" s="57"/>
      <c r="C72" s="141"/>
      <c r="D72" s="141"/>
    </row>
    <row r="73" ht="12.75">
      <c r="B73" s="261" t="s">
        <v>579</v>
      </c>
    </row>
    <row r="74" spans="2:6" ht="12.75">
      <c r="B74" s="47"/>
      <c r="C74" s="141"/>
      <c r="D74" s="141"/>
      <c r="F74" s="131">
        <f>C74*1000</f>
        <v>0</v>
      </c>
    </row>
    <row r="76" ht="12.75">
      <c r="B76" s="137"/>
    </row>
    <row r="77" spans="3:6" ht="12.75">
      <c r="C77" s="141"/>
      <c r="D77" s="141"/>
      <c r="F77" s="131">
        <f>C77*1000</f>
        <v>0</v>
      </c>
    </row>
    <row r="78" spans="3:4" ht="12.75">
      <c r="C78" s="141"/>
      <c r="D78" s="141"/>
    </row>
    <row r="79" spans="2:4" ht="12.75">
      <c r="B79" s="137"/>
      <c r="D79" s="141"/>
    </row>
    <row r="80" spans="3:6" ht="12.75">
      <c r="C80" s="141"/>
      <c r="D80" s="141"/>
      <c r="F80" s="131">
        <f>C80*1000</f>
        <v>0</v>
      </c>
    </row>
    <row r="82" ht="12.75">
      <c r="D82" s="141"/>
    </row>
    <row r="83" ht="12.75">
      <c r="D83" s="141"/>
    </row>
    <row r="84" ht="12.75">
      <c r="D84" s="141"/>
    </row>
    <row r="85" spans="2:6" ht="12.75">
      <c r="B85" s="137"/>
      <c r="C85" s="142"/>
      <c r="F85" s="131">
        <f>C85*1000</f>
        <v>0</v>
      </c>
    </row>
    <row r="86" ht="12.75">
      <c r="D86" s="141"/>
    </row>
    <row r="87" spans="2:6" ht="12.75">
      <c r="B87" s="137"/>
      <c r="C87" s="142"/>
      <c r="D87" s="145"/>
      <c r="F87" s="131">
        <f>C87*1000</f>
        <v>0</v>
      </c>
    </row>
    <row r="88" ht="12.75">
      <c r="D88" s="141"/>
    </row>
    <row r="89" spans="2:6" ht="12.75">
      <c r="B89" s="137"/>
      <c r="C89" s="142"/>
      <c r="D89" s="141"/>
      <c r="F89" s="131">
        <f>C89*1000</f>
        <v>0</v>
      </c>
    </row>
    <row r="90" spans="2:4" ht="12.75">
      <c r="B90" s="150"/>
      <c r="C90" s="150"/>
      <c r="D90" s="131"/>
    </row>
    <row r="91" spans="3:4" ht="12.75">
      <c r="C91" s="131"/>
      <c r="D91" s="131"/>
    </row>
    <row r="92" ht="12.75">
      <c r="D92" s="141"/>
    </row>
    <row r="93" ht="12.75">
      <c r="D93" s="131"/>
    </row>
  </sheetData>
  <sheetProtection/>
  <printOptions/>
  <pageMargins left="0.75" right="0.75" top="1" bottom="1" header="0.5" footer="0.5"/>
  <pageSetup horizontalDpi="300" verticalDpi="300" orientation="portrait" r:id="rId1"/>
  <headerFooter alignWithMargins="0">
    <oddHeader>&amp;C&amp;A</oddHeader>
  </headerFooter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2"/>
  </sheetPr>
  <dimension ref="A1:L62"/>
  <sheetViews>
    <sheetView zoomScalePageLayoutView="0" workbookViewId="0" topLeftCell="B1">
      <pane ySplit="2" topLeftCell="A24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3.57421875" style="29" customWidth="1"/>
    <col min="2" max="2" width="44.8515625" style="29" customWidth="1"/>
    <col min="3" max="3" width="3.8515625" style="29" customWidth="1"/>
    <col min="4" max="4" width="8.28125" style="29" customWidth="1"/>
    <col min="5" max="5" width="14.8515625" style="29" customWidth="1"/>
    <col min="6" max="6" width="2.8515625" style="29" customWidth="1"/>
    <col min="7" max="7" width="10.28125" style="29" customWidth="1"/>
    <col min="8" max="8" width="3.140625" style="29" customWidth="1"/>
    <col min="9" max="9" width="15.7109375" style="29" customWidth="1"/>
    <col min="10" max="10" width="2.57421875" style="29" customWidth="1"/>
    <col min="11" max="11" width="16.140625" style="29" customWidth="1"/>
    <col min="12" max="16384" width="9.140625" style="29" customWidth="1"/>
  </cols>
  <sheetData>
    <row r="1" spans="2:3" ht="19.5" customHeight="1">
      <c r="B1" s="30"/>
      <c r="C1" s="30"/>
    </row>
    <row r="2" spans="2:11" ht="15" customHeight="1">
      <c r="B2" s="223" t="s">
        <v>565</v>
      </c>
      <c r="C2" s="30"/>
      <c r="D2" s="369" t="s">
        <v>564</v>
      </c>
      <c r="E2" s="371"/>
      <c r="F2" s="371"/>
      <c r="G2" s="371"/>
      <c r="I2" s="369" t="s">
        <v>566</v>
      </c>
      <c r="J2" s="369"/>
      <c r="K2" s="369"/>
    </row>
    <row r="3" spans="2:11" ht="14.25" customHeight="1">
      <c r="B3" s="223"/>
      <c r="C3" s="30"/>
      <c r="D3" s="370" t="str">
        <f>Inputs!C4</f>
        <v>Case Study State</v>
      </c>
      <c r="E3" s="370"/>
      <c r="F3" s="370"/>
      <c r="G3" s="370"/>
      <c r="I3" s="224"/>
      <c r="J3" s="224"/>
      <c r="K3" s="224"/>
    </row>
    <row r="4" ht="14.25" customHeight="1"/>
    <row r="5" spans="2:11" ht="12" customHeight="1" thickBot="1">
      <c r="B5" s="98" t="s">
        <v>341</v>
      </c>
      <c r="C5" s="98"/>
      <c r="D5" s="124" t="s">
        <v>342</v>
      </c>
      <c r="E5" s="124" t="s">
        <v>567</v>
      </c>
      <c r="F5" s="124"/>
      <c r="G5" s="124" t="s">
        <v>784</v>
      </c>
      <c r="H5" s="124"/>
      <c r="I5" s="124" t="s">
        <v>344</v>
      </c>
      <c r="J5" s="125"/>
      <c r="K5" s="126" t="s">
        <v>470</v>
      </c>
    </row>
    <row r="6" spans="1:11" ht="12.75">
      <c r="A6" s="39"/>
      <c r="B6" s="31" t="s">
        <v>339</v>
      </c>
      <c r="C6" s="31"/>
      <c r="D6" s="35">
        <f>E6/SUM(E6:E19)</f>
        <v>0.13674204919511704</v>
      </c>
      <c r="E6" s="288">
        <f>Inputs!C49</f>
        <v>2144.7839999999997</v>
      </c>
      <c r="F6" s="35"/>
      <c r="G6" s="37">
        <f>($I$26/$I$25)*E6</f>
        <v>1352.242982071748</v>
      </c>
      <c r="H6" s="35"/>
      <c r="I6" s="35">
        <v>0.004</v>
      </c>
      <c r="J6" s="36"/>
      <c r="K6" s="185">
        <f>I6*G6</f>
        <v>5.408971928286992</v>
      </c>
    </row>
    <row r="7" spans="1:11" ht="12.75" customHeight="1">
      <c r="A7" s="39"/>
      <c r="B7" s="31" t="s">
        <v>340</v>
      </c>
      <c r="C7" s="31"/>
      <c r="D7" s="35">
        <f>E7/SUM(E6:E19)</f>
        <v>0.007823261750640265</v>
      </c>
      <c r="E7" s="288">
        <f>Inputs!C50</f>
        <v>122.70700000000001</v>
      </c>
      <c r="F7" s="35"/>
      <c r="G7" s="37">
        <f>($I$26/$I$25)*E7</f>
        <v>77.36428451586642</v>
      </c>
      <c r="H7" s="35"/>
      <c r="I7" s="35">
        <v>0.004</v>
      </c>
      <c r="J7" s="36"/>
      <c r="K7" s="185">
        <f>I7*G7</f>
        <v>0.30945713806346564</v>
      </c>
    </row>
    <row r="8" spans="1:11" ht="12.75">
      <c r="A8" s="39"/>
      <c r="B8" s="34" t="s">
        <v>346</v>
      </c>
      <c r="C8" s="34"/>
      <c r="D8" s="35"/>
      <c r="E8" s="288"/>
      <c r="F8" s="35"/>
      <c r="G8" s="37"/>
      <c r="H8" s="35"/>
      <c r="I8" s="35"/>
      <c r="J8" s="36"/>
      <c r="K8" s="185"/>
    </row>
    <row r="9" spans="1:11" ht="12.75">
      <c r="A9" s="39"/>
      <c r="B9" s="31" t="s">
        <v>347</v>
      </c>
      <c r="C9" s="31"/>
      <c r="D9" s="35">
        <f>E9/SUM(E6:E19)</f>
        <v>0.20440360117284848</v>
      </c>
      <c r="E9" s="288">
        <f>Inputs!C52</f>
        <v>3206.048</v>
      </c>
      <c r="F9" s="35"/>
      <c r="G9" s="37">
        <f aca="true" t="shared" si="0" ref="G9:G14">($I$26/$I$25)*E9</f>
        <v>2021.3484939206764</v>
      </c>
      <c r="H9" s="35"/>
      <c r="I9" s="35">
        <f>Inputs!C70</f>
        <v>0.007</v>
      </c>
      <c r="J9" s="36"/>
      <c r="K9" s="185">
        <f aca="true" t="shared" si="1" ref="K9:K14">I9*G9</f>
        <v>14.149439457444736</v>
      </c>
    </row>
    <row r="10" spans="1:11" ht="12.75">
      <c r="A10" s="39"/>
      <c r="B10" s="31" t="s">
        <v>348</v>
      </c>
      <c r="C10" s="31"/>
      <c r="D10" s="35">
        <f>E10/SUM(E6:E19)</f>
        <v>0.14729213912242928</v>
      </c>
      <c r="E10" s="288">
        <f>Inputs!C53</f>
        <v>2310.261</v>
      </c>
      <c r="F10" s="35"/>
      <c r="G10" s="37">
        <f t="shared" si="0"/>
        <v>1456.5728875280956</v>
      </c>
      <c r="H10" s="35"/>
      <c r="I10" s="35">
        <f>Inputs!C71</f>
        <v>0.127</v>
      </c>
      <c r="J10" s="36"/>
      <c r="K10" s="185">
        <f t="shared" si="1"/>
        <v>184.98475671606815</v>
      </c>
    </row>
    <row r="11" spans="1:11" ht="12.75">
      <c r="A11" s="39"/>
      <c r="B11" s="31" t="s">
        <v>345</v>
      </c>
      <c r="C11" s="31"/>
      <c r="D11" s="35">
        <f>E11/SUM(E6:E19)</f>
        <v>0.014782252218536438</v>
      </c>
      <c r="E11" s="288">
        <f>Inputs!C54</f>
        <v>231.858</v>
      </c>
      <c r="F11" s="35"/>
      <c r="G11" s="37">
        <f t="shared" si="0"/>
        <v>146.18178489637717</v>
      </c>
      <c r="H11" s="35"/>
      <c r="I11" s="35">
        <f>Inputs!$C$72</f>
        <v>0.15</v>
      </c>
      <c r="J11" s="36"/>
      <c r="K11" s="185">
        <f t="shared" si="1"/>
        <v>21.927267734456574</v>
      </c>
    </row>
    <row r="12" spans="1:11" ht="12.75">
      <c r="A12" s="39"/>
      <c r="B12" s="31" t="s">
        <v>350</v>
      </c>
      <c r="C12" s="31"/>
      <c r="D12" s="35">
        <f>E12/SUM(E6:E19)</f>
        <v>0.001699469999470828</v>
      </c>
      <c r="E12" s="288">
        <f>Inputs!C55</f>
        <v>26.656</v>
      </c>
      <c r="F12" s="35"/>
      <c r="G12" s="37">
        <f t="shared" si="0"/>
        <v>16.806069483036296</v>
      </c>
      <c r="H12" s="35"/>
      <c r="I12" s="35">
        <v>0.025</v>
      </c>
      <c r="J12" s="36"/>
      <c r="K12" s="185">
        <f t="shared" si="1"/>
        <v>0.4201517370759074</v>
      </c>
    </row>
    <row r="13" spans="1:11" ht="12" customHeight="1">
      <c r="A13" s="39" t="s">
        <v>287</v>
      </c>
      <c r="B13" s="31" t="s">
        <v>351</v>
      </c>
      <c r="C13" s="31"/>
      <c r="D13" s="35">
        <f>E13/SUM(E6:E19)</f>
        <v>0.12599979980733048</v>
      </c>
      <c r="E13" s="288">
        <f>Inputs!C56</f>
        <v>1976.293</v>
      </c>
      <c r="F13" s="35"/>
      <c r="G13" s="37">
        <f t="shared" si="0"/>
        <v>1246.0128105056367</v>
      </c>
      <c r="H13" s="35"/>
      <c r="I13" s="35">
        <f>Inputs!$C$74</f>
        <v>0.0315</v>
      </c>
      <c r="J13" s="36"/>
      <c r="K13" s="185">
        <f t="shared" si="1"/>
        <v>39.24940353092756</v>
      </c>
    </row>
    <row r="14" spans="1:11" ht="12.75">
      <c r="A14" s="39"/>
      <c r="B14" s="31" t="s">
        <v>349</v>
      </c>
      <c r="C14" s="31"/>
      <c r="D14" s="35">
        <f>E14/SUM(E6:E19)</f>
        <v>0.04038772347144289</v>
      </c>
      <c r="E14" s="288">
        <f>Inputs!C57</f>
        <v>633.477</v>
      </c>
      <c r="F14" s="35"/>
      <c r="G14" s="37">
        <f t="shared" si="0"/>
        <v>399.3944507017326</v>
      </c>
      <c r="H14" s="35"/>
      <c r="I14" s="35">
        <f>Inputs!$C$75</f>
        <v>0.01</v>
      </c>
      <c r="J14" s="36"/>
      <c r="K14" s="185">
        <f t="shared" si="1"/>
        <v>3.993944507017326</v>
      </c>
    </row>
    <row r="15" spans="1:11" ht="12.75">
      <c r="A15" s="39"/>
      <c r="B15" s="34" t="s">
        <v>352</v>
      </c>
      <c r="C15" s="34"/>
      <c r="D15" s="35"/>
      <c r="E15" s="288"/>
      <c r="F15" s="35"/>
      <c r="G15" s="37"/>
      <c r="H15" s="35"/>
      <c r="I15" s="35"/>
      <c r="J15" s="36"/>
      <c r="K15" s="185"/>
    </row>
    <row r="16" spans="1:11" ht="12.75">
      <c r="A16" s="39"/>
      <c r="B16" s="31" t="s">
        <v>353</v>
      </c>
      <c r="C16" s="31"/>
      <c r="D16" s="35">
        <f>E16/SUM(E6:E19)</f>
        <v>0</v>
      </c>
      <c r="E16" s="288">
        <f>Inputs!C59</f>
        <v>0</v>
      </c>
      <c r="F16" s="35"/>
      <c r="G16" s="37">
        <f>($I$26/$I$25)*E16</f>
        <v>0</v>
      </c>
      <c r="H16" s="35"/>
      <c r="I16" s="35">
        <f>Inputs!$C$77</f>
        <v>0.028</v>
      </c>
      <c r="J16" s="36"/>
      <c r="K16" s="185">
        <f>I16*G16</f>
        <v>0</v>
      </c>
    </row>
    <row r="17" spans="1:11" ht="12.75">
      <c r="A17" s="39"/>
      <c r="B17" s="31" t="s">
        <v>354</v>
      </c>
      <c r="C17" s="31"/>
      <c r="D17" s="35">
        <f>E17/SUM(E6:E19)</f>
        <v>0.013117210257770375</v>
      </c>
      <c r="E17" s="288">
        <f>Inputs!C60</f>
        <v>205.742</v>
      </c>
      <c r="F17" s="35"/>
      <c r="G17" s="37">
        <f>($I$26/$I$25)*E17</f>
        <v>129.71617450400862</v>
      </c>
      <c r="H17" s="35"/>
      <c r="I17" s="35">
        <f>Inputs!$C$78</f>
        <v>0.0129</v>
      </c>
      <c r="J17" s="36"/>
      <c r="K17" s="185">
        <f>I17*G17</f>
        <v>1.6733386511017112</v>
      </c>
    </row>
    <row r="18" spans="1:11" ht="12.75">
      <c r="A18" s="39"/>
      <c r="B18" s="38" t="s">
        <v>345</v>
      </c>
      <c r="C18" s="38"/>
      <c r="D18" s="35">
        <f>E18/SUM(E6:E19)</f>
        <v>0.0159655566599447</v>
      </c>
      <c r="E18" s="288">
        <f>Inputs!C61</f>
        <v>250.418</v>
      </c>
      <c r="F18" s="35"/>
      <c r="G18" s="37">
        <f>($I$26/$I$25)*E18</f>
        <v>157.88348993858733</v>
      </c>
      <c r="H18" s="35"/>
      <c r="I18" s="35">
        <f>Inputs!$C$72</f>
        <v>0.15</v>
      </c>
      <c r="J18" s="36"/>
      <c r="K18" s="185">
        <f>I18*G18</f>
        <v>23.6825234907881</v>
      </c>
    </row>
    <row r="19" spans="1:11" ht="26.25">
      <c r="A19" s="39"/>
      <c r="B19" s="88" t="s">
        <v>355</v>
      </c>
      <c r="C19" s="39"/>
      <c r="D19" s="35">
        <f>E19/SUM(E6:E19)</f>
        <v>0.2917869363444691</v>
      </c>
      <c r="E19" s="288">
        <f>Inputs!C62</f>
        <v>4576.646000000001</v>
      </c>
      <c r="F19" s="35"/>
      <c r="G19" s="37">
        <f>($I$26/$I$25)*E19</f>
        <v>2885.4828434596393</v>
      </c>
      <c r="H19" s="35"/>
      <c r="I19" s="35">
        <f>Inputs!$C$80</f>
        <v>0.01</v>
      </c>
      <c r="J19" s="36"/>
      <c r="K19" s="185">
        <f>I19*G19</f>
        <v>28.854828434596392</v>
      </c>
    </row>
    <row r="20" spans="1:11" ht="12.75">
      <c r="A20" s="39"/>
      <c r="B20" s="33" t="s">
        <v>356</v>
      </c>
      <c r="C20" s="33"/>
      <c r="D20" s="35"/>
      <c r="E20" s="35"/>
      <c r="F20" s="35"/>
      <c r="G20" s="35"/>
      <c r="H20" s="35"/>
      <c r="I20" s="39"/>
      <c r="J20" s="32"/>
      <c r="K20" s="32"/>
    </row>
    <row r="21" spans="1:11" ht="12.75">
      <c r="A21" s="39"/>
      <c r="B21" s="39" t="s">
        <v>341</v>
      </c>
      <c r="C21" s="39"/>
      <c r="D21" s="181">
        <f>SUM(E6:E7)/SUM(E6:E7,E9:E14,E16:E19)</f>
        <v>0.1445653109457573</v>
      </c>
      <c r="E21" s="182">
        <f>SUM(E6:E7)</f>
        <v>2267.4909999999995</v>
      </c>
      <c r="F21" s="181"/>
      <c r="G21" s="183">
        <f>SUM(G6:G7)</f>
        <v>1429.6072665876145</v>
      </c>
      <c r="H21" s="181"/>
      <c r="I21" s="57"/>
      <c r="J21" s="184"/>
      <c r="K21" s="184">
        <f>SUM(K6:K7)</f>
        <v>5.718429066350458</v>
      </c>
    </row>
    <row r="22" spans="1:11" ht="12.75">
      <c r="A22" s="39"/>
      <c r="B22" s="39" t="s">
        <v>346</v>
      </c>
      <c r="C22" s="39"/>
      <c r="D22" s="181">
        <f>SUM(E9:E14)/SUM(E6:E7,E9:E14,E16:E19)</f>
        <v>0.5345649857920584</v>
      </c>
      <c r="E22" s="182">
        <f>SUM(E9:E14)</f>
        <v>8384.592999999999</v>
      </c>
      <c r="F22" s="181"/>
      <c r="G22" s="183">
        <f>SUM(G9:G14)</f>
        <v>5286.316497035555</v>
      </c>
      <c r="H22" s="181"/>
      <c r="I22" s="57"/>
      <c r="J22" s="184"/>
      <c r="K22" s="184">
        <f>SUM(K9:K14)</f>
        <v>264.7249636829902</v>
      </c>
    </row>
    <row r="23" spans="1:11" ht="12.75">
      <c r="A23" s="39"/>
      <c r="B23" s="39" t="s">
        <v>352</v>
      </c>
      <c r="C23" s="39"/>
      <c r="D23" s="181">
        <f>SUM(E16:E19)/SUM(E6:E7,E9:E14,E16:E19)</f>
        <v>0.32086970326218417</v>
      </c>
      <c r="E23" s="182">
        <f>SUM(E16:E19)</f>
        <v>5032.8060000000005</v>
      </c>
      <c r="F23" s="181"/>
      <c r="G23" s="183">
        <f>SUM(G16:G19)</f>
        <v>3173.082507902235</v>
      </c>
      <c r="H23" s="181"/>
      <c r="I23" s="57"/>
      <c r="J23" s="184"/>
      <c r="K23" s="184">
        <f>SUM(K16:K18)</f>
        <v>25.355862141889812</v>
      </c>
    </row>
    <row r="24" spans="1:11" ht="12.75">
      <c r="A24" s="39"/>
      <c r="B24" s="39" t="s">
        <v>485</v>
      </c>
      <c r="C24" s="39"/>
      <c r="D24" s="181">
        <f>SUM(D21:D23)</f>
        <v>0.9999999999999998</v>
      </c>
      <c r="E24" s="183">
        <f>SUM(E21:E23)</f>
        <v>15684.89</v>
      </c>
      <c r="F24" s="183"/>
      <c r="G24" s="183">
        <f>SUM(G21:G23)</f>
        <v>9889.006271525404</v>
      </c>
      <c r="H24" s="181"/>
      <c r="I24" s="57"/>
      <c r="J24" s="184"/>
      <c r="K24" s="184">
        <f>SUM(K21:K23)</f>
        <v>295.7992548912305</v>
      </c>
    </row>
    <row r="25" spans="1:11" ht="12.75">
      <c r="A25" s="39"/>
      <c r="B25" s="39" t="s">
        <v>357</v>
      </c>
      <c r="C25" s="39"/>
      <c r="D25" s="39"/>
      <c r="E25" s="39"/>
      <c r="F25" s="39"/>
      <c r="G25" s="39"/>
      <c r="H25" s="39"/>
      <c r="I25" s="41">
        <f>Inputs!C11</f>
        <v>56503</v>
      </c>
      <c r="J25" s="36"/>
      <c r="K25" s="36"/>
    </row>
    <row r="26" spans="1:11" ht="13.5" thickBot="1">
      <c r="A26" s="39"/>
      <c r="B26" s="125" t="s">
        <v>457</v>
      </c>
      <c r="C26" s="125"/>
      <c r="D26" s="125"/>
      <c r="E26" s="127"/>
      <c r="F26" s="127"/>
      <c r="G26" s="127"/>
      <c r="H26" s="127"/>
      <c r="I26" s="127">
        <f>Inputs!C10</f>
        <v>35624</v>
      </c>
      <c r="J26" s="125"/>
      <c r="K26" s="125"/>
    </row>
    <row r="27" spans="1:10" ht="12.75">
      <c r="A27" s="39"/>
      <c r="J27" s="39"/>
    </row>
    <row r="28" spans="2:12" ht="12.75">
      <c r="B28" s="67"/>
      <c r="C28" s="67"/>
      <c r="D28" s="64"/>
      <c r="E28" s="128"/>
      <c r="F28" s="64"/>
      <c r="G28" s="66"/>
      <c r="H28" s="64"/>
      <c r="I28" s="67"/>
      <c r="J28" s="65"/>
      <c r="K28" s="65"/>
      <c r="L28" s="39"/>
    </row>
    <row r="29" spans="2:12" ht="12.75">
      <c r="B29" s="226" t="s">
        <v>571</v>
      </c>
      <c r="C29" s="67"/>
      <c r="D29" s="64"/>
      <c r="E29" s="66"/>
      <c r="F29" s="66"/>
      <c r="G29" s="66"/>
      <c r="H29" s="64"/>
      <c r="I29" s="67"/>
      <c r="J29" s="65"/>
      <c r="K29" s="65"/>
      <c r="L29" s="39"/>
    </row>
    <row r="30" spans="2:12" ht="12.75">
      <c r="B30" s="67"/>
      <c r="C30" s="67"/>
      <c r="D30" s="64"/>
      <c r="E30" s="65"/>
      <c r="F30" s="64"/>
      <c r="G30" s="66"/>
      <c r="H30" s="64"/>
      <c r="I30" s="67"/>
      <c r="J30" s="65"/>
      <c r="K30" s="65"/>
      <c r="L30" s="39"/>
    </row>
    <row r="31" spans="2:12" ht="12.75">
      <c r="B31" s="67"/>
      <c r="C31" s="67"/>
      <c r="D31" s="67"/>
      <c r="E31" s="221"/>
      <c r="F31" s="67"/>
      <c r="G31" s="67"/>
      <c r="H31" s="67"/>
      <c r="I31" s="67"/>
      <c r="J31" s="67"/>
      <c r="K31" s="67"/>
      <c r="L31" s="39"/>
    </row>
    <row r="32" spans="2:12" ht="12.75">
      <c r="B32" s="67"/>
      <c r="C32" s="67"/>
      <c r="D32" s="67"/>
      <c r="E32" s="220"/>
      <c r="F32" s="67"/>
      <c r="G32" s="67"/>
      <c r="H32" s="67"/>
      <c r="I32" s="129"/>
      <c r="J32" s="67"/>
      <c r="K32" s="67"/>
      <c r="L32" s="39"/>
    </row>
    <row r="33" spans="2:12" ht="12.75">
      <c r="B33" s="67"/>
      <c r="C33" s="67"/>
      <c r="D33" s="67"/>
      <c r="E33" s="129"/>
      <c r="F33" s="129"/>
      <c r="G33" s="129"/>
      <c r="H33" s="129"/>
      <c r="I33" s="129"/>
      <c r="J33" s="67"/>
      <c r="K33" s="67"/>
      <c r="L33" s="39"/>
    </row>
    <row r="34" spans="2:12" ht="12.75"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2:12" ht="12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</row>
    <row r="36" spans="2:12" ht="12.75"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2:12" ht="12.75"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2:12" ht="12.75"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2:12" ht="12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2:12" ht="12.75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2:12" ht="12.75"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2:12" ht="12.75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2:12" ht="12.75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2:12" ht="12.75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2:12" ht="12.75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2:12" ht="12.75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  <row r="47" spans="2:12" ht="12.75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2:12" ht="12.7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2:12" ht="12.7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2:12" ht="12.7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2:12" ht="12.7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</row>
    <row r="52" spans="2:12" ht="12.7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</row>
    <row r="53" spans="2:12" ht="12.75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</row>
    <row r="54" spans="2:12" ht="12.75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</row>
    <row r="55" spans="2:12" ht="12.75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</row>
    <row r="56" spans="2:12" ht="12.75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</row>
    <row r="57" spans="2:12" ht="12.7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</row>
    <row r="58" spans="2:12" ht="12.75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</row>
    <row r="59" spans="2:12" ht="12.75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</row>
    <row r="60" spans="2:12" ht="12.7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</row>
    <row r="61" spans="2:12" ht="12.75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</row>
    <row r="62" spans="2:12" ht="12.75"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</sheetData>
  <sheetProtection/>
  <mergeCells count="3">
    <mergeCell ref="I2:K2"/>
    <mergeCell ref="D3:G3"/>
    <mergeCell ref="D2:G2"/>
  </mergeCells>
  <printOptions/>
  <pageMargins left="0.75" right="0.75" top="1" bottom="1" header="0.5" footer="0.5"/>
  <pageSetup horizontalDpi="600" verticalDpi="600" orientation="landscape" r:id="rId2"/>
  <headerFooter alignWithMargins="0">
    <oddHeader>&amp;C&amp;A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K40"/>
  <sheetViews>
    <sheetView zoomScalePageLayoutView="0" workbookViewId="0" topLeftCell="A1">
      <pane ySplit="4" topLeftCell="A5" activePane="bottomLeft" state="frozen"/>
      <selection pane="topLeft" activeCell="B1" sqref="B1"/>
      <selection pane="bottomLeft" activeCell="B6" sqref="B6"/>
    </sheetView>
  </sheetViews>
  <sheetFormatPr defaultColWidth="9.140625" defaultRowHeight="12.75"/>
  <cols>
    <col min="1" max="1" width="4.28125" style="42" customWidth="1"/>
    <col min="2" max="2" width="52.7109375" style="42" customWidth="1"/>
    <col min="3" max="3" width="11.00390625" style="42" customWidth="1"/>
    <col min="4" max="5" width="10.57421875" style="42" customWidth="1"/>
    <col min="6" max="6" width="10.8515625" style="42" customWidth="1"/>
    <col min="7" max="7" width="11.57421875" style="42" customWidth="1"/>
    <col min="8" max="8" width="12.8515625" style="42" customWidth="1"/>
    <col min="9" max="9" width="6.57421875" style="42" customWidth="1"/>
    <col min="10" max="10" width="13.421875" style="42" bestFit="1" customWidth="1"/>
    <col min="11" max="11" width="17.421875" style="42" customWidth="1"/>
    <col min="12" max="12" width="10.8515625" style="42" customWidth="1"/>
    <col min="13" max="13" width="10.00390625" style="42" customWidth="1"/>
    <col min="14" max="14" width="12.00390625" style="42" customWidth="1"/>
    <col min="15" max="16" width="10.140625" style="42" customWidth="1"/>
    <col min="17" max="17" width="9.7109375" style="42" bestFit="1" customWidth="1"/>
    <col min="18" max="18" width="10.140625" style="42" bestFit="1" customWidth="1"/>
    <col min="19" max="19" width="9.7109375" style="42" bestFit="1" customWidth="1"/>
    <col min="20" max="20" width="10.140625" style="42" bestFit="1" customWidth="1"/>
    <col min="21" max="21" width="9.7109375" style="42" bestFit="1" customWidth="1"/>
    <col min="22" max="22" width="10.140625" style="42" bestFit="1" customWidth="1"/>
    <col min="23" max="31" width="8.421875" style="42" customWidth="1"/>
    <col min="32" max="16384" width="9.140625" style="42" customWidth="1"/>
  </cols>
  <sheetData>
    <row r="1" ht="12.75">
      <c r="B1" s="42" t="s">
        <v>502</v>
      </c>
    </row>
    <row r="2" ht="12.75">
      <c r="B2" s="42" t="s">
        <v>501</v>
      </c>
    </row>
    <row r="4" ht="15">
      <c r="B4" s="135" t="s">
        <v>512</v>
      </c>
    </row>
    <row r="5" spans="3:8" ht="12.75">
      <c r="C5" s="372" t="s">
        <v>382</v>
      </c>
      <c r="D5" s="372"/>
      <c r="E5" s="373" t="s">
        <v>383</v>
      </c>
      <c r="F5" s="368"/>
      <c r="G5" s="373" t="s">
        <v>299</v>
      </c>
      <c r="H5" s="368"/>
    </row>
    <row r="6" spans="2:9" ht="13.5" customHeight="1" thickBot="1">
      <c r="B6" s="155" t="str">
        <f>Inputs!C4</f>
        <v>Case Study State</v>
      </c>
      <c r="C6" s="45" t="s">
        <v>298</v>
      </c>
      <c r="D6" s="45" t="s">
        <v>297</v>
      </c>
      <c r="E6" s="45" t="s">
        <v>298</v>
      </c>
      <c r="F6" s="45" t="s">
        <v>297</v>
      </c>
      <c r="G6" s="45" t="s">
        <v>298</v>
      </c>
      <c r="H6" s="45" t="s">
        <v>297</v>
      </c>
      <c r="I6" s="203"/>
    </row>
    <row r="7" spans="1:9" ht="13.5" customHeight="1">
      <c r="A7" s="43"/>
      <c r="B7" s="47" t="s">
        <v>682</v>
      </c>
      <c r="C7" s="46">
        <f>G7+'Traffic  Impacts'!B53/1000</f>
        <v>24807.30921955766</v>
      </c>
      <c r="D7" s="46">
        <f>H7+'Traffic  Impacts'!B56/1000</f>
        <v>23330.25776585392</v>
      </c>
      <c r="E7" s="46">
        <f>G7+'Traffic  Impacts'!C53/1000</f>
        <v>25843.457584111176</v>
      </c>
      <c r="F7" s="46">
        <f>H7+'Traffic  Impacts'!C56/1000</f>
        <v>22759.056231127124</v>
      </c>
      <c r="G7" s="46">
        <f>'Base Case'!B20/1000</f>
        <v>26283.561643835616</v>
      </c>
      <c r="H7" s="46">
        <f>'Base Case'!B21/1000</f>
        <v>22516.438356164384</v>
      </c>
      <c r="I7" s="43"/>
    </row>
    <row r="8" spans="2:9" ht="12.75" customHeight="1">
      <c r="B8" s="47" t="s">
        <v>680</v>
      </c>
      <c r="C8" s="46">
        <f>'Free Flow CP'!C57/1000</f>
        <v>13609.770792589828</v>
      </c>
      <c r="D8" s="46">
        <f>H8+'Traffic  Impacts'!B56/1000</f>
        <v>13737.620088047577</v>
      </c>
      <c r="E8" s="46">
        <f>'Moderate CP'!C63/1000</f>
        <v>14645.919157143348</v>
      </c>
      <c r="F8" s="46">
        <f>H8+'Traffic  Impacts'!C56/1000</f>
        <v>13166.418553320782</v>
      </c>
      <c r="G8" s="46">
        <f>'Base Case'!B26/1000</f>
        <v>15086.023216867785</v>
      </c>
      <c r="H8" s="46">
        <f>'Base Case'!B27/1000</f>
        <v>12923.800678358042</v>
      </c>
      <c r="I8" s="46"/>
    </row>
    <row r="9" spans="2:9" ht="13.5" customHeight="1">
      <c r="B9" s="47" t="s">
        <v>683</v>
      </c>
      <c r="C9" s="56">
        <f>60</f>
        <v>60</v>
      </c>
      <c r="D9" s="56">
        <f>'Traffic  Impacts'!B63</f>
        <v>20.845005083451756</v>
      </c>
      <c r="E9" s="54">
        <f>'Traffic  Impacts'!B35</f>
        <v>53.77867148712637</v>
      </c>
      <c r="F9" s="56">
        <f>'Traffic  Impacts'!C63</f>
        <v>22.250892775346735</v>
      </c>
      <c r="G9" s="56">
        <f>'Base Case'!C75</f>
        <v>39.317629937271406</v>
      </c>
      <c r="H9" s="56">
        <f>'Base Case'!C76</f>
        <v>22.847577329064702</v>
      </c>
      <c r="I9" s="46"/>
    </row>
    <row r="10" spans="2:9" ht="13.5" customHeight="1">
      <c r="B10" s="47"/>
      <c r="C10" s="50"/>
      <c r="D10" s="50"/>
      <c r="E10" s="50"/>
      <c r="F10" s="50"/>
      <c r="G10" s="50"/>
      <c r="H10" s="50"/>
      <c r="I10" s="56"/>
    </row>
    <row r="11" spans="2:9" ht="12.75" customHeight="1">
      <c r="B11" s="57" t="s">
        <v>386</v>
      </c>
      <c r="C11" s="46"/>
      <c r="D11" s="46"/>
      <c r="E11" s="46"/>
      <c r="F11" s="46"/>
      <c r="G11" s="46"/>
      <c r="H11" s="46"/>
      <c r="I11" s="50"/>
    </row>
    <row r="12" spans="2:9" ht="12.75" customHeight="1">
      <c r="B12" s="47" t="s">
        <v>384</v>
      </c>
      <c r="C12" s="56">
        <f>LOOKUP(C9,EmissionsFuelConsumption!$C$28:$C$40,EmissionsFuelConsumption!$D$28:$D$40)</f>
        <v>0.8180000000000001</v>
      </c>
      <c r="D12" s="56">
        <f>LOOKUP(D9,EmissionsFuelConsumption!$C$28:$C$40,EmissionsFuelConsumption!$D$28:$D$40)</f>
        <v>0.742</v>
      </c>
      <c r="E12" s="56">
        <f>LOOKUP(E9,EmissionsFuelConsumption!$C$28:$C$40,EmissionsFuelConsumption!$D$28:$D$40)</f>
        <v>0.7865</v>
      </c>
      <c r="F12" s="56">
        <f>LOOKUP(F9,EmissionsFuelConsumption!$C$28:$C$40,EmissionsFuelConsumption!$D$28:$D$40)</f>
        <v>0.742</v>
      </c>
      <c r="G12" s="56">
        <f>LOOKUP(G9,EmissionsFuelConsumption!$C$28:$C$40,EmissionsFuelConsumption!$D$28:$D$40)</f>
        <v>0.7464999999999999</v>
      </c>
      <c r="H12" s="56">
        <f>LOOKUP(H9,EmissionsFuelConsumption!$C$28:$C$40,EmissionsFuelConsumption!$D$28:$D$40)</f>
        <v>0.742</v>
      </c>
      <c r="I12" s="46"/>
    </row>
    <row r="13" spans="2:9" ht="12.75" customHeight="1">
      <c r="B13" s="47" t="s">
        <v>385</v>
      </c>
      <c r="C13" s="56">
        <f>LOOKUP(C9,EmissionsFuelConsumption!$C$28:$C$40,EmissionsFuelConsumption!$F$28:$F$40)</f>
        <v>15.151</v>
      </c>
      <c r="D13" s="56">
        <f>LOOKUP(D9,EmissionsFuelConsumption!$C$28:$C$40,EmissionsFuelConsumption!$F$28:$F$40)</f>
        <v>10.5915</v>
      </c>
      <c r="E13" s="56">
        <f>LOOKUP(E9,EmissionsFuelConsumption!$C$28:$C$40,EmissionsFuelConsumption!$F$28:$F$40)</f>
        <v>11.157</v>
      </c>
      <c r="F13" s="56">
        <f>LOOKUP(F9,EmissionsFuelConsumption!$C$28:$C$40,EmissionsFuelConsumption!$F$28:$F$40)</f>
        <v>10.5915</v>
      </c>
      <c r="G13" s="56">
        <f>LOOKUP(G9,EmissionsFuelConsumption!$C$28:$C$40,EmissionsFuelConsumption!$F$28:$F$40)</f>
        <v>9.234</v>
      </c>
      <c r="H13" s="56">
        <f>LOOKUP(H9,EmissionsFuelConsumption!$C$28:$C$40,EmissionsFuelConsumption!$F$28:$F$40)</f>
        <v>10.5915</v>
      </c>
      <c r="I13" s="56"/>
    </row>
    <row r="14" spans="2:9" ht="12.75" customHeight="1">
      <c r="B14" s="47" t="s">
        <v>684</v>
      </c>
      <c r="C14" s="56">
        <f aca="true" t="shared" si="0" ref="C14:H14">LOOKUP(C9,$C$28:$C$40,$E$28:$E$40)</f>
        <v>17.842</v>
      </c>
      <c r="D14" s="56">
        <f t="shared" si="0"/>
        <v>13.4</v>
      </c>
      <c r="E14" s="56">
        <f t="shared" si="0"/>
        <v>13.951</v>
      </c>
      <c r="F14" s="56">
        <f t="shared" si="0"/>
        <v>13.4</v>
      </c>
      <c r="G14" s="56">
        <f t="shared" si="0"/>
        <v>12.0775</v>
      </c>
      <c r="H14" s="56">
        <f t="shared" si="0"/>
        <v>13.4</v>
      </c>
      <c r="I14" s="56"/>
    </row>
    <row r="15" spans="2:9" ht="13.5" customHeight="1">
      <c r="B15" s="47"/>
      <c r="C15" s="50"/>
      <c r="D15" s="50"/>
      <c r="E15" s="50"/>
      <c r="F15" s="50"/>
      <c r="G15" s="50"/>
      <c r="H15" s="50"/>
      <c r="I15" s="56"/>
    </row>
    <row r="16" spans="2:9" ht="12.75" customHeight="1">
      <c r="B16" s="57" t="s">
        <v>686</v>
      </c>
      <c r="C16" s="51"/>
      <c r="D16" s="51"/>
      <c r="E16" s="51"/>
      <c r="F16" s="51"/>
      <c r="G16" s="51"/>
      <c r="H16" s="51"/>
      <c r="I16" s="50"/>
    </row>
    <row r="17" spans="2:8" s="51" customFormat="1" ht="12.75">
      <c r="B17" s="42" t="s">
        <v>685</v>
      </c>
      <c r="C17" s="46">
        <f>C18*Inputs!$C$17*10084+C18*(1-Inputs!$C$17)*8788</f>
        <v>6181957.823993996</v>
      </c>
      <c r="D17" s="46">
        <f>D18*Inputs!$C$17*10084+D18*(1-Inputs!$C$17)*8788</f>
        <v>8718030.918374056</v>
      </c>
      <c r="E17" s="46">
        <f>E18*Inputs!$C$17*10084+E18*(1-Inputs!$C$17)*8788</f>
        <v>5854294.0358478995</v>
      </c>
      <c r="F17" s="46">
        <f>F18*Inputs!$C$17*10084+F18*(1-Inputs!$C$17)*8788</f>
        <v>8151071.2796044815</v>
      </c>
      <c r="G17" s="46">
        <f>G18*Inputs!$C$17*10084+G18*(1-Inputs!$C$17)*8788</f>
        <v>7200448.593433659</v>
      </c>
      <c r="H17" s="46">
        <f>H18*Inputs!$C$17*10084+H18*(1-Inputs!$C$17)*8788</f>
        <v>7918628.4977446925</v>
      </c>
    </row>
    <row r="18" spans="2:11" ht="12.75">
      <c r="B18" s="42" t="s">
        <v>687</v>
      </c>
      <c r="C18" s="46">
        <f aca="true" t="shared" si="1" ref="C18:H18">1/C19*C8</f>
        <v>695.2519460882528</v>
      </c>
      <c r="D18" s="46">
        <f t="shared" si="1"/>
        <v>980.47061054537</v>
      </c>
      <c r="E18" s="46">
        <f t="shared" si="1"/>
        <v>658.4013410118109</v>
      </c>
      <c r="F18" s="46">
        <f t="shared" si="1"/>
        <v>916.7076727462618</v>
      </c>
      <c r="G18" s="46">
        <f t="shared" si="1"/>
        <v>809.7961907573888</v>
      </c>
      <c r="H18" s="46">
        <f t="shared" si="1"/>
        <v>890.5660682508471</v>
      </c>
      <c r="I18" s="46"/>
      <c r="K18" s="46"/>
    </row>
    <row r="19" spans="2:11" ht="12.75">
      <c r="B19" s="42" t="s">
        <v>387</v>
      </c>
      <c r="C19" s="50">
        <f>0.88*E19</f>
        <v>19.575307727167804</v>
      </c>
      <c r="D19" s="50">
        <f>8.8+0.25*(D9)</f>
        <v>14.011251270862939</v>
      </c>
      <c r="E19" s="50">
        <f>8.8+0.25*(E9)</f>
        <v>22.244667871781594</v>
      </c>
      <c r="F19" s="50">
        <f>8.8+0.25*(F9)</f>
        <v>14.362723193836684</v>
      </c>
      <c r="G19" s="50">
        <f>8.8+0.25*(G9)</f>
        <v>18.629407484317852</v>
      </c>
      <c r="H19" s="50">
        <f>8.8+0.25*(H9)</f>
        <v>14.511894332266177</v>
      </c>
      <c r="I19" s="46"/>
      <c r="K19" s="46"/>
    </row>
    <row r="20" spans="3:9" ht="12.75">
      <c r="C20" s="54"/>
      <c r="D20" s="54"/>
      <c r="E20" s="54"/>
      <c r="F20" s="54"/>
      <c r="G20" s="54"/>
      <c r="H20" s="54"/>
      <c r="I20" s="50"/>
    </row>
    <row r="21" spans="2:9" ht="13.5" thickBot="1">
      <c r="B21" s="80" t="s">
        <v>688</v>
      </c>
      <c r="C21" s="106">
        <f>(((Inputs!$C$17*EmissionsFuelConsumption!C8*EmissionsFuelConsumption!C14)+((1-Inputs!$C$17)*EmissionsFuelConsumption!C8*EmissionsFuelConsumption!C12)))</f>
        <v>29668.211546182418</v>
      </c>
      <c r="D21" s="106">
        <f>(((Inputs!$C$17*EmissionsFuelConsumption!D8*EmissionsFuelConsumption!D14)+((1-Inputs!$C$17)*EmissionsFuelConsumption!D8*EmissionsFuelConsumption!D12)))</f>
        <v>24104.5777112918</v>
      </c>
      <c r="E21" s="106">
        <f>(((Inputs!$C$17*EmissionsFuelConsumption!E8*EmissionsFuelConsumption!E14)+((1-Inputs!$C$17)*EmissionsFuelConsumption!E8*EmissionsFuelConsumption!E12)))</f>
        <v>26943.511636630334</v>
      </c>
      <c r="F21" s="106">
        <f>(((Inputs!$C$17*EmissionsFuelConsumption!F8*EmissionsFuelConsumption!F14)+((1-Inputs!$C$17)*EmissionsFuelConsumption!F8*EmissionsFuelConsumption!F12)))</f>
        <v>23102.324650398776</v>
      </c>
      <c r="G21" s="106">
        <f>(((Inputs!$C$17*EmissionsFuelConsumption!G8*EmissionsFuelConsumption!G14)+((1-Inputs!$C$17)*EmissionsFuelConsumption!G8*EmissionsFuelConsumption!G12)))</f>
        <v>24936.894657018107</v>
      </c>
      <c r="H21" s="106">
        <f>(((Inputs!$C$17*EmissionsFuelConsumption!H8*EmissionsFuelConsumption!H14)+((1-Inputs!$C$17)*EmissionsFuelConsumption!H8*EmissionsFuelConsumption!H12)))</f>
        <v>22676.617622274156</v>
      </c>
      <c r="I21" s="54"/>
    </row>
    <row r="22" spans="2:9" ht="13.5" customHeight="1">
      <c r="B22" s="47"/>
      <c r="I22" s="56"/>
    </row>
    <row r="23" spans="2:9" ht="12.75">
      <c r="B23" s="47"/>
      <c r="I23" s="56"/>
    </row>
    <row r="24" ht="12.75">
      <c r="I24" s="46"/>
    </row>
    <row r="25" spans="3:9" ht="12.75">
      <c r="C25" s="44" t="s">
        <v>360</v>
      </c>
      <c r="I25" s="50"/>
    </row>
    <row r="26" spans="3:9" ht="12.75">
      <c r="C26" s="42" t="s">
        <v>515</v>
      </c>
      <c r="E26" s="44"/>
      <c r="F26" s="44"/>
      <c r="I26" s="54"/>
    </row>
    <row r="27" spans="3:9" ht="13.5" thickBot="1">
      <c r="C27" s="80"/>
      <c r="D27" s="115" t="s">
        <v>516</v>
      </c>
      <c r="E27" s="115" t="s">
        <v>517</v>
      </c>
      <c r="F27" s="115" t="s">
        <v>518</v>
      </c>
      <c r="I27" s="46"/>
    </row>
    <row r="28" spans="3:6" ht="12.75">
      <c r="C28" s="42">
        <v>5</v>
      </c>
      <c r="D28" s="42">
        <v>1.3279999999999998</v>
      </c>
      <c r="E28" s="44">
        <v>19.445999999999998</v>
      </c>
      <c r="F28" s="44">
        <v>16.7965</v>
      </c>
    </row>
    <row r="29" spans="3:6" ht="12.75">
      <c r="C29" s="42">
        <v>10</v>
      </c>
      <c r="D29" s="42">
        <v>0.9245</v>
      </c>
      <c r="E29" s="44">
        <v>16.6225</v>
      </c>
      <c r="F29" s="44">
        <v>13.899000000000001</v>
      </c>
    </row>
    <row r="30" spans="3:6" ht="12.75">
      <c r="C30" s="42">
        <v>15</v>
      </c>
      <c r="D30" s="42">
        <v>0.7325</v>
      </c>
      <c r="E30" s="44">
        <v>14.6925</v>
      </c>
      <c r="F30" s="44">
        <v>11.9175</v>
      </c>
    </row>
    <row r="31" spans="3:6" ht="12.75">
      <c r="C31" s="42">
        <v>20</v>
      </c>
      <c r="D31" s="42">
        <v>0.742</v>
      </c>
      <c r="E31" s="44">
        <v>13.4</v>
      </c>
      <c r="F31" s="44">
        <v>10.5915</v>
      </c>
    </row>
    <row r="32" spans="3:6" ht="12.75">
      <c r="C32" s="42">
        <v>25</v>
      </c>
      <c r="D32" s="42">
        <v>0.747</v>
      </c>
      <c r="E32" s="44">
        <v>12.588000000000001</v>
      </c>
      <c r="F32" s="44">
        <v>9.758</v>
      </c>
    </row>
    <row r="33" spans="3:6" ht="12.75">
      <c r="C33" s="42">
        <v>30</v>
      </c>
      <c r="D33" s="42">
        <v>0.749</v>
      </c>
      <c r="E33" s="44">
        <v>12.163</v>
      </c>
      <c r="F33" s="44">
        <v>9.3215</v>
      </c>
    </row>
    <row r="34" spans="3:6" ht="12.75">
      <c r="C34" s="42">
        <v>35</v>
      </c>
      <c r="D34" s="42">
        <v>0.7464999999999999</v>
      </c>
      <c r="E34" s="44">
        <v>12.0775</v>
      </c>
      <c r="F34" s="44">
        <v>9.234</v>
      </c>
    </row>
    <row r="35" spans="3:6" ht="12.75">
      <c r="C35" s="42">
        <v>40</v>
      </c>
      <c r="D35" s="42">
        <v>0.7569999999999999</v>
      </c>
      <c r="E35" s="44">
        <v>12.322</v>
      </c>
      <c r="F35" s="44">
        <v>9.485</v>
      </c>
    </row>
    <row r="36" spans="3:6" ht="12.75">
      <c r="C36" s="42">
        <v>45</v>
      </c>
      <c r="D36" s="42">
        <v>0.772</v>
      </c>
      <c r="E36" s="44">
        <v>12.924</v>
      </c>
      <c r="F36" s="44">
        <v>10.103000000000002</v>
      </c>
    </row>
    <row r="37" spans="3:6" ht="12.75">
      <c r="C37" s="42">
        <v>50</v>
      </c>
      <c r="D37" s="42">
        <v>0.7865</v>
      </c>
      <c r="E37" s="44">
        <v>13.951</v>
      </c>
      <c r="F37" s="44">
        <v>11.157</v>
      </c>
    </row>
    <row r="38" spans="3:6" ht="12.75">
      <c r="C38" s="42">
        <v>55</v>
      </c>
      <c r="D38" s="42">
        <v>0.8025</v>
      </c>
      <c r="E38" s="44">
        <v>15.524000000000001</v>
      </c>
      <c r="F38" s="44">
        <v>12.771</v>
      </c>
    </row>
    <row r="39" spans="3:6" ht="12.75">
      <c r="C39" s="42">
        <v>60</v>
      </c>
      <c r="D39" s="42">
        <v>0.8180000000000001</v>
      </c>
      <c r="E39" s="44">
        <v>17.842</v>
      </c>
      <c r="F39" s="44">
        <v>15.151</v>
      </c>
    </row>
    <row r="40" spans="3:6" ht="13.5" thickBot="1">
      <c r="C40" s="80">
        <v>65</v>
      </c>
      <c r="D40" s="80">
        <v>0.8340000000000001</v>
      </c>
      <c r="E40" s="80">
        <v>21.226</v>
      </c>
      <c r="F40" s="80">
        <v>18.623</v>
      </c>
    </row>
  </sheetData>
  <sheetProtection selectLockedCells="1" selectUnlockedCells="1"/>
  <mergeCells count="3">
    <mergeCell ref="C5:D5"/>
    <mergeCell ref="E5:F5"/>
    <mergeCell ref="G5:H5"/>
  </mergeCells>
  <printOptions/>
  <pageMargins left="0.75" right="0.75" top="1" bottom="1" header="0.5" footer="0.5"/>
  <pageSetup fitToHeight="1" fitToWidth="1" horizontalDpi="600" verticalDpi="600" orientation="landscape" scale="61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2"/>
  </sheetPr>
  <dimension ref="B2:G2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44" customWidth="1"/>
    <col min="2" max="2" width="67.00390625" style="44" customWidth="1"/>
    <col min="3" max="3" width="15.28125" style="44" customWidth="1"/>
    <col min="4" max="4" width="11.57421875" style="44" customWidth="1"/>
    <col min="5" max="5" width="55.00390625" style="44" customWidth="1"/>
    <col min="6" max="6" width="14.28125" style="116" customWidth="1"/>
    <col min="7" max="7" width="10.140625" style="44" bestFit="1" customWidth="1"/>
    <col min="8" max="16384" width="9.140625" style="44" customWidth="1"/>
  </cols>
  <sheetData>
    <row r="2" spans="2:5" ht="12.75">
      <c r="B2" s="68" t="s">
        <v>481</v>
      </c>
      <c r="E2" s="42"/>
    </row>
    <row r="3" spans="2:6" ht="13.5" thickBot="1">
      <c r="B3" s="78" t="s">
        <v>395</v>
      </c>
      <c r="C3" s="115" t="str">
        <f>Inputs!C4</f>
        <v>Case Study State</v>
      </c>
      <c r="E3" s="80" t="s">
        <v>524</v>
      </c>
      <c r="F3" s="115" t="str">
        <f>C3</f>
        <v>Case Study State</v>
      </c>
    </row>
    <row r="4" spans="2:5" ht="12.75">
      <c r="B4" s="69" t="s">
        <v>556</v>
      </c>
      <c r="C4" s="116"/>
      <c r="E4" s="209" t="s">
        <v>556</v>
      </c>
    </row>
    <row r="5" spans="2:6" ht="12.75">
      <c r="B5" s="44" t="s">
        <v>712</v>
      </c>
      <c r="C5" s="59">
        <f>C6*10</f>
        <v>2.4020422912638892</v>
      </c>
      <c r="E5" s="59" t="s">
        <v>398</v>
      </c>
      <c r="F5" s="206">
        <f>C5</f>
        <v>2.4020422912638892</v>
      </c>
    </row>
    <row r="6" spans="2:6" ht="12.75">
      <c r="B6" s="44" t="s">
        <v>713</v>
      </c>
      <c r="C6" s="59">
        <f>'Free Flow CP'!C39</f>
        <v>0.24020422912638892</v>
      </c>
      <c r="E6" s="59" t="s">
        <v>399</v>
      </c>
      <c r="F6" s="206">
        <f>C6</f>
        <v>0.24020422912638892</v>
      </c>
    </row>
    <row r="7" spans="3:6" ht="12.75">
      <c r="C7" s="59"/>
      <c r="E7" s="59"/>
      <c r="F7" s="206"/>
    </row>
    <row r="8" spans="2:6" ht="12.75">
      <c r="B8" s="48" t="s">
        <v>721</v>
      </c>
      <c r="E8" s="44" t="s">
        <v>491</v>
      </c>
      <c r="F8" s="208">
        <f>C23</f>
        <v>814.0120009533998</v>
      </c>
    </row>
    <row r="9" spans="2:6" ht="12.75">
      <c r="B9" s="327" t="s">
        <v>714</v>
      </c>
      <c r="C9" s="53">
        <f>'Free Flow CP'!C5</f>
        <v>39.317629937271406</v>
      </c>
      <c r="E9" s="53" t="s">
        <v>492</v>
      </c>
      <c r="F9" s="208">
        <f>C24</f>
        <v>682.9010371537036</v>
      </c>
    </row>
    <row r="10" spans="2:3" ht="12.75">
      <c r="B10" s="327" t="s">
        <v>715</v>
      </c>
      <c r="C10" s="53">
        <f>'Free Flow CP'!C10</f>
        <v>60</v>
      </c>
    </row>
    <row r="11" spans="2:5" ht="12.75">
      <c r="B11" s="327" t="s">
        <v>525</v>
      </c>
      <c r="C11" s="104">
        <f>(C10-C9)/C9</f>
        <v>0.5260329805160154</v>
      </c>
      <c r="E11" s="210" t="s">
        <v>403</v>
      </c>
    </row>
    <row r="12" spans="2:6" ht="12.75">
      <c r="B12" s="327" t="s">
        <v>726</v>
      </c>
      <c r="C12" s="53">
        <f>'Free Flow CP'!C8</f>
        <v>22.847577329064702</v>
      </c>
      <c r="E12" s="53" t="s">
        <v>398</v>
      </c>
      <c r="F12" s="206">
        <f>C44</f>
        <v>1.3060021891694575</v>
      </c>
    </row>
    <row r="13" spans="2:6" ht="12.75">
      <c r="B13" s="327" t="s">
        <v>716</v>
      </c>
      <c r="C13" s="53">
        <f>'Free Flow CP'!C9</f>
        <v>20.845005083451756</v>
      </c>
      <c r="E13" s="53" t="s">
        <v>399</v>
      </c>
      <c r="F13" s="206">
        <f>C45</f>
        <v>0.13060021891694576</v>
      </c>
    </row>
    <row r="14" spans="2:6" ht="12.75">
      <c r="B14" s="327" t="s">
        <v>528</v>
      </c>
      <c r="C14" s="104">
        <f>(C13-C12)/C12</f>
        <v>-0.0876492162285166</v>
      </c>
      <c r="E14" s="53" t="s">
        <v>491</v>
      </c>
      <c r="F14" s="208">
        <f>C62</f>
        <v>476.2773017925399</v>
      </c>
    </row>
    <row r="15" spans="2:6" ht="13.5" thickBot="1">
      <c r="B15" s="327" t="s">
        <v>717</v>
      </c>
      <c r="C15" s="49">
        <f>'Base Case'!B26</f>
        <v>15086023.216867784</v>
      </c>
      <c r="E15" s="106" t="s">
        <v>492</v>
      </c>
      <c r="F15" s="211">
        <f>C63</f>
        <v>340.00631913736703</v>
      </c>
    </row>
    <row r="16" spans="2:3" ht="12.75">
      <c r="B16" s="327" t="s">
        <v>405</v>
      </c>
      <c r="C16" s="299">
        <f>'Free Flow CP'!C57</f>
        <v>13609770.792589828</v>
      </c>
    </row>
    <row r="17" spans="2:3" ht="12.75">
      <c r="B17" s="327" t="s">
        <v>718</v>
      </c>
      <c r="C17" s="104">
        <f>(C16-C15)/C15</f>
        <v>-0.0978556378348502</v>
      </c>
    </row>
    <row r="18" spans="2:6" ht="13.5" thickBot="1">
      <c r="B18" s="327" t="s">
        <v>719</v>
      </c>
      <c r="C18" s="49">
        <f>'Base Case'!B27</f>
        <v>12923800.678358043</v>
      </c>
      <c r="E18" s="106" t="s">
        <v>526</v>
      </c>
      <c r="F18" s="115" t="str">
        <f>C3</f>
        <v>Case Study State</v>
      </c>
    </row>
    <row r="19" spans="2:5" ht="12.75">
      <c r="B19" s="327" t="s">
        <v>406</v>
      </c>
      <c r="C19" s="49">
        <f>'Traffic  Impacts'!B56</f>
        <v>813819.4096895355</v>
      </c>
      <c r="E19" s="209" t="s">
        <v>556</v>
      </c>
    </row>
    <row r="20" spans="2:6" ht="12.75">
      <c r="B20" s="327" t="s">
        <v>720</v>
      </c>
      <c r="C20" s="49">
        <f>'Traffic  Impacts'!B56+'Traffic  Impacts'!B44</f>
        <v>13737620.088047579</v>
      </c>
      <c r="E20" s="49" t="s">
        <v>397</v>
      </c>
      <c r="F20" s="217">
        <f>C9</f>
        <v>39.317629937271406</v>
      </c>
    </row>
    <row r="21" spans="2:6" ht="12.75">
      <c r="B21" s="327" t="s">
        <v>531</v>
      </c>
      <c r="C21" s="104">
        <f>C19/C18</f>
        <v>0.06297059432774621</v>
      </c>
      <c r="E21" s="44" t="s">
        <v>400</v>
      </c>
      <c r="F21" s="215">
        <f>C10</f>
        <v>60</v>
      </c>
    </row>
    <row r="22" spans="5:6" ht="12.75">
      <c r="E22" s="49" t="s">
        <v>525</v>
      </c>
      <c r="F22" s="212">
        <f>C11</f>
        <v>0.5260329805160154</v>
      </c>
    </row>
    <row r="23" spans="2:5" ht="12.75">
      <c r="B23" s="44" t="s">
        <v>491</v>
      </c>
      <c r="C23" s="70">
        <f>'Free Flow CP'!C99/1000000</f>
        <v>814.0120009533998</v>
      </c>
      <c r="E23" s="49"/>
    </row>
    <row r="24" spans="2:6" ht="12.75">
      <c r="B24" s="44" t="s">
        <v>492</v>
      </c>
      <c r="C24" s="70">
        <f>C23-C100/1000</f>
        <v>682.9010371537036</v>
      </c>
      <c r="E24" s="213" t="s">
        <v>403</v>
      </c>
      <c r="F24" s="207"/>
    </row>
    <row r="25" spans="3:6" ht="12.75">
      <c r="C25" s="70"/>
      <c r="E25" s="213"/>
      <c r="F25" s="207"/>
    </row>
    <row r="26" spans="2:6" ht="12.75">
      <c r="B26" s="48" t="s">
        <v>722</v>
      </c>
      <c r="C26" s="70"/>
      <c r="E26" s="213"/>
      <c r="F26" s="207"/>
    </row>
    <row r="27" spans="2:6" ht="12.75">
      <c r="B27" s="327" t="s">
        <v>547</v>
      </c>
      <c r="C27" s="49">
        <f>EmissionsFuelConsumption!G17+EmissionsFuelConsumption!H17</f>
        <v>15119077.09117835</v>
      </c>
      <c r="E27" s="49" t="s">
        <v>397</v>
      </c>
      <c r="F27" s="214">
        <f>C48</f>
        <v>39.317629937271406</v>
      </c>
    </row>
    <row r="28" spans="2:6" ht="12.75">
      <c r="B28" s="327" t="s">
        <v>707</v>
      </c>
      <c r="C28" s="40">
        <f>EmissionsFuelConsumption!C17+EmissionsFuelConsumption!D17</f>
        <v>14899988.742368052</v>
      </c>
      <c r="E28" s="49" t="s">
        <v>400</v>
      </c>
      <c r="F28" s="207">
        <f>C49</f>
        <v>49.16091609272912</v>
      </c>
    </row>
    <row r="29" spans="2:6" ht="13.5" thickBot="1">
      <c r="B29" s="327" t="s">
        <v>709</v>
      </c>
      <c r="C29" s="40">
        <f>EmissionsFuelConsumption!C21+EmissionsFuelConsumption!D21</f>
        <v>53772.789257474215</v>
      </c>
      <c r="E29" s="106" t="s">
        <v>525</v>
      </c>
      <c r="F29" s="216">
        <f>C50</f>
        <v>0.250352988498086</v>
      </c>
    </row>
    <row r="30" spans="2:5" ht="12.75">
      <c r="B30" s="327"/>
      <c r="C30" s="49"/>
      <c r="E30" s="49"/>
    </row>
    <row r="31" spans="2:5" ht="12.75">
      <c r="B31" s="327" t="s">
        <v>519</v>
      </c>
      <c r="C31" s="49">
        <f>EmissionsFuelConsumption!G18+EmissionsFuelConsumption!H18</f>
        <v>1700.362259008236</v>
      </c>
      <c r="E31" s="49"/>
    </row>
    <row r="32" spans="2:6" ht="13.5" thickBot="1">
      <c r="B32" s="327" t="s">
        <v>723</v>
      </c>
      <c r="C32" s="49">
        <f>EmissionsFuelConsumption!C18+EmissionsFuelConsumption!D18</f>
        <v>1675.7225566336228</v>
      </c>
      <c r="E32" s="106" t="s">
        <v>527</v>
      </c>
      <c r="F32" s="115" t="str">
        <f>C3</f>
        <v>Case Study State</v>
      </c>
    </row>
    <row r="33" spans="2:5" ht="12.75">
      <c r="B33" s="327" t="s">
        <v>521</v>
      </c>
      <c r="C33" s="104">
        <f>(C32-C31)/C31</f>
        <v>-0.014490854665866667</v>
      </c>
      <c r="E33" s="209" t="s">
        <v>556</v>
      </c>
    </row>
    <row r="34" spans="2:6" ht="12.75">
      <c r="B34" s="327" t="s">
        <v>732</v>
      </c>
      <c r="C34" s="105">
        <f>EmissionsFuelConsumption!G19</f>
        <v>18.629407484317852</v>
      </c>
      <c r="E34" s="49" t="s">
        <v>401</v>
      </c>
      <c r="F34" s="217">
        <f>C12</f>
        <v>22.847577329064702</v>
      </c>
    </row>
    <row r="35" spans="2:6" ht="12.75">
      <c r="B35" s="327" t="s">
        <v>733</v>
      </c>
      <c r="C35" s="105">
        <f>EmissionsFuelConsumption!H19</f>
        <v>14.511894332266177</v>
      </c>
      <c r="E35" s="44" t="s">
        <v>402</v>
      </c>
      <c r="F35" s="217">
        <f>C13</f>
        <v>20.845005083451756</v>
      </c>
    </row>
    <row r="36" spans="2:6" ht="12.75">
      <c r="B36" s="327" t="s">
        <v>731</v>
      </c>
      <c r="C36" s="60">
        <f>EmissionsFuelConsumption!C19</f>
        <v>19.575307727167804</v>
      </c>
      <c r="E36" s="49" t="s">
        <v>528</v>
      </c>
      <c r="F36" s="212">
        <f>C14</f>
        <v>-0.0876492162285166</v>
      </c>
    </row>
    <row r="37" spans="2:5" ht="12.75">
      <c r="B37" s="330" t="s">
        <v>522</v>
      </c>
      <c r="C37" s="61">
        <f>(C36-C34)/C34</f>
        <v>0.05077457474942271</v>
      </c>
      <c r="E37" s="49"/>
    </row>
    <row r="38" spans="2:6" ht="12.75">
      <c r="B38" s="330" t="s">
        <v>725</v>
      </c>
      <c r="C38" s="77">
        <f>EmissionsFuelConsumption!D19</f>
        <v>14.011251270862939</v>
      </c>
      <c r="E38" s="213" t="s">
        <v>403</v>
      </c>
      <c r="F38" s="207"/>
    </row>
    <row r="39" spans="2:6" ht="13.5" thickBot="1">
      <c r="B39" s="331" t="s">
        <v>523</v>
      </c>
      <c r="C39" s="205">
        <f>(C38-C35)/C35</f>
        <v>-0.03449880835268305</v>
      </c>
      <c r="E39" s="49" t="s">
        <v>401</v>
      </c>
      <c r="F39" s="214">
        <f>C51</f>
        <v>22.847577329064702</v>
      </c>
    </row>
    <row r="40" spans="2:6" ht="12.75">
      <c r="B40" s="57"/>
      <c r="C40" s="42"/>
      <c r="E40" s="49" t="s">
        <v>402</v>
      </c>
      <c r="F40" s="214">
        <f>C52</f>
        <v>22.250892775346735</v>
      </c>
    </row>
    <row r="41" spans="2:6" ht="13.5" thickBot="1">
      <c r="B41" s="68" t="s">
        <v>482</v>
      </c>
      <c r="C41" s="42"/>
      <c r="E41" s="106" t="s">
        <v>528</v>
      </c>
      <c r="F41" s="216">
        <f>C53</f>
        <v>-0.02611587850756137</v>
      </c>
    </row>
    <row r="42" spans="2:5" ht="13.5" thickBot="1">
      <c r="B42" s="78" t="s">
        <v>395</v>
      </c>
      <c r="C42" s="115" t="str">
        <f>Inputs!C4</f>
        <v>Case Study State</v>
      </c>
      <c r="E42" s="49"/>
    </row>
    <row r="43" ht="12.75">
      <c r="B43" s="69" t="s">
        <v>403</v>
      </c>
    </row>
    <row r="44" spans="2:6" ht="13.5" thickBot="1">
      <c r="B44" s="44" t="s">
        <v>712</v>
      </c>
      <c r="C44" s="59">
        <f>10*C45</f>
        <v>1.3060021891694575</v>
      </c>
      <c r="E44" s="80" t="s">
        <v>532</v>
      </c>
      <c r="F44" s="115" t="str">
        <f>C42</f>
        <v>Case Study State</v>
      </c>
    </row>
    <row r="45" spans="2:5" ht="12.75">
      <c r="B45" s="44" t="s">
        <v>713</v>
      </c>
      <c r="C45" s="59">
        <f>'Moderate CP'!$C$43</f>
        <v>0.13060021891694576</v>
      </c>
      <c r="E45" s="209" t="s">
        <v>556</v>
      </c>
    </row>
    <row r="46" spans="3:5" ht="12.75">
      <c r="C46" s="59"/>
      <c r="E46" s="209"/>
    </row>
    <row r="47" spans="2:6" ht="12.75">
      <c r="B47" s="48" t="s">
        <v>721</v>
      </c>
      <c r="E47" s="44" t="s">
        <v>404</v>
      </c>
      <c r="F47" s="218">
        <f>C15</f>
        <v>15086023.216867784</v>
      </c>
    </row>
    <row r="48" spans="2:6" ht="12.75">
      <c r="B48" s="327" t="s">
        <v>690</v>
      </c>
      <c r="C48" s="53">
        <f>'Moderate CP'!C5</f>
        <v>39.317629937271406</v>
      </c>
      <c r="E48" s="44" t="s">
        <v>529</v>
      </c>
      <c r="F48" s="218">
        <f>C16</f>
        <v>13609770.792589828</v>
      </c>
    </row>
    <row r="49" spans="2:6" ht="12.75">
      <c r="B49" s="327" t="s">
        <v>691</v>
      </c>
      <c r="C49" s="53">
        <f>'Traffic  Impacts'!D35</f>
        <v>49.16091609272912</v>
      </c>
      <c r="E49" s="44" t="s">
        <v>530</v>
      </c>
      <c r="F49" s="212">
        <f>C17</f>
        <v>-0.0978556378348502</v>
      </c>
    </row>
    <row r="50" spans="2:3" ht="12.75">
      <c r="B50" s="327" t="s">
        <v>525</v>
      </c>
      <c r="C50" s="104">
        <f>(C49-C48)/C48</f>
        <v>0.250352988498086</v>
      </c>
    </row>
    <row r="51" spans="2:5" ht="12.75">
      <c r="B51" s="327" t="s">
        <v>727</v>
      </c>
      <c r="C51" s="53">
        <f>'Moderate CP'!C8</f>
        <v>22.847577329064702</v>
      </c>
      <c r="E51" s="209" t="s">
        <v>403</v>
      </c>
    </row>
    <row r="52" spans="2:6" ht="12.75">
      <c r="B52" s="327" t="s">
        <v>728</v>
      </c>
      <c r="C52" s="53">
        <f>'Moderate CP'!C9</f>
        <v>22.250892775346735</v>
      </c>
      <c r="E52" s="44" t="s">
        <v>404</v>
      </c>
      <c r="F52" s="218">
        <f>C54</f>
        <v>15086023.216867784</v>
      </c>
    </row>
    <row r="53" spans="2:6" ht="12.75">
      <c r="B53" s="327" t="s">
        <v>528</v>
      </c>
      <c r="C53" s="119">
        <f>(C52-C51)/C51</f>
        <v>-0.02611587850756137</v>
      </c>
      <c r="E53" s="42" t="s">
        <v>405</v>
      </c>
      <c r="F53" s="207">
        <f>C55</f>
        <v>14645919.157143347</v>
      </c>
    </row>
    <row r="54" spans="2:6" ht="13.5" thickBot="1">
      <c r="B54" s="327" t="s">
        <v>729</v>
      </c>
      <c r="C54" s="49">
        <f>C15</f>
        <v>15086023.216867784</v>
      </c>
      <c r="E54" s="80" t="s">
        <v>530</v>
      </c>
      <c r="F54" s="216">
        <f>(F53-F52)/F52</f>
        <v>-0.029172967149643105</v>
      </c>
    </row>
    <row r="55" spans="2:3" ht="12.75">
      <c r="B55" s="327" t="s">
        <v>405</v>
      </c>
      <c r="C55" s="49">
        <f>'Moderate CP'!C63</f>
        <v>14645919.157143347</v>
      </c>
    </row>
    <row r="56" spans="2:3" ht="12.75">
      <c r="B56" s="327" t="s">
        <v>718</v>
      </c>
      <c r="C56" s="104">
        <f>(C55-C54)/C54</f>
        <v>-0.029172967149643105</v>
      </c>
    </row>
    <row r="57" spans="2:3" ht="12.75">
      <c r="B57" s="327" t="s">
        <v>719</v>
      </c>
      <c r="C57" s="49">
        <f>C18</f>
        <v>12923800.678358043</v>
      </c>
    </row>
    <row r="58" spans="2:5" ht="12.75">
      <c r="B58" s="327" t="s">
        <v>406</v>
      </c>
      <c r="C58" s="49">
        <f>'Traffic  Impacts'!C56</f>
        <v>242617.8749627394</v>
      </c>
      <c r="E58" s="59"/>
    </row>
    <row r="59" spans="2:6" ht="13.5" thickBot="1">
      <c r="B59" s="327" t="s">
        <v>720</v>
      </c>
      <c r="C59" s="49">
        <f>'Traffic  Impacts'!C56+'Traffic  Impacts'!B44</f>
        <v>13166418.553320782</v>
      </c>
      <c r="E59" s="84" t="s">
        <v>533</v>
      </c>
      <c r="F59" s="115" t="str">
        <f>C42</f>
        <v>Case Study State</v>
      </c>
    </row>
    <row r="60" spans="2:6" ht="12.75">
      <c r="B60" s="327" t="s">
        <v>531</v>
      </c>
      <c r="C60" s="104">
        <f>C58/C57</f>
        <v>0.018772950852532323</v>
      </c>
      <c r="E60" s="53" t="s">
        <v>534</v>
      </c>
      <c r="F60" s="218">
        <f>C18</f>
        <v>12923800.678358043</v>
      </c>
    </row>
    <row r="61" spans="3:6" ht="12.75">
      <c r="C61" s="49"/>
      <c r="E61" s="53"/>
      <c r="F61" s="218"/>
    </row>
    <row r="62" spans="2:7" ht="12.75">
      <c r="B62" s="44" t="s">
        <v>491</v>
      </c>
      <c r="C62" s="70">
        <f>'Moderate CP'!C104/1000000</f>
        <v>476.2773017925399</v>
      </c>
      <c r="E62" s="44" t="s">
        <v>535</v>
      </c>
      <c r="F62" s="218">
        <f>C19</f>
        <v>813819.4096895355</v>
      </c>
      <c r="G62" s="49">
        <f>F60+F62</f>
        <v>13737620.088047579</v>
      </c>
    </row>
    <row r="63" spans="2:6" ht="12.75">
      <c r="B63" s="44" t="s">
        <v>492</v>
      </c>
      <c r="C63" s="70">
        <f>C62-C101/1000</f>
        <v>340.00631913736703</v>
      </c>
      <c r="E63" s="53" t="s">
        <v>537</v>
      </c>
      <c r="F63" s="212">
        <f>F62/F60</f>
        <v>0.06297059432774621</v>
      </c>
    </row>
    <row r="64" spans="5:7" ht="12.75">
      <c r="E64" s="44" t="s">
        <v>536</v>
      </c>
      <c r="F64" s="218">
        <f>C58</f>
        <v>242617.8749627394</v>
      </c>
      <c r="G64" s="49">
        <f>F60+F64</f>
        <v>13166418.553320782</v>
      </c>
    </row>
    <row r="65" spans="2:6" ht="12.75">
      <c r="B65" s="48" t="s">
        <v>722</v>
      </c>
      <c r="F65" s="218"/>
    </row>
    <row r="66" spans="2:6" ht="13.5" thickBot="1">
      <c r="B66" s="327" t="s">
        <v>707</v>
      </c>
      <c r="C66" s="49">
        <f>EmissionsFuelConsumption!E17+EmissionsFuelConsumption!F17</f>
        <v>14005365.315452382</v>
      </c>
      <c r="E66" s="114" t="s">
        <v>538</v>
      </c>
      <c r="F66" s="216">
        <f>F64/F60</f>
        <v>0.018772950852532323</v>
      </c>
    </row>
    <row r="67" spans="2:5" ht="12.75">
      <c r="B67" s="327" t="s">
        <v>709</v>
      </c>
      <c r="C67" s="49">
        <f>EmissionsFuelConsumption!E21+EmissionsFuelConsumption!F21</f>
        <v>50045.83628702911</v>
      </c>
      <c r="E67" s="53"/>
    </row>
    <row r="68" spans="2:6" ht="13.5" thickBot="1">
      <c r="B68" s="327"/>
      <c r="C68" s="49"/>
      <c r="E68" s="114" t="s">
        <v>541</v>
      </c>
      <c r="F68" s="115" t="str">
        <f>C3</f>
        <v>Case Study State</v>
      </c>
    </row>
    <row r="69" spans="2:6" ht="12.75">
      <c r="B69" s="327" t="s">
        <v>520</v>
      </c>
      <c r="C69" s="49">
        <f>EmissionsFuelConsumption!G18+EmissionsFuelConsumption!H18</f>
        <v>1700.362259008236</v>
      </c>
      <c r="E69" s="44" t="s">
        <v>540</v>
      </c>
      <c r="F69" s="218">
        <f>C31</f>
        <v>1700.362259008236</v>
      </c>
    </row>
    <row r="70" spans="2:6" ht="12.75">
      <c r="B70" s="330" t="s">
        <v>730</v>
      </c>
      <c r="C70" s="46">
        <f>EmissionsFuelConsumption!E18+EmissionsFuelConsumption!F18</f>
        <v>1575.1090137580727</v>
      </c>
      <c r="E70" s="49" t="s">
        <v>539</v>
      </c>
      <c r="F70" s="218">
        <f>C32</f>
        <v>1675.7225566336228</v>
      </c>
    </row>
    <row r="71" spans="2:6" ht="12.75">
      <c r="B71" s="327" t="s">
        <v>521</v>
      </c>
      <c r="C71" s="104">
        <f>(C70-C69)/C69</f>
        <v>-0.07366268251755906</v>
      </c>
      <c r="E71" s="49"/>
      <c r="F71" s="218"/>
    </row>
    <row r="72" spans="2:6" ht="12.75">
      <c r="B72" s="330" t="s">
        <v>724</v>
      </c>
      <c r="C72" s="77">
        <f>EmissionsFuelConsumption!E19</f>
        <v>22.244667871781594</v>
      </c>
      <c r="E72" s="49" t="s">
        <v>542</v>
      </c>
      <c r="F72" s="212">
        <f>C33</f>
        <v>-0.014490854665866667</v>
      </c>
    </row>
    <row r="73" spans="2:6" ht="13.5" thickBot="1">
      <c r="B73" s="331" t="s">
        <v>725</v>
      </c>
      <c r="C73" s="81">
        <f>EmissionsFuelConsumption!F19</f>
        <v>14.362723193836684</v>
      </c>
      <c r="E73" s="49" t="s">
        <v>543</v>
      </c>
      <c r="F73" s="218">
        <f>C70</f>
        <v>1575.1090137580727</v>
      </c>
    </row>
    <row r="74" spans="5:6" ht="13.5" thickBot="1">
      <c r="E74" s="106" t="s">
        <v>544</v>
      </c>
      <c r="F74" s="216">
        <f>(F73-F69)/F69</f>
        <v>-0.07366268251755906</v>
      </c>
    </row>
    <row r="75" spans="2:5" ht="13.5" thickBot="1">
      <c r="B75" s="78" t="s">
        <v>471</v>
      </c>
      <c r="C75" s="115" t="str">
        <f>Inputs!C4</f>
        <v>Case Study State</v>
      </c>
      <c r="E75" s="49"/>
    </row>
    <row r="76" spans="2:6" ht="13.5" thickBot="1">
      <c r="B76" s="34" t="s">
        <v>341</v>
      </c>
      <c r="C76" s="71"/>
      <c r="E76" s="106" t="s">
        <v>545</v>
      </c>
      <c r="F76" s="115" t="str">
        <f>C42</f>
        <v>Case Study State</v>
      </c>
    </row>
    <row r="77" spans="2:6" ht="12.75">
      <c r="B77" s="31" t="s">
        <v>339</v>
      </c>
      <c r="C77" s="72">
        <f>'Collection Cost'!K6</f>
        <v>5.408971928286992</v>
      </c>
      <c r="E77" s="44" t="s">
        <v>547</v>
      </c>
      <c r="F77" s="218">
        <f>C27</f>
        <v>15119077.09117835</v>
      </c>
    </row>
    <row r="78" spans="2:6" ht="12.75">
      <c r="B78" s="31" t="s">
        <v>340</v>
      </c>
      <c r="C78" s="72">
        <f>'Collection Cost'!K7</f>
        <v>0.30945713806346564</v>
      </c>
      <c r="E78" s="44" t="s">
        <v>546</v>
      </c>
      <c r="F78" s="218">
        <f>C28</f>
        <v>14899988.742368052</v>
      </c>
    </row>
    <row r="79" spans="2:6" ht="12.75">
      <c r="B79" s="34" t="s">
        <v>346</v>
      </c>
      <c r="C79" s="72"/>
      <c r="E79" s="49" t="s">
        <v>548</v>
      </c>
      <c r="F79" s="212">
        <f>(F78-F77)/F77</f>
        <v>-0.014490854665866583</v>
      </c>
    </row>
    <row r="80" spans="2:6" ht="12.75">
      <c r="B80" s="31" t="s">
        <v>347</v>
      </c>
      <c r="C80" s="72">
        <f>'Collection Cost'!K9</f>
        <v>14.149439457444736</v>
      </c>
      <c r="E80" s="49" t="s">
        <v>549</v>
      </c>
      <c r="F80" s="218">
        <f>C66</f>
        <v>14005365.315452382</v>
      </c>
    </row>
    <row r="81" spans="2:6" ht="12.75">
      <c r="B81" s="31" t="s">
        <v>348</v>
      </c>
      <c r="C81" s="72">
        <f>'Collection Cost'!K10</f>
        <v>184.98475671606815</v>
      </c>
      <c r="E81" s="49" t="s">
        <v>550</v>
      </c>
      <c r="F81" s="219">
        <f>(F80-F77)/F77</f>
        <v>-0.07366268251755886</v>
      </c>
    </row>
    <row r="82" spans="2:6" ht="12.75">
      <c r="B82" s="31" t="s">
        <v>345</v>
      </c>
      <c r="C82" s="72">
        <f>'Collection Cost'!K11</f>
        <v>21.927267734456574</v>
      </c>
      <c r="E82" s="49"/>
      <c r="F82" s="203"/>
    </row>
    <row r="83" spans="2:6" ht="12.75">
      <c r="B83" s="31" t="s">
        <v>350</v>
      </c>
      <c r="C83" s="72">
        <f>'Collection Cost'!K12</f>
        <v>0.4201517370759074</v>
      </c>
      <c r="E83" s="60" t="s">
        <v>551</v>
      </c>
      <c r="F83" s="218">
        <f>EmissionsFuelConsumption!G21+EmissionsFuelConsumption!H21</f>
        <v>47613.51227929226</v>
      </c>
    </row>
    <row r="84" spans="2:6" ht="12.75">
      <c r="B84" s="31" t="s">
        <v>351</v>
      </c>
      <c r="C84" s="72">
        <f>'Collection Cost'!K13</f>
        <v>39.24940353092756</v>
      </c>
      <c r="E84" s="60" t="s">
        <v>552</v>
      </c>
      <c r="F84" s="218">
        <f>C29</f>
        <v>53772.789257474215</v>
      </c>
    </row>
    <row r="85" spans="2:6" ht="12.75">
      <c r="B85" s="31" t="s">
        <v>349</v>
      </c>
      <c r="C85" s="72">
        <f>'Collection Cost'!K14</f>
        <v>3.993944507017326</v>
      </c>
      <c r="E85" s="44" t="s">
        <v>553</v>
      </c>
      <c r="F85" s="219">
        <f>(F84-F83)/F83</f>
        <v>0.1293598536073698</v>
      </c>
    </row>
    <row r="86" spans="2:6" ht="12.75">
      <c r="B86" s="34" t="s">
        <v>352</v>
      </c>
      <c r="C86" s="72"/>
      <c r="E86" s="44" t="s">
        <v>554</v>
      </c>
      <c r="F86" s="218">
        <f>C67</f>
        <v>50045.83628702911</v>
      </c>
    </row>
    <row r="87" spans="2:6" ht="13.5" thickBot="1">
      <c r="B87" s="31" t="s">
        <v>353</v>
      </c>
      <c r="C87" s="72">
        <f>'Collection Cost'!K16</f>
        <v>0</v>
      </c>
      <c r="E87" s="80" t="s">
        <v>555</v>
      </c>
      <c r="F87" s="216">
        <f>(F86-F83)/F83</f>
        <v>0.05108474236198483</v>
      </c>
    </row>
    <row r="88" spans="2:3" ht="12.75">
      <c r="B88" s="31" t="s">
        <v>354</v>
      </c>
      <c r="C88" s="72">
        <f>'Collection Cost'!K17</f>
        <v>1.6733386511017112</v>
      </c>
    </row>
    <row r="89" spans="2:6" ht="13.5" thickBot="1">
      <c r="B89" s="38" t="s">
        <v>345</v>
      </c>
      <c r="C89" s="72">
        <f>'Collection Cost'!K18</f>
        <v>23.6825234907881</v>
      </c>
      <c r="E89" s="106" t="s">
        <v>762</v>
      </c>
      <c r="F89" s="115" t="str">
        <f>Inputs!C4</f>
        <v>Case Study State</v>
      </c>
    </row>
    <row r="90" spans="2:6" ht="12.75">
      <c r="B90" s="38"/>
      <c r="C90" s="72"/>
      <c r="E90" s="339" t="s">
        <v>556</v>
      </c>
      <c r="F90" s="203"/>
    </row>
    <row r="91" spans="2:6" ht="12" customHeight="1">
      <c r="B91" s="39" t="s">
        <v>355</v>
      </c>
      <c r="C91" s="72">
        <f>'Collection Cost'!K19</f>
        <v>28.854828434596392</v>
      </c>
      <c r="E91" s="340" t="s">
        <v>759</v>
      </c>
      <c r="F91" s="208">
        <f>C171</f>
        <v>333.6830551752399</v>
      </c>
    </row>
    <row r="92" spans="2:6" ht="13.5" thickBot="1">
      <c r="B92" s="78" t="s">
        <v>486</v>
      </c>
      <c r="C92" s="79">
        <f>'Collection Cost'!K24</f>
        <v>295.7992548912305</v>
      </c>
      <c r="D92" s="59"/>
      <c r="E92" s="341" t="s">
        <v>760</v>
      </c>
      <c r="F92" s="208">
        <f>C194+C201</f>
        <v>-62.43577898594671</v>
      </c>
    </row>
    <row r="93" spans="2:6" ht="12.75">
      <c r="B93" s="42"/>
      <c r="C93" s="42"/>
      <c r="E93" s="342" t="s">
        <v>761</v>
      </c>
      <c r="F93" s="208">
        <f>-C100/1000</f>
        <v>-131.11096379969632</v>
      </c>
    </row>
    <row r="94" spans="2:6" ht="13.5" thickBot="1">
      <c r="B94" s="78" t="s">
        <v>468</v>
      </c>
      <c r="C94" s="115" t="s">
        <v>640</v>
      </c>
      <c r="E94" s="48" t="s">
        <v>763</v>
      </c>
      <c r="F94" s="208">
        <f>SUM(F91:F93)</f>
        <v>140.13631238959687</v>
      </c>
    </row>
    <row r="95" spans="2:3" ht="12.75">
      <c r="B95" s="73" t="s">
        <v>467</v>
      </c>
      <c r="C95" s="74">
        <f>'ETC Costs'!C62</f>
        <v>63334.305252599</v>
      </c>
    </row>
    <row r="96" spans="2:5" ht="12.75">
      <c r="B96" s="34" t="s">
        <v>469</v>
      </c>
      <c r="C96" s="58"/>
      <c r="E96" s="69" t="s">
        <v>403</v>
      </c>
    </row>
    <row r="97" spans="2:6" ht="26.25">
      <c r="B97" s="29" t="s">
        <v>466</v>
      </c>
      <c r="C97" s="75">
        <f>'ETC Costs'!C58</f>
        <v>67776.65854709734</v>
      </c>
      <c r="E97" s="340" t="s">
        <v>759</v>
      </c>
      <c r="F97" s="208">
        <f>C205</f>
        <v>431.1210128716297</v>
      </c>
    </row>
    <row r="98" spans="2:6" ht="12.75">
      <c r="B98" s="31" t="s">
        <v>465</v>
      </c>
      <c r="C98" s="75">
        <f>'ETC Costs'!C59</f>
        <v>72936.67740257387</v>
      </c>
      <c r="E98" s="341" t="s">
        <v>760</v>
      </c>
      <c r="F98" s="343">
        <f>-(C228+C234)</f>
        <v>-1.0848688459800009</v>
      </c>
    </row>
    <row r="99" spans="2:6" ht="12.75">
      <c r="B99" s="73" t="s">
        <v>0</v>
      </c>
      <c r="C99" s="75"/>
      <c r="E99" s="342" t="s">
        <v>761</v>
      </c>
      <c r="F99" s="343">
        <f>-C101/1000</f>
        <v>-136.27098265517287</v>
      </c>
    </row>
    <row r="100" spans="2:6" ht="12.75">
      <c r="B100" s="31" t="s">
        <v>466</v>
      </c>
      <c r="C100" s="75">
        <f>'ETC Costs'!C64</f>
        <v>131110.96379969633</v>
      </c>
      <c r="D100" s="70"/>
      <c r="E100" s="48" t="s">
        <v>763</v>
      </c>
      <c r="F100" s="208">
        <f>SUM(F97:F99)</f>
        <v>293.76516137047685</v>
      </c>
    </row>
    <row r="101" spans="2:6" ht="13.5" thickBot="1">
      <c r="B101" s="82" t="s">
        <v>465</v>
      </c>
      <c r="C101" s="83">
        <f>'ETC Costs'!C65</f>
        <v>136270.98265517288</v>
      </c>
      <c r="D101" s="70"/>
      <c r="E101" s="340"/>
      <c r="F101" s="208"/>
    </row>
    <row r="102" ht="12.75">
      <c r="E102" s="341"/>
    </row>
    <row r="103" spans="2:5" ht="12.75">
      <c r="B103" s="48" t="s">
        <v>444</v>
      </c>
      <c r="E103" s="342"/>
    </row>
    <row r="104" spans="2:3" ht="13.5" thickBot="1">
      <c r="B104" s="78" t="s">
        <v>395</v>
      </c>
      <c r="C104" s="115" t="str">
        <f>Inputs!C4</f>
        <v>Case Study State</v>
      </c>
    </row>
    <row r="105" spans="2:3" ht="12.75">
      <c r="B105" s="44" t="s">
        <v>445</v>
      </c>
      <c r="C105" s="59">
        <f>'Values of Time'!C53</f>
        <v>23.77037054506934</v>
      </c>
    </row>
    <row r="106" spans="2:3" ht="12.75">
      <c r="B106" s="44" t="s">
        <v>446</v>
      </c>
      <c r="C106" s="59">
        <f>'Values of Time'!C54</f>
        <v>63.38008047101188</v>
      </c>
    </row>
    <row r="107" spans="2:3" ht="13.5" thickBot="1">
      <c r="B107" s="80" t="s">
        <v>508</v>
      </c>
      <c r="C107" s="84">
        <f>'Values of Time'!C55</f>
        <v>26.939147339144746</v>
      </c>
    </row>
    <row r="109" spans="2:3" ht="12.75">
      <c r="B109" s="42"/>
      <c r="C109" s="42"/>
    </row>
    <row r="110" spans="2:3" ht="13.5" thickBot="1">
      <c r="B110" s="78" t="s">
        <v>623</v>
      </c>
      <c r="C110" s="115" t="str">
        <f>Inputs!C4</f>
        <v>Case Study State</v>
      </c>
    </row>
    <row r="111" spans="2:3" ht="12.75">
      <c r="B111" s="137" t="str">
        <f>B4</f>
        <v>Aggressive Congestion Pricing</v>
      </c>
      <c r="C111" s="203"/>
    </row>
    <row r="112" spans="2:3" ht="12.75">
      <c r="B112" s="137"/>
      <c r="C112" s="203"/>
    </row>
    <row r="113" spans="2:3" ht="12.75">
      <c r="B113" s="44" t="s">
        <v>612</v>
      </c>
      <c r="C113" s="297">
        <f>C15</f>
        <v>15086023.216867784</v>
      </c>
    </row>
    <row r="114" spans="2:3" ht="12.75">
      <c r="B114" s="44" t="s">
        <v>613</v>
      </c>
      <c r="C114" s="297">
        <f>C18</f>
        <v>12923800.678358043</v>
      </c>
    </row>
    <row r="115" spans="2:3" ht="12.75">
      <c r="B115" s="44" t="s">
        <v>781</v>
      </c>
      <c r="C115" s="356">
        <f>C113/(C113+C114)</f>
        <v>0.5385975746687627</v>
      </c>
    </row>
    <row r="116" spans="2:3" ht="12.75">
      <c r="B116" s="44" t="s">
        <v>607</v>
      </c>
      <c r="C116" s="357">
        <f>1/((C115/C9)+((1-C115)/C12))</f>
        <v>29.504238649204225</v>
      </c>
    </row>
    <row r="117" ht="12.75">
      <c r="C117" s="298"/>
    </row>
    <row r="118" spans="2:3" ht="12.75">
      <c r="B118" s="44" t="s">
        <v>614</v>
      </c>
      <c r="C118" s="299">
        <f>C16</f>
        <v>13609770.792589828</v>
      </c>
    </row>
    <row r="119" spans="2:3" ht="12.75">
      <c r="B119" s="44" t="s">
        <v>615</v>
      </c>
      <c r="C119" s="299">
        <f>C20</f>
        <v>13737620.088047579</v>
      </c>
    </row>
    <row r="120" spans="2:3" ht="12.75">
      <c r="B120" s="44" t="s">
        <v>781</v>
      </c>
      <c r="C120" s="358">
        <f>C118/(C118+C119)</f>
        <v>0.4976624955555034</v>
      </c>
    </row>
    <row r="121" spans="2:3" ht="12.75">
      <c r="B121" s="44" t="s">
        <v>606</v>
      </c>
      <c r="C121" s="357">
        <f>1/((C120/C10)+((1-C120)/C13))</f>
        <v>30.870796651896086</v>
      </c>
    </row>
    <row r="122" ht="12.75">
      <c r="C122" s="298"/>
    </row>
    <row r="123" spans="2:3" ht="12.75">
      <c r="B123" s="44" t="s">
        <v>608</v>
      </c>
      <c r="C123" s="295">
        <f>C121/C116-1</f>
        <v>0.046317345075051364</v>
      </c>
    </row>
    <row r="124" ht="12.75">
      <c r="C124" s="295"/>
    </row>
    <row r="125" spans="2:3" ht="12.75">
      <c r="B125" s="44" t="s">
        <v>390</v>
      </c>
      <c r="C125" s="298">
        <f>Inputs!C19</f>
        <v>10</v>
      </c>
    </row>
    <row r="126" spans="2:3" ht="12.75">
      <c r="B126" s="44" t="s">
        <v>617</v>
      </c>
      <c r="C126" s="298">
        <f>C125/C116*60</f>
        <v>20.336061104094377</v>
      </c>
    </row>
    <row r="127" spans="2:3" ht="12.75">
      <c r="B127" s="44" t="s">
        <v>616</v>
      </c>
      <c r="C127" s="298">
        <f>C125/C121*60</f>
        <v>19.435844392540094</v>
      </c>
    </row>
    <row r="128" spans="2:3" ht="12.75">
      <c r="B128" s="44" t="s">
        <v>618</v>
      </c>
      <c r="C128" s="298">
        <f>C126-C127</f>
        <v>0.9002167115542825</v>
      </c>
    </row>
    <row r="129" ht="12.75">
      <c r="C129" s="298"/>
    </row>
    <row r="130" spans="2:3" ht="12.75">
      <c r="B130" s="44" t="s">
        <v>609</v>
      </c>
      <c r="C130" s="299">
        <f>(C113+C114)/C116</f>
        <v>949349.1504137252</v>
      </c>
    </row>
    <row r="131" spans="2:3" ht="12.75">
      <c r="B131" s="44" t="s">
        <v>610</v>
      </c>
      <c r="C131" s="299">
        <f>(C118+C119)/C121</f>
        <v>885866.0561633977</v>
      </c>
    </row>
    <row r="132" spans="2:3" ht="12.75">
      <c r="B132" s="44" t="s">
        <v>611</v>
      </c>
      <c r="C132" s="299">
        <f>C130-C131</f>
        <v>63483.09425032744</v>
      </c>
    </row>
    <row r="133" ht="12.75">
      <c r="C133" s="299"/>
    </row>
    <row r="134" spans="2:3" ht="12.75">
      <c r="B134" s="44" t="s">
        <v>619</v>
      </c>
      <c r="C134" s="299">
        <f>SUM(C118:C119)/C116</f>
        <v>926897.0199769926</v>
      </c>
    </row>
    <row r="135" spans="2:3" ht="12.75">
      <c r="B135" s="44" t="s">
        <v>620</v>
      </c>
      <c r="C135" s="299">
        <f>SUM(C118:C119)/C121</f>
        <v>885866.0561633977</v>
      </c>
    </row>
    <row r="136" spans="2:3" ht="12.75">
      <c r="B136" s="44" t="s">
        <v>622</v>
      </c>
      <c r="C136" s="299">
        <f>C134-C135</f>
        <v>41030.96381359489</v>
      </c>
    </row>
    <row r="137" spans="2:3" ht="12.75">
      <c r="B137" s="44" t="s">
        <v>624</v>
      </c>
      <c r="C137" s="299">
        <f>C136*Inputs!C21</f>
        <v>10257740.953398723</v>
      </c>
    </row>
    <row r="138" spans="2:3" ht="12.75">
      <c r="B138" s="44" t="s">
        <v>736</v>
      </c>
      <c r="C138" s="70">
        <f>C137*C179/1000000</f>
        <v>333.6830551752399</v>
      </c>
    </row>
    <row r="139" ht="12.75">
      <c r="C139" s="299"/>
    </row>
    <row r="140" spans="2:3" ht="12.75">
      <c r="B140" s="137" t="str">
        <f>B43</f>
        <v>Moderate Congestion Pricing</v>
      </c>
      <c r="C140" s="295"/>
    </row>
    <row r="141" spans="2:3" ht="12.75">
      <c r="B141" s="137"/>
      <c r="C141" s="203"/>
    </row>
    <row r="142" spans="2:3" ht="12.75">
      <c r="B142" s="44" t="s">
        <v>612</v>
      </c>
      <c r="C142" s="297">
        <f>C113</f>
        <v>15086023.216867784</v>
      </c>
    </row>
    <row r="143" spans="2:3" ht="12.75">
      <c r="B143" s="44" t="s">
        <v>613</v>
      </c>
      <c r="C143" s="297">
        <f>C18</f>
        <v>12923800.678358043</v>
      </c>
    </row>
    <row r="144" spans="2:3" ht="12.75">
      <c r="B144" s="44" t="s">
        <v>607</v>
      </c>
      <c r="C144" s="357">
        <f>C116</f>
        <v>29.504238649204225</v>
      </c>
    </row>
    <row r="145" ht="12.75">
      <c r="C145" s="298"/>
    </row>
    <row r="146" spans="2:3" ht="12.75">
      <c r="B146" s="44" t="s">
        <v>614</v>
      </c>
      <c r="C146" s="299">
        <f>C55</f>
        <v>14645919.157143347</v>
      </c>
    </row>
    <row r="147" spans="2:3" ht="12.75">
      <c r="B147" s="44" t="s">
        <v>615</v>
      </c>
      <c r="C147" s="299">
        <f>C59</f>
        <v>13166418.553320782</v>
      </c>
    </row>
    <row r="148" spans="2:3" ht="12.75">
      <c r="B148" s="44" t="s">
        <v>781</v>
      </c>
      <c r="C148" s="358">
        <f>C146/(C146+C147)</f>
        <v>0.5265979188665237</v>
      </c>
    </row>
    <row r="149" spans="2:3" ht="12.75">
      <c r="B149" s="44" t="s">
        <v>606</v>
      </c>
      <c r="C149" s="359">
        <f>1/((C148/C49)+((1-C148)/C52))</f>
        <v>31.2623453567418</v>
      </c>
    </row>
    <row r="150" spans="2:3" ht="12.75">
      <c r="B150" s="44" t="s">
        <v>608</v>
      </c>
      <c r="C150" s="295">
        <f>C149/C144-1</f>
        <v>0.059588275720003914</v>
      </c>
    </row>
    <row r="151" ht="12.75">
      <c r="C151" s="295"/>
    </row>
    <row r="152" spans="2:3" ht="12.75">
      <c r="B152" s="44" t="s">
        <v>390</v>
      </c>
      <c r="C152" s="298">
        <f>Inputs!C19</f>
        <v>10</v>
      </c>
    </row>
    <row r="153" spans="2:3" ht="12.75">
      <c r="B153" s="44" t="s">
        <v>617</v>
      </c>
      <c r="C153" s="298">
        <f>C152/C144*60</f>
        <v>20.336061104094377</v>
      </c>
    </row>
    <row r="154" spans="2:3" ht="12.75">
      <c r="B154" s="44" t="s">
        <v>616</v>
      </c>
      <c r="C154" s="298">
        <f>C152/C149*60</f>
        <v>19.192418008094474</v>
      </c>
    </row>
    <row r="155" spans="2:3" ht="12.75">
      <c r="B155" s="44" t="s">
        <v>618</v>
      </c>
      <c r="C155" s="298">
        <f>C153-C154</f>
        <v>1.1436430959999022</v>
      </c>
    </row>
    <row r="156" ht="12.75">
      <c r="C156" s="298"/>
    </row>
    <row r="157" spans="2:3" ht="12.75">
      <c r="B157" s="44" t="s">
        <v>609</v>
      </c>
      <c r="C157" s="299">
        <f>(C142+C143)/C144</f>
        <v>949349.1504137252</v>
      </c>
    </row>
    <row r="158" spans="2:3" ht="12.75">
      <c r="B158" s="44" t="s">
        <v>610</v>
      </c>
      <c r="C158" s="299">
        <f>(C146+C147)/C149</f>
        <v>889643.3518691947</v>
      </c>
    </row>
    <row r="159" spans="2:3" ht="12.75">
      <c r="B159" s="44" t="s">
        <v>611</v>
      </c>
      <c r="C159" s="299">
        <f>C157-C158</f>
        <v>59705.798544530524</v>
      </c>
    </row>
    <row r="160" ht="12.75">
      <c r="C160" s="299"/>
    </row>
    <row r="161" spans="2:3" ht="12.75">
      <c r="B161" s="44" t="s">
        <v>619</v>
      </c>
      <c r="C161" s="299">
        <f>SUM(C146:C147)/C144</f>
        <v>942655.6652128445</v>
      </c>
    </row>
    <row r="162" spans="2:3" ht="12.75">
      <c r="B162" s="44" t="s">
        <v>620</v>
      </c>
      <c r="C162" s="299">
        <f>SUM(C146:C147)/C149</f>
        <v>889643.3518691947</v>
      </c>
    </row>
    <row r="163" spans="2:3" ht="12.75">
      <c r="B163" s="44" t="s">
        <v>622</v>
      </c>
      <c r="C163" s="299">
        <f>C161-C162</f>
        <v>53012.31334364985</v>
      </c>
    </row>
    <row r="164" spans="2:3" ht="12.75">
      <c r="B164" s="44" t="s">
        <v>624</v>
      </c>
      <c r="C164" s="299">
        <f>C163*Inputs!C21</f>
        <v>13253078.335912462</v>
      </c>
    </row>
    <row r="165" spans="2:3" ht="12.75">
      <c r="B165" s="44" t="s">
        <v>735</v>
      </c>
      <c r="C165" s="70">
        <f>C164*C179/1000000</f>
        <v>431.1210128716297</v>
      </c>
    </row>
    <row r="166" spans="2:3" ht="13.5" thickBot="1">
      <c r="B166" s="80"/>
      <c r="C166" s="296"/>
    </row>
    <row r="168" ht="12.75">
      <c r="B168" s="48" t="s">
        <v>734</v>
      </c>
    </row>
    <row r="169" ht="12.75">
      <c r="B169" s="48" t="str">
        <f>B111</f>
        <v>Aggressive Congestion Pricing</v>
      </c>
    </row>
    <row r="171" spans="2:3" ht="12.75">
      <c r="B171" s="335" t="s">
        <v>747</v>
      </c>
      <c r="C171" s="302">
        <f>C138</f>
        <v>333.6830551752399</v>
      </c>
    </row>
    <row r="172" ht="12.75">
      <c r="C172" s="70"/>
    </row>
    <row r="173" ht="12.75">
      <c r="B173" s="52" t="s">
        <v>751</v>
      </c>
    </row>
    <row r="174" ht="12.75">
      <c r="B174" s="333" t="s">
        <v>738</v>
      </c>
    </row>
    <row r="175" spans="2:3" ht="12.75">
      <c r="B175" s="336" t="s">
        <v>739</v>
      </c>
      <c r="C175" s="53">
        <f>LN('Free Flow CP'!C22)</f>
        <v>3.16843987002087</v>
      </c>
    </row>
    <row r="176" spans="2:3" ht="12.75">
      <c r="B176" s="336" t="s">
        <v>740</v>
      </c>
      <c r="C176" s="53">
        <f>C177^2</f>
        <v>0.6274382006211167</v>
      </c>
    </row>
    <row r="177" spans="2:3" ht="12.75">
      <c r="B177" s="337" t="s">
        <v>741</v>
      </c>
      <c r="C177" s="53">
        <f>0.25*C175</f>
        <v>0.7921099675052174</v>
      </c>
    </row>
    <row r="178" spans="2:3" ht="12.75">
      <c r="B178" s="327" t="s">
        <v>742</v>
      </c>
      <c r="C178" s="53"/>
    </row>
    <row r="179" spans="2:3" ht="12.75">
      <c r="B179" s="337" t="s">
        <v>739</v>
      </c>
      <c r="C179" s="53">
        <f>EXP(C175+C176/2)</f>
        <v>32.52987735712704</v>
      </c>
    </row>
    <row r="180" spans="2:3" ht="12.75">
      <c r="B180" s="337" t="s">
        <v>741</v>
      </c>
      <c r="C180" s="53">
        <f>SQRT((EXP(C176)-1)*EXP((2*C175)+C176))</f>
        <v>30.39075259496457</v>
      </c>
    </row>
    <row r="181" spans="2:3" ht="12.75">
      <c r="B181" s="334" t="s">
        <v>653</v>
      </c>
      <c r="C181" s="104">
        <f>'Free Flow CP'!C36</f>
        <v>0.05642280446659718</v>
      </c>
    </row>
    <row r="182" spans="2:3" ht="12.75">
      <c r="B182" s="327" t="s">
        <v>737</v>
      </c>
      <c r="C182" s="53">
        <f>C179/(1-C181)</f>
        <v>34.47505674269496</v>
      </c>
    </row>
    <row r="183" spans="2:3" ht="12.75">
      <c r="B183" s="327" t="s">
        <v>743</v>
      </c>
      <c r="C183" s="53">
        <f>NORMINV(C181,LN('Free Flow CP'!C22),0.25*LN('Free Flow CP'!C22))</f>
        <v>1.9125245061518084</v>
      </c>
    </row>
    <row r="184" spans="2:3" ht="12.75">
      <c r="B184" s="327" t="s">
        <v>744</v>
      </c>
      <c r="C184" s="53">
        <f>C175+C176</f>
        <v>3.7958780706419866</v>
      </c>
    </row>
    <row r="185" spans="2:3" ht="12.75">
      <c r="B185" s="327" t="s">
        <v>745</v>
      </c>
      <c r="C185" s="332">
        <f>NORMDIST(C183,C184,C177,TRUE)</f>
        <v>0.008711877260808798</v>
      </c>
    </row>
    <row r="186" spans="2:3" ht="12.75">
      <c r="B186" s="327" t="s">
        <v>746</v>
      </c>
      <c r="C186" s="332">
        <f>1-C185</f>
        <v>0.9912881227391912</v>
      </c>
    </row>
    <row r="187" spans="2:3" ht="12.75">
      <c r="B187" s="327" t="s">
        <v>766</v>
      </c>
      <c r="C187" s="59">
        <f>C182*C186</f>
        <v>34.174714279793186</v>
      </c>
    </row>
    <row r="188" spans="2:3" ht="12.75" hidden="1">
      <c r="B188" s="327" t="s">
        <v>767</v>
      </c>
      <c r="C188" s="59">
        <f>C187*'Free Flow CP'!C24/C179</f>
        <v>66.58482346391565</v>
      </c>
    </row>
    <row r="189" spans="2:3" ht="12.75" hidden="1">
      <c r="B189" s="327" t="s">
        <v>768</v>
      </c>
      <c r="C189" s="59">
        <f>+C192*C188+(1-C192)*C187</f>
        <v>36.767523014522986</v>
      </c>
    </row>
    <row r="190" spans="2:3" ht="12.75">
      <c r="B190" s="327" t="s">
        <v>748</v>
      </c>
      <c r="C190" s="59">
        <f>(C179-(1-C181)*C187)/C181</f>
        <v>5.022726210148317</v>
      </c>
    </row>
    <row r="191" spans="2:3" ht="12.75">
      <c r="B191" s="327" t="s">
        <v>749</v>
      </c>
      <c r="C191" s="59">
        <f>C190*'Free Flow CP'!C24/C179</f>
        <v>9.78610487485637</v>
      </c>
    </row>
    <row r="192" spans="2:3" ht="12.75">
      <c r="B192" s="327" t="s">
        <v>392</v>
      </c>
      <c r="C192" s="104">
        <f>'Free Flow CP'!C26</f>
        <v>0.08</v>
      </c>
    </row>
    <row r="193" spans="2:3" ht="12.75">
      <c r="B193" s="327" t="s">
        <v>750</v>
      </c>
      <c r="C193" s="59">
        <f>C192*C191+(1-C192)*C190</f>
        <v>5.403796503324962</v>
      </c>
    </row>
    <row r="194" spans="2:3" ht="12.75">
      <c r="B194" s="335" t="s">
        <v>753</v>
      </c>
      <c r="C194" s="302">
        <f>-C19*Inputs!C21*(C193*'Free Flow CP'!C19/60)/10/1000000</f>
        <v>-34.41921446645661</v>
      </c>
    </row>
    <row r="195" spans="2:5" ht="12.75">
      <c r="B195" s="44" t="s">
        <v>757</v>
      </c>
      <c r="C195" s="59">
        <f>1000000*10*C194/(C19*Inputs!C21)</f>
        <v>-1.691737211310171</v>
      </c>
      <c r="E195" s="53"/>
    </row>
    <row r="197" ht="12.75">
      <c r="B197" s="44" t="s">
        <v>754</v>
      </c>
    </row>
    <row r="198" spans="2:3" ht="12.75">
      <c r="B198" s="44" t="s">
        <v>758</v>
      </c>
      <c r="C198" s="49">
        <f>-'Traffic  Impacts'!B53</f>
        <v>1476252.424277956</v>
      </c>
    </row>
    <row r="199" spans="2:3" ht="12.75">
      <c r="B199" s="44" t="s">
        <v>755</v>
      </c>
      <c r="C199" s="104">
        <f>'Traffic  Impacts'!B54</f>
        <v>0.5512738853503184</v>
      </c>
    </row>
    <row r="200" spans="2:3" ht="12.75">
      <c r="B200" s="44" t="s">
        <v>756</v>
      </c>
      <c r="C200" s="49">
        <f>(1-C199)*C198</f>
        <v>662433.0145884204</v>
      </c>
    </row>
    <row r="201" spans="2:3" ht="12.75">
      <c r="B201" s="335" t="s">
        <v>752</v>
      </c>
      <c r="C201" s="302">
        <f>((C200/10)*Inputs!C21*C195)/1000000</f>
        <v>-28.0165645194901</v>
      </c>
    </row>
    <row r="203" ht="12.75">
      <c r="B203" s="209" t="s">
        <v>403</v>
      </c>
    </row>
    <row r="205" spans="2:3" ht="12.75">
      <c r="B205" s="335" t="s">
        <v>747</v>
      </c>
      <c r="C205" s="302">
        <f>C165</f>
        <v>431.1210128716297</v>
      </c>
    </row>
    <row r="206" ht="12.75">
      <c r="C206" s="70"/>
    </row>
    <row r="207" ht="12.75">
      <c r="B207" s="52" t="s">
        <v>751</v>
      </c>
    </row>
    <row r="208" ht="12.75">
      <c r="B208" s="333" t="s">
        <v>738</v>
      </c>
    </row>
    <row r="209" spans="2:3" ht="12.75">
      <c r="B209" s="336" t="s">
        <v>739</v>
      </c>
      <c r="C209" s="53">
        <f>C175</f>
        <v>3.16843987002087</v>
      </c>
    </row>
    <row r="210" spans="2:3" ht="12.75">
      <c r="B210" s="336" t="s">
        <v>740</v>
      </c>
      <c r="C210" s="53">
        <f>C211^2</f>
        <v>0.6274382006211167</v>
      </c>
    </row>
    <row r="211" spans="2:3" ht="12.75">
      <c r="B211" s="337" t="s">
        <v>741</v>
      </c>
      <c r="C211" s="53">
        <f>0.25*C209</f>
        <v>0.7921099675052174</v>
      </c>
    </row>
    <row r="212" spans="2:3" ht="12.75">
      <c r="B212" s="327" t="s">
        <v>742</v>
      </c>
      <c r="C212" s="53"/>
    </row>
    <row r="213" spans="2:3" ht="12.75">
      <c r="B213" s="337" t="s">
        <v>739</v>
      </c>
      <c r="C213" s="53">
        <f>EXP(C209+C210/2)</f>
        <v>32.52987735712704</v>
      </c>
    </row>
    <row r="214" spans="2:3" ht="12.75">
      <c r="B214" s="337" t="s">
        <v>741</v>
      </c>
      <c r="C214" s="53">
        <f>SQRT((EXP(C210)-1)*EXP((2*C209)+C210))</f>
        <v>30.39075259496457</v>
      </c>
    </row>
    <row r="215" spans="2:3" ht="12.75">
      <c r="B215" s="334" t="s">
        <v>653</v>
      </c>
      <c r="C215" s="104">
        <f>'Moderate CP'!C40</f>
        <v>0.0162956155087334</v>
      </c>
    </row>
    <row r="216" spans="2:3" ht="12.75">
      <c r="B216" s="327" t="s">
        <v>737</v>
      </c>
      <c r="C216" s="53">
        <f>C213/(1-C215)</f>
        <v>33.06875304205361</v>
      </c>
    </row>
    <row r="217" spans="2:3" ht="12.75">
      <c r="B217" s="327" t="s">
        <v>743</v>
      </c>
      <c r="C217" s="53">
        <f>NORMINV(C215,LN('Moderate CP'!C24),0.25*LN('Moderate CP'!C24))</f>
        <v>1.47563502326659</v>
      </c>
    </row>
    <row r="218" spans="2:3" ht="12.75">
      <c r="B218" s="327" t="s">
        <v>744</v>
      </c>
      <c r="C218" s="53">
        <f>C209+C210</f>
        <v>3.7958780706419866</v>
      </c>
    </row>
    <row r="219" spans="2:3" ht="12.75">
      <c r="B219" s="327" t="s">
        <v>745</v>
      </c>
      <c r="C219" s="332">
        <f>NORMDIST(C217,C218,C211,TRUE)</f>
        <v>0.0016992161614919343</v>
      </c>
    </row>
    <row r="220" spans="2:3" ht="12.75">
      <c r="B220" s="327" t="s">
        <v>746</v>
      </c>
      <c r="C220" s="332">
        <f>1-C219</f>
        <v>0.9983007838385081</v>
      </c>
    </row>
    <row r="221" spans="2:3" ht="12.75">
      <c r="B221" s="327" t="s">
        <v>766</v>
      </c>
      <c r="C221" s="59">
        <f>C216*C220</f>
        <v>33.01256208244416</v>
      </c>
    </row>
    <row r="222" spans="2:3" ht="12.75" hidden="1">
      <c r="B222" s="333" t="s">
        <v>767</v>
      </c>
      <c r="C222" s="59">
        <f>C221*'Free Flow CP'!C24/C213</f>
        <v>64.32052658449913</v>
      </c>
    </row>
    <row r="223" spans="2:3" ht="12.75" hidden="1">
      <c r="B223" s="333" t="s">
        <v>769</v>
      </c>
      <c r="C223" s="59">
        <f>C226*C222+(1-C226)*C221</f>
        <v>35.51719924260856</v>
      </c>
    </row>
    <row r="224" spans="2:3" ht="12.75">
      <c r="B224" s="327" t="s">
        <v>748</v>
      </c>
      <c r="C224" s="59">
        <f>(C213-(1-C215)*C221)/C215</f>
        <v>3.39203470448564</v>
      </c>
    </row>
    <row r="225" spans="2:3" ht="12.75">
      <c r="B225" s="327" t="s">
        <v>749</v>
      </c>
      <c r="C225" s="59">
        <f>C224*'Moderate CP'!C26/C213</f>
        <v>6.608922319950364</v>
      </c>
    </row>
    <row r="226" spans="2:3" ht="12.75">
      <c r="B226" s="327" t="s">
        <v>392</v>
      </c>
      <c r="C226" s="104">
        <f>C192</f>
        <v>0.08</v>
      </c>
    </row>
    <row r="227" spans="2:3" ht="12.75">
      <c r="B227" s="327" t="s">
        <v>750</v>
      </c>
      <c r="C227" s="59">
        <f>C226*C225+(1-C226)*C224</f>
        <v>3.6493857137228183</v>
      </c>
    </row>
    <row r="228" spans="2:3" ht="12.75">
      <c r="B228" s="335" t="s">
        <v>753</v>
      </c>
      <c r="C228" s="338">
        <f>C58*Inputs!C21*(C227*'Moderate CP'!C21/60)/10/1000000</f>
        <v>5.83201233661921</v>
      </c>
    </row>
    <row r="229" spans="2:3" ht="12.75">
      <c r="B229" s="44" t="s">
        <v>757</v>
      </c>
      <c r="C229" s="59">
        <f>1000000*10*C228/(C58*Inputs!C21)</f>
        <v>0.9615140413730644</v>
      </c>
    </row>
    <row r="231" spans="2:3" ht="12.75">
      <c r="B231" s="44" t="s">
        <v>754</v>
      </c>
      <c r="C231" s="49">
        <f>'Traffic  Impacts'!C53</f>
        <v>-440104.05972443783</v>
      </c>
    </row>
    <row r="232" spans="2:3" ht="12.75">
      <c r="B232" s="44" t="s">
        <v>755</v>
      </c>
      <c r="C232" s="104">
        <f>'Traffic  Impacts'!C54</f>
        <v>0.5512738853503184</v>
      </c>
    </row>
    <row r="233" spans="2:3" ht="12.75">
      <c r="B233" s="44" t="s">
        <v>756</v>
      </c>
      <c r="C233" s="49">
        <f>(1-C232)*C231</f>
        <v>-197486.18476169842</v>
      </c>
    </row>
    <row r="234" spans="2:3" ht="12.75">
      <c r="B234" s="335" t="s">
        <v>752</v>
      </c>
      <c r="C234" s="338">
        <f>((C233/10)*Inputs!C21*C229)/1000000</f>
        <v>-4.747143490639209</v>
      </c>
    </row>
  </sheetData>
  <sheetProtection/>
  <printOptions/>
  <pageMargins left="0.75" right="0.75" top="1" bottom="1" header="0.5" footer="0.5"/>
  <pageSetup horizontalDpi="200" verticalDpi="200" orientation="portrait" scale="82" r:id="rId1"/>
  <headerFooter alignWithMargins="0">
    <oddHeader>&amp;C&amp;A</oddHeader>
  </headerFooter>
  <rowBreaks count="1" manualBreakCount="1">
    <brk id="73" max="6" man="1"/>
  </rowBreaks>
  <colBreaks count="1" manualBreakCount="1">
    <brk id="5" max="68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2:G110"/>
  <sheetViews>
    <sheetView zoomScalePageLayoutView="0" workbookViewId="0" topLeftCell="A1">
      <selection activeCell="C74" sqref="C74"/>
    </sheetView>
  </sheetViews>
  <sheetFormatPr defaultColWidth="9.140625" defaultRowHeight="12.75"/>
  <cols>
    <col min="1" max="1" width="3.28125" style="44" customWidth="1"/>
    <col min="2" max="2" width="69.7109375" style="44" bestFit="1" customWidth="1"/>
    <col min="3" max="3" width="23.28125" style="44" customWidth="1"/>
    <col min="4" max="4" width="12.7109375" style="44" customWidth="1"/>
    <col min="5" max="5" width="3.421875" style="44" customWidth="1"/>
    <col min="6" max="6" width="63.00390625" style="44" bestFit="1" customWidth="1"/>
    <col min="7" max="7" width="9.8515625" style="44" customWidth="1"/>
    <col min="8" max="9" width="9.140625" style="44" customWidth="1"/>
    <col min="10" max="10" width="5.8515625" style="44" customWidth="1"/>
    <col min="11" max="11" width="9.8515625" style="44" bestFit="1" customWidth="1"/>
    <col min="12" max="16384" width="9.140625" style="44" customWidth="1"/>
  </cols>
  <sheetData>
    <row r="2" spans="2:5" ht="17.25">
      <c r="B2" s="280" t="s">
        <v>481</v>
      </c>
      <c r="E2" s="42"/>
    </row>
    <row r="3" spans="2:3" ht="18" thickBot="1">
      <c r="B3" s="78" t="s">
        <v>395</v>
      </c>
      <c r="C3" s="289" t="str">
        <f>Inputs!C4</f>
        <v>Case Study State</v>
      </c>
    </row>
    <row r="4" spans="2:5" ht="12.75">
      <c r="B4" s="69" t="s">
        <v>396</v>
      </c>
      <c r="C4" s="116"/>
      <c r="E4" s="59"/>
    </row>
    <row r="5" spans="2:3" ht="12.75">
      <c r="B5" s="44" t="s">
        <v>399</v>
      </c>
      <c r="C5" s="59">
        <f>'Free Flow CP'!C39</f>
        <v>0.24020422912638892</v>
      </c>
    </row>
    <row r="6" ht="12.75">
      <c r="C6" s="59"/>
    </row>
    <row r="7" spans="2:5" ht="12.75">
      <c r="B7" s="52" t="s">
        <v>689</v>
      </c>
      <c r="E7" s="53"/>
    </row>
    <row r="8" spans="2:5" ht="12.75">
      <c r="B8" s="326" t="s">
        <v>692</v>
      </c>
      <c r="C8" s="227">
        <f>'Free Flow CP'!C5</f>
        <v>39.317629937271406</v>
      </c>
      <c r="E8" s="53"/>
    </row>
    <row r="9" spans="2:5" ht="12.75">
      <c r="B9" s="326" t="s">
        <v>693</v>
      </c>
      <c r="C9" s="227">
        <f>'Free Flow CP'!C10</f>
        <v>60</v>
      </c>
      <c r="E9" s="53"/>
    </row>
    <row r="10" spans="2:5" ht="12.75">
      <c r="B10" s="327"/>
      <c r="C10" s="53"/>
      <c r="E10" s="53"/>
    </row>
    <row r="11" spans="2:5" ht="12.75">
      <c r="B11" s="327" t="s">
        <v>694</v>
      </c>
      <c r="C11" s="53">
        <f>'Free Flow CP'!C8</f>
        <v>22.847577329064702</v>
      </c>
      <c r="E11" s="53"/>
    </row>
    <row r="12" spans="2:5" ht="12.75">
      <c r="B12" s="327" t="s">
        <v>695</v>
      </c>
      <c r="C12" s="53">
        <f>'Free Flow CP'!C9</f>
        <v>20.845005083451756</v>
      </c>
      <c r="E12" s="53"/>
    </row>
    <row r="13" spans="2:5" ht="12.75">
      <c r="B13" s="327"/>
      <c r="C13" s="53"/>
      <c r="E13" s="53"/>
    </row>
    <row r="14" spans="2:5" ht="12.75">
      <c r="B14" s="44" t="s">
        <v>705</v>
      </c>
      <c r="E14" s="49"/>
    </row>
    <row r="15" spans="2:5" ht="12.75">
      <c r="B15" s="326" t="s">
        <v>692</v>
      </c>
      <c r="C15" s="229">
        <f>'Traffic  Impacts'!B23</f>
        <v>26283561.643835615</v>
      </c>
      <c r="E15" s="49"/>
    </row>
    <row r="16" spans="2:5" ht="12.75">
      <c r="B16" s="326" t="s">
        <v>693</v>
      </c>
      <c r="C16" s="229">
        <f>'Traffic  Impacts'!B23+'Traffic  Impacts'!C23</f>
        <v>24807309.219557658</v>
      </c>
      <c r="E16" s="49"/>
    </row>
    <row r="17" spans="2:5" ht="12.75">
      <c r="B17" s="327" t="s">
        <v>406</v>
      </c>
      <c r="C17" s="49">
        <f>'Traffic  Impacts'!B56</f>
        <v>813819.4096895355</v>
      </c>
      <c r="E17" s="49"/>
    </row>
    <row r="18" spans="2:5" ht="12.75">
      <c r="B18" s="327" t="s">
        <v>695</v>
      </c>
      <c r="C18" s="49">
        <f>'Traffic  Impacts'!B56+'Traffic  Impacts'!B44</f>
        <v>13737620.088047579</v>
      </c>
      <c r="E18" s="49"/>
    </row>
    <row r="19" spans="3:5" ht="12.75">
      <c r="C19" s="49"/>
      <c r="E19" s="49"/>
    </row>
    <row r="20" spans="2:5" ht="12.75">
      <c r="B20" s="44" t="s">
        <v>491</v>
      </c>
      <c r="C20" s="70">
        <f>'Free Flow CP'!C99/1000000</f>
        <v>814.0120009533998</v>
      </c>
      <c r="D20" s="70"/>
      <c r="E20" s="49"/>
    </row>
    <row r="21" spans="2:6" ht="12.75">
      <c r="B21" s="44" t="s">
        <v>492</v>
      </c>
      <c r="C21" s="70">
        <f>C20-C101/1000</f>
        <v>682.9010371537036</v>
      </c>
      <c r="D21" s="70"/>
      <c r="E21" s="49"/>
      <c r="F21" s="46"/>
    </row>
    <row r="22" spans="3:6" ht="12.75">
      <c r="C22" s="70"/>
      <c r="D22" s="60"/>
      <c r="E22" s="49"/>
      <c r="F22" s="46"/>
    </row>
    <row r="23" spans="2:6" ht="12.75">
      <c r="B23" s="44" t="s">
        <v>703</v>
      </c>
      <c r="C23" s="70"/>
      <c r="D23" s="60"/>
      <c r="E23" s="49"/>
      <c r="F23" s="46"/>
    </row>
    <row r="24" spans="2:6" ht="12.75">
      <c r="B24" s="326" t="s">
        <v>697</v>
      </c>
      <c r="C24" s="228">
        <f>EmissionsFuelConsumption!G17+EmissionsFuelConsumption!H17</f>
        <v>15119077.09117835</v>
      </c>
      <c r="E24" s="49"/>
      <c r="F24" s="46"/>
    </row>
    <row r="25" spans="2:5" ht="12.75">
      <c r="B25" s="326" t="s">
        <v>698</v>
      </c>
      <c r="C25" s="229">
        <f>EmissionsFuelConsumption!C17+EmissionsFuelConsumption!D17</f>
        <v>14899988.742368052</v>
      </c>
      <c r="E25" s="49"/>
    </row>
    <row r="26" spans="2:5" ht="12.75">
      <c r="B26" s="328" t="s">
        <v>561</v>
      </c>
      <c r="C26" s="230">
        <f>C25/C24-1</f>
        <v>-0.014490854665866637</v>
      </c>
      <c r="E26" s="49"/>
    </row>
    <row r="27" spans="3:5" ht="12.75">
      <c r="C27" s="49"/>
      <c r="E27" s="49"/>
    </row>
    <row r="28" spans="2:5" ht="12.75">
      <c r="B28" s="326" t="s">
        <v>699</v>
      </c>
      <c r="C28" s="228">
        <f>EmissionsFuelConsumption!G21+EmissionsFuelConsumption!H21</f>
        <v>47613.51227929226</v>
      </c>
      <c r="E28" s="49"/>
    </row>
    <row r="29" spans="1:5" ht="12.75">
      <c r="A29" s="44" t="s">
        <v>287</v>
      </c>
      <c r="B29" s="326" t="s">
        <v>700</v>
      </c>
      <c r="C29" s="229">
        <f>EmissionsFuelConsumption!C21+EmissionsFuelConsumption!D21</f>
        <v>53772.789257474215</v>
      </c>
      <c r="E29" s="49"/>
    </row>
    <row r="30" spans="2:5" ht="12.75">
      <c r="B30" s="328" t="s">
        <v>561</v>
      </c>
      <c r="C30" s="230">
        <f>C29/C28-1</f>
        <v>0.1293598536073699</v>
      </c>
      <c r="E30" s="49"/>
    </row>
    <row r="31" spans="2:5" ht="12.75">
      <c r="B31" s="328"/>
      <c r="C31" s="230"/>
      <c r="E31" s="49"/>
    </row>
    <row r="32" spans="2:5" ht="12.75">
      <c r="B32" s="44" t="s">
        <v>704</v>
      </c>
      <c r="C32" s="49"/>
      <c r="E32" s="49"/>
    </row>
    <row r="33" spans="2:5" ht="12.75">
      <c r="B33" s="326" t="s">
        <v>701</v>
      </c>
      <c r="C33" s="229">
        <f>EmissionsFuelConsumption!G18+EmissionsFuelConsumption!H18</f>
        <v>1700.362259008236</v>
      </c>
      <c r="E33" s="49"/>
    </row>
    <row r="34" spans="2:5" ht="12.75">
      <c r="B34" s="329" t="s">
        <v>702</v>
      </c>
      <c r="C34" s="231">
        <f>EmissionsFuelConsumption!C18+EmissionsFuelConsumption!D18</f>
        <v>1675.7225566336228</v>
      </c>
      <c r="E34" s="60"/>
    </row>
    <row r="36" spans="2:3" ht="12.75">
      <c r="B36" s="51" t="s">
        <v>621</v>
      </c>
      <c r="C36" s="49">
        <f>Analysis!C136</f>
        <v>41030.96381359489</v>
      </c>
    </row>
    <row r="37" spans="2:3" ht="12.75">
      <c r="B37" s="300" t="s">
        <v>779</v>
      </c>
      <c r="C37" s="302">
        <f>Analysis!C138</f>
        <v>333.6830551752399</v>
      </c>
    </row>
    <row r="38" spans="2:3" ht="12.75">
      <c r="B38" s="57"/>
      <c r="C38" s="131"/>
    </row>
    <row r="39" spans="2:3" ht="17.25">
      <c r="B39" s="280" t="s">
        <v>482</v>
      </c>
      <c r="C39" s="42"/>
    </row>
    <row r="40" spans="2:3" ht="18" thickBot="1">
      <c r="B40" s="78" t="s">
        <v>395</v>
      </c>
      <c r="C40" s="289" t="str">
        <f>Inputs!C4</f>
        <v>Case Study State</v>
      </c>
    </row>
    <row r="41" ht="12.75">
      <c r="B41" s="69" t="s">
        <v>403</v>
      </c>
    </row>
    <row r="42" spans="2:3" ht="12.75">
      <c r="B42" s="44" t="s">
        <v>399</v>
      </c>
      <c r="C42" s="59" t="e">
        <f>'Moderate CP'!#REF!</f>
        <v>#REF!</v>
      </c>
    </row>
    <row r="43" ht="12.75">
      <c r="C43" s="59"/>
    </row>
    <row r="44" ht="12.75">
      <c r="B44" s="52" t="s">
        <v>689</v>
      </c>
    </row>
    <row r="45" spans="2:3" ht="12.75">
      <c r="B45" s="326" t="s">
        <v>692</v>
      </c>
      <c r="C45" s="227">
        <f>'Moderate CP'!C5</f>
        <v>39.317629937271406</v>
      </c>
    </row>
    <row r="46" spans="2:3" ht="12.75">
      <c r="B46" s="326" t="s">
        <v>693</v>
      </c>
      <c r="C46" s="227">
        <f>'Moderate CP'!C10</f>
        <v>53.77867148712637</v>
      </c>
    </row>
    <row r="47" ht="12.75">
      <c r="C47" s="53"/>
    </row>
    <row r="48" spans="2:7" ht="12.75">
      <c r="B48" s="327" t="s">
        <v>694</v>
      </c>
      <c r="C48" s="53">
        <f>'Moderate CP'!C8</f>
        <v>22.847577329064702</v>
      </c>
      <c r="G48" s="34"/>
    </row>
    <row r="49" spans="2:7" ht="12.75">
      <c r="B49" s="327" t="s">
        <v>695</v>
      </c>
      <c r="C49" s="53">
        <f>'Moderate CP'!C9</f>
        <v>22.250892775346735</v>
      </c>
      <c r="G49" s="31"/>
    </row>
    <row r="50" spans="2:7" ht="12.75">
      <c r="B50" s="327"/>
      <c r="C50" s="53"/>
      <c r="G50" s="31"/>
    </row>
    <row r="51" spans="2:7" ht="12.75">
      <c r="B51" s="44" t="s">
        <v>705</v>
      </c>
      <c r="E51" s="42"/>
      <c r="F51" s="42"/>
      <c r="G51" s="31"/>
    </row>
    <row r="52" spans="2:5" ht="12.75">
      <c r="B52" s="326" t="s">
        <v>692</v>
      </c>
      <c r="C52" s="229">
        <f>'Traffic  Impacts'!B33</f>
        <v>26283561.643835615</v>
      </c>
      <c r="E52" s="42"/>
    </row>
    <row r="53" spans="2:3" ht="12.75">
      <c r="B53" s="326" t="s">
        <v>693</v>
      </c>
      <c r="C53" s="229">
        <f>'Traffic  Impacts'!B33+'Traffic  Impacts'!C33</f>
        <v>25843457.584111176</v>
      </c>
    </row>
    <row r="54" spans="2:5" ht="12.75">
      <c r="B54" s="327" t="s">
        <v>406</v>
      </c>
      <c r="C54" s="49">
        <f>'Traffic  Impacts'!C56</f>
        <v>242617.8749627394</v>
      </c>
      <c r="E54" s="59"/>
    </row>
    <row r="55" spans="2:5" ht="12.75">
      <c r="B55" s="327" t="s">
        <v>695</v>
      </c>
      <c r="C55" s="49">
        <f>'Traffic  Impacts'!C56+'Traffic  Impacts'!B44</f>
        <v>13166418.553320782</v>
      </c>
      <c r="E55" s="59"/>
    </row>
    <row r="56" ht="12.75">
      <c r="C56" s="49"/>
    </row>
    <row r="57" spans="2:5" ht="12.75">
      <c r="B57" s="44" t="s">
        <v>491</v>
      </c>
      <c r="C57" s="70">
        <f>'Moderate CP'!C104/1000000</f>
        <v>476.2773017925399</v>
      </c>
      <c r="D57" s="70"/>
      <c r="E57" s="53"/>
    </row>
    <row r="58" spans="2:5" ht="12.75">
      <c r="B58" s="44" t="s">
        <v>492</v>
      </c>
      <c r="C58" s="70">
        <f>C57-C102/1000</f>
        <v>340.00631913736703</v>
      </c>
      <c r="D58" s="70"/>
      <c r="E58" s="53"/>
    </row>
    <row r="59" spans="3:5" ht="12.75">
      <c r="C59" s="70"/>
      <c r="D59" s="70"/>
      <c r="E59" s="53"/>
    </row>
    <row r="60" spans="2:5" ht="12.75">
      <c r="B60" s="44" t="s">
        <v>696</v>
      </c>
      <c r="C60" s="70"/>
      <c r="D60" s="60"/>
      <c r="E60" s="53"/>
    </row>
    <row r="61" spans="2:5" ht="12.75">
      <c r="B61" s="326" t="s">
        <v>706</v>
      </c>
      <c r="C61" s="228">
        <f>EmissionsFuelConsumption!G17+EmissionsFuelConsumption!H17</f>
        <v>15119077.09117835</v>
      </c>
      <c r="E61" s="53"/>
    </row>
    <row r="62" spans="2:5" ht="12.75">
      <c r="B62" s="326" t="s">
        <v>707</v>
      </c>
      <c r="C62" s="229">
        <f>EmissionsFuelConsumption!E17+EmissionsFuelConsumption!F17</f>
        <v>14005365.315452382</v>
      </c>
      <c r="E62" s="53"/>
    </row>
    <row r="63" spans="2:5" ht="12.75">
      <c r="B63" s="328" t="s">
        <v>561</v>
      </c>
      <c r="C63" s="230">
        <f>C62/C61-1</f>
        <v>-0.07366268251755892</v>
      </c>
      <c r="E63" s="53"/>
    </row>
    <row r="64" spans="3:5" ht="12.75">
      <c r="C64" s="49"/>
      <c r="E64" s="53"/>
    </row>
    <row r="65" spans="2:5" ht="12.75">
      <c r="B65" s="326" t="s">
        <v>708</v>
      </c>
      <c r="C65" s="228">
        <f>EmissionsFuelConsumption!G21+EmissionsFuelConsumption!H21</f>
        <v>47613.51227929226</v>
      </c>
      <c r="E65" s="53"/>
    </row>
    <row r="66" spans="2:5" ht="12.75">
      <c r="B66" s="326" t="s">
        <v>709</v>
      </c>
      <c r="C66" s="229">
        <f>EmissionsFuelConsumption!E21+EmissionsFuelConsumption!F21</f>
        <v>50045.83628702911</v>
      </c>
      <c r="E66" s="53"/>
    </row>
    <row r="67" spans="2:5" ht="12.75">
      <c r="B67" s="328" t="s">
        <v>561</v>
      </c>
      <c r="C67" s="230">
        <f>C66/C65-1</f>
        <v>0.0510847423619849</v>
      </c>
      <c r="E67" s="53"/>
    </row>
    <row r="68" spans="2:5" ht="12.75">
      <c r="B68" s="328"/>
      <c r="C68" s="230"/>
      <c r="E68" s="53"/>
    </row>
    <row r="69" spans="2:5" ht="12.75">
      <c r="B69" s="44" t="s">
        <v>704</v>
      </c>
      <c r="C69" s="49"/>
      <c r="E69" s="53"/>
    </row>
    <row r="70" spans="2:3" ht="12.75">
      <c r="B70" s="326" t="s">
        <v>710</v>
      </c>
      <c r="C70" s="229">
        <f>EmissionsFuelConsumption!G18+EmissionsFuelConsumption!H18</f>
        <v>1700.362259008236</v>
      </c>
    </row>
    <row r="71" spans="2:5" ht="12.75">
      <c r="B71" s="329" t="s">
        <v>711</v>
      </c>
      <c r="C71" s="231">
        <f>EmissionsFuelConsumption!E18+EmissionsFuelConsumption!F18</f>
        <v>1575.1090137580727</v>
      </c>
      <c r="E71" s="49"/>
    </row>
    <row r="72" ht="12.75">
      <c r="E72" s="49"/>
    </row>
    <row r="73" spans="2:5" ht="12.75">
      <c r="B73" s="51" t="s">
        <v>621</v>
      </c>
      <c r="C73" s="49">
        <f>Analysis!C163</f>
        <v>53012.31334364985</v>
      </c>
      <c r="E73" s="49"/>
    </row>
    <row r="74" spans="2:5" ht="12.75">
      <c r="B74" s="300" t="s">
        <v>780</v>
      </c>
      <c r="C74" s="302">
        <f>Analysis!C165</f>
        <v>431.1210128716297</v>
      </c>
      <c r="E74" s="49"/>
    </row>
    <row r="75" ht="12.75">
      <c r="E75" s="49"/>
    </row>
    <row r="76" spans="2:5" ht="27" thickBot="1">
      <c r="B76" s="93" t="s">
        <v>568</v>
      </c>
      <c r="C76" s="289" t="str">
        <f>Inputs!C4</f>
        <v>Case Study State</v>
      </c>
      <c r="E76" s="49"/>
    </row>
    <row r="77" spans="2:5" ht="12.75">
      <c r="B77" s="34" t="s">
        <v>341</v>
      </c>
      <c r="C77" s="71"/>
      <c r="E77" s="49"/>
    </row>
    <row r="78" spans="2:5" ht="12.75">
      <c r="B78" s="31" t="s">
        <v>339</v>
      </c>
      <c r="C78" s="72">
        <f>'Collection Cost'!K6</f>
        <v>5.408971928286992</v>
      </c>
      <c r="E78" s="49"/>
    </row>
    <row r="79" spans="2:3" ht="12.75">
      <c r="B79" s="31" t="s">
        <v>340</v>
      </c>
      <c r="C79" s="72">
        <f>'Collection Cost'!K7</f>
        <v>0.30945713806346564</v>
      </c>
    </row>
    <row r="80" spans="2:5" ht="12.75">
      <c r="B80" s="34" t="s">
        <v>346</v>
      </c>
      <c r="C80" s="72"/>
      <c r="E80" s="49"/>
    </row>
    <row r="81" spans="2:5" ht="12.75">
      <c r="B81" s="31" t="s">
        <v>347</v>
      </c>
      <c r="C81" s="72">
        <f>'Collection Cost'!K9</f>
        <v>14.149439457444736</v>
      </c>
      <c r="E81" s="49"/>
    </row>
    <row r="82" spans="2:5" ht="12.75">
      <c r="B82" s="31" t="s">
        <v>348</v>
      </c>
      <c r="C82" s="72">
        <f>'Collection Cost'!K10</f>
        <v>184.98475671606815</v>
      </c>
      <c r="E82" s="49"/>
    </row>
    <row r="83" spans="2:5" ht="12.75">
      <c r="B83" s="31" t="s">
        <v>345</v>
      </c>
      <c r="C83" s="72">
        <f>'Collection Cost'!K11</f>
        <v>21.927267734456574</v>
      </c>
      <c r="E83" s="49"/>
    </row>
    <row r="84" spans="2:5" ht="12.75">
      <c r="B84" s="31" t="s">
        <v>350</v>
      </c>
      <c r="C84" s="72">
        <f>'Collection Cost'!K12</f>
        <v>0.4201517370759074</v>
      </c>
      <c r="E84" s="60"/>
    </row>
    <row r="85" spans="2:5" ht="12.75">
      <c r="B85" s="31" t="s">
        <v>351</v>
      </c>
      <c r="C85" s="72">
        <f>'Collection Cost'!K13</f>
        <v>39.24940353092756</v>
      </c>
      <c r="E85" s="60"/>
    </row>
    <row r="86" spans="2:3" ht="12.75">
      <c r="B86" s="31" t="s">
        <v>349</v>
      </c>
      <c r="C86" s="72">
        <f>'Collection Cost'!K14</f>
        <v>3.993944507017326</v>
      </c>
    </row>
    <row r="87" spans="2:3" ht="12.75">
      <c r="B87" s="34" t="s">
        <v>352</v>
      </c>
      <c r="C87" s="72"/>
    </row>
    <row r="88" spans="2:3" ht="12.75">
      <c r="B88" s="31" t="s">
        <v>353</v>
      </c>
      <c r="C88" s="72">
        <f>'Collection Cost'!K16</f>
        <v>0</v>
      </c>
    </row>
    <row r="89" spans="2:3" ht="12.75">
      <c r="B89" s="31" t="s">
        <v>354</v>
      </c>
      <c r="C89" s="72">
        <f>'Collection Cost'!K17</f>
        <v>1.6733386511017112</v>
      </c>
    </row>
    <row r="90" spans="2:3" ht="12.75">
      <c r="B90" s="38" t="s">
        <v>345</v>
      </c>
      <c r="C90" s="72">
        <f>'Collection Cost'!K18</f>
        <v>23.6825234907881</v>
      </c>
    </row>
    <row r="91" spans="2:3" ht="12.75">
      <c r="B91" s="39" t="s">
        <v>355</v>
      </c>
      <c r="C91" s="72">
        <f>'Collection Cost'!K19</f>
        <v>28.854828434596392</v>
      </c>
    </row>
    <row r="92" spans="2:3" ht="13.5" thickBot="1">
      <c r="B92" s="78" t="s">
        <v>486</v>
      </c>
      <c r="C92" s="79">
        <f>'Collection Cost'!K24</f>
        <v>295.7992548912305</v>
      </c>
    </row>
    <row r="93" spans="2:3" ht="12.75">
      <c r="B93" s="225" t="s">
        <v>569</v>
      </c>
      <c r="C93" s="90">
        <f>'Collection Cost'!K24/'Collection Cost'!G24</f>
        <v>0.029911929143271003</v>
      </c>
    </row>
    <row r="94" spans="2:3" ht="12.75">
      <c r="B94" s="42"/>
      <c r="C94" s="42"/>
    </row>
    <row r="95" spans="2:3" ht="18" thickBot="1">
      <c r="B95" s="78" t="s">
        <v>468</v>
      </c>
      <c r="C95" s="289" t="str">
        <f>Inputs!C4</f>
        <v>Case Study State</v>
      </c>
    </row>
    <row r="96" spans="2:3" ht="12.75">
      <c r="B96" s="73" t="s">
        <v>467</v>
      </c>
      <c r="C96" s="74">
        <f>'ETC Costs'!C62</f>
        <v>63334.305252599</v>
      </c>
    </row>
    <row r="97" spans="2:3" ht="12.75">
      <c r="B97" s="34" t="s">
        <v>469</v>
      </c>
      <c r="C97" s="58"/>
    </row>
    <row r="98" spans="2:3" ht="12.75">
      <c r="B98" s="29" t="s">
        <v>466</v>
      </c>
      <c r="C98" s="75">
        <f>'ETC Costs'!C58</f>
        <v>67776.65854709734</v>
      </c>
    </row>
    <row r="99" spans="2:3" ht="12.75">
      <c r="B99" s="31" t="s">
        <v>465</v>
      </c>
      <c r="C99" s="75">
        <f>'ETC Costs'!C59</f>
        <v>72936.67740257387</v>
      </c>
    </row>
    <row r="100" spans="2:3" ht="12.75">
      <c r="B100" s="73" t="s">
        <v>0</v>
      </c>
      <c r="C100" s="75"/>
    </row>
    <row r="101" spans="2:4" ht="12.75">
      <c r="B101" s="31" t="s">
        <v>466</v>
      </c>
      <c r="C101" s="75">
        <f>'ETC Costs'!C64</f>
        <v>131110.96379969633</v>
      </c>
      <c r="D101" s="70"/>
    </row>
    <row r="102" spans="2:4" ht="13.5" thickBot="1">
      <c r="B102" s="82" t="s">
        <v>465</v>
      </c>
      <c r="C102" s="83">
        <f>'ETC Costs'!C65</f>
        <v>136270.98265517288</v>
      </c>
      <c r="D102" s="70"/>
    </row>
    <row r="104" ht="12.75">
      <c r="B104" s="48" t="s">
        <v>444</v>
      </c>
    </row>
    <row r="105" spans="2:3" ht="18" thickBot="1">
      <c r="B105" s="78" t="s">
        <v>395</v>
      </c>
      <c r="C105" s="289" t="str">
        <f>Inputs!C4</f>
        <v>Case Study State</v>
      </c>
    </row>
    <row r="106" spans="2:3" ht="12.75">
      <c r="B106" s="44" t="s">
        <v>445</v>
      </c>
      <c r="C106" s="59">
        <f>'Values of Time'!C53</f>
        <v>23.77037054506934</v>
      </c>
    </row>
    <row r="107" spans="2:3" ht="12.75">
      <c r="B107" s="44" t="s">
        <v>446</v>
      </c>
      <c r="C107" s="59">
        <f>'Values of Time'!C54</f>
        <v>63.38008047101188</v>
      </c>
    </row>
    <row r="108" spans="2:3" ht="13.5" thickBot="1">
      <c r="B108" s="80" t="s">
        <v>508</v>
      </c>
      <c r="C108" s="84">
        <f>'Values of Time'!C55</f>
        <v>26.939147339144746</v>
      </c>
    </row>
    <row r="110" spans="2:3" ht="12.75">
      <c r="B110" s="42"/>
      <c r="C110" s="42"/>
    </row>
  </sheetData>
  <sheetProtection/>
  <printOptions/>
  <pageMargins left="0.75" right="0.75" top="1" bottom="1" header="0.5" footer="0.5"/>
  <pageSetup horizontalDpi="200" verticalDpi="200" orientation="portrait" scale="82" r:id="rId1"/>
  <headerFooter alignWithMargins="0">
    <oddHeader>&amp;C&amp;A</oddHeader>
  </headerFooter>
  <rowBreaks count="1" manualBreakCount="1">
    <brk id="71" max="6" man="1"/>
  </rowBreaks>
  <colBreaks count="1" manualBreakCount="1">
    <brk id="5" max="6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104"/>
  <sheetViews>
    <sheetView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5" sqref="E15"/>
    </sheetView>
  </sheetViews>
  <sheetFormatPr defaultColWidth="9.140625" defaultRowHeight="12.75"/>
  <cols>
    <col min="1" max="1" width="3.00390625" style="44" customWidth="1"/>
    <col min="2" max="2" width="26.57421875" style="55" customWidth="1"/>
    <col min="3" max="3" width="17.28125" style="63" bestFit="1" customWidth="1"/>
    <col min="4" max="4" width="4.28125" style="44" customWidth="1"/>
    <col min="5" max="5" width="47.421875" style="44" customWidth="1"/>
    <col min="6" max="6" width="6.421875" style="44" customWidth="1"/>
    <col min="7" max="7" width="10.140625" style="44" bestFit="1" customWidth="1"/>
    <col min="8" max="16384" width="9.140625" style="44" customWidth="1"/>
  </cols>
  <sheetData>
    <row r="1" ht="12.75">
      <c r="C1" s="44" t="s">
        <v>574</v>
      </c>
    </row>
    <row r="2" spans="2:5" ht="17.25">
      <c r="B2" s="280"/>
      <c r="C2" s="44" t="s">
        <v>575</v>
      </c>
      <c r="E2" s="254" t="s">
        <v>577</v>
      </c>
    </row>
    <row r="3" ht="12.75">
      <c r="E3" s="255" t="s">
        <v>572</v>
      </c>
    </row>
    <row r="4" spans="2:5" ht="13.5" thickBot="1">
      <c r="B4" s="93" t="s">
        <v>393</v>
      </c>
      <c r="C4" s="322" t="s">
        <v>785</v>
      </c>
      <c r="D4" s="80"/>
      <c r="E4" s="78" t="s">
        <v>478</v>
      </c>
    </row>
    <row r="5" spans="2:5" ht="13.5" thickBot="1">
      <c r="B5" s="93" t="s">
        <v>454</v>
      </c>
      <c r="C5" s="94"/>
      <c r="D5" s="42"/>
      <c r="E5" s="57"/>
    </row>
    <row r="6" spans="2:5" ht="12.75">
      <c r="B6" s="309" t="s">
        <v>776</v>
      </c>
      <c r="C6" s="305"/>
      <c r="D6" s="42"/>
      <c r="E6" s="85" t="s">
        <v>479</v>
      </c>
    </row>
    <row r="7" spans="2:5" ht="12.75">
      <c r="B7" s="307" t="s">
        <v>298</v>
      </c>
      <c r="C7" s="232">
        <v>19187</v>
      </c>
      <c r="E7" s="222" t="s">
        <v>772</v>
      </c>
    </row>
    <row r="8" spans="2:5" ht="12.75">
      <c r="B8" s="307" t="s">
        <v>633</v>
      </c>
      <c r="C8" s="349">
        <v>16437</v>
      </c>
      <c r="E8" s="85" t="s">
        <v>773</v>
      </c>
    </row>
    <row r="9" spans="1:5" ht="12.75">
      <c r="A9" s="308"/>
      <c r="B9" s="308" t="s">
        <v>632</v>
      </c>
      <c r="C9" s="351">
        <v>10229</v>
      </c>
      <c r="E9" s="85"/>
    </row>
    <row r="10" spans="2:5" ht="13.5" thickBot="1">
      <c r="B10" s="307" t="s">
        <v>634</v>
      </c>
      <c r="C10" s="352">
        <f>C7+C8</f>
        <v>35624</v>
      </c>
      <c r="E10" s="85"/>
    </row>
    <row r="11" spans="2:5" ht="13.5" thickBot="1">
      <c r="B11" s="55" t="s">
        <v>635</v>
      </c>
      <c r="C11" s="244">
        <v>56503</v>
      </c>
      <c r="E11" s="85"/>
    </row>
    <row r="12" spans="2:5" ht="12.75">
      <c r="B12" s="55" t="s">
        <v>389</v>
      </c>
      <c r="C12" s="233">
        <v>0.5</v>
      </c>
      <c r="E12" s="85" t="s">
        <v>394</v>
      </c>
    </row>
    <row r="13" spans="2:5" ht="26.25">
      <c r="B13" s="55" t="s">
        <v>656</v>
      </c>
      <c r="C13" s="346">
        <v>1.3</v>
      </c>
      <c r="E13" s="360" t="s">
        <v>786</v>
      </c>
    </row>
    <row r="14" spans="2:5" ht="12.75">
      <c r="B14" s="55" t="s">
        <v>657</v>
      </c>
      <c r="C14" s="346">
        <v>1.1</v>
      </c>
      <c r="E14" s="85"/>
    </row>
    <row r="15" spans="2:5" ht="26.25">
      <c r="B15" s="55" t="s">
        <v>391</v>
      </c>
      <c r="C15" s="238">
        <v>60</v>
      </c>
      <c r="E15" s="85" t="s">
        <v>394</v>
      </c>
    </row>
    <row r="16" spans="2:5" ht="39">
      <c r="B16" s="55" t="s">
        <v>770</v>
      </c>
      <c r="C16" s="238">
        <v>51.4</v>
      </c>
      <c r="E16" s="85" t="s">
        <v>394</v>
      </c>
    </row>
    <row r="17" spans="2:5" ht="21">
      <c r="B17" s="55" t="s">
        <v>392</v>
      </c>
      <c r="C17" s="237">
        <v>0.08</v>
      </c>
      <c r="E17" s="360" t="s">
        <v>782</v>
      </c>
    </row>
    <row r="18" spans="2:5" ht="21">
      <c r="B18" s="55" t="s">
        <v>507</v>
      </c>
      <c r="C18" s="301">
        <f>1336943</f>
        <v>1336943</v>
      </c>
      <c r="E18" s="85" t="s">
        <v>771</v>
      </c>
    </row>
    <row r="19" spans="2:5" ht="12.75">
      <c r="B19" s="55" t="s">
        <v>636</v>
      </c>
      <c r="C19" s="238">
        <v>10</v>
      </c>
      <c r="E19" s="85" t="s">
        <v>394</v>
      </c>
    </row>
    <row r="20" spans="2:5" ht="12.75">
      <c r="B20" s="55" t="s">
        <v>11</v>
      </c>
      <c r="C20" s="235">
        <v>2.62</v>
      </c>
      <c r="E20" s="85" t="s">
        <v>480</v>
      </c>
    </row>
    <row r="21" spans="2:9" ht="12.75">
      <c r="B21" s="55" t="s">
        <v>562</v>
      </c>
      <c r="C21" s="236">
        <v>250</v>
      </c>
      <c r="E21" s="85" t="s">
        <v>563</v>
      </c>
      <c r="I21" s="44">
        <v>250</v>
      </c>
    </row>
    <row r="22" spans="2:9" ht="12.75" hidden="1">
      <c r="B22" s="55" t="s">
        <v>132</v>
      </c>
      <c r="C22" s="232"/>
      <c r="E22" s="85" t="s">
        <v>477</v>
      </c>
      <c r="I22" s="44">
        <v>330</v>
      </c>
    </row>
    <row r="23" spans="2:5" ht="12.75">
      <c r="B23" s="55" t="s">
        <v>638</v>
      </c>
      <c r="C23" s="310"/>
      <c r="E23" s="87"/>
    </row>
    <row r="24" spans="2:5" ht="12.75">
      <c r="B24" s="307" t="s">
        <v>639</v>
      </c>
      <c r="C24" s="232">
        <v>3180</v>
      </c>
      <c r="E24" s="87" t="s">
        <v>774</v>
      </c>
    </row>
    <row r="25" spans="2:5" ht="12.75">
      <c r="B25" s="307" t="s">
        <v>297</v>
      </c>
      <c r="C25" s="350">
        <v>7642</v>
      </c>
      <c r="E25" s="87"/>
    </row>
    <row r="26" spans="2:5" ht="12.75">
      <c r="B26" s="306" t="s">
        <v>632</v>
      </c>
      <c r="C26" s="232">
        <v>3908</v>
      </c>
      <c r="E26" s="87"/>
    </row>
    <row r="27" spans="2:5" ht="26.25">
      <c r="B27" s="55" t="s">
        <v>637</v>
      </c>
      <c r="C27" s="238">
        <v>6</v>
      </c>
      <c r="E27" s="87"/>
    </row>
    <row r="28" spans="2:5" ht="12.75">
      <c r="B28" s="47"/>
      <c r="C28" s="44"/>
      <c r="E28" s="85"/>
    </row>
    <row r="29" spans="2:5" ht="12.75">
      <c r="B29" s="47"/>
      <c r="E29" s="85"/>
    </row>
    <row r="31" spans="2:3" ht="13.5" thickBot="1">
      <c r="B31" s="93" t="s">
        <v>453</v>
      </c>
      <c r="C31" s="94"/>
    </row>
    <row r="32" ht="12.75">
      <c r="B32" s="55" t="s">
        <v>412</v>
      </c>
    </row>
    <row r="33" spans="3:5" ht="12.75">
      <c r="C33" s="86"/>
      <c r="D33" s="41"/>
      <c r="E33" s="40"/>
    </row>
    <row r="34" spans="2:5" ht="30.75">
      <c r="B34" s="55" t="s">
        <v>447</v>
      </c>
      <c r="C34" s="234">
        <v>66873</v>
      </c>
      <c r="E34" s="85" t="s">
        <v>778</v>
      </c>
    </row>
    <row r="36" ht="12.75">
      <c r="B36" s="55" t="s">
        <v>448</v>
      </c>
    </row>
    <row r="37" spans="2:7" ht="12.75">
      <c r="B37" s="101" t="s">
        <v>414</v>
      </c>
      <c r="C37" s="235">
        <v>18.16</v>
      </c>
      <c r="D37" s="85"/>
      <c r="E37" s="85" t="s">
        <v>777</v>
      </c>
      <c r="F37" s="85"/>
      <c r="G37" s="85"/>
    </row>
    <row r="38" spans="2:3" ht="12.75">
      <c r="B38" s="101" t="s">
        <v>449</v>
      </c>
      <c r="C38" s="232">
        <v>24420</v>
      </c>
    </row>
    <row r="39" ht="12.75">
      <c r="B39" s="55" t="s">
        <v>450</v>
      </c>
    </row>
    <row r="40" spans="2:3" ht="12.75">
      <c r="B40" s="101" t="s">
        <v>451</v>
      </c>
      <c r="C40" s="235">
        <v>13.79</v>
      </c>
    </row>
    <row r="41" spans="2:3" ht="12.75">
      <c r="B41" s="101" t="s">
        <v>449</v>
      </c>
      <c r="C41" s="232">
        <v>20480</v>
      </c>
    </row>
    <row r="42" spans="3:4" ht="12.75">
      <c r="C42" s="55"/>
      <c r="D42" s="55"/>
    </row>
    <row r="43" spans="2:3" ht="12.75">
      <c r="B43" s="55" t="s">
        <v>452</v>
      </c>
      <c r="C43" s="235">
        <v>22.01</v>
      </c>
    </row>
    <row r="44" spans="2:3" ht="12.75">
      <c r="B44" s="47"/>
      <c r="C44" s="62"/>
    </row>
    <row r="45" spans="2:6" ht="13.5" thickBot="1">
      <c r="B45" s="95" t="s">
        <v>775</v>
      </c>
      <c r="C45" s="243">
        <v>4753000</v>
      </c>
      <c r="D45" s="42"/>
      <c r="E45" s="42" t="s">
        <v>661</v>
      </c>
      <c r="F45" s="42"/>
    </row>
    <row r="46" spans="2:3" s="42" customFormat="1" ht="12.75">
      <c r="B46" s="47"/>
      <c r="C46" s="62"/>
    </row>
    <row r="47" spans="2:5" ht="39.75" customHeight="1" thickBot="1">
      <c r="B47" s="93" t="s">
        <v>456</v>
      </c>
      <c r="C47" s="345" t="s">
        <v>573</v>
      </c>
      <c r="E47" s="222" t="s">
        <v>570</v>
      </c>
    </row>
    <row r="48" spans="2:3" ht="12.75">
      <c r="B48" s="34" t="s">
        <v>341</v>
      </c>
      <c r="C48" s="239" t="s">
        <v>343</v>
      </c>
    </row>
    <row r="49" spans="2:3" ht="12.75">
      <c r="B49" s="31" t="s">
        <v>339</v>
      </c>
      <c r="C49" s="240">
        <v>2144.7839999999997</v>
      </c>
    </row>
    <row r="50" spans="2:3" ht="12.75">
      <c r="B50" s="31" t="s">
        <v>340</v>
      </c>
      <c r="C50" s="240">
        <v>122.70700000000001</v>
      </c>
    </row>
    <row r="51" spans="2:3" ht="12.75">
      <c r="B51" s="34" t="s">
        <v>346</v>
      </c>
      <c r="C51" s="75"/>
    </row>
    <row r="52" spans="2:3" ht="12.75">
      <c r="B52" s="31" t="s">
        <v>347</v>
      </c>
      <c r="C52" s="240">
        <v>3206.048</v>
      </c>
    </row>
    <row r="53" spans="2:3" ht="12.75">
      <c r="B53" s="31" t="s">
        <v>348</v>
      </c>
      <c r="C53" s="240">
        <v>2310.261</v>
      </c>
    </row>
    <row r="54" spans="2:3" ht="12.75">
      <c r="B54" s="31" t="s">
        <v>345</v>
      </c>
      <c r="C54" s="240">
        <v>231.858</v>
      </c>
    </row>
    <row r="55" spans="2:3" ht="12.75">
      <c r="B55" s="31" t="s">
        <v>350</v>
      </c>
      <c r="C55" s="240">
        <v>26.656</v>
      </c>
    </row>
    <row r="56" spans="2:3" ht="26.25">
      <c r="B56" s="31" t="s">
        <v>351</v>
      </c>
      <c r="C56" s="240">
        <v>1976.293</v>
      </c>
    </row>
    <row r="57" spans="2:3" ht="12.75">
      <c r="B57" s="31" t="s">
        <v>349</v>
      </c>
      <c r="C57" s="240">
        <v>633.477</v>
      </c>
    </row>
    <row r="58" spans="2:3" ht="12.75">
      <c r="B58" s="34" t="s">
        <v>352</v>
      </c>
      <c r="C58" s="75"/>
    </row>
    <row r="59" spans="2:3" ht="26.25">
      <c r="B59" s="31" t="s">
        <v>353</v>
      </c>
      <c r="C59" s="240">
        <v>0</v>
      </c>
    </row>
    <row r="60" spans="2:3" ht="26.25">
      <c r="B60" s="31" t="s">
        <v>354</v>
      </c>
      <c r="C60" s="240">
        <v>205.742</v>
      </c>
    </row>
    <row r="61" spans="2:3" ht="12.75">
      <c r="B61" s="31" t="s">
        <v>345</v>
      </c>
      <c r="C61" s="240">
        <v>250.418</v>
      </c>
    </row>
    <row r="62" spans="2:3" ht="39.75" thickBot="1">
      <c r="B62" s="88" t="s">
        <v>355</v>
      </c>
      <c r="C62" s="240">
        <v>4576.646000000001</v>
      </c>
    </row>
    <row r="63" spans="2:3" ht="12.75" hidden="1">
      <c r="B63" s="88" t="s">
        <v>357</v>
      </c>
      <c r="C63" s="58">
        <f>C11</f>
        <v>56503</v>
      </c>
    </row>
    <row r="64" spans="2:3" ht="13.5" hidden="1" thickBot="1">
      <c r="B64" s="96" t="s">
        <v>358</v>
      </c>
      <c r="C64" s="97">
        <f>C10</f>
        <v>35624</v>
      </c>
    </row>
    <row r="65" spans="2:3" ht="13.5" thickBot="1">
      <c r="B65" s="99"/>
      <c r="C65" s="100"/>
    </row>
    <row r="66" spans="2:3" ht="12.75">
      <c r="B66" s="34" t="s">
        <v>341</v>
      </c>
      <c r="C66" s="239" t="s">
        <v>344</v>
      </c>
    </row>
    <row r="67" spans="2:3" ht="12.75">
      <c r="B67" s="31" t="s">
        <v>339</v>
      </c>
      <c r="C67" s="245">
        <v>0.004</v>
      </c>
    </row>
    <row r="68" spans="2:3" ht="12.75">
      <c r="B68" s="31" t="s">
        <v>340</v>
      </c>
      <c r="C68" s="245">
        <v>0.004</v>
      </c>
    </row>
    <row r="69" spans="2:3" ht="12.75">
      <c r="B69" s="34" t="s">
        <v>346</v>
      </c>
      <c r="C69" s="89"/>
    </row>
    <row r="70" spans="2:5" ht="12.75">
      <c r="B70" s="31" t="s">
        <v>347</v>
      </c>
      <c r="C70" s="246">
        <v>0.007</v>
      </c>
      <c r="D70" s="222"/>
      <c r="E70" s="222" t="s">
        <v>570</v>
      </c>
    </row>
    <row r="71" spans="2:5" ht="12.75">
      <c r="B71" s="31" t="s">
        <v>348</v>
      </c>
      <c r="C71" s="246">
        <v>0.127</v>
      </c>
      <c r="D71" s="222"/>
      <c r="E71" s="222" t="s">
        <v>570</v>
      </c>
    </row>
    <row r="72" spans="2:3" ht="12.75">
      <c r="B72" s="31" t="s">
        <v>345</v>
      </c>
      <c r="C72" s="245">
        <f>15%</f>
        <v>0.15</v>
      </c>
    </row>
    <row r="73" spans="2:3" ht="12.75">
      <c r="B73" s="31" t="s">
        <v>350</v>
      </c>
      <c r="C73" s="245">
        <v>0.01</v>
      </c>
    </row>
    <row r="74" spans="2:3" ht="26.25">
      <c r="B74" s="31" t="s">
        <v>351</v>
      </c>
      <c r="C74" s="245">
        <v>0.0315</v>
      </c>
    </row>
    <row r="75" spans="2:3" ht="12.75">
      <c r="B75" s="31" t="s">
        <v>349</v>
      </c>
      <c r="C75" s="245">
        <v>0.01</v>
      </c>
    </row>
    <row r="76" spans="2:3" ht="12.75">
      <c r="B76" s="34" t="s">
        <v>352</v>
      </c>
      <c r="C76" s="89"/>
    </row>
    <row r="77" spans="2:3" ht="26.25">
      <c r="B77" s="31" t="s">
        <v>353</v>
      </c>
      <c r="C77" s="245">
        <v>0.028</v>
      </c>
    </row>
    <row r="78" spans="2:3" ht="26.25">
      <c r="B78" s="31" t="s">
        <v>354</v>
      </c>
      <c r="C78" s="245">
        <v>0.0129</v>
      </c>
    </row>
    <row r="79" spans="2:3" ht="12.75">
      <c r="B79" s="31" t="s">
        <v>345</v>
      </c>
      <c r="C79" s="245">
        <f>0.15</f>
        <v>0.15</v>
      </c>
    </row>
    <row r="80" spans="2:3" ht="39">
      <c r="B80" s="88" t="s">
        <v>355</v>
      </c>
      <c r="C80" s="245">
        <v>0.01</v>
      </c>
    </row>
    <row r="82" spans="2:3" ht="39.75" thickBot="1">
      <c r="B82" s="93" t="s">
        <v>455</v>
      </c>
      <c r="C82" s="94"/>
    </row>
    <row r="83" spans="2:3" ht="12.75">
      <c r="B83" s="55" t="s">
        <v>366</v>
      </c>
      <c r="C83" s="251">
        <v>333</v>
      </c>
    </row>
    <row r="84" spans="2:3" ht="12.75">
      <c r="B84" s="55" t="s">
        <v>20</v>
      </c>
      <c r="C84" s="247">
        <v>300</v>
      </c>
    </row>
    <row r="85" spans="2:3" ht="26.25">
      <c r="B85" s="55" t="s">
        <v>408</v>
      </c>
      <c r="C85" s="247">
        <v>8</v>
      </c>
    </row>
    <row r="86" spans="2:3" ht="12.75">
      <c r="B86" s="91" t="s">
        <v>22</v>
      </c>
      <c r="C86" s="247">
        <v>40</v>
      </c>
    </row>
    <row r="87" spans="2:3" ht="12.75">
      <c r="B87" s="55" t="s">
        <v>23</v>
      </c>
      <c r="C87" s="247">
        <v>100</v>
      </c>
    </row>
    <row r="88" spans="2:3" ht="26.25">
      <c r="B88" s="55" t="s">
        <v>24</v>
      </c>
      <c r="C88" s="247">
        <v>120</v>
      </c>
    </row>
    <row r="89" spans="2:3" ht="26.25">
      <c r="B89" s="55" t="s">
        <v>409</v>
      </c>
      <c r="C89" s="247">
        <v>200</v>
      </c>
    </row>
    <row r="90" spans="2:3" ht="12.75">
      <c r="B90" s="55" t="s">
        <v>26</v>
      </c>
      <c r="C90" s="247">
        <v>150</v>
      </c>
    </row>
    <row r="91" spans="2:3" ht="26.25">
      <c r="B91" s="55" t="s">
        <v>27</v>
      </c>
      <c r="C91" s="247">
        <v>160</v>
      </c>
    </row>
    <row r="92" spans="2:3" ht="26.25">
      <c r="B92" s="55" t="s">
        <v>377</v>
      </c>
      <c r="C92" s="247">
        <v>3500</v>
      </c>
    </row>
    <row r="93" spans="2:3" ht="12.75">
      <c r="B93" s="55" t="s">
        <v>378</v>
      </c>
      <c r="C93" s="247">
        <v>2000</v>
      </c>
    </row>
    <row r="94" spans="2:3" ht="26.25">
      <c r="B94" s="55" t="s">
        <v>410</v>
      </c>
      <c r="C94" s="248">
        <v>0.8</v>
      </c>
    </row>
    <row r="95" spans="2:3" ht="12.75">
      <c r="B95" s="55" t="s">
        <v>113</v>
      </c>
      <c r="C95" s="247">
        <v>25</v>
      </c>
    </row>
    <row r="96" spans="2:3" ht="12.75">
      <c r="B96" s="55" t="s">
        <v>513</v>
      </c>
      <c r="C96" s="249">
        <v>10</v>
      </c>
    </row>
    <row r="97" spans="2:3" ht="12.75">
      <c r="B97" s="55" t="s">
        <v>506</v>
      </c>
      <c r="C97" s="248">
        <v>0.06</v>
      </c>
    </row>
    <row r="98" spans="2:3" ht="26.25">
      <c r="B98" s="55" t="s">
        <v>514</v>
      </c>
      <c r="C98" s="250">
        <v>0.2</v>
      </c>
    </row>
    <row r="99" spans="2:3" ht="13.5" thickBot="1">
      <c r="B99" s="95" t="s">
        <v>407</v>
      </c>
      <c r="C99" s="252">
        <v>5</v>
      </c>
    </row>
    <row r="101" spans="2:3" ht="12.75">
      <c r="B101" s="44"/>
      <c r="C101" s="44"/>
    </row>
    <row r="102" spans="2:3" ht="27" thickBot="1">
      <c r="B102" s="93" t="s">
        <v>558</v>
      </c>
      <c r="C102" s="94"/>
    </row>
    <row r="104" spans="3:5" ht="21">
      <c r="C104" s="253">
        <v>0.1</v>
      </c>
      <c r="E104" s="360" t="s">
        <v>783</v>
      </c>
    </row>
  </sheetData>
  <sheetProtection/>
  <dataValidations count="1">
    <dataValidation type="list" allowBlank="1" showInputMessage="1" showErrorMessage="1" sqref="C21">
      <formula1>$I$21:$I$22</formula1>
    </dataValidation>
  </dataValidations>
  <printOptions/>
  <pageMargins left="0.75" right="0.75" top="1" bottom="1" header="0.5" footer="0.5"/>
  <pageSetup horizontalDpi="600" verticalDpi="600" orientation="portrait" scale="76" r:id="rId1"/>
  <headerFooter alignWithMargins="0">
    <oddHeader>&amp;C&amp;A</oddHeader>
  </headerFooter>
  <rowBreaks count="2" manualBreakCount="2">
    <brk id="45" min="1" max="4" man="1"/>
    <brk id="80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S9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5.57421875" style="44" customWidth="1"/>
    <col min="2" max="2" width="36.140625" style="44" bestFit="1" customWidth="1"/>
    <col min="3" max="3" width="21.00390625" style="44" customWidth="1"/>
    <col min="4" max="4" width="101.57421875" style="44" customWidth="1"/>
    <col min="5" max="5" width="5.421875" style="44" customWidth="1"/>
    <col min="6" max="6" width="13.00390625" style="44" customWidth="1"/>
    <col min="7" max="7" width="8.8515625" style="44" customWidth="1"/>
    <col min="8" max="8" width="18.28125" style="44" customWidth="1"/>
    <col min="9" max="9" width="10.140625" style="44" bestFit="1" customWidth="1"/>
    <col min="10" max="10" width="11.00390625" style="44" customWidth="1"/>
    <col min="11" max="15" width="9.140625" style="44" customWidth="1"/>
    <col min="16" max="16" width="10.57421875" style="44" customWidth="1"/>
    <col min="17" max="17" width="9.140625" style="44" customWidth="1"/>
    <col min="18" max="18" width="10.7109375" style="44" customWidth="1"/>
    <col min="19" max="19" width="29.421875" style="44" customWidth="1"/>
    <col min="20" max="16384" width="9.140625" style="44" customWidth="1"/>
  </cols>
  <sheetData>
    <row r="1" spans="2:17" ht="40.5" customHeight="1" thickBot="1">
      <c r="B1" s="281" t="s">
        <v>580</v>
      </c>
      <c r="C1" s="259" t="str">
        <f>Inputs!C4</f>
        <v>Case Study State</v>
      </c>
      <c r="D1" s="186"/>
      <c r="E1" s="186"/>
      <c r="F1" s="42"/>
      <c r="G1" s="42"/>
      <c r="H1" s="42"/>
      <c r="M1" s="48"/>
      <c r="N1" s="48"/>
      <c r="O1" s="48"/>
      <c r="P1" s="68"/>
      <c r="Q1" s="48"/>
    </row>
    <row r="2" spans="2:17" ht="23.25" thickBot="1">
      <c r="B2" s="93" t="s">
        <v>411</v>
      </c>
      <c r="C2" s="93"/>
      <c r="D2" s="186"/>
      <c r="E2" s="186"/>
      <c r="F2" s="42"/>
      <c r="G2" s="42"/>
      <c r="H2" s="42"/>
      <c r="M2" s="48"/>
      <c r="N2" s="48"/>
      <c r="O2" s="48"/>
      <c r="P2" s="68"/>
      <c r="Q2" s="48"/>
    </row>
    <row r="3" spans="2:16" ht="13.5" customHeight="1">
      <c r="B3" s="55" t="s">
        <v>412</v>
      </c>
      <c r="D3" s="47" t="s">
        <v>476</v>
      </c>
      <c r="E3" s="42"/>
      <c r="F3" s="42"/>
      <c r="G3" s="42"/>
      <c r="H3" s="42"/>
      <c r="M3" s="55"/>
      <c r="P3" s="111"/>
    </row>
    <row r="4" spans="2:8" ht="12.75">
      <c r="B4" s="187" t="s">
        <v>413</v>
      </c>
      <c r="C4" s="241">
        <v>27.82</v>
      </c>
      <c r="D4" s="188"/>
      <c r="E4" s="188"/>
      <c r="F4" s="188"/>
      <c r="G4" s="42"/>
      <c r="H4" s="42"/>
    </row>
    <row r="5" spans="2:8" ht="12.75">
      <c r="B5" s="187" t="s">
        <v>414</v>
      </c>
      <c r="C5" s="241">
        <v>19.47</v>
      </c>
      <c r="D5" s="188"/>
      <c r="E5" s="188"/>
      <c r="F5" s="188"/>
      <c r="G5" s="42"/>
      <c r="H5" s="42"/>
    </row>
    <row r="6" spans="2:8" ht="13.5" thickBot="1">
      <c r="B6" s="95" t="s">
        <v>415</v>
      </c>
      <c r="C6" s="114">
        <f>C4/C5</f>
        <v>1.4288649203903443</v>
      </c>
      <c r="D6" s="188"/>
      <c r="E6" s="188"/>
      <c r="F6" s="188"/>
      <c r="G6" s="42"/>
      <c r="H6" s="42"/>
    </row>
    <row r="7" spans="2:8" ht="12.75">
      <c r="B7" s="42"/>
      <c r="C7" s="42"/>
      <c r="D7" s="188"/>
      <c r="E7" s="188"/>
      <c r="F7" s="188"/>
      <c r="G7" s="42"/>
      <c r="H7" s="42"/>
    </row>
    <row r="8" spans="2:16" ht="12.75">
      <c r="B8" s="42"/>
      <c r="C8" s="42"/>
      <c r="D8" s="188"/>
      <c r="E8" s="188"/>
      <c r="F8" s="188"/>
      <c r="G8" s="42"/>
      <c r="H8" s="42"/>
      <c r="M8" s="55"/>
      <c r="P8" s="111"/>
    </row>
    <row r="9" spans="2:8" ht="13.5" thickBot="1">
      <c r="B9" s="78" t="s">
        <v>416</v>
      </c>
      <c r="C9" s="80"/>
      <c r="D9" s="188"/>
      <c r="E9" s="188"/>
      <c r="F9" s="188"/>
      <c r="G9" s="42"/>
      <c r="H9" s="42"/>
    </row>
    <row r="10" spans="2:16" ht="12.75">
      <c r="B10" s="47" t="s">
        <v>417</v>
      </c>
      <c r="C10" s="265">
        <f>Inputs!C34</f>
        <v>66873</v>
      </c>
      <c r="D10" s="189"/>
      <c r="E10" s="188"/>
      <c r="F10" s="188"/>
      <c r="G10" s="42"/>
      <c r="H10" s="42"/>
      <c r="O10" s="187"/>
      <c r="P10" s="104"/>
    </row>
    <row r="11" spans="2:16" ht="12.75">
      <c r="B11" s="47" t="s">
        <v>418</v>
      </c>
      <c r="C11" s="59">
        <f>0.5*C10/2000</f>
        <v>16.71825</v>
      </c>
      <c r="D11" s="188"/>
      <c r="E11" s="188"/>
      <c r="F11" s="188"/>
      <c r="G11" s="42"/>
      <c r="H11" s="42"/>
      <c r="O11" s="187"/>
      <c r="P11" s="104"/>
    </row>
    <row r="12" spans="2:15" ht="12.75">
      <c r="B12" s="47" t="s">
        <v>419</v>
      </c>
      <c r="C12" s="279">
        <f>1.25</f>
        <v>1.25</v>
      </c>
      <c r="D12" s="188"/>
      <c r="E12" s="188"/>
      <c r="F12" s="188"/>
      <c r="G12" s="42"/>
      <c r="H12" s="42"/>
      <c r="O12" s="69"/>
    </row>
    <row r="13" spans="2:16" ht="13.5" thickBot="1">
      <c r="B13" s="95" t="s">
        <v>420</v>
      </c>
      <c r="C13" s="84">
        <f>C12*C11</f>
        <v>20.8978125</v>
      </c>
      <c r="D13" s="188"/>
      <c r="E13" s="188"/>
      <c r="F13" s="188"/>
      <c r="G13" s="42"/>
      <c r="H13" s="42"/>
      <c r="O13" s="187"/>
      <c r="P13" s="104"/>
    </row>
    <row r="14" spans="3:16" ht="12.75">
      <c r="C14" s="190"/>
      <c r="D14" s="188"/>
      <c r="E14" s="188"/>
      <c r="F14" s="188"/>
      <c r="G14" s="42"/>
      <c r="H14" s="42"/>
      <c r="O14" s="187"/>
      <c r="P14" s="104"/>
    </row>
    <row r="15" spans="2:16" ht="13.5" thickBot="1">
      <c r="B15" s="78" t="s">
        <v>421</v>
      </c>
      <c r="C15" s="200"/>
      <c r="D15" s="188"/>
      <c r="E15" s="188"/>
      <c r="F15" s="188"/>
      <c r="G15" s="42"/>
      <c r="H15" s="42"/>
      <c r="O15" s="187"/>
      <c r="P15" s="104"/>
    </row>
    <row r="16" spans="2:8" ht="12.75">
      <c r="B16" s="55" t="s">
        <v>422</v>
      </c>
      <c r="D16" s="188"/>
      <c r="E16" s="188"/>
      <c r="F16" s="188"/>
      <c r="G16" s="42"/>
      <c r="H16" s="42"/>
    </row>
    <row r="17" spans="2:15" ht="12.75">
      <c r="B17" s="187" t="s">
        <v>414</v>
      </c>
      <c r="C17" s="272">
        <f>Inputs!C37</f>
        <v>18.16</v>
      </c>
      <c r="D17" s="188"/>
      <c r="E17" s="188"/>
      <c r="F17" s="188"/>
      <c r="G17" s="42"/>
      <c r="H17" s="42"/>
      <c r="O17" s="103"/>
    </row>
    <row r="18" spans="2:16" ht="12.75">
      <c r="B18" s="187" t="s">
        <v>423</v>
      </c>
      <c r="C18" s="273">
        <f>Inputs!C38</f>
        <v>24420</v>
      </c>
      <c r="D18" s="188"/>
      <c r="E18" s="188"/>
      <c r="F18" s="188"/>
      <c r="G18" s="42"/>
      <c r="H18" s="42"/>
      <c r="O18" s="187"/>
      <c r="P18" s="105"/>
    </row>
    <row r="19" spans="2:16" ht="12.75">
      <c r="B19" s="55" t="s">
        <v>424</v>
      </c>
      <c r="D19" s="188"/>
      <c r="E19" s="188"/>
      <c r="F19" s="188"/>
      <c r="G19" s="42"/>
      <c r="H19" s="42"/>
      <c r="O19" s="187"/>
      <c r="P19" s="105"/>
    </row>
    <row r="20" spans="2:8" ht="12.75">
      <c r="B20" s="187" t="s">
        <v>414</v>
      </c>
      <c r="C20" s="272">
        <f>Inputs!C40</f>
        <v>13.79</v>
      </c>
      <c r="D20" s="188"/>
      <c r="E20" s="188"/>
      <c r="F20" s="188"/>
      <c r="G20" s="42"/>
      <c r="H20" s="42"/>
    </row>
    <row r="21" spans="2:8" ht="12.75">
      <c r="B21" s="187" t="s">
        <v>423</v>
      </c>
      <c r="C21" s="273">
        <f>Inputs!C41</f>
        <v>20480</v>
      </c>
      <c r="D21" s="188"/>
      <c r="E21" s="188"/>
      <c r="F21" s="188"/>
      <c r="G21" s="42"/>
      <c r="H21" s="42"/>
    </row>
    <row r="22" ht="12.75">
      <c r="B22" s="55" t="s">
        <v>425</v>
      </c>
    </row>
    <row r="23" spans="2:3" ht="12.75">
      <c r="B23" s="187" t="s">
        <v>414</v>
      </c>
      <c r="C23" s="59">
        <f>(C17*C18/C24)+(C20*C21/C24)</f>
        <v>16.166734966592426</v>
      </c>
    </row>
    <row r="24" spans="2:3" ht="12.75">
      <c r="B24" s="187" t="s">
        <v>426</v>
      </c>
      <c r="C24" s="49">
        <f>C21+C18</f>
        <v>44900</v>
      </c>
    </row>
    <row r="25" spans="2:3" ht="12.75">
      <c r="B25" s="187" t="s">
        <v>413</v>
      </c>
      <c r="C25" s="59">
        <f>C6*C23</f>
        <v>23.100080471011882</v>
      </c>
    </row>
    <row r="26" spans="2:3" ht="12.75">
      <c r="B26" s="187"/>
      <c r="C26" s="59"/>
    </row>
    <row r="27" spans="2:3" ht="12.75">
      <c r="B27" s="187" t="s">
        <v>427</v>
      </c>
      <c r="C27" s="274">
        <v>1</v>
      </c>
    </row>
    <row r="28" spans="2:3" ht="12.75">
      <c r="B28" s="187" t="s">
        <v>428</v>
      </c>
      <c r="C28" s="59">
        <f>C27*C25</f>
        <v>23.100080471011882</v>
      </c>
    </row>
    <row r="29" ht="12.75">
      <c r="C29" s="76"/>
    </row>
    <row r="30" ht="12.75">
      <c r="B30" s="55"/>
    </row>
    <row r="31" ht="12.75">
      <c r="B31" s="55" t="s">
        <v>429</v>
      </c>
    </row>
    <row r="32" spans="2:3" ht="12.75">
      <c r="B32" s="187" t="s">
        <v>430</v>
      </c>
      <c r="C32" s="275">
        <v>40.28</v>
      </c>
    </row>
    <row r="34" spans="2:3" ht="12.75">
      <c r="B34" s="44" t="s">
        <v>431</v>
      </c>
      <c r="C34" s="190">
        <f>C25+C32</f>
        <v>63.38008047101188</v>
      </c>
    </row>
    <row r="36" spans="2:3" ht="12.75">
      <c r="B36" s="44" t="s">
        <v>432</v>
      </c>
      <c r="C36" s="276">
        <f>Inputs!C43</f>
        <v>22.01</v>
      </c>
    </row>
    <row r="38" spans="2:14" ht="18" thickBot="1">
      <c r="B38" s="78" t="s">
        <v>433</v>
      </c>
      <c r="C38" s="80"/>
      <c r="D38" s="191"/>
      <c r="E38" s="191"/>
      <c r="F38" s="191"/>
      <c r="N38" s="192"/>
    </row>
    <row r="39" spans="2:19" ht="15">
      <c r="B39" s="44" t="s">
        <v>414</v>
      </c>
      <c r="C39" s="190">
        <f>C36</f>
        <v>22.01</v>
      </c>
      <c r="S39" s="193"/>
    </row>
    <row r="40" spans="2:18" ht="12.75">
      <c r="B40" s="44" t="s">
        <v>434</v>
      </c>
      <c r="C40" s="241">
        <v>1.25</v>
      </c>
      <c r="I40" s="59"/>
      <c r="R40" s="190"/>
    </row>
    <row r="41" spans="2:9" ht="12.75">
      <c r="B41" s="44" t="s">
        <v>435</v>
      </c>
      <c r="C41" s="190">
        <f>C40*C39*C6</f>
        <v>39.31164612223935</v>
      </c>
      <c r="I41" s="59"/>
    </row>
    <row r="43" ht="12.75">
      <c r="B43" s="48" t="s">
        <v>436</v>
      </c>
    </row>
    <row r="44" spans="2:3" ht="12.75">
      <c r="B44" s="52" t="s">
        <v>359</v>
      </c>
      <c r="C44" s="277">
        <f>Inputs!C17</f>
        <v>0.08</v>
      </c>
    </row>
    <row r="45" spans="2:3" ht="12.75">
      <c r="B45" s="52" t="s">
        <v>437</v>
      </c>
      <c r="C45" s="104">
        <f>1-C44</f>
        <v>0.92</v>
      </c>
    </row>
    <row r="46" spans="2:3" ht="15.75" customHeight="1">
      <c r="B46" s="52"/>
      <c r="C46" s="61">
        <f>SUM(C44:C45)</f>
        <v>1</v>
      </c>
    </row>
    <row r="47" spans="2:3" s="48" customFormat="1" ht="15.75" customHeight="1">
      <c r="B47" s="48" t="s">
        <v>438</v>
      </c>
      <c r="C47" s="194"/>
    </row>
    <row r="48" spans="2:3" ht="12.75">
      <c r="B48" s="187" t="s">
        <v>510</v>
      </c>
      <c r="C48" s="278">
        <v>0.844</v>
      </c>
    </row>
    <row r="49" spans="2:9" ht="12.75">
      <c r="B49" s="187" t="s">
        <v>511</v>
      </c>
      <c r="C49" s="278">
        <v>0.156</v>
      </c>
      <c r="G49" s="190"/>
      <c r="H49" s="59"/>
      <c r="I49" s="59"/>
    </row>
    <row r="50" spans="2:9" ht="13.5" thickBot="1">
      <c r="B50" s="80"/>
      <c r="C50" s="202">
        <f>SUM(C48:C49)</f>
        <v>1</v>
      </c>
      <c r="G50" s="190"/>
      <c r="H50" s="190"/>
      <c r="I50" s="59"/>
    </row>
    <row r="51" spans="2:9" ht="15" customHeight="1">
      <c r="B51" s="42"/>
      <c r="C51" s="42"/>
      <c r="H51" s="195"/>
      <c r="I51" s="196"/>
    </row>
    <row r="52" spans="2:15" ht="13.5" thickBot="1">
      <c r="B52" s="78" t="s">
        <v>439</v>
      </c>
      <c r="C52" s="202"/>
      <c r="O52" s="197"/>
    </row>
    <row r="53" spans="2:9" ht="12.75">
      <c r="B53" s="44" t="s">
        <v>440</v>
      </c>
      <c r="C53" s="59">
        <f>C48*C13+C49*C41</f>
        <v>23.77037054506934</v>
      </c>
      <c r="G53" s="190"/>
      <c r="H53" s="190"/>
      <c r="I53" s="59"/>
    </row>
    <row r="54" spans="2:9" ht="12.75">
      <c r="B54" s="42" t="s">
        <v>441</v>
      </c>
      <c r="C54" s="201">
        <f>C34</f>
        <v>63.38008047101188</v>
      </c>
      <c r="H54" s="195"/>
      <c r="I54" s="196"/>
    </row>
    <row r="55" spans="2:3" ht="13.5" thickBot="1">
      <c r="B55" s="80" t="s">
        <v>442</v>
      </c>
      <c r="C55" s="200">
        <f>C44*C54+C45*C53</f>
        <v>26.939147339144746</v>
      </c>
    </row>
    <row r="57" spans="2:5" ht="12.75">
      <c r="B57" s="261" t="s">
        <v>579</v>
      </c>
      <c r="E57" s="104"/>
    </row>
    <row r="58" ht="12.75">
      <c r="E58" s="104"/>
    </row>
    <row r="63" ht="12.75">
      <c r="E63" s="198"/>
    </row>
    <row r="64" spans="3:4" ht="12.75">
      <c r="C64" s="190"/>
      <c r="D64" s="197"/>
    </row>
    <row r="65" spans="3:13" ht="12.75">
      <c r="C65" s="190"/>
      <c r="D65" s="197"/>
      <c r="L65" s="55"/>
      <c r="M65" s="55"/>
    </row>
    <row r="66" spans="3:9" ht="12.75">
      <c r="C66" s="190"/>
      <c r="D66" s="197"/>
      <c r="I66" s="70"/>
    </row>
    <row r="67" spans="4:13" ht="12.75">
      <c r="D67" s="197"/>
      <c r="F67" s="119"/>
      <c r="I67" s="70"/>
      <c r="K67" s="70"/>
      <c r="L67" s="70"/>
      <c r="M67" s="199"/>
    </row>
    <row r="68" spans="4:6" ht="12.75">
      <c r="D68" s="119"/>
      <c r="F68" s="119"/>
    </row>
    <row r="69" ht="12.75">
      <c r="E69" s="119"/>
    </row>
    <row r="70" ht="12.75">
      <c r="E70" s="119"/>
    </row>
    <row r="71" ht="12.75">
      <c r="C71" s="119"/>
    </row>
    <row r="72" ht="12.75">
      <c r="L72" s="55"/>
    </row>
    <row r="73" spans="6:13" ht="12.75">
      <c r="F73" s="119"/>
      <c r="I73" s="59"/>
      <c r="L73" s="59"/>
      <c r="M73" s="59"/>
    </row>
    <row r="74" ht="12.75">
      <c r="F74" s="119"/>
    </row>
    <row r="75" ht="12.75">
      <c r="F75" s="119"/>
    </row>
    <row r="78" spans="9:13" ht="12.75">
      <c r="I78" s="69"/>
      <c r="K78" s="69"/>
      <c r="L78" s="69"/>
      <c r="M78" s="69"/>
    </row>
    <row r="79" spans="8:12" ht="12.75">
      <c r="H79" s="197"/>
      <c r="I79" s="55"/>
      <c r="J79" s="55"/>
      <c r="K79" s="55"/>
      <c r="L79" s="55"/>
    </row>
    <row r="81" spans="9:12" ht="12.75">
      <c r="I81" s="190"/>
      <c r="J81" s="190"/>
      <c r="K81" s="190"/>
      <c r="L81" s="190"/>
    </row>
    <row r="82" spans="11:12" ht="12.75">
      <c r="K82" s="190"/>
      <c r="L82" s="190"/>
    </row>
    <row r="83" spans="8:12" ht="12.75">
      <c r="H83" s="55"/>
      <c r="J83" s="59"/>
      <c r="K83" s="190"/>
      <c r="L83" s="190"/>
    </row>
    <row r="84" spans="8:12" ht="12.75">
      <c r="H84" s="187"/>
      <c r="I84" s="59"/>
      <c r="J84" s="59"/>
      <c r="K84" s="190"/>
      <c r="L84" s="190"/>
    </row>
    <row r="85" spans="8:9" ht="12.75">
      <c r="H85" s="187"/>
      <c r="I85" s="49"/>
    </row>
    <row r="86" ht="12.75">
      <c r="H86" s="55"/>
    </row>
    <row r="87" spans="8:12" ht="12.75">
      <c r="H87" s="187"/>
      <c r="I87" s="59"/>
      <c r="J87" s="59"/>
      <c r="K87" s="190"/>
      <c r="L87" s="190"/>
    </row>
    <row r="88" spans="8:12" ht="12.75">
      <c r="H88" s="187"/>
      <c r="I88" s="49"/>
      <c r="K88" s="190"/>
      <c r="L88" s="190"/>
    </row>
    <row r="89" spans="8:12" ht="12.75">
      <c r="H89" s="55"/>
      <c r="K89" s="190"/>
      <c r="L89" s="190"/>
    </row>
    <row r="90" spans="8:12" ht="12.75">
      <c r="H90" s="187"/>
      <c r="I90" s="59"/>
      <c r="J90" s="59"/>
      <c r="K90" s="190"/>
      <c r="L90" s="190"/>
    </row>
    <row r="91" spans="8:10" ht="12.75">
      <c r="H91" s="187"/>
      <c r="I91" s="49"/>
      <c r="J91" s="49"/>
    </row>
    <row r="94" ht="12.75">
      <c r="H94" s="197"/>
    </row>
    <row r="95" ht="12.75">
      <c r="H95" s="55"/>
    </row>
    <row r="96" ht="12.75">
      <c r="H96" s="187"/>
    </row>
    <row r="97" spans="7:8" ht="12.75">
      <c r="G97" s="44" t="s">
        <v>443</v>
      </c>
      <c r="H97" s="187"/>
    </row>
    <row r="98" spans="8:9" ht="12.75">
      <c r="H98" s="55"/>
      <c r="I98" s="53"/>
    </row>
  </sheetData>
  <sheetProtection/>
  <conditionalFormatting sqref="C50 C46">
    <cfRule type="cellIs" priority="1" dxfId="0" operator="notEqual" stopIfTrue="1">
      <formula>1</formula>
    </cfRule>
  </conditionalFormatting>
  <printOptions/>
  <pageMargins left="0.75" right="0.75" top="0.84" bottom="0.63" header="0.5" footer="0.5"/>
  <pageSetup fitToHeight="1" fitToWidth="1" horizontalDpi="600" verticalDpi="600" orientation="portrait" scale="90" r:id="rId1"/>
  <headerFooter alignWithMargins="0">
    <oddHeader>&amp;C&amp;A</oddHeader>
  </headerFooter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2">
      <selection activeCell="C1" sqref="C1"/>
    </sheetView>
  </sheetViews>
  <sheetFormatPr defaultColWidth="9.140625" defaultRowHeight="12.75"/>
  <cols>
    <col min="1" max="1" width="6.140625" style="0" customWidth="1"/>
    <col min="2" max="2" width="44.421875" style="0" customWidth="1"/>
    <col min="3" max="3" width="13.140625" style="0" customWidth="1"/>
    <col min="4" max="4" width="4.57421875" style="0" customWidth="1"/>
    <col min="5" max="5" width="15.57421875" style="17" customWidth="1"/>
    <col min="6" max="6" width="49.7109375" style="0" customWidth="1"/>
  </cols>
  <sheetData>
    <row r="1" ht="12.75">
      <c r="B1" s="1" t="s">
        <v>174</v>
      </c>
    </row>
    <row r="2" spans="2:6" ht="12.75">
      <c r="B2" s="11"/>
      <c r="C2" s="16" t="s">
        <v>103</v>
      </c>
      <c r="D2" s="16"/>
      <c r="E2" s="20" t="s">
        <v>205</v>
      </c>
      <c r="F2" s="28" t="s">
        <v>263</v>
      </c>
    </row>
    <row r="3" ht="12.75">
      <c r="B3" s="3" t="s">
        <v>81</v>
      </c>
    </row>
    <row r="4" spans="1:5" ht="12.75">
      <c r="A4" t="s">
        <v>184</v>
      </c>
      <c r="B4" t="s">
        <v>2</v>
      </c>
      <c r="C4" s="8">
        <f>+'Free Flow CP'!C5</f>
        <v>39.317629937271406</v>
      </c>
      <c r="D4" s="8"/>
      <c r="E4" s="22" t="s">
        <v>214</v>
      </c>
    </row>
    <row r="5" spans="1:5" ht="12.75">
      <c r="A5" t="s">
        <v>185</v>
      </c>
      <c r="B5" t="s">
        <v>29</v>
      </c>
      <c r="C5" s="8">
        <f>+'Free Flow CP'!C6</f>
        <v>10</v>
      </c>
      <c r="D5" s="8"/>
      <c r="E5" s="22" t="s">
        <v>218</v>
      </c>
    </row>
    <row r="6" spans="1:5" ht="12.75">
      <c r="A6" t="s">
        <v>186</v>
      </c>
      <c r="B6" t="s">
        <v>30</v>
      </c>
      <c r="C6" s="8">
        <f>+'Free Flow CP'!C7</f>
        <v>15.260329805160154</v>
      </c>
      <c r="D6" s="8"/>
      <c r="E6" s="22" t="s">
        <v>219</v>
      </c>
    </row>
    <row r="7" spans="3:5" ht="12.75">
      <c r="C7" s="8"/>
      <c r="D7" s="8"/>
      <c r="E7" s="22"/>
    </row>
    <row r="8" spans="1:5" ht="12.75">
      <c r="A8" t="s">
        <v>187</v>
      </c>
      <c r="B8" t="s">
        <v>1</v>
      </c>
      <c r="C8" s="8">
        <f>+'Free Flow CP'!C10</f>
        <v>60</v>
      </c>
      <c r="D8" s="8"/>
      <c r="E8" s="22" t="s">
        <v>215</v>
      </c>
    </row>
    <row r="9" spans="1:5" ht="12.75">
      <c r="A9" t="s">
        <v>188</v>
      </c>
      <c r="B9" t="s">
        <v>69</v>
      </c>
      <c r="C9" s="8">
        <f>+'Free Flow CP'!C11</f>
        <v>10</v>
      </c>
      <c r="D9" s="8"/>
      <c r="E9" s="22" t="s">
        <v>220</v>
      </c>
    </row>
    <row r="10" spans="1:5" ht="12.75">
      <c r="A10" t="s">
        <v>189</v>
      </c>
      <c r="B10" t="s">
        <v>31</v>
      </c>
      <c r="C10" s="8">
        <f>+'Free Flow CP'!C12</f>
        <v>5.260329805160154</v>
      </c>
      <c r="D10" s="8"/>
      <c r="E10" s="22" t="s">
        <v>221</v>
      </c>
    </row>
    <row r="11" spans="3:5" ht="12.75">
      <c r="C11" s="3"/>
      <c r="D11" s="3"/>
      <c r="E11" s="19"/>
    </row>
    <row r="12" ht="12.75">
      <c r="B12" s="3" t="s">
        <v>82</v>
      </c>
    </row>
    <row r="13" spans="1:5" ht="12.75">
      <c r="A13" t="s">
        <v>190</v>
      </c>
      <c r="B13" t="s">
        <v>9</v>
      </c>
      <c r="C13" s="7">
        <f>+'Free Flow CP'!C22</f>
        <v>23.77037054506934</v>
      </c>
      <c r="D13" s="7"/>
      <c r="E13" s="23" t="s">
        <v>216</v>
      </c>
    </row>
    <row r="14" spans="1:5" ht="12.75">
      <c r="A14" t="s">
        <v>191</v>
      </c>
      <c r="B14" t="s">
        <v>10</v>
      </c>
      <c r="C14" s="7">
        <f>+C13*C10/60</f>
        <v>2.083999810965488</v>
      </c>
      <c r="D14" s="7"/>
      <c r="E14" s="23" t="s">
        <v>217</v>
      </c>
    </row>
    <row r="15" spans="2:5" ht="12.75">
      <c r="B15" s="5"/>
      <c r="C15" s="7"/>
      <c r="D15" s="7"/>
      <c r="E15" s="23"/>
    </row>
    <row r="16" spans="2:5" ht="12.75">
      <c r="B16" s="3" t="s">
        <v>83</v>
      </c>
      <c r="C16" s="7"/>
      <c r="D16" s="7"/>
      <c r="E16" s="23"/>
    </row>
    <row r="17" spans="1:6" ht="12.75">
      <c r="A17" t="s">
        <v>192</v>
      </c>
      <c r="B17" t="s">
        <v>62</v>
      </c>
      <c r="C17" s="7">
        <v>100</v>
      </c>
      <c r="D17" s="7"/>
      <c r="E17" s="23" t="s">
        <v>173</v>
      </c>
      <c r="F17" t="s">
        <v>63</v>
      </c>
    </row>
    <row r="18" spans="1:5" ht="12.75">
      <c r="A18" t="s">
        <v>193</v>
      </c>
      <c r="B18" t="s">
        <v>65</v>
      </c>
      <c r="C18" s="7">
        <f>+C10*C17/60</f>
        <v>8.76721634193359</v>
      </c>
      <c r="D18" s="7"/>
      <c r="E18" s="23" t="s">
        <v>229</v>
      </c>
    </row>
    <row r="19" spans="1:5" ht="12.75">
      <c r="A19" t="s">
        <v>194</v>
      </c>
      <c r="B19" t="s">
        <v>12</v>
      </c>
      <c r="C19">
        <v>0.328</v>
      </c>
      <c r="E19" s="23" t="s">
        <v>173</v>
      </c>
    </row>
    <row r="20" spans="1:5" ht="12.75">
      <c r="A20" t="s">
        <v>195</v>
      </c>
      <c r="B20" t="s">
        <v>11</v>
      </c>
      <c r="C20" s="7">
        <v>3</v>
      </c>
      <c r="D20" s="7"/>
      <c r="E20" s="23" t="s">
        <v>173</v>
      </c>
    </row>
    <row r="21" spans="1:5" ht="12.75">
      <c r="A21" t="s">
        <v>196</v>
      </c>
      <c r="B21" t="s">
        <v>13</v>
      </c>
      <c r="C21" s="7">
        <f>+C20*C19</f>
        <v>0.984</v>
      </c>
      <c r="D21" s="7"/>
      <c r="E21" s="23" t="s">
        <v>230</v>
      </c>
    </row>
    <row r="22" spans="1:5" ht="12.75">
      <c r="A22" t="s">
        <v>197</v>
      </c>
      <c r="B22" t="s">
        <v>14</v>
      </c>
      <c r="C22" s="7">
        <f>+C21*C10</f>
        <v>5.176164528277591</v>
      </c>
      <c r="D22" s="7"/>
      <c r="E22" s="23" t="s">
        <v>231</v>
      </c>
    </row>
    <row r="23" spans="1:5" ht="12.75">
      <c r="A23" t="s">
        <v>198</v>
      </c>
      <c r="B23" s="5" t="s">
        <v>32</v>
      </c>
      <c r="C23" s="7">
        <f>+C18+C22</f>
        <v>13.943380870211183</v>
      </c>
      <c r="D23" s="7"/>
      <c r="E23" s="23" t="s">
        <v>232</v>
      </c>
    </row>
    <row r="24" spans="2:5" ht="12.75">
      <c r="B24" s="5"/>
      <c r="C24" s="7"/>
      <c r="D24" s="7"/>
      <c r="E24" s="23"/>
    </row>
    <row r="25" ht="12.75">
      <c r="B25" s="3" t="s">
        <v>70</v>
      </c>
    </row>
    <row r="26" spans="1:6" ht="12.75">
      <c r="A26" t="s">
        <v>199</v>
      </c>
      <c r="B26" t="s">
        <v>34</v>
      </c>
      <c r="C26" s="2">
        <v>6</v>
      </c>
      <c r="D26" s="2"/>
      <c r="E26" s="23" t="s">
        <v>173</v>
      </c>
      <c r="F26" t="s">
        <v>64</v>
      </c>
    </row>
    <row r="27" spans="1:5" ht="12.75">
      <c r="A27" t="s">
        <v>200</v>
      </c>
      <c r="B27" t="s">
        <v>84</v>
      </c>
      <c r="C27" s="2">
        <f>+'Free Flow CP'!C53</f>
        <v>8</v>
      </c>
      <c r="D27" s="2"/>
      <c r="E27" s="23" t="s">
        <v>173</v>
      </c>
    </row>
    <row r="28" spans="1:5" ht="12.75">
      <c r="A28" t="s">
        <v>201</v>
      </c>
      <c r="B28" t="s">
        <v>108</v>
      </c>
      <c r="C28" s="2">
        <f>+C26*C27</f>
        <v>48</v>
      </c>
      <c r="D28" s="2"/>
      <c r="E28" s="18" t="s">
        <v>233</v>
      </c>
    </row>
    <row r="29" spans="1:6" ht="12.75">
      <c r="A29" t="s">
        <v>202</v>
      </c>
      <c r="B29" t="s">
        <v>33</v>
      </c>
      <c r="C29" s="2">
        <v>40</v>
      </c>
      <c r="D29" s="2"/>
      <c r="E29" s="23" t="s">
        <v>173</v>
      </c>
      <c r="F29" t="s">
        <v>66</v>
      </c>
    </row>
    <row r="30" spans="1:5" ht="12.75">
      <c r="A30" t="s">
        <v>203</v>
      </c>
      <c r="B30" t="s">
        <v>181</v>
      </c>
      <c r="C30" s="2">
        <f>+C28*C29</f>
        <v>1920</v>
      </c>
      <c r="D30" s="2"/>
      <c r="E30" s="18" t="s">
        <v>234</v>
      </c>
    </row>
    <row r="31" spans="1:5" ht="12.75">
      <c r="A31" t="s">
        <v>204</v>
      </c>
      <c r="B31" t="s">
        <v>35</v>
      </c>
      <c r="C31" s="4">
        <f>+C30*C14</f>
        <v>4001.279637053737</v>
      </c>
      <c r="D31" s="4"/>
      <c r="E31" s="24" t="s">
        <v>235</v>
      </c>
    </row>
    <row r="32" spans="1:5" ht="12.75">
      <c r="A32" t="s">
        <v>207</v>
      </c>
      <c r="B32" t="s">
        <v>165</v>
      </c>
      <c r="C32" s="12">
        <v>0.02</v>
      </c>
      <c r="D32" s="12"/>
      <c r="E32" s="23" t="s">
        <v>173</v>
      </c>
    </row>
    <row r="33" spans="1:5" ht="12.75">
      <c r="A33" t="s">
        <v>208</v>
      </c>
      <c r="B33" t="s">
        <v>36</v>
      </c>
      <c r="C33" s="2">
        <f>+'Free Flow CP'!C54*C32</f>
        <v>569.2838949761427</v>
      </c>
      <c r="D33" s="2"/>
      <c r="E33" s="18" t="s">
        <v>236</v>
      </c>
    </row>
    <row r="34" spans="1:5" ht="12.75">
      <c r="A34" t="s">
        <v>209</v>
      </c>
      <c r="B34" s="5" t="s">
        <v>37</v>
      </c>
      <c r="C34" s="4">
        <f>+C14*0.5*C33</f>
        <v>593.1937647579891</v>
      </c>
      <c r="D34" s="4"/>
      <c r="E34" s="24" t="s">
        <v>237</v>
      </c>
    </row>
    <row r="35" spans="1:5" ht="12.75">
      <c r="A35" t="s">
        <v>210</v>
      </c>
      <c r="B35" s="5" t="s">
        <v>38</v>
      </c>
      <c r="C35" s="4">
        <f>+C23*C28</f>
        <v>669.2822817701367</v>
      </c>
      <c r="D35" s="4"/>
      <c r="E35" s="24" t="s">
        <v>238</v>
      </c>
    </row>
    <row r="36" spans="1:5" ht="12.75">
      <c r="A36" t="s">
        <v>222</v>
      </c>
      <c r="B36" s="5" t="s">
        <v>17</v>
      </c>
      <c r="C36" s="4">
        <f>+C31+C34+C35</f>
        <v>5263.755683581863</v>
      </c>
      <c r="D36" s="4"/>
      <c r="E36" s="24" t="s">
        <v>239</v>
      </c>
    </row>
    <row r="37" spans="3:5" ht="12.75">
      <c r="C37" s="7"/>
      <c r="D37" s="7"/>
      <c r="E37" s="23"/>
    </row>
    <row r="38" ht="12.75">
      <c r="B38" s="3" t="s">
        <v>58</v>
      </c>
    </row>
    <row r="39" spans="1:6" ht="12.75">
      <c r="A39" t="s">
        <v>223</v>
      </c>
      <c r="B39" t="s">
        <v>50</v>
      </c>
      <c r="C39">
        <v>250</v>
      </c>
      <c r="E39" s="23" t="s">
        <v>173</v>
      </c>
      <c r="F39" t="s">
        <v>262</v>
      </c>
    </row>
    <row r="40" spans="1:5" ht="12.75">
      <c r="A40" t="s">
        <v>224</v>
      </c>
      <c r="B40" t="s">
        <v>98</v>
      </c>
      <c r="C40" s="4">
        <f>+C36*C39/'Free Flow CP'!C52</f>
        <v>219323.15348257765</v>
      </c>
      <c r="D40" s="4"/>
      <c r="E40" s="24" t="s">
        <v>240</v>
      </c>
    </row>
    <row r="41" spans="1:5" ht="12.75">
      <c r="A41" t="s">
        <v>225</v>
      </c>
      <c r="B41" t="s">
        <v>109</v>
      </c>
      <c r="C41" s="2">
        <f>+'Free Flow CP'!C93</f>
        <v>3180</v>
      </c>
      <c r="D41" s="2"/>
      <c r="E41" s="18" t="s">
        <v>173</v>
      </c>
    </row>
    <row r="42" spans="1:5" ht="12.75">
      <c r="A42" t="s">
        <v>226</v>
      </c>
      <c r="B42" t="s">
        <v>142</v>
      </c>
      <c r="C42" s="2">
        <f>+C33*C39/'Free Flow CP'!C52</f>
        <v>23720.16229067261</v>
      </c>
      <c r="D42" s="2"/>
      <c r="E42" s="18" t="s">
        <v>241</v>
      </c>
    </row>
    <row r="43" spans="1:5" ht="12.75">
      <c r="A43" t="s">
        <v>227</v>
      </c>
      <c r="B43" t="s">
        <v>89</v>
      </c>
      <c r="C43" s="2">
        <f>+C42*C41/C5</f>
        <v>7543011.60843389</v>
      </c>
      <c r="D43" s="2"/>
      <c r="E43" s="18" t="s">
        <v>242</v>
      </c>
    </row>
    <row r="44" spans="1:5" ht="12.75">
      <c r="A44" s="11" t="s">
        <v>228</v>
      </c>
      <c r="B44" s="11" t="s">
        <v>139</v>
      </c>
      <c r="C44" s="21">
        <f>(+C40/+C5)*C41</f>
        <v>69744762.8074597</v>
      </c>
      <c r="D44" s="21"/>
      <c r="E44" s="26" t="s">
        <v>243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C1">
      <selection activeCell="C1" sqref="C1"/>
    </sheetView>
  </sheetViews>
  <sheetFormatPr defaultColWidth="9.140625" defaultRowHeight="12.75"/>
  <cols>
    <col min="1" max="1" width="6.00390625" style="0" customWidth="1"/>
    <col min="2" max="2" width="55.7109375" style="0" customWidth="1"/>
    <col min="3" max="3" width="14.140625" style="0" customWidth="1"/>
    <col min="4" max="4" width="13.00390625" style="0" hidden="1" customWidth="1"/>
    <col min="5" max="6" width="13.57421875" style="0" hidden="1" customWidth="1"/>
    <col min="7" max="7" width="12.00390625" style="0" hidden="1" customWidth="1"/>
    <col min="8" max="8" width="14.421875" style="0" hidden="1" customWidth="1"/>
    <col min="9" max="9" width="4.8515625" style="0" customWidth="1"/>
    <col min="10" max="10" width="22.140625" style="17" customWidth="1"/>
    <col min="11" max="11" width="45.00390625" style="0" customWidth="1"/>
  </cols>
  <sheetData>
    <row r="1" ht="12.75">
      <c r="B1" s="1" t="s">
        <v>87</v>
      </c>
    </row>
    <row r="2" spans="2:11" ht="12.75">
      <c r="B2" s="11"/>
      <c r="C2" s="14" t="s">
        <v>103</v>
      </c>
      <c r="D2" s="14" t="s">
        <v>105</v>
      </c>
      <c r="E2" s="14" t="s">
        <v>104</v>
      </c>
      <c r="F2" s="14" t="s">
        <v>106</v>
      </c>
      <c r="G2" s="14" t="s">
        <v>107</v>
      </c>
      <c r="H2" s="14" t="s">
        <v>167</v>
      </c>
      <c r="I2" s="14"/>
      <c r="J2" s="20" t="s">
        <v>205</v>
      </c>
      <c r="K2" s="28" t="s">
        <v>263</v>
      </c>
    </row>
    <row r="3" ht="12.75">
      <c r="B3" s="3" t="s">
        <v>54</v>
      </c>
    </row>
    <row r="4" spans="1:11" ht="12.75">
      <c r="A4" t="s">
        <v>184</v>
      </c>
      <c r="B4" t="s">
        <v>39</v>
      </c>
      <c r="C4" s="7">
        <v>0.5</v>
      </c>
      <c r="D4" s="7">
        <v>0.5</v>
      </c>
      <c r="E4" s="7">
        <v>0.5</v>
      </c>
      <c r="F4" s="7">
        <v>0.5</v>
      </c>
      <c r="G4" s="7">
        <v>0.5</v>
      </c>
      <c r="H4" s="7"/>
      <c r="I4" s="7"/>
      <c r="J4" s="23" t="s">
        <v>173</v>
      </c>
      <c r="K4" t="s">
        <v>67</v>
      </c>
    </row>
    <row r="5" spans="1:10" ht="12.75">
      <c r="A5" t="s">
        <v>185</v>
      </c>
      <c r="B5" t="s">
        <v>40</v>
      </c>
      <c r="C5">
        <v>12</v>
      </c>
      <c r="D5">
        <v>12</v>
      </c>
      <c r="E5">
        <v>12</v>
      </c>
      <c r="F5">
        <v>12</v>
      </c>
      <c r="G5">
        <v>12</v>
      </c>
      <c r="J5" s="23" t="s">
        <v>173</v>
      </c>
    </row>
    <row r="6" spans="1:10" ht="12.75">
      <c r="A6" t="s">
        <v>186</v>
      </c>
      <c r="B6" t="s">
        <v>41</v>
      </c>
      <c r="C6" s="7">
        <f>+C4*C5</f>
        <v>6</v>
      </c>
      <c r="D6" s="7">
        <f>+D4*D5</f>
        <v>6</v>
      </c>
      <c r="E6" s="7">
        <f>+E4*E5</f>
        <v>6</v>
      </c>
      <c r="F6" s="7">
        <f>+F4*F5</f>
        <v>6</v>
      </c>
      <c r="G6" s="7">
        <f>+G4*G5</f>
        <v>6</v>
      </c>
      <c r="H6" s="7"/>
      <c r="I6" s="7"/>
      <c r="J6" s="23" t="s">
        <v>211</v>
      </c>
    </row>
    <row r="7" spans="1:10" ht="12.75">
      <c r="A7" t="s">
        <v>187</v>
      </c>
      <c r="B7" t="s">
        <v>88</v>
      </c>
      <c r="C7" s="2">
        <f>+'Transit Ben'!C33</f>
        <v>569.2838949761427</v>
      </c>
      <c r="D7" s="2" t="e">
        <f>+'Transit Ben'!#REF!</f>
        <v>#REF!</v>
      </c>
      <c r="E7" s="2" t="e">
        <f>+'Transit Ben'!#REF!</f>
        <v>#REF!</v>
      </c>
      <c r="F7" s="2" t="e">
        <f>+'Transit Ben'!#REF!</f>
        <v>#REF!</v>
      </c>
      <c r="G7" s="2" t="e">
        <f>+'Transit Ben'!#REF!</f>
        <v>#REF!</v>
      </c>
      <c r="H7" s="2"/>
      <c r="I7" s="2"/>
      <c r="J7" s="18" t="s">
        <v>256</v>
      </c>
    </row>
    <row r="8" spans="1:10" ht="12.75">
      <c r="A8" t="s">
        <v>188</v>
      </c>
      <c r="B8" t="s">
        <v>110</v>
      </c>
      <c r="C8" s="2">
        <f>+C7/'Free Flow CP'!C52</f>
        <v>94.88064916269046</v>
      </c>
      <c r="D8" s="2" t="e">
        <f>+D7/'Free Flow CP'!#REF!</f>
        <v>#REF!</v>
      </c>
      <c r="E8" s="2" t="e">
        <f>+E7/'Free Flow CP'!#REF!</f>
        <v>#REF!</v>
      </c>
      <c r="F8" s="2" t="e">
        <f>+F7/'Free Flow CP'!#REF!</f>
        <v>#REF!</v>
      </c>
      <c r="G8" s="2" t="e">
        <f>+G7/'Free Flow CP'!#REF!</f>
        <v>#REF!</v>
      </c>
      <c r="H8" s="2"/>
      <c r="I8" s="2"/>
      <c r="J8" s="18" t="s">
        <v>248</v>
      </c>
    </row>
    <row r="9" spans="1:10" ht="12.75">
      <c r="A9" t="s">
        <v>189</v>
      </c>
      <c r="B9" t="s">
        <v>71</v>
      </c>
      <c r="C9" s="2">
        <f>+C8*'Free Flow CP'!C93/'Free Flow CP'!C6</f>
        <v>30172.04643373557</v>
      </c>
      <c r="D9" s="2" t="e">
        <f>+D8*'Free Flow CP'!#REF!/'Free Flow CP'!#REF!</f>
        <v>#REF!</v>
      </c>
      <c r="E9" s="2" t="e">
        <f>+E8*'Free Flow CP'!#REF!/'Free Flow CP'!#REF!</f>
        <v>#REF!</v>
      </c>
      <c r="F9" s="2" t="e">
        <f>+F8*'Free Flow CP'!#REF!/'Free Flow CP'!#REF!</f>
        <v>#REF!</v>
      </c>
      <c r="G9" s="2" t="e">
        <f>+G8*'Free Flow CP'!#REF!/'Free Flow CP'!#REF!</f>
        <v>#REF!</v>
      </c>
      <c r="H9" s="2"/>
      <c r="I9" s="2"/>
      <c r="J9" s="18" t="s">
        <v>257</v>
      </c>
    </row>
    <row r="10" spans="1:10" ht="12.75">
      <c r="A10" t="s">
        <v>190</v>
      </c>
      <c r="B10" t="s">
        <v>176</v>
      </c>
      <c r="C10" s="2">
        <v>250</v>
      </c>
      <c r="D10" s="2">
        <v>250</v>
      </c>
      <c r="E10" s="2">
        <v>250</v>
      </c>
      <c r="F10" s="2">
        <v>250</v>
      </c>
      <c r="G10" s="2">
        <v>250</v>
      </c>
      <c r="H10" s="2"/>
      <c r="I10" s="2"/>
      <c r="J10" s="23" t="s">
        <v>173</v>
      </c>
    </row>
    <row r="11" spans="1:10" ht="12.75">
      <c r="A11" t="s">
        <v>191</v>
      </c>
      <c r="B11" t="s">
        <v>43</v>
      </c>
      <c r="C11" s="13">
        <f>+C9*C10</f>
        <v>7543011.608433892</v>
      </c>
      <c r="D11" s="13" t="e">
        <f>+D9*D10</f>
        <v>#REF!</v>
      </c>
      <c r="E11" s="13" t="e">
        <f>+E9*E10</f>
        <v>#REF!</v>
      </c>
      <c r="F11" s="13" t="e">
        <f>+F9*F10</f>
        <v>#REF!</v>
      </c>
      <c r="G11" s="13" t="e">
        <f>+G9*G10</f>
        <v>#REF!</v>
      </c>
      <c r="H11" s="13"/>
      <c r="I11" s="13"/>
      <c r="J11" s="27" t="s">
        <v>247</v>
      </c>
    </row>
    <row r="12" spans="1:10" ht="12.75">
      <c r="A12" t="s">
        <v>192</v>
      </c>
      <c r="B12" t="s">
        <v>42</v>
      </c>
      <c r="C12" s="6">
        <f>+C6*C11</f>
        <v>45258069.650603354</v>
      </c>
      <c r="D12" s="6" t="e">
        <f>+D6*D11</f>
        <v>#REF!</v>
      </c>
      <c r="E12" s="6" t="e">
        <f>+E6*E11</f>
        <v>#REF!</v>
      </c>
      <c r="F12" s="6" t="e">
        <f>+F6*F11</f>
        <v>#REF!</v>
      </c>
      <c r="G12" s="6" t="e">
        <f>+G6*G11</f>
        <v>#REF!</v>
      </c>
      <c r="H12" s="6" t="e">
        <f>SUM(C12:G12)</f>
        <v>#REF!</v>
      </c>
      <c r="I12" s="6"/>
      <c r="J12" s="25" t="s">
        <v>258</v>
      </c>
    </row>
    <row r="14" ht="12.75">
      <c r="B14" s="3" t="s">
        <v>55</v>
      </c>
    </row>
    <row r="15" spans="1:11" ht="12.75">
      <c r="A15" t="s">
        <v>193</v>
      </c>
      <c r="B15" t="s">
        <v>44</v>
      </c>
      <c r="C15" s="7">
        <v>2</v>
      </c>
      <c r="D15" s="7">
        <v>2</v>
      </c>
      <c r="E15" s="7">
        <v>2</v>
      </c>
      <c r="F15" s="7">
        <v>2</v>
      </c>
      <c r="G15" s="7">
        <v>2</v>
      </c>
      <c r="H15" s="7"/>
      <c r="I15" s="7"/>
      <c r="J15" s="23" t="s">
        <v>173</v>
      </c>
      <c r="K15" t="s">
        <v>68</v>
      </c>
    </row>
    <row r="16" spans="1:10" ht="12.75">
      <c r="A16" t="s">
        <v>194</v>
      </c>
      <c r="B16" t="s">
        <v>45</v>
      </c>
      <c r="C16" s="2">
        <f>+C9/2</f>
        <v>15086.023216867785</v>
      </c>
      <c r="D16" s="2" t="e">
        <f>+D9/2</f>
        <v>#REF!</v>
      </c>
      <c r="E16" s="2" t="e">
        <f>+E9/2</f>
        <v>#REF!</v>
      </c>
      <c r="F16" s="2" t="e">
        <f>+F9/2</f>
        <v>#REF!</v>
      </c>
      <c r="G16" s="2" t="e">
        <f>+G9/2</f>
        <v>#REF!</v>
      </c>
      <c r="H16" s="2"/>
      <c r="I16" s="2"/>
      <c r="J16" s="18" t="s">
        <v>259</v>
      </c>
    </row>
    <row r="17" spans="1:10" ht="12.75">
      <c r="A17" t="s">
        <v>195</v>
      </c>
      <c r="B17" t="s">
        <v>46</v>
      </c>
      <c r="C17" s="4">
        <f>+C15*C16</f>
        <v>30172.04643373557</v>
      </c>
      <c r="D17" s="4" t="e">
        <f>+D15*D16</f>
        <v>#REF!</v>
      </c>
      <c r="E17" s="4" t="e">
        <f>+E15*E16</f>
        <v>#REF!</v>
      </c>
      <c r="F17" s="4" t="e">
        <f>+F15*F16</f>
        <v>#REF!</v>
      </c>
      <c r="G17" s="4" t="e">
        <f>+G15*G16</f>
        <v>#REF!</v>
      </c>
      <c r="H17" s="4"/>
      <c r="I17" s="4"/>
      <c r="J17" s="24" t="s">
        <v>260</v>
      </c>
    </row>
    <row r="18" spans="1:11" ht="12.75">
      <c r="A18" t="s">
        <v>196</v>
      </c>
      <c r="B18" t="s">
        <v>176</v>
      </c>
      <c r="C18" s="2">
        <v>250</v>
      </c>
      <c r="D18" s="2">
        <v>250</v>
      </c>
      <c r="E18" s="2">
        <v>250</v>
      </c>
      <c r="F18" s="2">
        <v>250</v>
      </c>
      <c r="G18" s="2">
        <v>250</v>
      </c>
      <c r="H18" s="2"/>
      <c r="I18" s="2"/>
      <c r="J18" s="23" t="s">
        <v>173</v>
      </c>
      <c r="K18" t="s">
        <v>262</v>
      </c>
    </row>
    <row r="19" spans="1:10" ht="12.75">
      <c r="A19" t="s">
        <v>197</v>
      </c>
      <c r="B19" t="s">
        <v>47</v>
      </c>
      <c r="C19" s="6">
        <f>+C17*C18</f>
        <v>7543011.608433892</v>
      </c>
      <c r="D19" s="6" t="e">
        <f>+D17*D18</f>
        <v>#REF!</v>
      </c>
      <c r="E19" s="6" t="e">
        <f>+E17*E18</f>
        <v>#REF!</v>
      </c>
      <c r="F19" s="6" t="e">
        <f>+F17*F18</f>
        <v>#REF!</v>
      </c>
      <c r="G19" s="6" t="e">
        <f>+G17*G18</f>
        <v>#REF!</v>
      </c>
      <c r="H19" s="6" t="e">
        <f>SUM(C19:G19)</f>
        <v>#REF!</v>
      </c>
      <c r="I19" s="6"/>
      <c r="J19" s="25" t="s">
        <v>251</v>
      </c>
    </row>
    <row r="20" spans="3:10" ht="12.75">
      <c r="C20" s="4"/>
      <c r="D20" s="4"/>
      <c r="E20" s="4"/>
      <c r="F20" s="4"/>
      <c r="G20" s="4"/>
      <c r="H20" s="4"/>
      <c r="I20" s="4"/>
      <c r="J20" s="24"/>
    </row>
    <row r="21" ht="12.75">
      <c r="B21" s="3" t="s">
        <v>56</v>
      </c>
    </row>
    <row r="22" spans="1:10" ht="12.75">
      <c r="A22" t="s">
        <v>198</v>
      </c>
      <c r="B22" s="11" t="s">
        <v>48</v>
      </c>
      <c r="C22" s="21">
        <f>+C12+C19</f>
        <v>52801081.25903725</v>
      </c>
      <c r="D22" s="21" t="e">
        <f>+D12+D19</f>
        <v>#REF!</v>
      </c>
      <c r="E22" s="21" t="e">
        <f>+E12+E19</f>
        <v>#REF!</v>
      </c>
      <c r="F22" s="21" t="e">
        <f>+F12+F19</f>
        <v>#REF!</v>
      </c>
      <c r="G22" s="21" t="e">
        <f>+G12+G19</f>
        <v>#REF!</v>
      </c>
      <c r="H22" s="21" t="e">
        <f>SUM(C22:G22)</f>
        <v>#REF!</v>
      </c>
      <c r="I22" s="21"/>
      <c r="J22" s="26" t="s">
        <v>261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5.00390625" style="0" customWidth="1"/>
    <col min="2" max="2" width="29.28125" style="0" customWidth="1"/>
    <col min="3" max="3" width="13.00390625" style="0" customWidth="1"/>
  </cols>
  <sheetData>
    <row r="1" ht="12.75">
      <c r="B1" s="1" t="s">
        <v>90</v>
      </c>
    </row>
    <row r="2" ht="12.75">
      <c r="B2" s="1"/>
    </row>
    <row r="3" spans="2:5" ht="12.75">
      <c r="B3" s="11"/>
      <c r="C3" s="14" t="s">
        <v>103</v>
      </c>
      <c r="E3" s="28" t="s">
        <v>263</v>
      </c>
    </row>
    <row r="4" ht="12.75">
      <c r="B4" s="3" t="s">
        <v>91</v>
      </c>
    </row>
    <row r="5" spans="1:5" ht="12.75">
      <c r="A5" t="s">
        <v>184</v>
      </c>
      <c r="B5" t="s">
        <v>129</v>
      </c>
      <c r="C5" s="7">
        <f>+'Free Flow CP'!C95/1000000</f>
        <v>89.7065176708667</v>
      </c>
      <c r="E5" t="s">
        <v>264</v>
      </c>
    </row>
    <row r="6" spans="1:5" ht="12.75">
      <c r="A6" t="s">
        <v>185</v>
      </c>
      <c r="B6" t="s">
        <v>130</v>
      </c>
      <c r="C6" s="7">
        <f>+C5*0.2</f>
        <v>17.94130353417334</v>
      </c>
      <c r="E6" t="s">
        <v>265</v>
      </c>
    </row>
    <row r="7" spans="1:5" ht="12.75">
      <c r="A7" t="s">
        <v>186</v>
      </c>
      <c r="B7" t="s">
        <v>92</v>
      </c>
      <c r="C7" s="7">
        <f>+'Transit Ben'!C44/1000000</f>
        <v>69.7447628074597</v>
      </c>
      <c r="E7" t="s">
        <v>266</v>
      </c>
    </row>
    <row r="8" spans="1:5" ht="12.75">
      <c r="A8" t="s">
        <v>187</v>
      </c>
      <c r="B8" t="s">
        <v>170</v>
      </c>
      <c r="C8" s="7">
        <f>SUM(C5:C7)</f>
        <v>177.39258401249975</v>
      </c>
      <c r="E8" t="s">
        <v>267</v>
      </c>
    </row>
    <row r="9" ht="12.75">
      <c r="C9" s="7"/>
    </row>
    <row r="10" spans="2:3" ht="12.75">
      <c r="B10" s="3" t="s">
        <v>140</v>
      </c>
      <c r="C10" s="7"/>
    </row>
    <row r="11" spans="1:5" ht="12.75">
      <c r="A11" t="s">
        <v>188</v>
      </c>
      <c r="B11" t="s">
        <v>93</v>
      </c>
      <c r="C11" s="7" t="e">
        <f>+#REF!/1000</f>
        <v>#REF!</v>
      </c>
      <c r="E11" t="s">
        <v>268</v>
      </c>
    </row>
    <row r="12" spans="1:5" ht="12.75">
      <c r="A12" t="s">
        <v>189</v>
      </c>
      <c r="B12" t="s">
        <v>94</v>
      </c>
      <c r="C12" s="7">
        <f>+'Transit Costs'!C22/1000000</f>
        <v>52.80108125903725</v>
      </c>
      <c r="E12" t="s">
        <v>269</v>
      </c>
    </row>
    <row r="13" spans="1:5" ht="12.75">
      <c r="A13" t="s">
        <v>190</v>
      </c>
      <c r="B13" t="s">
        <v>171</v>
      </c>
      <c r="C13" s="7" t="e">
        <f>SUM(C11:C12)</f>
        <v>#REF!</v>
      </c>
      <c r="E13" t="s">
        <v>270</v>
      </c>
    </row>
    <row r="14" ht="12.75">
      <c r="C14" s="7"/>
    </row>
    <row r="15" spans="1:5" ht="12.75">
      <c r="A15" t="s">
        <v>191</v>
      </c>
      <c r="B15" t="s">
        <v>137</v>
      </c>
      <c r="C15" s="7" t="e">
        <f>+C8-C13</f>
        <v>#REF!</v>
      </c>
      <c r="E15" t="s">
        <v>271</v>
      </c>
    </row>
    <row r="16" spans="1:5" ht="12.75">
      <c r="A16" t="s">
        <v>192</v>
      </c>
      <c r="B16" s="5" t="s">
        <v>53</v>
      </c>
      <c r="C16" s="10" t="e">
        <f>+C8/C13</f>
        <v>#REF!</v>
      </c>
      <c r="E16" t="s">
        <v>272</v>
      </c>
    </row>
    <row r="17" ht="12.75">
      <c r="C17" s="7"/>
    </row>
    <row r="18" spans="2:3" ht="12.75">
      <c r="B18" s="3" t="s">
        <v>144</v>
      </c>
      <c r="C18" s="7"/>
    </row>
    <row r="19" spans="1:5" ht="12.75">
      <c r="A19" t="s">
        <v>193</v>
      </c>
      <c r="B19" t="s">
        <v>145</v>
      </c>
      <c r="C19" s="7">
        <f>+'Free Flow CP'!C98/1000000</f>
        <v>71.82620387795076</v>
      </c>
      <c r="E19" t="s">
        <v>273</v>
      </c>
    </row>
    <row r="20" spans="1:5" ht="12.75">
      <c r="A20" t="s">
        <v>194</v>
      </c>
      <c r="B20" t="s">
        <v>146</v>
      </c>
      <c r="C20" s="7" t="e">
        <f>+C13</f>
        <v>#REF!</v>
      </c>
      <c r="E20" t="s">
        <v>190</v>
      </c>
    </row>
    <row r="21" spans="1:5" ht="12.75">
      <c r="A21" t="s">
        <v>195</v>
      </c>
      <c r="B21" t="s">
        <v>147</v>
      </c>
      <c r="C21" s="9" t="e">
        <f>+C19-C20</f>
        <v>#REF!</v>
      </c>
      <c r="E21" t="s">
        <v>274</v>
      </c>
    </row>
    <row r="22" spans="2:3" ht="12.75" hidden="1">
      <c r="B22" t="s">
        <v>143</v>
      </c>
      <c r="C22" s="15" t="e">
        <f>+C21*1000000/'Free Flow CP'!C100</f>
        <v>#REF!</v>
      </c>
    </row>
    <row r="24" ht="12.75">
      <c r="B24" s="3" t="s">
        <v>125</v>
      </c>
    </row>
    <row r="25" spans="1:5" ht="12.75">
      <c r="A25" t="s">
        <v>196</v>
      </c>
      <c r="B25" t="s">
        <v>124</v>
      </c>
      <c r="C25" s="2">
        <f>+'Free Flow CP'!C105</f>
        <v>29829951.225691006</v>
      </c>
      <c r="E25" t="s">
        <v>275</v>
      </c>
    </row>
    <row r="26" spans="1:5" ht="12.75">
      <c r="A26" t="s">
        <v>197</v>
      </c>
      <c r="B26" t="s">
        <v>126</v>
      </c>
      <c r="C26" s="2">
        <f>+'Free Flow CP'!C107</f>
        <v>22.31205909727715</v>
      </c>
      <c r="E26" t="s">
        <v>276</v>
      </c>
    </row>
    <row r="28" ht="12.75">
      <c r="B28" s="3" t="s">
        <v>168</v>
      </c>
    </row>
    <row r="29" spans="1:5" ht="12.75">
      <c r="A29" t="s">
        <v>198</v>
      </c>
      <c r="B29" t="s">
        <v>127</v>
      </c>
      <c r="C29" s="2">
        <f>+'Free Flow CP'!C109</f>
        <v>75171477.08874133</v>
      </c>
      <c r="E29" t="s">
        <v>277</v>
      </c>
    </row>
    <row r="30" spans="1:5" ht="12.75">
      <c r="A30" t="s">
        <v>199</v>
      </c>
      <c r="B30" t="s">
        <v>128</v>
      </c>
      <c r="C30" s="2">
        <f>+'Free Flow CP'!C111</f>
        <v>56.226388925138416</v>
      </c>
      <c r="E30" t="s">
        <v>278</v>
      </c>
    </row>
    <row r="32" ht="12.75">
      <c r="B32" s="3" t="s">
        <v>169</v>
      </c>
    </row>
    <row r="33" spans="1:5" ht="12.75">
      <c r="A33" t="s">
        <v>200</v>
      </c>
      <c r="B33" t="s">
        <v>152</v>
      </c>
      <c r="C33" s="7">
        <f>+'Free Flow CP'!C124/1000000</f>
        <v>1450.1</v>
      </c>
      <c r="E33" t="s">
        <v>279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79"/>
  <sheetViews>
    <sheetView zoomScalePageLayoutView="0" workbookViewId="0" topLeftCell="A1">
      <selection activeCell="B66" sqref="B66"/>
    </sheetView>
  </sheetViews>
  <sheetFormatPr defaultColWidth="9.140625" defaultRowHeight="12.75"/>
  <cols>
    <col min="1" max="1" width="35.140625" style="0" customWidth="1"/>
    <col min="2" max="2" width="11.7109375" style="0" bestFit="1" customWidth="1"/>
    <col min="6" max="8" width="8.8515625" style="44" customWidth="1"/>
    <col min="9" max="9" width="16.140625" style="44" customWidth="1"/>
  </cols>
  <sheetData>
    <row r="1" spans="1:9" ht="12.75">
      <c r="A1" s="42"/>
      <c r="B1" s="56"/>
      <c r="C1" s="42"/>
      <c r="D1" s="42"/>
      <c r="E1" s="56"/>
      <c r="F1" s="42"/>
      <c r="G1" s="42"/>
      <c r="H1" s="56"/>
      <c r="I1" s="42"/>
    </row>
    <row r="2" spans="1:9" ht="15">
      <c r="A2" s="135" t="s">
        <v>646</v>
      </c>
      <c r="B2" s="304"/>
      <c r="C2" s="57"/>
      <c r="D2" s="57"/>
      <c r="E2" s="304"/>
      <c r="F2" s="57"/>
      <c r="G2" s="42"/>
      <c r="H2" s="56"/>
      <c r="I2" s="42"/>
    </row>
    <row r="3" spans="1:9" ht="12.75">
      <c r="A3" s="42"/>
      <c r="B3" s="304" t="str">
        <f>Inputs!C4</f>
        <v>Case Study State</v>
      </c>
      <c r="C3" s="42"/>
      <c r="D3" s="42"/>
      <c r="E3" s="56"/>
      <c r="F3" s="42"/>
      <c r="G3" s="42"/>
      <c r="H3" s="56"/>
      <c r="I3" s="42"/>
    </row>
    <row r="4" spans="1:9" ht="12.75">
      <c r="A4" s="68" t="s">
        <v>641</v>
      </c>
      <c r="B4" s="56"/>
      <c r="C4" s="42"/>
      <c r="D4" s="42"/>
      <c r="E4" s="56"/>
      <c r="F4" s="42"/>
      <c r="G4" s="42"/>
      <c r="H4" s="56"/>
      <c r="I4" s="42"/>
    </row>
    <row r="5" spans="1:9" ht="12.75">
      <c r="A5" s="307" t="s">
        <v>298</v>
      </c>
      <c r="B5" s="46">
        <f>Inputs!C7*1000000/365</f>
        <v>52567123.28767123</v>
      </c>
      <c r="C5" s="42"/>
      <c r="D5" s="42"/>
      <c r="E5" s="56"/>
      <c r="F5" s="42"/>
      <c r="G5" s="42"/>
      <c r="H5" s="56"/>
      <c r="I5" s="42"/>
    </row>
    <row r="6" spans="1:9" ht="12.75">
      <c r="A6" s="307" t="s">
        <v>633</v>
      </c>
      <c r="B6" s="46">
        <f>Inputs!C8*1000000/365</f>
        <v>45032876.71232877</v>
      </c>
      <c r="C6" s="42"/>
      <c r="D6" s="42"/>
      <c r="E6" s="56"/>
      <c r="F6" s="42"/>
      <c r="G6" s="42"/>
      <c r="H6" s="56"/>
      <c r="I6" s="42"/>
    </row>
    <row r="7" spans="1:9" ht="12.75">
      <c r="A7" s="308" t="s">
        <v>632</v>
      </c>
      <c r="B7" s="46">
        <f>Inputs!C9*1000000/365</f>
        <v>28024657.534246575</v>
      </c>
      <c r="C7" s="42"/>
      <c r="D7" s="42"/>
      <c r="E7" s="56"/>
      <c r="F7" s="42"/>
      <c r="G7" s="42"/>
      <c r="H7" s="56"/>
      <c r="I7" s="42"/>
    </row>
    <row r="8" spans="1:9" ht="12.75">
      <c r="A8" s="307" t="s">
        <v>643</v>
      </c>
      <c r="B8" s="46">
        <f>Inputs!C10*1000000/365</f>
        <v>97600000</v>
      </c>
      <c r="C8" s="42"/>
      <c r="D8" s="42"/>
      <c r="E8" s="56"/>
      <c r="F8" s="42"/>
      <c r="G8" s="42"/>
      <c r="H8" s="56"/>
      <c r="I8" s="42"/>
    </row>
    <row r="9" spans="1:9" ht="12.75">
      <c r="A9" s="57" t="s">
        <v>642</v>
      </c>
      <c r="B9" s="56"/>
      <c r="C9" s="42"/>
      <c r="D9" s="42"/>
      <c r="E9" s="56"/>
      <c r="F9" s="42"/>
      <c r="G9" s="42"/>
      <c r="H9" s="56"/>
      <c r="I9" s="42"/>
    </row>
    <row r="10" spans="1:9" ht="12.75">
      <c r="A10" s="307" t="s">
        <v>298</v>
      </c>
      <c r="B10" s="46">
        <f>B5/Inputs!C24</f>
        <v>16530.541914362024</v>
      </c>
      <c r="C10" s="42"/>
      <c r="D10" s="42"/>
      <c r="E10" s="56"/>
      <c r="F10" s="42"/>
      <c r="G10" s="42"/>
      <c r="H10" s="56"/>
      <c r="I10" s="42"/>
    </row>
    <row r="11" spans="1:9" ht="12.75">
      <c r="A11" s="307" t="s">
        <v>633</v>
      </c>
      <c r="B11" s="46">
        <f>B6/Inputs!C25</f>
        <v>5892.812969422765</v>
      </c>
      <c r="C11" s="42"/>
      <c r="D11" s="42"/>
      <c r="E11" s="56"/>
      <c r="F11" s="42"/>
      <c r="G11" s="42"/>
      <c r="H11" s="56"/>
      <c r="I11" s="42"/>
    </row>
    <row r="12" spans="1:9" ht="12.75">
      <c r="A12" s="308" t="s">
        <v>632</v>
      </c>
      <c r="B12" s="46">
        <f>Inputs!C26</f>
        <v>3908</v>
      </c>
      <c r="C12" s="42"/>
      <c r="D12" s="42"/>
      <c r="E12" s="56"/>
      <c r="F12" s="42"/>
      <c r="G12" s="42"/>
      <c r="H12" s="56"/>
      <c r="I12" s="42"/>
    </row>
    <row r="13" spans="1:9" ht="12.75">
      <c r="A13" s="308"/>
      <c r="B13" s="46"/>
      <c r="C13" s="42"/>
      <c r="D13" s="42"/>
      <c r="E13" s="56"/>
      <c r="F13" s="42"/>
      <c r="G13" s="42"/>
      <c r="H13" s="56"/>
      <c r="I13" s="42"/>
    </row>
    <row r="14" spans="1:9" ht="12" customHeight="1">
      <c r="A14" s="309" t="s">
        <v>631</v>
      </c>
      <c r="B14" s="56">
        <f>(B10*B5+B12*B7)/(14000*B5+B7*5000)</f>
        <v>1.1169098354433256</v>
      </c>
      <c r="C14" s="42"/>
      <c r="D14" s="42"/>
      <c r="E14" s="56"/>
      <c r="F14" s="42"/>
      <c r="G14" s="42"/>
      <c r="H14" s="56"/>
      <c r="I14" s="42"/>
    </row>
    <row r="15" spans="1:9" ht="12" customHeight="1">
      <c r="A15" s="309" t="s">
        <v>645</v>
      </c>
      <c r="B15" s="166">
        <v>0.2869859005658384</v>
      </c>
      <c r="C15" s="42"/>
      <c r="D15" s="42"/>
      <c r="E15" s="56"/>
      <c r="F15" s="42"/>
      <c r="G15" s="42"/>
      <c r="H15" s="56"/>
      <c r="I15" s="42"/>
    </row>
    <row r="16" spans="1:9" ht="12" customHeight="1">
      <c r="A16" s="309" t="s">
        <v>651</v>
      </c>
      <c r="B16" s="166">
        <v>0.5</v>
      </c>
      <c r="C16" s="42"/>
      <c r="D16" s="42"/>
      <c r="E16" s="56"/>
      <c r="F16" s="42"/>
      <c r="G16" s="42"/>
      <c r="H16" s="56"/>
      <c r="I16" s="42"/>
    </row>
    <row r="17" spans="1:9" ht="12" customHeight="1">
      <c r="A17" s="309" t="s">
        <v>652</v>
      </c>
      <c r="B17" s="166">
        <f>B15/B16</f>
        <v>0.5739718011316768</v>
      </c>
      <c r="C17" s="42"/>
      <c r="D17" s="42"/>
      <c r="E17" s="56"/>
      <c r="F17" s="42"/>
      <c r="G17" s="42"/>
      <c r="H17" s="56"/>
      <c r="I17" s="42"/>
    </row>
    <row r="18" spans="1:9" ht="12" customHeight="1">
      <c r="A18" s="309"/>
      <c r="B18" s="166"/>
      <c r="C18" s="42"/>
      <c r="D18" s="42"/>
      <c r="E18" s="56"/>
      <c r="F18" s="42"/>
      <c r="G18" s="42"/>
      <c r="H18" s="56"/>
      <c r="I18" s="42"/>
    </row>
    <row r="19" spans="1:9" ht="12" customHeight="1">
      <c r="A19" s="68" t="s">
        <v>658</v>
      </c>
      <c r="B19" s="166"/>
      <c r="C19" s="42"/>
      <c r="D19" s="42"/>
      <c r="E19" s="56"/>
      <c r="F19" s="42"/>
      <c r="G19" s="42"/>
      <c r="H19" s="56"/>
      <c r="I19" s="42"/>
    </row>
    <row r="20" spans="1:9" ht="12" customHeight="1">
      <c r="A20" s="307" t="s">
        <v>298</v>
      </c>
      <c r="B20" s="46">
        <f>50%*B5</f>
        <v>26283561.643835615</v>
      </c>
      <c r="C20" s="42"/>
      <c r="D20" s="42"/>
      <c r="E20" s="56"/>
      <c r="F20" s="42"/>
      <c r="G20" s="42"/>
      <c r="H20" s="56"/>
      <c r="I20" s="42"/>
    </row>
    <row r="21" spans="1:9" ht="12" customHeight="1">
      <c r="A21" s="307" t="s">
        <v>633</v>
      </c>
      <c r="B21" s="46">
        <f>50%*B6</f>
        <v>22516438.356164385</v>
      </c>
      <c r="C21" s="42"/>
      <c r="D21" s="42"/>
      <c r="E21" s="56"/>
      <c r="F21" s="42"/>
      <c r="G21" s="42"/>
      <c r="H21" s="56"/>
      <c r="I21" s="42"/>
    </row>
    <row r="22" spans="1:9" ht="12" customHeight="1">
      <c r="A22" s="308" t="s">
        <v>632</v>
      </c>
      <c r="B22" s="46">
        <f>50%*B7</f>
        <v>14012328.767123288</v>
      </c>
      <c r="C22" s="42"/>
      <c r="D22" s="42"/>
      <c r="E22" s="56"/>
      <c r="F22" s="42"/>
      <c r="G22" s="42"/>
      <c r="H22" s="56"/>
      <c r="I22" s="42"/>
    </row>
    <row r="23" spans="1:9" ht="12" customHeight="1">
      <c r="A23" s="307" t="s">
        <v>643</v>
      </c>
      <c r="B23" s="46">
        <f>50%*B8</f>
        <v>48800000</v>
      </c>
      <c r="C23" s="42"/>
      <c r="D23" s="42"/>
      <c r="E23" s="56"/>
      <c r="F23" s="42"/>
      <c r="G23" s="42"/>
      <c r="H23" s="56"/>
      <c r="I23" s="42"/>
    </row>
    <row r="24" spans="1:9" ht="12" customHeight="1">
      <c r="A24" s="309"/>
      <c r="B24" s="56"/>
      <c r="C24" s="42"/>
      <c r="D24" s="42"/>
      <c r="E24" s="56"/>
      <c r="F24" s="42"/>
      <c r="G24" s="42"/>
      <c r="H24" s="56"/>
      <c r="I24" s="42"/>
    </row>
    <row r="25" spans="1:9" ht="12.75">
      <c r="A25" s="57" t="s">
        <v>644</v>
      </c>
      <c r="B25" s="56"/>
      <c r="C25" s="42"/>
      <c r="D25" s="42"/>
      <c r="E25" s="56"/>
      <c r="F25" s="42"/>
      <c r="G25" s="42"/>
      <c r="H25" s="56"/>
      <c r="I25" s="42"/>
    </row>
    <row r="26" spans="1:9" ht="12.75">
      <c r="A26" s="307" t="s">
        <v>298</v>
      </c>
      <c r="B26" s="46">
        <f>B5*B15</f>
        <v>15086023.216867784</v>
      </c>
      <c r="C26" s="42"/>
      <c r="D26" s="42"/>
      <c r="E26" s="56"/>
      <c r="F26" s="42"/>
      <c r="G26" s="42"/>
      <c r="H26" s="56"/>
      <c r="I26" s="42"/>
    </row>
    <row r="27" spans="1:9" ht="12.75">
      <c r="A27" s="307" t="s">
        <v>633</v>
      </c>
      <c r="B27" s="46">
        <f>B6*B15</f>
        <v>12923800.678358043</v>
      </c>
      <c r="C27" s="42"/>
      <c r="D27" s="42"/>
      <c r="E27" s="56"/>
      <c r="F27" s="42"/>
      <c r="G27" s="42"/>
      <c r="H27" s="56"/>
      <c r="I27" s="42"/>
    </row>
    <row r="28" spans="1:9" ht="12.75">
      <c r="A28" s="308" t="s">
        <v>632</v>
      </c>
      <c r="B28" s="46">
        <f>B7*B15</f>
        <v>8042681.580514961</v>
      </c>
      <c r="C28" s="42"/>
      <c r="D28" s="42"/>
      <c r="E28" s="56"/>
      <c r="F28" s="42"/>
      <c r="G28" s="42"/>
      <c r="H28" s="56"/>
      <c r="I28" s="42"/>
    </row>
    <row r="29" spans="1:9" ht="12.75">
      <c r="A29" s="307" t="s">
        <v>643</v>
      </c>
      <c r="B29" s="46">
        <f>B8*B15</f>
        <v>28009823.895225827</v>
      </c>
      <c r="C29" s="42"/>
      <c r="D29" s="42"/>
      <c r="E29" s="56"/>
      <c r="F29" s="42">
        <f>Inputs!C13</f>
        <v>1.3</v>
      </c>
      <c r="G29" s="42"/>
      <c r="H29" s="56"/>
      <c r="I29" s="42"/>
    </row>
    <row r="30" spans="1:9" ht="12.75">
      <c r="A30" s="307"/>
      <c r="B30" s="46"/>
      <c r="C30" s="42"/>
      <c r="D30" s="42"/>
      <c r="E30" s="56"/>
      <c r="F30" s="42"/>
      <c r="G30" s="42"/>
      <c r="H30" s="56"/>
      <c r="I30" s="42"/>
    </row>
    <row r="31" spans="1:5" ht="15">
      <c r="A31" s="286" t="s">
        <v>647</v>
      </c>
      <c r="B31" s="44"/>
      <c r="C31" s="44"/>
      <c r="D31" s="44"/>
      <c r="E31" s="44"/>
    </row>
    <row r="32" spans="1:9" ht="17.25">
      <c r="A32" s="44"/>
      <c r="B32" s="362"/>
      <c r="C32" s="363"/>
      <c r="D32" s="287"/>
      <c r="E32" s="362"/>
      <c r="F32" s="362"/>
      <c r="G32" s="287"/>
      <c r="H32" s="362"/>
      <c r="I32" s="364"/>
    </row>
    <row r="33" spans="1:9" ht="27" thickBot="1">
      <c r="A33" s="78" t="s">
        <v>301</v>
      </c>
      <c r="B33" s="120" t="s">
        <v>474</v>
      </c>
      <c r="C33" s="348" t="s">
        <v>475</v>
      </c>
      <c r="D33" s="80"/>
      <c r="E33" s="120"/>
      <c r="F33" s="120"/>
      <c r="G33" s="80"/>
      <c r="H33" s="120"/>
      <c r="I33" s="120"/>
    </row>
    <row r="34" spans="1:9" ht="12.75">
      <c r="A34" s="44" t="s">
        <v>285</v>
      </c>
      <c r="B34" s="44">
        <v>60</v>
      </c>
      <c r="C34" s="56">
        <f>1/((1/B34)+Inputs!C13*((1/B34)-(1/60)))</f>
        <v>60</v>
      </c>
      <c r="D34" s="44"/>
      <c r="E34" s="44"/>
      <c r="F34" s="105"/>
      <c r="I34" s="105"/>
    </row>
    <row r="35" spans="1:9" ht="12.75">
      <c r="A35" s="44" t="s">
        <v>300</v>
      </c>
      <c r="B35" s="44">
        <v>55.7</v>
      </c>
      <c r="C35" s="56">
        <f>1/((1/B35)+Inputs!C13*((1/B35)-(1/60)))</f>
        <v>50.95288915993291</v>
      </c>
      <c r="D35" s="44"/>
      <c r="E35" s="44"/>
      <c r="F35" s="105"/>
      <c r="I35" s="105"/>
    </row>
    <row r="36" spans="1:5" ht="12.75">
      <c r="A36" s="44" t="s">
        <v>286</v>
      </c>
      <c r="B36" s="44">
        <v>51.4</v>
      </c>
      <c r="C36" s="56">
        <f>1/((1/B36)+Inputs!C13*((1/B36)-(1/60)))</f>
        <v>43.32677718460241</v>
      </c>
      <c r="D36" s="44"/>
      <c r="E36" s="44"/>
    </row>
    <row r="37" spans="1:5" ht="12.75">
      <c r="A37" s="44" t="s">
        <v>284</v>
      </c>
      <c r="B37" s="44">
        <v>41.5</v>
      </c>
      <c r="C37" s="56">
        <f>1/((1/B37)+Inputs!C13*((1/B37)-(1/60)))</f>
        <v>29.625223081499104</v>
      </c>
      <c r="D37" s="44"/>
      <c r="E37" s="44"/>
    </row>
    <row r="38" spans="1:9" ht="13.5" thickBot="1">
      <c r="A38" s="80" t="s">
        <v>283</v>
      </c>
      <c r="B38" s="122">
        <v>35</v>
      </c>
      <c r="C38" s="56">
        <f>1/((1/B38)+Inputs!C13*((1/B38)-(1/60)))</f>
        <v>22.702702702702705</v>
      </c>
      <c r="D38" s="80"/>
      <c r="E38" s="122"/>
      <c r="F38" s="80"/>
      <c r="G38" s="80"/>
      <c r="H38" s="122"/>
      <c r="I38" s="80"/>
    </row>
    <row r="39" spans="1:9" ht="12.75">
      <c r="A39" s="307"/>
      <c r="B39" s="46"/>
      <c r="C39" s="42"/>
      <c r="D39" s="42"/>
      <c r="E39" s="56"/>
      <c r="F39" s="42"/>
      <c r="G39" s="42"/>
      <c r="H39" s="56"/>
      <c r="I39" s="42"/>
    </row>
    <row r="40" spans="1:9" ht="27" thickBot="1">
      <c r="A40" s="93" t="s">
        <v>648</v>
      </c>
      <c r="B40" s="120" t="s">
        <v>474</v>
      </c>
      <c r="C40" s="120" t="s">
        <v>475</v>
      </c>
      <c r="D40" s="80"/>
      <c r="E40" s="120"/>
      <c r="F40" s="120"/>
      <c r="G40" s="80"/>
      <c r="H40" s="120"/>
      <c r="I40" s="120"/>
    </row>
    <row r="41" spans="1:9" ht="12.75">
      <c r="A41" s="44" t="s">
        <v>630</v>
      </c>
      <c r="B41" s="105">
        <f>(5%*B34+4.8%*B35+4.8%*B36)/(5%+4.8%+4.8%)</f>
        <v>55.75890410958904</v>
      </c>
      <c r="C41" s="105">
        <f>(5%*C34+4.8%*C35+4.8%*C36)/(5%+4.8%+4.8%)</f>
        <v>51.5439998940938</v>
      </c>
      <c r="D41" s="44"/>
      <c r="E41" s="105"/>
      <c r="F41" s="105"/>
      <c r="H41" s="105"/>
      <c r="I41" s="105"/>
    </row>
    <row r="42" spans="1:9" ht="12.75">
      <c r="A42" s="44" t="s">
        <v>629</v>
      </c>
      <c r="B42" s="105">
        <f>(29.1%*B37+63.7%*B38)/(29.1%+63.7%)</f>
        <v>37.03825431034483</v>
      </c>
      <c r="C42" s="105">
        <f>(29.1%*C37+63.7%*C38)/(29.1%+63.7%)</f>
        <v>24.87344993355373</v>
      </c>
      <c r="D42" s="44"/>
      <c r="E42" s="105"/>
      <c r="F42" s="105"/>
      <c r="H42" s="105"/>
      <c r="I42" s="105"/>
    </row>
    <row r="43" spans="1:5" ht="12.75">
      <c r="A43" s="52" t="s">
        <v>649</v>
      </c>
      <c r="B43" s="105">
        <f>(-1.1341*Inputs!C7*1000/(365*Inputs!C24))+69.077</f>
        <v>50.32971241492203</v>
      </c>
      <c r="C43" s="105">
        <f>1/(B52*(1/C41)+B53*(1/C42))</f>
        <v>39.317629937271406</v>
      </c>
      <c r="D43" s="44"/>
      <c r="E43" s="44"/>
    </row>
    <row r="44" spans="1:9" ht="13.5" thickBot="1">
      <c r="A44" s="80"/>
      <c r="B44" s="122"/>
      <c r="C44" s="80"/>
      <c r="D44" s="80"/>
      <c r="E44" s="122"/>
      <c r="F44" s="80"/>
      <c r="G44" s="80"/>
      <c r="H44" s="122"/>
      <c r="I44" s="80"/>
    </row>
    <row r="45" spans="1:9" ht="12.75">
      <c r="A45" s="42"/>
      <c r="B45" s="56"/>
      <c r="C45" s="42"/>
      <c r="D45" s="42"/>
      <c r="E45" s="56"/>
      <c r="F45" s="42"/>
      <c r="G45" s="42"/>
      <c r="H45" s="56"/>
      <c r="I45" s="42"/>
    </row>
    <row r="46" spans="1:9" ht="12.75">
      <c r="A46" s="42"/>
      <c r="B46" s="56"/>
      <c r="C46" s="42"/>
      <c r="D46" s="42"/>
      <c r="E46" s="56"/>
      <c r="F46" s="42"/>
      <c r="G46" s="42"/>
      <c r="H46" s="56"/>
      <c r="I46" s="42"/>
    </row>
    <row r="47" spans="1:9" ht="12.75">
      <c r="A47" s="42"/>
      <c r="B47" s="56"/>
      <c r="C47" s="42"/>
      <c r="D47" s="42"/>
      <c r="E47" s="56"/>
      <c r="F47" s="42"/>
      <c r="G47" s="42"/>
      <c r="H47" s="56"/>
      <c r="I47" s="42"/>
    </row>
    <row r="48" spans="1:9" ht="12.75">
      <c r="A48" s="42"/>
      <c r="B48" s="56"/>
      <c r="C48" s="42"/>
      <c r="D48" s="42"/>
      <c r="E48" s="56"/>
      <c r="F48" s="42"/>
      <c r="G48" s="42"/>
      <c r="H48" s="56"/>
      <c r="I48" s="42"/>
    </row>
    <row r="49" spans="1:9" ht="15">
      <c r="A49" s="135" t="s">
        <v>650</v>
      </c>
      <c r="B49" s="303"/>
      <c r="C49" s="135"/>
      <c r="D49" s="42"/>
      <c r="E49" s="56"/>
      <c r="F49" s="42"/>
      <c r="G49" s="42"/>
      <c r="H49" s="56"/>
      <c r="I49" s="42"/>
    </row>
    <row r="50" spans="1:9" ht="15">
      <c r="A50" s="135"/>
      <c r="B50" s="303"/>
      <c r="C50" s="135"/>
      <c r="D50" s="42"/>
      <c r="E50" s="56"/>
      <c r="F50" s="42"/>
      <c r="G50" s="42"/>
      <c r="H50" s="56"/>
      <c r="I50" s="42"/>
    </row>
    <row r="51" spans="1:9" ht="13.5" thickBot="1">
      <c r="A51" s="93" t="s">
        <v>648</v>
      </c>
      <c r="B51" s="120"/>
      <c r="C51" s="120"/>
      <c r="D51" s="80"/>
      <c r="E51" s="120"/>
      <c r="F51" s="120"/>
      <c r="G51" s="80"/>
      <c r="H51" s="120"/>
      <c r="I51" s="120"/>
    </row>
    <row r="52" spans="1:9" ht="12.75">
      <c r="A52" s="44" t="s">
        <v>630</v>
      </c>
      <c r="B52" s="104">
        <f>(B43-B42)/(B41-B42)</f>
        <v>0.7099891428508961</v>
      </c>
      <c r="C52" s="105"/>
      <c r="D52" s="44"/>
      <c r="E52" s="104"/>
      <c r="F52" s="104"/>
      <c r="G52" s="104"/>
      <c r="H52" s="104"/>
      <c r="I52" s="105"/>
    </row>
    <row r="53" spans="1:9" ht="12.75">
      <c r="A53" s="44" t="s">
        <v>629</v>
      </c>
      <c r="B53" s="104">
        <f>1-B52</f>
        <v>0.2900108571491039</v>
      </c>
      <c r="C53" s="105"/>
      <c r="D53" s="44"/>
      <c r="E53" s="104"/>
      <c r="F53" s="104"/>
      <c r="G53" s="104"/>
      <c r="H53" s="104"/>
      <c r="I53" s="105"/>
    </row>
    <row r="54" spans="1:9" ht="15">
      <c r="A54" s="135"/>
      <c r="B54" s="303"/>
      <c r="C54" s="135"/>
      <c r="D54" s="42"/>
      <c r="E54" s="56"/>
      <c r="F54" s="42"/>
      <c r="G54" s="42"/>
      <c r="H54" s="56"/>
      <c r="I54" s="42"/>
    </row>
    <row r="55" spans="1:9" ht="15.75" thickBot="1">
      <c r="A55" s="78" t="s">
        <v>301</v>
      </c>
      <c r="B55" s="303"/>
      <c r="C55" s="135"/>
      <c r="D55" s="42"/>
      <c r="E55" s="56"/>
      <c r="F55" s="42"/>
      <c r="G55" s="42"/>
      <c r="H55" s="56"/>
      <c r="I55" s="42"/>
    </row>
    <row r="56" spans="1:9" ht="15">
      <c r="A56" s="44" t="s">
        <v>285</v>
      </c>
      <c r="B56" s="311">
        <f>(5/14.6)*B52</f>
        <v>0.2431469667297589</v>
      </c>
      <c r="C56" s="135"/>
      <c r="D56" s="42"/>
      <c r="E56" s="56"/>
      <c r="F56" s="42"/>
      <c r="G56" s="42"/>
      <c r="H56" s="56"/>
      <c r="I56" s="42"/>
    </row>
    <row r="57" spans="1:9" ht="15">
      <c r="A57" s="44" t="s">
        <v>300</v>
      </c>
      <c r="B57" s="311">
        <f>(4.8/14.6)*B52</f>
        <v>0.23342108806056858</v>
      </c>
      <c r="C57" s="135"/>
      <c r="D57" s="42"/>
      <c r="E57" s="56"/>
      <c r="F57" s="42"/>
      <c r="G57" s="42"/>
      <c r="H57" s="56"/>
      <c r="I57" s="42"/>
    </row>
    <row r="58" spans="1:9" ht="15">
      <c r="A58" s="44" t="s">
        <v>286</v>
      </c>
      <c r="B58" s="311">
        <f>(4.8/14.6)*B52</f>
        <v>0.23342108806056858</v>
      </c>
      <c r="C58" s="135"/>
      <c r="D58" s="42"/>
      <c r="E58" s="56"/>
      <c r="F58" s="42"/>
      <c r="G58" s="42"/>
      <c r="H58" s="56"/>
      <c r="I58" s="42"/>
    </row>
    <row r="59" spans="1:9" ht="15">
      <c r="A59" s="44" t="s">
        <v>284</v>
      </c>
      <c r="B59" s="311">
        <f>B53*29.1/(29.1+63.7)</f>
        <v>0.09094090455860908</v>
      </c>
      <c r="C59" s="135"/>
      <c r="D59" s="42"/>
      <c r="E59" s="56"/>
      <c r="F59" s="42"/>
      <c r="G59" s="42"/>
      <c r="H59" s="56"/>
      <c r="I59" s="42"/>
    </row>
    <row r="60" spans="1:9" ht="13.5" thickBot="1">
      <c r="A60" s="80" t="s">
        <v>283</v>
      </c>
      <c r="B60" s="311">
        <f>B53*63.7/(29.1+63.7)</f>
        <v>0.19906995259049481</v>
      </c>
      <c r="C60" s="42"/>
      <c r="D60" s="42"/>
      <c r="E60" s="56"/>
      <c r="F60" s="42"/>
      <c r="G60" s="42"/>
      <c r="H60" s="56"/>
      <c r="I60" s="42"/>
    </row>
    <row r="61" spans="1:9" ht="12.75">
      <c r="A61" s="42"/>
      <c r="B61" s="56"/>
      <c r="C61" s="42"/>
      <c r="D61" s="42"/>
      <c r="E61" s="56"/>
      <c r="F61" s="42"/>
      <c r="G61" s="42"/>
      <c r="H61" s="56"/>
      <c r="I61" s="42"/>
    </row>
    <row r="62" spans="1:9" ht="15">
      <c r="A62" s="135" t="s">
        <v>659</v>
      </c>
      <c r="B62" s="56"/>
      <c r="C62" s="42"/>
      <c r="D62" s="42"/>
      <c r="E62" s="56"/>
      <c r="F62" s="42"/>
      <c r="G62" s="42"/>
      <c r="H62" s="56"/>
      <c r="I62" s="42"/>
    </row>
    <row r="63" spans="1:9" ht="12.75">
      <c r="A63" s="42"/>
      <c r="B63" s="56"/>
      <c r="C63" s="42"/>
      <c r="D63" s="42"/>
      <c r="E63" s="56"/>
      <c r="F63" s="42"/>
      <c r="G63" s="42"/>
      <c r="H63" s="56"/>
      <c r="I63" s="42"/>
    </row>
    <row r="64" spans="1:9" ht="15.75" thickBot="1">
      <c r="A64" s="78" t="s">
        <v>301</v>
      </c>
      <c r="B64" s="303"/>
      <c r="C64" s="42"/>
      <c r="D64" s="42"/>
      <c r="E64" s="56"/>
      <c r="F64" s="42"/>
      <c r="G64" s="42"/>
      <c r="H64" s="56"/>
      <c r="I64" s="42"/>
    </row>
    <row r="65" spans="1:9" ht="12.75">
      <c r="A65" s="44" t="s">
        <v>285</v>
      </c>
      <c r="B65" s="311">
        <f>(1-B17)+B17*B56</f>
        <v>0.5655877013019068</v>
      </c>
      <c r="C65" s="42"/>
      <c r="D65" s="42"/>
      <c r="E65" s="56"/>
      <c r="F65" s="42"/>
      <c r="G65" s="42"/>
      <c r="H65" s="56"/>
      <c r="I65" s="42"/>
    </row>
    <row r="66" spans="1:9" ht="12.75">
      <c r="A66" s="44" t="s">
        <v>300</v>
      </c>
      <c r="B66" s="311">
        <f>B17*B57</f>
        <v>0.1339771223362403</v>
      </c>
      <c r="C66" s="42"/>
      <c r="D66" s="42"/>
      <c r="E66" s="56"/>
      <c r="F66" s="42"/>
      <c r="G66" s="42"/>
      <c r="H66" s="56"/>
      <c r="I66" s="42"/>
    </row>
    <row r="67" spans="1:9" ht="12.75">
      <c r="A67" s="44" t="s">
        <v>286</v>
      </c>
      <c r="B67" s="311">
        <f>B17*B58</f>
        <v>0.1339771223362403</v>
      </c>
      <c r="C67" s="42"/>
      <c r="D67" s="42"/>
      <c r="E67" s="56"/>
      <c r="F67" s="42"/>
      <c r="G67" s="42"/>
      <c r="H67" s="56"/>
      <c r="I67" s="42"/>
    </row>
    <row r="68" spans="1:9" ht="12.75">
      <c r="A68" s="44" t="s">
        <v>284</v>
      </c>
      <c r="B68" s="311">
        <f>B17*B59</f>
        <v>0.05219751478604877</v>
      </c>
      <c r="C68" s="42"/>
      <c r="D68" s="42"/>
      <c r="E68" s="56"/>
      <c r="F68" s="42"/>
      <c r="G68" s="42"/>
      <c r="H68" s="56"/>
      <c r="I68" s="42"/>
    </row>
    <row r="69" spans="1:9" ht="13.5" thickBot="1">
      <c r="A69" s="80" t="s">
        <v>283</v>
      </c>
      <c r="B69" s="311">
        <f>B17*B60</f>
        <v>0.11426053923956382</v>
      </c>
      <c r="C69" s="42"/>
      <c r="D69" s="42"/>
      <c r="E69" s="56"/>
      <c r="F69" s="42"/>
      <c r="G69" s="42"/>
      <c r="H69" s="56"/>
      <c r="I69" s="42"/>
    </row>
    <row r="70" spans="1:9" ht="12.75">
      <c r="A70" s="42"/>
      <c r="B70" s="61">
        <f>SUM(B65:B69)</f>
        <v>0.9999999999999999</v>
      </c>
      <c r="C70" s="42"/>
      <c r="D70" s="42"/>
      <c r="E70" s="56"/>
      <c r="F70" s="42"/>
      <c r="G70" s="42"/>
      <c r="H70" s="56"/>
      <c r="I70" s="42"/>
    </row>
    <row r="71" spans="1:9" ht="12.75">
      <c r="A71" s="42"/>
      <c r="B71" s="56"/>
      <c r="C71" s="42"/>
      <c r="D71" s="42"/>
      <c r="E71" s="56"/>
      <c r="F71" s="42"/>
      <c r="G71" s="42"/>
      <c r="H71" s="56"/>
      <c r="I71" s="42"/>
    </row>
    <row r="72" spans="1:4" s="44" customFormat="1" ht="15">
      <c r="A72" s="135" t="s">
        <v>668</v>
      </c>
      <c r="D72" s="42"/>
    </row>
    <row r="73" spans="1:5" s="44" customFormat="1" ht="15">
      <c r="A73" s="135"/>
      <c r="B73" s="365" t="s">
        <v>669</v>
      </c>
      <c r="C73" s="366"/>
      <c r="D73" s="365" t="s">
        <v>670</v>
      </c>
      <c r="E73" s="366"/>
    </row>
    <row r="74" spans="2:5" s="44" customFormat="1" ht="27" thickBot="1">
      <c r="B74" s="323" t="s">
        <v>474</v>
      </c>
      <c r="C74" s="323" t="s">
        <v>475</v>
      </c>
      <c r="D74" s="323" t="s">
        <v>474</v>
      </c>
      <c r="E74" s="323" t="s">
        <v>475</v>
      </c>
    </row>
    <row r="75" spans="1:5" s="44" customFormat="1" ht="12.75">
      <c r="A75" s="44" t="s">
        <v>298</v>
      </c>
      <c r="B75" s="105">
        <f>B43</f>
        <v>50.32971241492203</v>
      </c>
      <c r="C75" s="105">
        <f>C43</f>
        <v>39.317629937271406</v>
      </c>
      <c r="D75" s="49">
        <f>1/(B17*(1/B43)+(1-B17)*(1/60))</f>
        <v>54.040314215738434</v>
      </c>
      <c r="E75" s="49">
        <f>1/(B17*(1/C43)+(1-B17)*(1/60))</f>
        <v>46.085494371990364</v>
      </c>
    </row>
    <row r="76" spans="1:5" s="44" customFormat="1" ht="12.75">
      <c r="A76" s="44" t="s">
        <v>297</v>
      </c>
      <c r="B76" s="105">
        <f>(-0.0006*Inputs!C7*1000/(365*Inputs!C25))+29.119</f>
        <v>29.1148727723145</v>
      </c>
      <c r="C76" s="56">
        <f>(1/((1/B76)+(1+B17*Inputs!C14)*((1/B76)-(1/35))))</f>
        <v>22.847577329064702</v>
      </c>
      <c r="D76" s="105">
        <f>1/((B17)*(1/B76)+(1-B17)*(1/35))</f>
        <v>31.36145523532949</v>
      </c>
      <c r="E76" s="105">
        <f>1/((B17)*(1/C76)+(1-B17)*(1/35))</f>
        <v>26.813954781449095</v>
      </c>
    </row>
    <row r="77" s="44" customFormat="1" ht="12.75"/>
    <row r="78" spans="2:4" s="44" customFormat="1" ht="12" customHeight="1">
      <c r="B78" s="68"/>
      <c r="C78" s="68"/>
      <c r="D78" s="55"/>
    </row>
    <row r="79" spans="2:3" s="44" customFormat="1" ht="12.75">
      <c r="B79" s="105"/>
      <c r="C79" s="105"/>
    </row>
    <row r="80" s="44" customFormat="1" ht="12.75"/>
    <row r="81" s="44" customFormat="1" ht="12.75"/>
    <row r="82" s="44" customFormat="1" ht="12.75"/>
    <row r="83" s="44" customFormat="1" ht="12.75"/>
    <row r="84" s="44" customFormat="1" ht="12.75"/>
    <row r="85" s="44" customFormat="1" ht="12.75"/>
    <row r="86" s="44" customFormat="1" ht="12.75"/>
    <row r="87" s="44" customFormat="1" ht="12.75"/>
    <row r="88" s="44" customFormat="1" ht="12.75"/>
    <row r="89" s="44" customFormat="1" ht="12.75"/>
    <row r="90" s="44" customFormat="1" ht="12.75"/>
    <row r="91" s="44" customFormat="1" ht="12.75"/>
    <row r="92" s="44" customFormat="1" ht="12.75"/>
    <row r="93" s="44" customFormat="1" ht="12.75"/>
    <row r="94" s="44" customFormat="1" ht="12.75"/>
    <row r="95" s="44" customFormat="1" ht="12.75"/>
    <row r="96" s="44" customFormat="1" ht="12.75"/>
    <row r="97" s="44" customFormat="1" ht="12.75"/>
    <row r="98" s="44" customFormat="1" ht="12.75"/>
    <row r="99" s="44" customFormat="1" ht="12.75"/>
    <row r="100" s="44" customFormat="1" ht="12.75"/>
    <row r="101" s="44" customFormat="1" ht="12.75"/>
    <row r="102" s="44" customFormat="1" ht="12.75"/>
    <row r="103" s="44" customFormat="1" ht="12.75"/>
    <row r="104" s="44" customFormat="1" ht="12.75"/>
    <row r="105" s="44" customFormat="1" ht="12.75"/>
    <row r="106" s="44" customFormat="1" ht="12.75"/>
    <row r="107" s="44" customFormat="1" ht="12.75"/>
    <row r="108" s="44" customFormat="1" ht="12.75"/>
    <row r="109" s="44" customFormat="1" ht="12.75"/>
    <row r="110" s="44" customFormat="1" ht="12.75"/>
    <row r="111" s="44" customFormat="1" ht="12.75"/>
    <row r="112" s="44" customFormat="1" ht="12.75"/>
    <row r="113" s="44" customFormat="1" ht="12.75"/>
    <row r="114" s="44" customFormat="1" ht="12.75"/>
    <row r="115" s="44" customFormat="1" ht="12.75"/>
    <row r="116" s="44" customFormat="1" ht="12.75"/>
    <row r="117" s="44" customFormat="1" ht="12.75"/>
    <row r="118" s="44" customFormat="1" ht="12.75"/>
    <row r="119" s="44" customFormat="1" ht="12.75"/>
    <row r="120" s="44" customFormat="1" ht="12.75"/>
    <row r="121" s="44" customFormat="1" ht="12.75"/>
    <row r="122" s="44" customFormat="1" ht="12.75"/>
    <row r="123" s="44" customFormat="1" ht="12.75"/>
    <row r="124" s="44" customFormat="1" ht="12.75"/>
    <row r="125" s="44" customFormat="1" ht="12.75"/>
    <row r="126" s="44" customFormat="1" ht="12.75"/>
    <row r="127" s="44" customFormat="1" ht="12.75"/>
    <row r="128" s="44" customFormat="1" ht="12.75"/>
    <row r="129" s="44" customFormat="1" ht="12.75"/>
    <row r="130" s="44" customFormat="1" ht="12.75"/>
    <row r="131" s="44" customFormat="1" ht="12.75"/>
    <row r="132" s="44" customFormat="1" ht="12.75"/>
    <row r="133" s="44" customFormat="1" ht="12.75"/>
    <row r="134" s="44" customFormat="1" ht="12.75"/>
    <row r="135" s="44" customFormat="1" ht="12.75"/>
    <row r="136" s="44" customFormat="1" ht="12.75"/>
    <row r="137" s="44" customFormat="1" ht="12.75"/>
    <row r="138" s="44" customFormat="1" ht="12.75"/>
    <row r="139" s="44" customFormat="1" ht="12.75"/>
    <row r="140" s="44" customFormat="1" ht="12.75"/>
    <row r="141" s="44" customFormat="1" ht="12.75"/>
    <row r="142" s="44" customFormat="1" ht="12.75"/>
    <row r="143" s="44" customFormat="1" ht="12.75"/>
    <row r="144" s="44" customFormat="1" ht="12.75"/>
    <row r="145" s="44" customFormat="1" ht="12.75"/>
    <row r="146" s="44" customFormat="1" ht="12.75"/>
    <row r="147" s="44" customFormat="1" ht="12.75"/>
    <row r="148" s="44" customFormat="1" ht="12.75"/>
    <row r="149" s="44" customFormat="1" ht="12.75"/>
    <row r="150" s="44" customFormat="1" ht="12.75"/>
    <row r="151" s="44" customFormat="1" ht="12.75"/>
    <row r="152" s="44" customFormat="1" ht="12.75"/>
    <row r="153" s="44" customFormat="1" ht="12.75"/>
    <row r="154" s="44" customFormat="1" ht="12.75"/>
    <row r="155" s="44" customFormat="1" ht="12.75"/>
    <row r="156" s="44" customFormat="1" ht="12.75"/>
    <row r="157" s="44" customFormat="1" ht="12.75"/>
    <row r="158" s="44" customFormat="1" ht="12.75"/>
    <row r="159" s="44" customFormat="1" ht="12.75"/>
    <row r="160" s="44" customFormat="1" ht="12.75"/>
    <row r="161" s="44" customFormat="1" ht="12.75"/>
    <row r="162" s="44" customFormat="1" ht="12.75"/>
    <row r="163" s="44" customFormat="1" ht="12.75"/>
    <row r="164" s="44" customFormat="1" ht="12.75"/>
    <row r="165" s="44" customFormat="1" ht="12.75"/>
    <row r="166" s="44" customFormat="1" ht="12.75"/>
    <row r="167" s="44" customFormat="1" ht="12.75"/>
    <row r="168" s="44" customFormat="1" ht="12.75"/>
    <row r="169" s="44" customFormat="1" ht="12.75"/>
    <row r="170" s="44" customFormat="1" ht="12.75"/>
    <row r="171" s="44" customFormat="1" ht="12.75"/>
    <row r="172" s="44" customFormat="1" ht="12.75"/>
    <row r="173" s="44" customFormat="1" ht="12.75"/>
    <row r="174" s="44" customFormat="1" ht="12.75"/>
    <row r="175" s="44" customFormat="1" ht="12.75"/>
    <row r="176" s="44" customFormat="1" ht="12.75"/>
    <row r="177" s="44" customFormat="1" ht="12.75"/>
    <row r="178" s="44" customFormat="1" ht="12.75"/>
    <row r="179" s="44" customFormat="1" ht="12.75"/>
    <row r="180" s="44" customFormat="1" ht="12.75"/>
    <row r="181" s="44" customFormat="1" ht="12.75"/>
    <row r="182" s="44" customFormat="1" ht="12.75"/>
    <row r="183" s="44" customFormat="1" ht="12.75"/>
    <row r="184" s="44" customFormat="1" ht="12.75"/>
    <row r="185" s="44" customFormat="1" ht="12.75"/>
    <row r="186" s="44" customFormat="1" ht="12.75"/>
    <row r="187" s="44" customFormat="1" ht="12.75"/>
    <row r="188" s="44" customFormat="1" ht="12.75"/>
    <row r="189" s="44" customFormat="1" ht="12.75"/>
    <row r="190" s="44" customFormat="1" ht="12.75"/>
    <row r="191" s="44" customFormat="1" ht="12.75"/>
    <row r="192" s="44" customFormat="1" ht="12.75"/>
    <row r="193" s="44" customFormat="1" ht="12.75"/>
    <row r="194" s="44" customFormat="1" ht="12.75"/>
    <row r="195" s="44" customFormat="1" ht="12.75"/>
    <row r="196" s="44" customFormat="1" ht="12.75"/>
    <row r="197" s="44" customFormat="1" ht="12.75"/>
    <row r="198" s="44" customFormat="1" ht="12.75"/>
    <row r="199" s="44" customFormat="1" ht="12.75"/>
    <row r="200" s="44" customFormat="1" ht="12.75"/>
    <row r="201" s="44" customFormat="1" ht="12.75"/>
    <row r="202" s="44" customFormat="1" ht="12.75"/>
    <row r="203" s="44" customFormat="1" ht="12.75"/>
    <row r="204" s="44" customFormat="1" ht="12.75"/>
    <row r="205" s="44" customFormat="1" ht="12.75"/>
    <row r="206" s="44" customFormat="1" ht="12.75"/>
    <row r="207" s="44" customFormat="1" ht="12.75"/>
    <row r="208" s="44" customFormat="1" ht="12.75"/>
    <row r="209" s="44" customFormat="1" ht="12.75"/>
    <row r="210" s="44" customFormat="1" ht="12.75"/>
    <row r="211" s="44" customFormat="1" ht="12.75"/>
    <row r="212" s="44" customFormat="1" ht="12.75"/>
    <row r="213" s="44" customFormat="1" ht="12.75"/>
    <row r="214" s="44" customFormat="1" ht="12.75"/>
    <row r="215" s="44" customFormat="1" ht="12.75"/>
    <row r="216" s="44" customFormat="1" ht="12.75"/>
    <row r="217" s="44" customFormat="1" ht="12.75"/>
    <row r="218" s="44" customFormat="1" ht="12.75"/>
    <row r="219" s="44" customFormat="1" ht="12.75"/>
    <row r="220" s="44" customFormat="1" ht="12.75"/>
    <row r="221" s="44" customFormat="1" ht="12.75"/>
    <row r="222" s="44" customFormat="1" ht="12.75"/>
    <row r="223" s="44" customFormat="1" ht="12.75"/>
    <row r="224" s="44" customFormat="1" ht="12.75"/>
    <row r="225" s="44" customFormat="1" ht="12.75"/>
    <row r="226" s="44" customFormat="1" ht="12.75"/>
    <row r="227" s="44" customFormat="1" ht="12.75"/>
    <row r="228" s="44" customFormat="1" ht="12.75"/>
    <row r="229" s="44" customFormat="1" ht="12.75"/>
    <row r="230" s="44" customFormat="1" ht="12.75"/>
    <row r="231" s="44" customFormat="1" ht="12.75"/>
    <row r="232" s="44" customFormat="1" ht="12.75"/>
    <row r="233" s="44" customFormat="1" ht="12.75"/>
    <row r="234" s="44" customFormat="1" ht="12.75"/>
    <row r="235" s="44" customFormat="1" ht="12.75"/>
    <row r="236" s="44" customFormat="1" ht="12.75"/>
    <row r="237" s="44" customFormat="1" ht="12.75"/>
    <row r="238" s="44" customFormat="1" ht="12.75"/>
    <row r="239" s="44" customFormat="1" ht="12.75"/>
    <row r="240" s="44" customFormat="1" ht="12.75"/>
    <row r="241" s="44" customFormat="1" ht="12.75"/>
    <row r="242" s="44" customFormat="1" ht="12.75"/>
    <row r="243" s="44" customFormat="1" ht="12.75"/>
    <row r="244" s="44" customFormat="1" ht="12.75"/>
    <row r="245" s="44" customFormat="1" ht="12.75"/>
    <row r="246" s="44" customFormat="1" ht="12.75"/>
    <row r="247" s="44" customFormat="1" ht="12.75"/>
    <row r="248" s="44" customFormat="1" ht="12.75"/>
    <row r="249" s="44" customFormat="1" ht="12.75"/>
    <row r="250" s="44" customFormat="1" ht="12.75"/>
    <row r="251" s="44" customFormat="1" ht="12.75"/>
    <row r="252" s="44" customFormat="1" ht="12.75"/>
    <row r="253" s="44" customFormat="1" ht="12.75"/>
    <row r="254" s="44" customFormat="1" ht="12.75"/>
    <row r="255" s="44" customFormat="1" ht="12.75"/>
    <row r="256" s="44" customFormat="1" ht="12.75"/>
    <row r="257" s="44" customFormat="1" ht="12.75"/>
    <row r="258" s="44" customFormat="1" ht="12.75"/>
    <row r="259" s="44" customFormat="1" ht="12.75"/>
    <row r="260" s="44" customFormat="1" ht="12.75"/>
    <row r="261" s="44" customFormat="1" ht="12.75"/>
    <row r="262" s="44" customFormat="1" ht="12.75"/>
    <row r="263" s="44" customFormat="1" ht="12.75"/>
    <row r="264" s="44" customFormat="1" ht="12.75"/>
    <row r="265" s="44" customFormat="1" ht="12.75"/>
    <row r="266" s="44" customFormat="1" ht="12.75"/>
    <row r="267" s="44" customFormat="1" ht="12.75"/>
    <row r="268" s="44" customFormat="1" ht="12.75"/>
    <row r="269" s="44" customFormat="1" ht="12.75"/>
    <row r="270" s="44" customFormat="1" ht="12.75"/>
    <row r="271" s="44" customFormat="1" ht="12.75"/>
    <row r="272" s="44" customFormat="1" ht="12.75"/>
    <row r="273" s="44" customFormat="1" ht="12.75"/>
    <row r="274" s="44" customFormat="1" ht="12.75"/>
    <row r="275" s="44" customFormat="1" ht="12.75"/>
    <row r="276" s="44" customFormat="1" ht="12.75"/>
    <row r="277" s="44" customFormat="1" ht="12.75"/>
    <row r="278" s="44" customFormat="1" ht="12.75"/>
    <row r="279" s="44" customFormat="1" ht="12.75"/>
    <row r="280" s="44" customFormat="1" ht="12.75"/>
    <row r="281" s="44" customFormat="1" ht="12.75"/>
    <row r="282" s="44" customFormat="1" ht="12.75"/>
    <row r="283" s="44" customFormat="1" ht="12.75"/>
    <row r="284" s="44" customFormat="1" ht="12.75"/>
    <row r="285" s="44" customFormat="1" ht="12.75"/>
    <row r="286" s="44" customFormat="1" ht="12.75"/>
    <row r="287" s="44" customFormat="1" ht="12.75"/>
    <row r="288" s="44" customFormat="1" ht="12.75"/>
    <row r="289" s="44" customFormat="1" ht="12.75"/>
    <row r="290" s="44" customFormat="1" ht="12.75"/>
    <row r="291" s="44" customFormat="1" ht="12.75"/>
    <row r="292" s="44" customFormat="1" ht="12.75"/>
    <row r="293" s="44" customFormat="1" ht="12.75"/>
    <row r="294" s="44" customFormat="1" ht="12.75"/>
    <row r="295" s="44" customFormat="1" ht="12.75"/>
    <row r="296" s="44" customFormat="1" ht="12.75"/>
    <row r="297" s="44" customFormat="1" ht="12.75"/>
    <row r="298" s="44" customFormat="1" ht="12.75"/>
    <row r="299" s="44" customFormat="1" ht="12.75"/>
    <row r="300" s="44" customFormat="1" ht="12.75"/>
    <row r="301" s="44" customFormat="1" ht="12.75"/>
    <row r="302" s="44" customFormat="1" ht="12.75"/>
    <row r="303" s="44" customFormat="1" ht="12.75"/>
    <row r="304" s="44" customFormat="1" ht="12.75"/>
    <row r="305" s="44" customFormat="1" ht="12.75"/>
    <row r="306" s="44" customFormat="1" ht="12.75"/>
    <row r="307" s="44" customFormat="1" ht="12.75"/>
    <row r="308" s="44" customFormat="1" ht="12.75"/>
    <row r="309" s="44" customFormat="1" ht="12.75"/>
    <row r="310" s="44" customFormat="1" ht="12.75"/>
    <row r="311" s="44" customFormat="1" ht="12.75"/>
    <row r="312" s="44" customFormat="1" ht="12.75"/>
    <row r="313" s="44" customFormat="1" ht="12.75"/>
    <row r="314" s="44" customFormat="1" ht="12.75"/>
    <row r="315" s="44" customFormat="1" ht="12.75"/>
    <row r="316" s="44" customFormat="1" ht="12.75"/>
    <row r="317" s="44" customFormat="1" ht="12.75"/>
    <row r="318" s="44" customFormat="1" ht="12.75"/>
    <row r="319" s="44" customFormat="1" ht="12.75"/>
    <row r="320" s="44" customFormat="1" ht="12.75"/>
    <row r="321" s="44" customFormat="1" ht="12.75"/>
    <row r="322" s="44" customFormat="1" ht="12.75"/>
    <row r="323" s="44" customFormat="1" ht="12.75"/>
    <row r="324" s="44" customFormat="1" ht="12.75"/>
    <row r="325" s="44" customFormat="1" ht="12.75"/>
    <row r="326" s="44" customFormat="1" ht="12.75"/>
    <row r="327" s="44" customFormat="1" ht="12.75"/>
    <row r="328" s="44" customFormat="1" ht="12.75"/>
    <row r="329" s="44" customFormat="1" ht="12.75"/>
    <row r="330" s="44" customFormat="1" ht="12.75"/>
    <row r="331" s="44" customFormat="1" ht="12.75"/>
    <row r="332" s="44" customFormat="1" ht="12.75"/>
    <row r="333" s="44" customFormat="1" ht="12.75"/>
    <row r="334" s="44" customFormat="1" ht="12.75"/>
    <row r="335" s="44" customFormat="1" ht="12.75"/>
    <row r="336" s="44" customFormat="1" ht="12.75"/>
    <row r="337" s="44" customFormat="1" ht="12.75"/>
    <row r="338" s="44" customFormat="1" ht="12.75"/>
    <row r="339" s="44" customFormat="1" ht="12.75"/>
    <row r="340" s="44" customFormat="1" ht="12.75"/>
    <row r="341" s="44" customFormat="1" ht="12.75"/>
    <row r="342" s="44" customFormat="1" ht="12.75"/>
    <row r="343" s="44" customFormat="1" ht="12.75"/>
    <row r="344" s="44" customFormat="1" ht="12.75"/>
    <row r="345" s="44" customFormat="1" ht="12.75"/>
    <row r="346" s="44" customFormat="1" ht="12.75"/>
    <row r="347" s="44" customFormat="1" ht="12.75"/>
    <row r="348" s="44" customFormat="1" ht="12.75"/>
    <row r="349" s="44" customFormat="1" ht="12.75"/>
    <row r="350" s="44" customFormat="1" ht="12.75"/>
    <row r="351" s="44" customFormat="1" ht="12.75"/>
    <row r="352" s="44" customFormat="1" ht="12.75"/>
    <row r="353" s="44" customFormat="1" ht="12.75"/>
    <row r="354" s="44" customFormat="1" ht="12.75"/>
    <row r="355" s="44" customFormat="1" ht="12.75"/>
    <row r="356" s="44" customFormat="1" ht="12.75"/>
    <row r="357" s="44" customFormat="1" ht="12.75"/>
    <row r="358" s="44" customFormat="1" ht="12.75"/>
    <row r="359" s="44" customFormat="1" ht="12.75"/>
    <row r="360" s="44" customFormat="1" ht="12.75"/>
    <row r="361" s="44" customFormat="1" ht="12.75"/>
    <row r="362" s="44" customFormat="1" ht="12.75"/>
    <row r="363" s="44" customFormat="1" ht="12.75"/>
    <row r="364" s="44" customFormat="1" ht="12.75"/>
    <row r="365" s="44" customFormat="1" ht="12.75"/>
    <row r="366" s="44" customFormat="1" ht="12.75"/>
    <row r="367" s="44" customFormat="1" ht="12.75"/>
    <row r="368" s="44" customFormat="1" ht="12.75"/>
    <row r="369" s="44" customFormat="1" ht="12.75"/>
    <row r="370" s="44" customFormat="1" ht="12.75"/>
    <row r="371" s="44" customFormat="1" ht="12.75"/>
    <row r="372" s="44" customFormat="1" ht="12.75"/>
    <row r="373" s="44" customFormat="1" ht="12.75"/>
    <row r="374" s="44" customFormat="1" ht="12.75"/>
    <row r="375" s="44" customFormat="1" ht="12.75"/>
    <row r="376" s="44" customFormat="1" ht="12.75"/>
    <row r="377" s="44" customFormat="1" ht="12.75"/>
    <row r="378" s="44" customFormat="1" ht="12.75"/>
    <row r="379" s="44" customFormat="1" ht="12.75"/>
    <row r="380" s="44" customFormat="1" ht="12.75"/>
    <row r="381" s="44" customFormat="1" ht="12.75"/>
    <row r="382" s="44" customFormat="1" ht="12.75"/>
    <row r="383" s="44" customFormat="1" ht="12.75"/>
    <row r="384" s="44" customFormat="1" ht="12.75"/>
    <row r="385" s="44" customFormat="1" ht="12.75"/>
    <row r="386" s="44" customFormat="1" ht="12.75"/>
    <row r="387" s="44" customFormat="1" ht="12.75"/>
    <row r="388" s="44" customFormat="1" ht="12.75"/>
    <row r="389" s="44" customFormat="1" ht="12.75"/>
    <row r="390" s="44" customFormat="1" ht="12.75"/>
    <row r="391" s="44" customFormat="1" ht="12.75"/>
    <row r="392" s="44" customFormat="1" ht="12.75"/>
    <row r="393" s="44" customFormat="1" ht="12.75"/>
    <row r="394" s="44" customFormat="1" ht="12.75"/>
    <row r="395" s="44" customFormat="1" ht="12.75"/>
    <row r="396" s="44" customFormat="1" ht="12.75"/>
    <row r="397" s="44" customFormat="1" ht="12.75"/>
    <row r="398" s="44" customFormat="1" ht="12.75"/>
    <row r="399" s="44" customFormat="1" ht="12.75"/>
    <row r="400" s="44" customFormat="1" ht="12.75"/>
    <row r="401" s="44" customFormat="1" ht="12.75"/>
    <row r="402" s="44" customFormat="1" ht="12.75"/>
    <row r="403" s="44" customFormat="1" ht="12.75"/>
    <row r="404" s="44" customFormat="1" ht="12.75"/>
    <row r="405" s="44" customFormat="1" ht="12.75"/>
    <row r="406" s="44" customFormat="1" ht="12.75"/>
    <row r="407" s="44" customFormat="1" ht="12.75"/>
    <row r="408" s="44" customFormat="1" ht="12.75"/>
    <row r="409" s="44" customFormat="1" ht="12.75"/>
    <row r="410" s="44" customFormat="1" ht="12.75"/>
  </sheetData>
  <sheetProtection/>
  <mergeCells count="5">
    <mergeCell ref="B32:C32"/>
    <mergeCell ref="E32:F32"/>
    <mergeCell ref="H32:I32"/>
    <mergeCell ref="B73:C73"/>
    <mergeCell ref="D73:E73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G1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42" customWidth="1"/>
    <col min="2" max="2" width="59.28125" style="42" customWidth="1"/>
    <col min="3" max="5" width="21.7109375" style="42" customWidth="1"/>
    <col min="6" max="6" width="7.28125" style="42" customWidth="1"/>
    <col min="7" max="7" width="60.8515625" style="164" customWidth="1"/>
    <col min="8" max="16384" width="9.140625" style="42" customWidth="1"/>
  </cols>
  <sheetData>
    <row r="1" spans="2:7" ht="15">
      <c r="B1" s="294" t="s">
        <v>172</v>
      </c>
      <c r="C1" s="51" t="s">
        <v>280</v>
      </c>
      <c r="D1" s="164"/>
      <c r="G1" s="42"/>
    </row>
    <row r="2" spans="2:7" ht="15.75" thickBot="1">
      <c r="B2" s="80"/>
      <c r="C2" s="347" t="str">
        <f>Inputs!C4</f>
        <v>Case Study State</v>
      </c>
      <c r="D2" s="204" t="s">
        <v>263</v>
      </c>
      <c r="G2" s="42"/>
    </row>
    <row r="3" spans="2:7" ht="12.75">
      <c r="B3" s="150" t="s">
        <v>4</v>
      </c>
      <c r="D3" s="164"/>
      <c r="G3" s="42"/>
    </row>
    <row r="4" spans="2:7" ht="12.75">
      <c r="B4" s="51" t="s">
        <v>131</v>
      </c>
      <c r="C4" s="54">
        <f>60/C5</f>
        <v>1.5260329805160153</v>
      </c>
      <c r="D4" s="47" t="s">
        <v>289</v>
      </c>
      <c r="G4" s="42"/>
    </row>
    <row r="5" spans="2:7" ht="39">
      <c r="B5" s="42" t="s">
        <v>665</v>
      </c>
      <c r="C5" s="269">
        <f>'Base Case'!C43</f>
        <v>39.317629937271406</v>
      </c>
      <c r="D5" s="47" t="s">
        <v>281</v>
      </c>
      <c r="G5" s="42"/>
    </row>
    <row r="6" spans="2:7" ht="12.75">
      <c r="B6" s="42" t="s">
        <v>3</v>
      </c>
      <c r="C6" s="269">
        <f>Inputs!C19</f>
        <v>10</v>
      </c>
      <c r="E6" s="47"/>
      <c r="G6" s="42"/>
    </row>
    <row r="7" spans="2:7" ht="12.75">
      <c r="B7" s="42" t="s">
        <v>74</v>
      </c>
      <c r="C7" s="54">
        <f>+C6*60/C5</f>
        <v>15.260329805160154</v>
      </c>
      <c r="E7" s="47"/>
      <c r="G7" s="42"/>
    </row>
    <row r="8" spans="2:7" ht="12.75">
      <c r="B8" s="42" t="s">
        <v>663</v>
      </c>
      <c r="C8" s="54">
        <f>'Base Case'!C76</f>
        <v>22.847577329064702</v>
      </c>
      <c r="E8" s="47"/>
      <c r="G8" s="42"/>
    </row>
    <row r="9" spans="2:7" ht="12.75">
      <c r="B9" s="42" t="s">
        <v>664</v>
      </c>
      <c r="C9" s="175">
        <f>'Traffic  Impacts'!B63</f>
        <v>20.845005083451756</v>
      </c>
      <c r="E9" s="47"/>
      <c r="G9" s="42"/>
    </row>
    <row r="10" spans="2:7" ht="12.75">
      <c r="B10" s="42" t="s">
        <v>560</v>
      </c>
      <c r="C10" s="269">
        <f>Inputs!C15</f>
        <v>60</v>
      </c>
      <c r="E10" s="47"/>
      <c r="G10" s="42"/>
    </row>
    <row r="11" spans="2:7" ht="12.75">
      <c r="B11" s="42" t="s">
        <v>75</v>
      </c>
      <c r="C11" s="54">
        <f>+C6*60/C10</f>
        <v>10</v>
      </c>
      <c r="E11" s="47"/>
      <c r="G11" s="42"/>
    </row>
    <row r="12" spans="2:7" ht="12.75">
      <c r="B12" s="42" t="s">
        <v>76</v>
      </c>
      <c r="C12" s="54">
        <f>+C7-C11</f>
        <v>5.260329805160154</v>
      </c>
      <c r="E12" s="47"/>
      <c r="G12" s="42"/>
    </row>
    <row r="13" spans="3:7" ht="12.75">
      <c r="C13" s="54"/>
      <c r="E13" s="47"/>
      <c r="G13" s="42"/>
    </row>
    <row r="14" spans="2:7" ht="12.75">
      <c r="B14" s="150" t="s">
        <v>328</v>
      </c>
      <c r="C14" s="54"/>
      <c r="E14" s="47"/>
      <c r="G14" s="42"/>
    </row>
    <row r="15" spans="2:7" ht="39" hidden="1">
      <c r="B15" s="42" t="s">
        <v>325</v>
      </c>
      <c r="C15" s="54">
        <f>C5/C8</f>
        <v>1.720866478357639</v>
      </c>
      <c r="E15" s="47" t="s">
        <v>61</v>
      </c>
      <c r="G15" s="42"/>
    </row>
    <row r="16" spans="2:7" ht="12.75" hidden="1">
      <c r="B16" s="42" t="s">
        <v>323</v>
      </c>
      <c r="C16" s="54">
        <f>+C15*C7</f>
        <v>26.26099001038207</v>
      </c>
      <c r="E16" s="47"/>
      <c r="G16" s="42"/>
    </row>
    <row r="17" spans="2:7" ht="12.75" hidden="1">
      <c r="B17" s="42" t="s">
        <v>324</v>
      </c>
      <c r="C17" s="54">
        <f>+C16-C11</f>
        <v>16.26099001038207</v>
      </c>
      <c r="E17" s="47"/>
      <c r="G17" s="42"/>
    </row>
    <row r="18" spans="2:7" ht="12.75">
      <c r="B18" s="42" t="s">
        <v>326</v>
      </c>
      <c r="C18" s="54">
        <f>60*10/C9</f>
        <v>28.783874007127135</v>
      </c>
      <c r="E18" s="47"/>
      <c r="G18" s="42"/>
    </row>
    <row r="19" spans="2:7" ht="12.75">
      <c r="B19" s="42" t="s">
        <v>327</v>
      </c>
      <c r="C19" s="54">
        <f>C18-C11</f>
        <v>18.783874007127135</v>
      </c>
      <c r="E19" s="47"/>
      <c r="G19" s="42"/>
    </row>
    <row r="20" spans="3:7" ht="12.75">
      <c r="C20" s="150"/>
      <c r="E20" s="47">
        <f>39.1/1.25</f>
        <v>31.28</v>
      </c>
      <c r="G20" s="42"/>
    </row>
    <row r="21" spans="2:7" ht="12.75">
      <c r="B21" s="150" t="s">
        <v>15</v>
      </c>
      <c r="E21" s="47"/>
      <c r="G21" s="42"/>
    </row>
    <row r="22" spans="2:7" ht="12.75">
      <c r="B22" s="42" t="s">
        <v>292</v>
      </c>
      <c r="C22" s="159">
        <f>'Values of Time'!C53</f>
        <v>23.77037054506934</v>
      </c>
      <c r="E22" s="47"/>
      <c r="G22" s="42"/>
    </row>
    <row r="23" spans="2:7" ht="12.75" hidden="1">
      <c r="B23" s="42" t="s">
        <v>291</v>
      </c>
      <c r="C23" s="159">
        <f>+C22*C12/60</f>
        <v>2.083999810965488</v>
      </c>
      <c r="E23" s="47"/>
      <c r="G23" s="42"/>
    </row>
    <row r="24" spans="2:7" ht="12.75">
      <c r="B24" s="42" t="s">
        <v>293</v>
      </c>
      <c r="C24" s="159">
        <f>'Values of Time'!C54</f>
        <v>63.38008047101188</v>
      </c>
      <c r="E24" s="47"/>
      <c r="G24" s="42"/>
    </row>
    <row r="25" spans="2:7" ht="12.75" hidden="1">
      <c r="B25" s="42" t="s">
        <v>294</v>
      </c>
      <c r="C25" s="159">
        <f>C24*C12/60</f>
        <v>5.556668772585214</v>
      </c>
      <c r="E25" s="47"/>
      <c r="G25" s="42"/>
    </row>
    <row r="26" spans="2:7" ht="12.75">
      <c r="B26" s="42" t="s">
        <v>290</v>
      </c>
      <c r="C26" s="176">
        <f>'Values of Time'!C44</f>
        <v>0.08</v>
      </c>
      <c r="E26" s="47"/>
      <c r="G26" s="42"/>
    </row>
    <row r="27" spans="2:7" ht="12.75">
      <c r="B27" s="42" t="s">
        <v>296</v>
      </c>
      <c r="C27" s="160">
        <f>'Values of Time'!C55</f>
        <v>26.939147339144746</v>
      </c>
      <c r="E27" s="47"/>
      <c r="G27" s="42"/>
    </row>
    <row r="28" spans="2:7" ht="12.75" hidden="1">
      <c r="B28" s="42" t="s">
        <v>295</v>
      </c>
      <c r="C28" s="160">
        <f>C26*C25+(1-C26)*C23</f>
        <v>2.3618133278950664</v>
      </c>
      <c r="E28" s="47"/>
      <c r="G28" s="42"/>
    </row>
    <row r="29" spans="2:7" ht="12.75" hidden="1">
      <c r="B29" s="42" t="s">
        <v>12</v>
      </c>
      <c r="C29" s="42">
        <v>0.042</v>
      </c>
      <c r="E29" s="47"/>
      <c r="G29" s="42"/>
    </row>
    <row r="30" spans="2:7" ht="12.75" hidden="1">
      <c r="B30" s="42" t="s">
        <v>11</v>
      </c>
      <c r="C30" s="160">
        <f>Inputs!C20</f>
        <v>2.62</v>
      </c>
      <c r="E30" s="47"/>
      <c r="G30" s="42"/>
    </row>
    <row r="31" spans="2:7" ht="12.75" hidden="1">
      <c r="B31" s="42" t="s">
        <v>13</v>
      </c>
      <c r="C31" s="160">
        <f>+C30*C29</f>
        <v>0.11004000000000001</v>
      </c>
      <c r="E31" s="47"/>
      <c r="G31" s="42"/>
    </row>
    <row r="32" spans="2:7" ht="12.75" hidden="1">
      <c r="B32" s="42" t="s">
        <v>14</v>
      </c>
      <c r="C32" s="160">
        <f>+C31*C12</f>
        <v>0.5788466917598234</v>
      </c>
      <c r="E32" s="47"/>
      <c r="G32" s="42"/>
    </row>
    <row r="33" spans="2:7" ht="12.75" hidden="1">
      <c r="B33" s="42" t="s">
        <v>77</v>
      </c>
      <c r="C33" s="160">
        <f>+C28+C32</f>
        <v>2.9406600196548895</v>
      </c>
      <c r="E33" s="47"/>
      <c r="G33" s="42"/>
    </row>
    <row r="34" spans="3:7" ht="12.75">
      <c r="C34" s="160"/>
      <c r="E34" s="47"/>
      <c r="G34" s="42"/>
    </row>
    <row r="35" spans="2:7" ht="12.75">
      <c r="B35" s="150" t="s">
        <v>678</v>
      </c>
      <c r="E35" s="47"/>
      <c r="G35" s="42"/>
    </row>
    <row r="36" spans="2:7" ht="12.75">
      <c r="B36" s="51" t="s">
        <v>653</v>
      </c>
      <c r="C36" s="61">
        <f>-(C55*'Traffic  Impacts'!C54)/(1+C55*(1-'Traffic  Impacts'!C54))</f>
        <v>0.05642280446659718</v>
      </c>
      <c r="E36" s="47"/>
      <c r="G36" s="42"/>
    </row>
    <row r="37" spans="2:7" ht="12.75">
      <c r="B37" s="42" t="s">
        <v>625</v>
      </c>
      <c r="C37" s="162">
        <f>(C19/60)*LOGINV(C36,LN(C22),0.25*LN(C22))/10</f>
        <v>0.2119496753533207</v>
      </c>
      <c r="E37" s="47"/>
      <c r="G37" s="42"/>
    </row>
    <row r="38" spans="2:7" ht="12.75">
      <c r="B38" s="51" t="s">
        <v>626</v>
      </c>
      <c r="C38" s="160">
        <f>C37*C24/C22</f>
        <v>0.5651315975166732</v>
      </c>
      <c r="E38" s="47"/>
      <c r="G38" s="42"/>
    </row>
    <row r="39" spans="2:7" ht="39">
      <c r="B39" s="42" t="s">
        <v>627</v>
      </c>
      <c r="C39" s="162">
        <f>(1-C26)*C37+C26*C38</f>
        <v>0.24020422912638892</v>
      </c>
      <c r="E39" s="47" t="s">
        <v>288</v>
      </c>
      <c r="G39" s="42"/>
    </row>
    <row r="40" spans="3:7" ht="12.75" hidden="1">
      <c r="C40" s="160"/>
      <c r="E40" s="47"/>
      <c r="G40" s="42"/>
    </row>
    <row r="41" spans="2:7" ht="12.75" hidden="1">
      <c r="B41" s="51"/>
      <c r="C41" s="77"/>
      <c r="E41" s="47"/>
      <c r="G41" s="42"/>
    </row>
    <row r="42" spans="2:7" ht="12.75" hidden="1">
      <c r="B42" s="51"/>
      <c r="C42" s="160"/>
      <c r="E42" s="47"/>
      <c r="G42" s="42"/>
    </row>
    <row r="43" spans="2:7" ht="13.5" thickBot="1">
      <c r="B43" s="80"/>
      <c r="C43" s="171"/>
      <c r="E43" s="47"/>
      <c r="G43" s="42"/>
    </row>
    <row r="44" spans="2:7" ht="12.75">
      <c r="B44" s="51"/>
      <c r="C44" s="163"/>
      <c r="E44" s="47"/>
      <c r="G44" s="42"/>
    </row>
    <row r="45" spans="2:7" ht="15">
      <c r="B45" s="135" t="s">
        <v>177</v>
      </c>
      <c r="C45" s="160"/>
      <c r="E45" s="47"/>
      <c r="G45" s="42"/>
    </row>
    <row r="46" spans="2:7" ht="15.75" thickBot="1">
      <c r="B46" s="80"/>
      <c r="C46" s="347" t="str">
        <f>Inputs!C4</f>
        <v>Case Study State</v>
      </c>
      <c r="E46" s="47"/>
      <c r="G46" s="42"/>
    </row>
    <row r="47" spans="2:7" ht="12.75">
      <c r="B47" s="51" t="s">
        <v>134</v>
      </c>
      <c r="C47" s="263">
        <f>Inputs!C7*1000000/365</f>
        <v>52567123.28767123</v>
      </c>
      <c r="E47" s="47"/>
      <c r="G47" s="42"/>
    </row>
    <row r="48" spans="2:7" ht="14.25" customHeight="1">
      <c r="B48" s="51" t="s">
        <v>654</v>
      </c>
      <c r="C48" s="166">
        <f>'Base Case'!B15</f>
        <v>0.2869859005658384</v>
      </c>
      <c r="E48" s="47"/>
      <c r="G48" s="42"/>
    </row>
    <row r="49" spans="2:7" ht="15.75" customHeight="1">
      <c r="B49" s="51" t="s">
        <v>655</v>
      </c>
      <c r="C49" s="46">
        <f>+C47*C48</f>
        <v>15086023.216867784</v>
      </c>
      <c r="E49" s="47"/>
      <c r="G49" s="42"/>
    </row>
    <row r="50" spans="2:7" ht="15" customHeight="1" hidden="1">
      <c r="B50" s="51" t="s">
        <v>206</v>
      </c>
      <c r="C50" s="46">
        <f>+C93</f>
        <v>3180</v>
      </c>
      <c r="E50" s="47"/>
      <c r="G50" s="42"/>
    </row>
    <row r="51" spans="2:7" ht="12.75" hidden="1">
      <c r="B51" s="42" t="s">
        <v>78</v>
      </c>
      <c r="C51" s="46">
        <f>+C49/C93/C53</f>
        <v>593.0040572668154</v>
      </c>
      <c r="E51" s="47"/>
      <c r="G51" s="42"/>
    </row>
    <row r="52" spans="2:7" ht="26.25" hidden="1">
      <c r="B52" s="42" t="s">
        <v>18</v>
      </c>
      <c r="C52" s="177">
        <f>Inputs!C27</f>
        <v>6</v>
      </c>
      <c r="E52" s="47" t="s">
        <v>59</v>
      </c>
      <c r="G52" s="42"/>
    </row>
    <row r="53" spans="2:7" ht="39" hidden="1">
      <c r="B53" s="42" t="s">
        <v>303</v>
      </c>
      <c r="C53" s="42">
        <v>8</v>
      </c>
      <c r="E53" s="47" t="s">
        <v>60</v>
      </c>
      <c r="G53" s="42"/>
    </row>
    <row r="54" spans="2:7" ht="12.75" hidden="1">
      <c r="B54" s="42" t="s">
        <v>322</v>
      </c>
      <c r="C54" s="46">
        <f>+C51*C52*C53</f>
        <v>28464.19474880714</v>
      </c>
      <c r="E54" s="47"/>
      <c r="G54" s="42"/>
    </row>
    <row r="55" spans="2:7" ht="12" customHeight="1">
      <c r="B55" s="42" t="s">
        <v>666</v>
      </c>
      <c r="C55" s="165">
        <f>'Traffic  Impacts'!C23/C49</f>
        <v>-0.09785563783485021</v>
      </c>
      <c r="E55" s="47"/>
      <c r="G55" s="42"/>
    </row>
    <row r="56" spans="2:7" ht="12.75" hidden="1">
      <c r="B56" s="130" t="s">
        <v>321</v>
      </c>
      <c r="C56" s="46">
        <f>(1+C55)*C54</f>
        <v>25678.81281620722</v>
      </c>
      <c r="E56" s="47"/>
      <c r="G56" s="42"/>
    </row>
    <row r="57" spans="2:7" ht="12.75">
      <c r="B57" s="42" t="s">
        <v>321</v>
      </c>
      <c r="C57" s="46">
        <f>(1+C55)*C49</f>
        <v>13609770.792589828</v>
      </c>
      <c r="E57" s="47"/>
      <c r="G57" s="42"/>
    </row>
    <row r="58" spans="2:7" ht="12.75" hidden="1">
      <c r="B58" s="42" t="s">
        <v>320</v>
      </c>
      <c r="C58" s="46">
        <f>C54-C56</f>
        <v>2785.3819325999175</v>
      </c>
      <c r="E58" s="47"/>
      <c r="G58" s="42"/>
    </row>
    <row r="59" spans="2:7" ht="12.75">
      <c r="B59" s="42" t="s">
        <v>154</v>
      </c>
      <c r="C59" s="165">
        <v>0.004</v>
      </c>
      <c r="E59" s="178"/>
      <c r="G59" s="42"/>
    </row>
    <row r="60" spans="3:7" ht="12.75" hidden="1">
      <c r="C60" s="165"/>
      <c r="E60" s="178"/>
      <c r="G60" s="42"/>
    </row>
    <row r="61" spans="2:7" ht="12.75" hidden="1">
      <c r="B61" s="42" t="s">
        <v>155</v>
      </c>
      <c r="C61" s="46">
        <f>C59*C56</f>
        <v>102.71525126482888</v>
      </c>
      <c r="E61" s="47"/>
      <c r="G61" s="42"/>
    </row>
    <row r="62" spans="2:7" ht="12.75" hidden="1">
      <c r="B62" s="42" t="s">
        <v>156</v>
      </c>
      <c r="C62" s="165">
        <v>0</v>
      </c>
      <c r="E62" s="47"/>
      <c r="G62" s="42"/>
    </row>
    <row r="63" spans="2:7" ht="12.75" hidden="1">
      <c r="B63" s="42" t="s">
        <v>157</v>
      </c>
      <c r="C63" s="46">
        <f>+C51*C62</f>
        <v>0</v>
      </c>
      <c r="E63" s="47"/>
      <c r="G63" s="42"/>
    </row>
    <row r="64" spans="2:7" ht="12.75" hidden="1">
      <c r="B64" s="42" t="s">
        <v>158</v>
      </c>
      <c r="C64" s="46">
        <f>+C56-C61-C63</f>
        <v>25576.097564942393</v>
      </c>
      <c r="E64" s="47"/>
      <c r="G64" s="42"/>
    </row>
    <row r="65" spans="2:7" ht="12.75" hidden="1">
      <c r="B65" s="42" t="s">
        <v>160</v>
      </c>
      <c r="C65" s="166">
        <v>1</v>
      </c>
      <c r="E65" s="47"/>
      <c r="G65" s="42"/>
    </row>
    <row r="66" spans="2:7" ht="12.75" hidden="1">
      <c r="B66" s="42" t="s">
        <v>159</v>
      </c>
      <c r="C66" s="46">
        <f>+C64+(C63*C65)</f>
        <v>25576.097564942393</v>
      </c>
      <c r="E66" s="47"/>
      <c r="G66" s="42"/>
    </row>
    <row r="67" spans="2:7" ht="12.75">
      <c r="B67" s="42" t="s">
        <v>487</v>
      </c>
      <c r="C67" s="46">
        <f>+C57*C59</f>
        <v>54439.083170359314</v>
      </c>
      <c r="E67" s="47"/>
      <c r="G67" s="42"/>
    </row>
    <row r="68" spans="2:7" ht="12.75" hidden="1">
      <c r="B68" s="42" t="s">
        <v>156</v>
      </c>
      <c r="C68" s="165">
        <v>0</v>
      </c>
      <c r="E68" s="47"/>
      <c r="G68" s="42"/>
    </row>
    <row r="69" spans="2:7" ht="12.75" hidden="1">
      <c r="B69" s="42" t="s">
        <v>157</v>
      </c>
      <c r="C69" s="46">
        <f>+C57*C68</f>
        <v>0</v>
      </c>
      <c r="E69" s="47"/>
      <c r="G69" s="42"/>
    </row>
    <row r="70" spans="2:7" ht="12.75">
      <c r="B70" s="42" t="s">
        <v>488</v>
      </c>
      <c r="C70" s="46">
        <f>+C57-C67-C69</f>
        <v>13555331.709419468</v>
      </c>
      <c r="E70" s="47"/>
      <c r="G70" s="42"/>
    </row>
    <row r="71" spans="2:7" ht="12.75" hidden="1">
      <c r="B71" s="42" t="s">
        <v>160</v>
      </c>
      <c r="C71" s="166">
        <v>1</v>
      </c>
      <c r="E71" s="47"/>
      <c r="G71" s="42"/>
    </row>
    <row r="72" spans="2:7" ht="13.5" hidden="1" thickBot="1">
      <c r="B72" s="80" t="s">
        <v>489</v>
      </c>
      <c r="C72" s="106">
        <f>+C70+(C69*C71)</f>
        <v>13555331.709419468</v>
      </c>
      <c r="E72" s="47"/>
      <c r="G72" s="42"/>
    </row>
    <row r="73" spans="3:7" ht="12.75">
      <c r="C73" s="46"/>
      <c r="E73" s="47"/>
      <c r="G73" s="42"/>
    </row>
    <row r="74" spans="2:7" ht="12.75" hidden="1">
      <c r="B74" s="150" t="s">
        <v>79</v>
      </c>
      <c r="C74" s="46"/>
      <c r="E74" s="47"/>
      <c r="G74" s="42"/>
    </row>
    <row r="75" spans="2:7" ht="12.75" hidden="1">
      <c r="B75" s="51" t="s">
        <v>161</v>
      </c>
      <c r="C75" s="131">
        <f>+C42*C61</f>
        <v>0</v>
      </c>
      <c r="E75" s="47"/>
      <c r="G75" s="42"/>
    </row>
    <row r="76" spans="2:7" ht="12.75" hidden="1">
      <c r="B76" s="51" t="s">
        <v>162</v>
      </c>
      <c r="C76" s="131">
        <v>0</v>
      </c>
      <c r="E76" s="47"/>
      <c r="G76" s="42"/>
    </row>
    <row r="77" spans="2:7" ht="12.75" hidden="1">
      <c r="B77" s="42" t="s">
        <v>6</v>
      </c>
      <c r="C77" s="46">
        <f>C56*C12</f>
        <v>135079.0244182234</v>
      </c>
      <c r="E77" s="47"/>
      <c r="G77" s="42"/>
    </row>
    <row r="78" spans="2:7" ht="12.75" hidden="1">
      <c r="B78" s="42" t="s">
        <v>5</v>
      </c>
      <c r="C78" s="46">
        <f>+C77/C58</f>
        <v>48.495692040386935</v>
      </c>
      <c r="E78" s="47"/>
      <c r="G78" s="42"/>
    </row>
    <row r="79" spans="2:7" ht="12.75" hidden="1">
      <c r="B79" s="42" t="s">
        <v>7</v>
      </c>
      <c r="C79" s="160">
        <v>10.6</v>
      </c>
      <c r="E79" s="47"/>
      <c r="G79" s="42"/>
    </row>
    <row r="80" spans="2:7" ht="12.75" hidden="1">
      <c r="B80" s="42" t="s">
        <v>8</v>
      </c>
      <c r="C80" s="160">
        <f>+(C78/60)*C79</f>
        <v>8.567572260468358</v>
      </c>
      <c r="E80" s="47"/>
      <c r="G80" s="42"/>
    </row>
    <row r="81" spans="2:7" ht="12.75" hidden="1">
      <c r="B81" s="51" t="s">
        <v>19</v>
      </c>
      <c r="C81" s="131">
        <f>+C66*C40</f>
        <v>0</v>
      </c>
      <c r="E81" s="47"/>
      <c r="G81" s="42"/>
    </row>
    <row r="82" spans="2:7" ht="12.75" hidden="1">
      <c r="B82" s="51" t="s">
        <v>72</v>
      </c>
      <c r="C82" s="160">
        <f>0.5*C27</f>
        <v>13.469573669572373</v>
      </c>
      <c r="E82" s="47"/>
      <c r="G82" s="42"/>
    </row>
    <row r="83" spans="2:7" ht="12.75" hidden="1">
      <c r="B83" s="51" t="s">
        <v>80</v>
      </c>
      <c r="C83" s="131">
        <f>-0.5*C58*((C11*C82/60+C37)-(C7*C82/60))</f>
        <v>1349.457644748372</v>
      </c>
      <c r="E83" s="47"/>
      <c r="G83" s="42"/>
    </row>
    <row r="84" spans="2:7" ht="12.75" hidden="1">
      <c r="B84" s="51" t="s">
        <v>16</v>
      </c>
      <c r="C84" s="131">
        <f>+C37*C66</f>
        <v>5420.845575694397</v>
      </c>
      <c r="E84" s="47"/>
      <c r="G84" s="42"/>
    </row>
    <row r="85" spans="2:7" ht="12.75" hidden="1">
      <c r="B85" s="51" t="s">
        <v>28</v>
      </c>
      <c r="C85" s="131">
        <v>0</v>
      </c>
      <c r="E85" s="47"/>
      <c r="G85" s="42"/>
    </row>
    <row r="86" spans="2:7" ht="12.75" hidden="1">
      <c r="B86" s="51" t="s">
        <v>17</v>
      </c>
      <c r="C86" s="131">
        <f>+C75+C76+C81+C83+C84+C85</f>
        <v>6770.303220442769</v>
      </c>
      <c r="E86" s="47"/>
      <c r="G86" s="42"/>
    </row>
    <row r="87" spans="2:7" ht="12.75">
      <c r="B87" s="51"/>
      <c r="C87" s="131"/>
      <c r="E87" s="47"/>
      <c r="G87" s="42"/>
    </row>
    <row r="88" spans="2:7" ht="15">
      <c r="B88" s="135" t="s">
        <v>178</v>
      </c>
      <c r="C88" s="162"/>
      <c r="E88" s="47"/>
      <c r="G88" s="42"/>
    </row>
    <row r="89" spans="2:7" ht="15.75" thickBot="1">
      <c r="B89" s="78"/>
      <c r="C89" s="347" t="str">
        <f>Inputs!C4</f>
        <v>Case Study State</v>
      </c>
      <c r="E89" s="179"/>
      <c r="G89" s="42"/>
    </row>
    <row r="90" spans="2:7" ht="12" customHeight="1">
      <c r="B90" s="42" t="s">
        <v>50</v>
      </c>
      <c r="C90" s="271">
        <f>Inputs!C21</f>
        <v>250</v>
      </c>
      <c r="E90" s="164"/>
      <c r="G90" s="42"/>
    </row>
    <row r="91" spans="2:7" ht="12.75" hidden="1">
      <c r="B91" s="42" t="s">
        <v>97</v>
      </c>
      <c r="C91" s="46">
        <f>+(C63+C64)*C90/C52</f>
        <v>1065670.7318725998</v>
      </c>
      <c r="E91" s="164"/>
      <c r="G91" s="42"/>
    </row>
    <row r="92" spans="2:7" ht="12.75" hidden="1">
      <c r="B92" s="42" t="s">
        <v>98</v>
      </c>
      <c r="C92" s="131">
        <f>+C86*C90/C52</f>
        <v>282095.9675184487</v>
      </c>
      <c r="E92" s="164"/>
      <c r="G92" s="42"/>
    </row>
    <row r="93" spans="2:7" ht="12.75" hidden="1">
      <c r="B93" s="42" t="s">
        <v>100</v>
      </c>
      <c r="C93" s="46">
        <f>Inputs!C24</f>
        <v>3180</v>
      </c>
      <c r="E93" s="164"/>
      <c r="G93" s="42"/>
    </row>
    <row r="94" spans="2:7" ht="12.75" hidden="1">
      <c r="B94" s="42" t="s">
        <v>101</v>
      </c>
      <c r="C94" s="46">
        <f>(+C91/+C6)*C93</f>
        <v>338883292.73548675</v>
      </c>
      <c r="E94" s="164"/>
      <c r="G94" s="42"/>
    </row>
    <row r="95" spans="2:7" ht="12.75" hidden="1">
      <c r="B95" s="42" t="s">
        <v>138</v>
      </c>
      <c r="C95" s="141">
        <f>+C92*C93/+C6</f>
        <v>89706517.6708667</v>
      </c>
      <c r="E95" s="164"/>
      <c r="G95" s="42"/>
    </row>
    <row r="96" spans="5:7" ht="12.75" hidden="1">
      <c r="E96" s="164"/>
      <c r="G96" s="42"/>
    </row>
    <row r="97" spans="2:7" ht="12.75" hidden="1">
      <c r="B97" s="42" t="s">
        <v>99</v>
      </c>
      <c r="C97" s="131">
        <f>+C84*C90/C52</f>
        <v>225868.5656539332</v>
      </c>
      <c r="E97" s="164"/>
      <c r="G97" s="42"/>
    </row>
    <row r="98" spans="2:7" ht="12.75" hidden="1">
      <c r="B98" s="42" t="s">
        <v>57</v>
      </c>
      <c r="C98" s="141">
        <f>+C97*C93/10</f>
        <v>71826203.87795076</v>
      </c>
      <c r="E98" s="164"/>
      <c r="G98" s="42"/>
    </row>
    <row r="99" spans="2:7" ht="12.75">
      <c r="B99" s="42" t="s">
        <v>57</v>
      </c>
      <c r="C99" s="141">
        <f>C70*C39*C90</f>
        <v>814012000.9533998</v>
      </c>
      <c r="D99" s="131"/>
      <c r="E99" s="164"/>
      <c r="G99" s="42"/>
    </row>
    <row r="100" spans="2:7" ht="12.75">
      <c r="B100" s="42" t="s">
        <v>118</v>
      </c>
      <c r="C100" s="263">
        <f>Inputs!C45</f>
        <v>4753000</v>
      </c>
      <c r="E100" s="164"/>
      <c r="G100" s="42"/>
    </row>
    <row r="101" spans="2:7" ht="12.75" hidden="1">
      <c r="B101" s="42" t="s">
        <v>141</v>
      </c>
      <c r="C101" s="46">
        <f>+C100*0.69</f>
        <v>3279569.9999999995</v>
      </c>
      <c r="E101" s="164"/>
      <c r="G101" s="42"/>
    </row>
    <row r="102" spans="2:7" ht="12.75" hidden="1">
      <c r="B102" s="42" t="s">
        <v>119</v>
      </c>
      <c r="C102" s="263">
        <f>Inputs!C18</f>
        <v>1336943</v>
      </c>
      <c r="E102" s="164"/>
      <c r="G102" s="42"/>
    </row>
    <row r="103" spans="2:7" ht="12.75" hidden="1">
      <c r="B103" s="42" t="s">
        <v>163</v>
      </c>
      <c r="C103" s="46">
        <f>C90*C49</f>
        <v>3771505804.216946</v>
      </c>
      <c r="E103" s="164"/>
      <c r="G103" s="42"/>
    </row>
    <row r="104" spans="2:7" ht="12.75" hidden="1">
      <c r="B104" s="42" t="s">
        <v>164</v>
      </c>
      <c r="C104" s="46">
        <f>C90*C57</f>
        <v>3402442698.147457</v>
      </c>
      <c r="E104" s="164"/>
      <c r="G104" s="42"/>
    </row>
    <row r="105" spans="2:7" ht="12.75" hidden="1">
      <c r="B105" s="42" t="s">
        <v>116</v>
      </c>
      <c r="C105" s="46">
        <f>+C104*(+C12/C6)/60</f>
        <v>29829951.225691006</v>
      </c>
      <c r="E105" s="164"/>
      <c r="G105" s="42"/>
    </row>
    <row r="106" spans="2:7" ht="12.75" hidden="1">
      <c r="B106" s="42" t="s">
        <v>117</v>
      </c>
      <c r="C106" s="46">
        <f>+C105/C100</f>
        <v>6.2760259258765005</v>
      </c>
      <c r="E106" s="164"/>
      <c r="G106" s="42"/>
    </row>
    <row r="107" spans="2:7" ht="12.75" hidden="1">
      <c r="B107" s="42" t="s">
        <v>120</v>
      </c>
      <c r="C107" s="46">
        <f>+C105/C102</f>
        <v>22.31205909727715</v>
      </c>
      <c r="E107" s="164"/>
      <c r="G107" s="42"/>
    </row>
    <row r="108" spans="3:7" ht="12.75" hidden="1">
      <c r="C108" s="46"/>
      <c r="E108" s="164"/>
      <c r="G108" s="42"/>
    </row>
    <row r="109" spans="2:7" ht="12.75" hidden="1">
      <c r="B109" s="42" t="s">
        <v>121</v>
      </c>
      <c r="C109" s="46">
        <f>+C29*60*C105</f>
        <v>75171477.08874133</v>
      </c>
      <c r="E109" s="164"/>
      <c r="G109" s="42"/>
    </row>
    <row r="110" spans="2:7" ht="12.75" hidden="1">
      <c r="B110" s="42" t="s">
        <v>122</v>
      </c>
      <c r="C110" s="46">
        <f>+C109/C100</f>
        <v>15.81558533320878</v>
      </c>
      <c r="E110" s="164"/>
      <c r="G110" s="42"/>
    </row>
    <row r="111" spans="2:7" ht="12.75" hidden="1">
      <c r="B111" s="42" t="s">
        <v>123</v>
      </c>
      <c r="C111" s="46">
        <f>+C109/C102</f>
        <v>56.226388925138416</v>
      </c>
      <c r="E111" s="164"/>
      <c r="G111" s="42"/>
    </row>
    <row r="112" spans="5:7" ht="12.75" hidden="1">
      <c r="E112" s="164"/>
      <c r="G112" s="42"/>
    </row>
    <row r="113" spans="2:7" ht="12.75" hidden="1">
      <c r="B113" s="42" t="s">
        <v>477</v>
      </c>
      <c r="E113" s="164"/>
      <c r="G113" s="42"/>
    </row>
    <row r="114" spans="2:7" ht="12.75" hidden="1">
      <c r="B114" s="42" t="s">
        <v>132</v>
      </c>
      <c r="C114" s="263">
        <f>Inputs!C22</f>
        <v>0</v>
      </c>
      <c r="E114" s="164"/>
      <c r="G114" s="42"/>
    </row>
    <row r="115" spans="2:7" ht="12.75" hidden="1">
      <c r="B115" s="42" t="s">
        <v>135</v>
      </c>
      <c r="C115" s="46">
        <f>+C114/C102</f>
        <v>0</v>
      </c>
      <c r="E115" s="344"/>
      <c r="G115" s="42"/>
    </row>
    <row r="116" spans="2:5" s="313" customFormat="1" ht="12.75" hidden="1">
      <c r="B116" s="313" t="s">
        <v>133</v>
      </c>
      <c r="C116" s="315">
        <v>407000000</v>
      </c>
      <c r="E116" s="316"/>
    </row>
    <row r="117" spans="2:5" s="313" customFormat="1" ht="12.75" hidden="1">
      <c r="B117" s="313" t="s">
        <v>136</v>
      </c>
      <c r="C117" s="315">
        <f>+C116/C102</f>
        <v>304.4258431361696</v>
      </c>
      <c r="E117" s="316"/>
    </row>
    <row r="118" spans="3:5" s="313" customFormat="1" ht="12.75" hidden="1">
      <c r="C118" s="315"/>
      <c r="E118" s="316"/>
    </row>
    <row r="119" spans="2:5" s="313" customFormat="1" ht="12.75" hidden="1">
      <c r="B119" s="317" t="s">
        <v>179</v>
      </c>
      <c r="C119" s="315"/>
      <c r="E119" s="316"/>
    </row>
    <row r="120" spans="2:5" s="313" customFormat="1" ht="12.75" hidden="1">
      <c r="B120" s="313" t="s">
        <v>151</v>
      </c>
      <c r="C120" s="315">
        <f>290020*1000</f>
        <v>290020000</v>
      </c>
      <c r="E120" s="314" t="s">
        <v>173</v>
      </c>
    </row>
    <row r="121" spans="2:5" s="313" customFormat="1" ht="12.75" hidden="1">
      <c r="B121" s="313" t="s">
        <v>148</v>
      </c>
      <c r="C121" s="313">
        <v>0.02</v>
      </c>
      <c r="E121" s="314" t="s">
        <v>173</v>
      </c>
    </row>
    <row r="122" spans="2:5" s="313" customFormat="1" ht="12.75" hidden="1">
      <c r="B122" s="313" t="s">
        <v>180</v>
      </c>
      <c r="C122" s="318">
        <f>+C120*C121</f>
        <v>5800400</v>
      </c>
      <c r="E122" s="314" t="s">
        <v>212</v>
      </c>
    </row>
    <row r="123" spans="2:5" s="313" customFormat="1" ht="12.75" hidden="1">
      <c r="B123" s="313" t="s">
        <v>149</v>
      </c>
      <c r="C123" s="313">
        <f>Inputs!C21</f>
        <v>250</v>
      </c>
      <c r="E123" s="314" t="s">
        <v>173</v>
      </c>
    </row>
    <row r="124" spans="2:5" s="313" customFormat="1" ht="12.75" hidden="1">
      <c r="B124" s="313" t="s">
        <v>150</v>
      </c>
      <c r="C124" s="319">
        <f>+C122*C123</f>
        <v>1450100000</v>
      </c>
      <c r="E124" s="314" t="s">
        <v>213</v>
      </c>
    </row>
    <row r="125" spans="2:5" s="313" customFormat="1" ht="12.75">
      <c r="B125" s="320"/>
      <c r="E125" s="314"/>
    </row>
    <row r="126" spans="2:7" ht="13.5" thickBot="1">
      <c r="B126" s="95"/>
      <c r="C126" s="80"/>
      <c r="E126" s="164"/>
      <c r="G126" s="42"/>
    </row>
    <row r="127" spans="2:7" ht="12.75">
      <c r="B127" s="57"/>
      <c r="E127" s="164"/>
      <c r="G127" s="42"/>
    </row>
    <row r="128" spans="2:7" ht="12.75">
      <c r="B128" s="261" t="s">
        <v>579</v>
      </c>
      <c r="C128" s="46"/>
      <c r="E128" s="164"/>
      <c r="G128" s="42"/>
    </row>
    <row r="129" spans="2:5" ht="12.75">
      <c r="B129" s="51"/>
      <c r="C129" s="46"/>
      <c r="D129" s="46"/>
      <c r="E129" s="46"/>
    </row>
    <row r="130" spans="2:5" ht="12.75">
      <c r="B130" s="180"/>
      <c r="C130" s="46"/>
      <c r="D130" s="46"/>
      <c r="E130" s="46"/>
    </row>
    <row r="131" spans="2:5" ht="12.75">
      <c r="B131" s="180"/>
      <c r="C131" s="61"/>
      <c r="D131" s="61"/>
      <c r="E131" s="61"/>
    </row>
    <row r="132" spans="2:5" ht="12.75">
      <c r="B132" s="180"/>
      <c r="C132" s="46"/>
      <c r="D132" s="46"/>
      <c r="E132" s="46"/>
    </row>
    <row r="133" spans="2:5" ht="12.75">
      <c r="B133" s="180"/>
      <c r="C133" s="46"/>
      <c r="D133" s="46"/>
      <c r="E133" s="46"/>
    </row>
    <row r="134" spans="2:5" ht="12.75">
      <c r="B134" s="180"/>
      <c r="C134" s="61"/>
      <c r="D134" s="61"/>
      <c r="E134" s="61"/>
    </row>
    <row r="135" spans="2:5" ht="12.75">
      <c r="B135" s="51"/>
      <c r="C135" s="46"/>
      <c r="D135" s="46"/>
      <c r="E135" s="46"/>
    </row>
    <row r="136" ht="12.75">
      <c r="B136" s="57"/>
    </row>
    <row r="137" ht="12.75">
      <c r="B137" s="51"/>
    </row>
    <row r="138" ht="12.75">
      <c r="B138" s="56"/>
    </row>
    <row r="139" spans="3:5" ht="12.75">
      <c r="C139" s="170"/>
      <c r="D139" s="170"/>
      <c r="E139" s="170"/>
    </row>
    <row r="140" spans="3:5" ht="12.75">
      <c r="C140" s="46"/>
      <c r="D140" s="46"/>
      <c r="E140" s="46"/>
    </row>
    <row r="141" spans="3:5" ht="12.75">
      <c r="C141" s="46"/>
      <c r="D141" s="46"/>
      <c r="E141" s="46"/>
    </row>
    <row r="142" spans="3:5" ht="12.75">
      <c r="C142" s="131"/>
      <c r="D142" s="131"/>
      <c r="E142" s="131"/>
    </row>
    <row r="144" ht="12.75">
      <c r="B144" s="51"/>
    </row>
    <row r="146" spans="3:5" ht="12.75">
      <c r="C146" s="170"/>
      <c r="D146" s="170"/>
      <c r="E146" s="170"/>
    </row>
    <row r="147" spans="3:5" ht="12.75">
      <c r="C147" s="46"/>
      <c r="D147" s="46"/>
      <c r="E147" s="46"/>
    </row>
    <row r="148" spans="3:5" ht="12.75">
      <c r="C148" s="46"/>
      <c r="D148" s="46"/>
      <c r="E148" s="46"/>
    </row>
    <row r="149" spans="3:5" ht="12.75">
      <c r="C149" s="131"/>
      <c r="D149" s="131"/>
      <c r="E149" s="131"/>
    </row>
    <row r="150" ht="18" customHeight="1"/>
    <row r="151" spans="3:5" ht="12.75">
      <c r="C151" s="46"/>
      <c r="D151" s="46"/>
      <c r="E151" s="46"/>
    </row>
    <row r="152" spans="3:5" ht="12.75">
      <c r="C152" s="46"/>
      <c r="D152" s="46"/>
      <c r="E152" s="46"/>
    </row>
    <row r="153" spans="3:5" ht="12.75">
      <c r="C153" s="46"/>
      <c r="D153" s="46"/>
      <c r="E153" s="46"/>
    </row>
    <row r="154" spans="3:5" ht="12.75">
      <c r="C154" s="46"/>
      <c r="D154" s="46"/>
      <c r="E154" s="46"/>
    </row>
    <row r="155" spans="3:5" ht="12.75">
      <c r="C155" s="46"/>
      <c r="D155" s="46"/>
      <c r="E155" s="46"/>
    </row>
    <row r="156" spans="3:5" ht="12.75">
      <c r="C156" s="46"/>
      <c r="D156" s="46"/>
      <c r="E156" s="46"/>
    </row>
    <row r="157" spans="3:5" ht="12.75">
      <c r="C157" s="61"/>
      <c r="D157" s="61"/>
      <c r="E157" s="61"/>
    </row>
  </sheetData>
  <sheetProtection/>
  <printOptions/>
  <pageMargins left="0.75" right="0.75" top="0.74" bottom="0.7" header="0.5" footer="0.5"/>
  <pageSetup fitToHeight="1" fitToWidth="1" horizontalDpi="600" verticalDpi="600" orientation="portrait" scale="52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E162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.7109375" style="130" customWidth="1"/>
    <col min="2" max="2" width="57.421875" style="47" customWidth="1"/>
    <col min="3" max="3" width="19.00390625" style="42" customWidth="1"/>
    <col min="4" max="4" width="10.140625" style="42" customWidth="1"/>
    <col min="5" max="16384" width="9.140625" style="42" customWidth="1"/>
  </cols>
  <sheetData>
    <row r="1" spans="1:2" ht="15">
      <c r="A1" s="130" t="s">
        <v>287</v>
      </c>
      <c r="B1" s="282" t="s">
        <v>172</v>
      </c>
    </row>
    <row r="2" spans="2:4" ht="15.75" thickBot="1">
      <c r="B2" s="95"/>
      <c r="C2" s="259" t="str">
        <f>Inputs!C4</f>
        <v>Case Study State</v>
      </c>
      <c r="D2" s="321" t="s">
        <v>263</v>
      </c>
    </row>
    <row r="3" ht="12.75">
      <c r="B3" s="157" t="s">
        <v>4</v>
      </c>
    </row>
    <row r="4" spans="2:3" ht="12.75">
      <c r="B4" s="158" t="s">
        <v>493</v>
      </c>
      <c r="C4" s="54">
        <f>60/C5</f>
        <v>1.5260329805160153</v>
      </c>
    </row>
    <row r="5" spans="2:4" ht="14.25" customHeight="1">
      <c r="B5" s="42" t="s">
        <v>665</v>
      </c>
      <c r="C5" s="269">
        <f>'Base Case'!C43</f>
        <v>39.317629937271406</v>
      </c>
      <c r="D5" s="47" t="s">
        <v>499</v>
      </c>
    </row>
    <row r="6" spans="2:3" ht="12.75">
      <c r="B6" s="47" t="s">
        <v>3</v>
      </c>
      <c r="C6" s="269">
        <f>Inputs!C19</f>
        <v>10</v>
      </c>
    </row>
    <row r="7" spans="2:3" ht="12" customHeight="1">
      <c r="B7" s="47" t="s">
        <v>74</v>
      </c>
      <c r="C7" s="54">
        <f>+C6*60/C5</f>
        <v>15.260329805160154</v>
      </c>
    </row>
    <row r="8" spans="2:3" ht="12.75">
      <c r="B8" s="47" t="s">
        <v>663</v>
      </c>
      <c r="C8" s="54">
        <f>'Base Case'!C76</f>
        <v>22.847577329064702</v>
      </c>
    </row>
    <row r="9" spans="2:3" ht="12.75">
      <c r="B9" s="47" t="s">
        <v>664</v>
      </c>
      <c r="C9" s="54">
        <f>'Traffic  Impacts'!C63</f>
        <v>22.250892775346735</v>
      </c>
    </row>
    <row r="10" spans="2:3" ht="12.75">
      <c r="B10" s="47" t="s">
        <v>560</v>
      </c>
      <c r="C10" s="54">
        <f>'Traffic  Impacts'!B35</f>
        <v>53.77867148712637</v>
      </c>
    </row>
    <row r="11" spans="2:3" ht="12" customHeight="1">
      <c r="B11" s="47" t="s">
        <v>75</v>
      </c>
      <c r="C11" s="54">
        <f>+C6*60/C10</f>
        <v>11.156839382758443</v>
      </c>
    </row>
    <row r="12" spans="2:3" ht="12.75" hidden="1">
      <c r="B12" s="47" t="s">
        <v>76</v>
      </c>
      <c r="C12" s="54">
        <f>+C7-C11</f>
        <v>4.103490422401711</v>
      </c>
    </row>
    <row r="13" ht="12.75">
      <c r="C13" s="54"/>
    </row>
    <row r="14" spans="2:3" ht="12.75">
      <c r="B14" s="157" t="s">
        <v>328</v>
      </c>
      <c r="C14" s="54"/>
    </row>
    <row r="15" spans="2:4" ht="12.75" hidden="1">
      <c r="B15" s="47" t="s">
        <v>325</v>
      </c>
      <c r="C15" s="54">
        <f>C5/C8</f>
        <v>1.720866478357639</v>
      </c>
      <c r="D15" s="42" t="s">
        <v>61</v>
      </c>
    </row>
    <row r="16" spans="2:3" ht="12.75" hidden="1">
      <c r="B16" s="47" t="s">
        <v>323</v>
      </c>
      <c r="C16" s="54">
        <f>+C15*C7</f>
        <v>26.26099001038207</v>
      </c>
    </row>
    <row r="17" spans="2:3" ht="12.75" hidden="1">
      <c r="B17" s="47" t="s">
        <v>324</v>
      </c>
      <c r="C17" s="54">
        <f>+C16-C11</f>
        <v>15.104150627623627</v>
      </c>
    </row>
    <row r="18" spans="3:5" ht="12.75">
      <c r="C18" s="367"/>
      <c r="D18" s="368"/>
      <c r="E18" s="368"/>
    </row>
    <row r="19" spans="3:5" ht="12.75">
      <c r="C19" s="355"/>
      <c r="D19" s="354"/>
      <c r="E19" s="354"/>
    </row>
    <row r="20" spans="2:5" ht="12.75">
      <c r="B20" s="47" t="s">
        <v>326</v>
      </c>
      <c r="C20" s="54">
        <f>60*10/C9</f>
        <v>26.965210162927956</v>
      </c>
      <c r="D20" s="54"/>
      <c r="E20" s="54"/>
    </row>
    <row r="21" spans="2:5" ht="12.75">
      <c r="B21" s="47" t="s">
        <v>327</v>
      </c>
      <c r="C21" s="54">
        <f>C20-C11</f>
        <v>15.808370780169513</v>
      </c>
      <c r="D21" s="54"/>
      <c r="E21" s="54"/>
    </row>
    <row r="22" ht="12.75">
      <c r="C22" s="150"/>
    </row>
    <row r="23" ht="12.75">
      <c r="B23" s="157" t="s">
        <v>15</v>
      </c>
    </row>
    <row r="24" spans="2:3" ht="12.75">
      <c r="B24" s="47" t="s">
        <v>292</v>
      </c>
      <c r="C24" s="159">
        <f>'Values of Time'!C53</f>
        <v>23.77037054506934</v>
      </c>
    </row>
    <row r="25" spans="2:3" ht="15" customHeight="1" hidden="1">
      <c r="B25" s="47" t="s">
        <v>291</v>
      </c>
      <c r="C25" s="159">
        <f>+C24*C12/60</f>
        <v>1.6256914644771963</v>
      </c>
    </row>
    <row r="26" spans="2:3" ht="12.75">
      <c r="B26" s="47" t="s">
        <v>293</v>
      </c>
      <c r="C26" s="159">
        <f>'Values of Time'!C54</f>
        <v>63.38008047101188</v>
      </c>
    </row>
    <row r="27" spans="2:3" ht="12.75" hidden="1">
      <c r="B27" s="47" t="s">
        <v>294</v>
      </c>
      <c r="C27" s="160">
        <f>C26*C12/60</f>
        <v>4.334659219730782</v>
      </c>
    </row>
    <row r="28" spans="2:3" ht="13.5" customHeight="1">
      <c r="B28" s="47" t="s">
        <v>290</v>
      </c>
      <c r="C28" s="61">
        <f>Inputs!C17</f>
        <v>0.08</v>
      </c>
    </row>
    <row r="29" spans="2:3" ht="12.75">
      <c r="B29" s="47" t="s">
        <v>296</v>
      </c>
      <c r="C29" s="160">
        <f>'Values of Time'!C55</f>
        <v>26.939147339144746</v>
      </c>
    </row>
    <row r="30" spans="2:3" ht="12.75" hidden="1">
      <c r="B30" s="47" t="s">
        <v>295</v>
      </c>
      <c r="C30" s="160">
        <f>C28*C27+(1-C28)*C25</f>
        <v>1.8424088848974833</v>
      </c>
    </row>
    <row r="31" spans="2:3" ht="13.5" customHeight="1" hidden="1">
      <c r="B31" s="47" t="s">
        <v>12</v>
      </c>
      <c r="C31" s="39">
        <v>0.042</v>
      </c>
    </row>
    <row r="32" spans="2:3" ht="12.75" hidden="1">
      <c r="B32" s="47" t="s">
        <v>11</v>
      </c>
      <c r="C32" s="161">
        <f>Inputs!C20</f>
        <v>2.62</v>
      </c>
    </row>
    <row r="33" spans="2:3" ht="12.75" hidden="1">
      <c r="B33" s="47" t="s">
        <v>13</v>
      </c>
      <c r="C33" s="160">
        <f>+C32*C31</f>
        <v>0.11004000000000001</v>
      </c>
    </row>
    <row r="34" spans="2:3" ht="12.75" hidden="1">
      <c r="B34" s="47" t="s">
        <v>14</v>
      </c>
      <c r="C34" s="160">
        <f>+C33*C12</f>
        <v>0.4515480860810843</v>
      </c>
    </row>
    <row r="35" spans="2:3" ht="12.75" hidden="1">
      <c r="B35" s="47" t="s">
        <v>77</v>
      </c>
      <c r="C35" s="160">
        <f>+C30+C34</f>
        <v>2.2939569709785674</v>
      </c>
    </row>
    <row r="36" ht="10.5" customHeight="1">
      <c r="C36" s="160"/>
    </row>
    <row r="37" ht="12.75">
      <c r="B37" s="157" t="s">
        <v>679</v>
      </c>
    </row>
    <row r="38" spans="2:5" ht="12.75">
      <c r="B38" s="157"/>
      <c r="C38" s="367"/>
      <c r="D38" s="368"/>
      <c r="E38" s="368"/>
    </row>
    <row r="39" spans="2:5" ht="12.75">
      <c r="B39" s="157"/>
      <c r="C39" s="355"/>
      <c r="D39" s="354"/>
      <c r="E39" s="354"/>
    </row>
    <row r="40" spans="2:5" ht="12.75">
      <c r="B40" s="51" t="s">
        <v>653</v>
      </c>
      <c r="C40" s="61">
        <f>-(C61*'Traffic  Impacts'!C54)/(1+C61*(1-'Traffic  Impacts'!C54))</f>
        <v>0.0162956155087334</v>
      </c>
      <c r="D40" s="61"/>
      <c r="E40" s="61"/>
    </row>
    <row r="41" spans="2:5" ht="12.75">
      <c r="B41" s="42" t="s">
        <v>625</v>
      </c>
      <c r="C41" s="162">
        <f>(C21/60)*LOGINV(C40,LN(C24),0.25*LN(C24))/10</f>
        <v>0.1152380792844178</v>
      </c>
      <c r="D41" s="162"/>
      <c r="E41" s="162"/>
    </row>
    <row r="42" spans="2:5" ht="12.75">
      <c r="B42" s="42" t="s">
        <v>626</v>
      </c>
      <c r="C42" s="160">
        <f>C41*C26/C24</f>
        <v>0.30726482469101707</v>
      </c>
      <c r="D42" s="160"/>
      <c r="E42" s="160"/>
    </row>
    <row r="43" spans="2:5" ht="16.5" customHeight="1">
      <c r="B43" s="42" t="s">
        <v>627</v>
      </c>
      <c r="C43" s="160">
        <f>(1-C28)*C41+C28*C42</f>
        <v>0.13060021891694576</v>
      </c>
      <c r="E43" s="160"/>
    </row>
    <row r="44" spans="2:3" ht="12.75" hidden="1">
      <c r="B44" s="47" t="s">
        <v>472</v>
      </c>
      <c r="C44" s="160" t="e">
        <f>+C35-B37</f>
        <v>#VALUE!</v>
      </c>
    </row>
    <row r="45" spans="2:3" ht="12.75" hidden="1">
      <c r="B45" s="158" t="s">
        <v>153</v>
      </c>
      <c r="C45" s="77">
        <v>6</v>
      </c>
    </row>
    <row r="46" spans="2:3" ht="12.75" hidden="1">
      <c r="B46" s="158" t="s">
        <v>166</v>
      </c>
      <c r="C46" s="160">
        <f>+C45*C30+C34</f>
        <v>11.506001395465985</v>
      </c>
    </row>
    <row r="47" spans="2:3" ht="13.5" thickBot="1">
      <c r="B47" s="95"/>
      <c r="C47" s="171"/>
    </row>
    <row r="48" spans="2:3" ht="12.75">
      <c r="B48" s="158"/>
      <c r="C48" s="163"/>
    </row>
    <row r="49" spans="2:3" ht="30.75">
      <c r="B49" s="282" t="s">
        <v>177</v>
      </c>
      <c r="C49" s="161"/>
    </row>
    <row r="50" spans="2:3" ht="15.75" thickBot="1">
      <c r="B50" s="95"/>
      <c r="C50" s="259" t="str">
        <f>Inputs!C4</f>
        <v>Case Study State</v>
      </c>
    </row>
    <row r="51" spans="2:3" ht="12.75">
      <c r="B51" s="158" t="s">
        <v>134</v>
      </c>
      <c r="C51" s="263">
        <f>Inputs!C7*1000000/365</f>
        <v>52567123.28767123</v>
      </c>
    </row>
    <row r="52" spans="2:5" ht="12.75">
      <c r="B52" s="158"/>
      <c r="C52" s="367"/>
      <c r="D52" s="368"/>
      <c r="E52" s="368"/>
    </row>
    <row r="53" spans="2:5" ht="12.75">
      <c r="B53" s="158"/>
      <c r="C53" s="355"/>
      <c r="D53" s="354"/>
      <c r="E53" s="354"/>
    </row>
    <row r="54" spans="2:5" ht="14.25" customHeight="1">
      <c r="B54" s="158" t="s">
        <v>654</v>
      </c>
      <c r="C54" s="270">
        <f>'Base Case'!B15</f>
        <v>0.2869859005658384</v>
      </c>
      <c r="D54" s="270"/>
      <c r="E54" s="270"/>
    </row>
    <row r="55" spans="2:5" ht="15.75" customHeight="1">
      <c r="B55" s="158" t="s">
        <v>662</v>
      </c>
      <c r="C55" s="46">
        <f>+C51*C54</f>
        <v>15086023.216867784</v>
      </c>
      <c r="D55" s="46"/>
      <c r="E55" s="46"/>
    </row>
    <row r="56" spans="2:3" ht="15" customHeight="1" hidden="1">
      <c r="B56" s="158" t="s">
        <v>206</v>
      </c>
      <c r="C56" s="165">
        <f>+C99</f>
        <v>3180</v>
      </c>
    </row>
    <row r="57" spans="2:3" ht="12.75" hidden="1">
      <c r="B57" s="47" t="s">
        <v>78</v>
      </c>
      <c r="C57" s="165">
        <f>+C55/C99/C59</f>
        <v>593.0040572668154</v>
      </c>
    </row>
    <row r="58" spans="2:3" ht="12.75" hidden="1">
      <c r="B58" s="47" t="s">
        <v>18</v>
      </c>
      <c r="C58" s="165">
        <f>Inputs!C27</f>
        <v>6</v>
      </c>
    </row>
    <row r="59" spans="2:3" ht="12.75" hidden="1">
      <c r="B59" s="47" t="s">
        <v>303</v>
      </c>
      <c r="C59" s="165">
        <v>8</v>
      </c>
    </row>
    <row r="60" spans="2:3" ht="12.75" hidden="1">
      <c r="B60" s="47" t="s">
        <v>322</v>
      </c>
      <c r="C60" s="165">
        <f>+C57*C58*C59</f>
        <v>28464.19474880714</v>
      </c>
    </row>
    <row r="61" spans="2:5" ht="12" customHeight="1">
      <c r="B61" s="47" t="s">
        <v>667</v>
      </c>
      <c r="C61" s="165">
        <f>'Traffic  Impacts'!C33/C55</f>
        <v>-0.029172967149643157</v>
      </c>
      <c r="D61" s="165"/>
      <c r="E61" s="165"/>
    </row>
    <row r="62" spans="2:3" ht="12.75" hidden="1">
      <c r="B62" s="164" t="s">
        <v>321</v>
      </c>
      <c r="C62" s="46">
        <f>(1+C61)*C60</f>
        <v>27633.809730459143</v>
      </c>
    </row>
    <row r="63" spans="2:5" ht="12.75">
      <c r="B63" s="47" t="s">
        <v>321</v>
      </c>
      <c r="C63" s="46">
        <f>(1+C61)*C55</f>
        <v>14645919.157143347</v>
      </c>
      <c r="D63" s="46"/>
      <c r="E63" s="46"/>
    </row>
    <row r="64" spans="2:3" ht="12.75" hidden="1">
      <c r="B64" s="47" t="s">
        <v>320</v>
      </c>
      <c r="C64" s="46">
        <f>C60-C62</f>
        <v>830.3850183479954</v>
      </c>
    </row>
    <row r="65" spans="2:5" ht="12.75">
      <c r="B65" s="47" t="s">
        <v>154</v>
      </c>
      <c r="C65" s="353">
        <v>0.004</v>
      </c>
      <c r="D65" s="353"/>
      <c r="E65" s="353"/>
    </row>
    <row r="66" spans="3:5" ht="12.75" hidden="1">
      <c r="C66" s="165"/>
      <c r="D66" s="165"/>
      <c r="E66" s="165"/>
    </row>
    <row r="67" spans="2:5" ht="12.75" hidden="1">
      <c r="B67" s="47" t="s">
        <v>155</v>
      </c>
      <c r="C67" s="46">
        <f>C65*C62</f>
        <v>110.53523892183658</v>
      </c>
      <c r="D67" s="46"/>
      <c r="E67" s="46"/>
    </row>
    <row r="68" spans="2:5" ht="12.75" hidden="1">
      <c r="B68" s="47" t="s">
        <v>156</v>
      </c>
      <c r="C68" s="165">
        <v>0</v>
      </c>
      <c r="D68" s="165"/>
      <c r="E68" s="165"/>
    </row>
    <row r="69" spans="2:5" ht="12.75" hidden="1">
      <c r="B69" s="47" t="s">
        <v>157</v>
      </c>
      <c r="C69" s="46">
        <f>+C57*C68</f>
        <v>0</v>
      </c>
      <c r="D69" s="46"/>
      <c r="E69" s="46"/>
    </row>
    <row r="70" spans="2:5" ht="12.75" hidden="1">
      <c r="B70" s="47" t="s">
        <v>158</v>
      </c>
      <c r="C70" s="46">
        <f>+C62-C67-C69</f>
        <v>27523.274491537308</v>
      </c>
      <c r="D70" s="46"/>
      <c r="E70" s="46"/>
    </row>
    <row r="71" spans="2:5" ht="12.75" hidden="1">
      <c r="B71" s="47" t="s">
        <v>160</v>
      </c>
      <c r="C71" s="166">
        <v>1</v>
      </c>
      <c r="D71" s="166"/>
      <c r="E71" s="166"/>
    </row>
    <row r="72" spans="2:5" ht="12.75" hidden="1">
      <c r="B72" s="47" t="s">
        <v>159</v>
      </c>
      <c r="C72" s="46">
        <f>+C70+(C69*C71)</f>
        <v>27523.274491537308</v>
      </c>
      <c r="D72" s="46"/>
      <c r="E72" s="46"/>
    </row>
    <row r="73" spans="2:5" ht="12.75">
      <c r="B73" s="47" t="s">
        <v>487</v>
      </c>
      <c r="C73" s="46">
        <f>+C63*C65</f>
        <v>58583.67662857339</v>
      </c>
      <c r="D73" s="46"/>
      <c r="E73" s="46"/>
    </row>
    <row r="74" spans="2:5" ht="12.75" hidden="1">
      <c r="B74" s="47" t="s">
        <v>156</v>
      </c>
      <c r="C74" s="165">
        <v>0</v>
      </c>
      <c r="D74" s="165"/>
      <c r="E74" s="165"/>
    </row>
    <row r="75" spans="2:5" ht="12.75" hidden="1">
      <c r="B75" s="47" t="s">
        <v>157</v>
      </c>
      <c r="C75" s="46">
        <f>+C63*C74</f>
        <v>0</v>
      </c>
      <c r="D75" s="46"/>
      <c r="E75" s="46"/>
    </row>
    <row r="76" spans="2:5" ht="12.75">
      <c r="B76" s="47" t="s">
        <v>488</v>
      </c>
      <c r="C76" s="46">
        <f>+C63-C73-C75</f>
        <v>14587335.480514774</v>
      </c>
      <c r="D76" s="46"/>
      <c r="E76" s="46"/>
    </row>
    <row r="77" spans="2:3" ht="12.75" hidden="1">
      <c r="B77" s="47" t="s">
        <v>160</v>
      </c>
      <c r="C77" s="166">
        <v>1</v>
      </c>
    </row>
    <row r="78" spans="2:3" ht="26.25" hidden="1">
      <c r="B78" s="47" t="s">
        <v>490</v>
      </c>
      <c r="C78" s="46">
        <f>+C76+(C75*C77)</f>
        <v>14587335.480514774</v>
      </c>
    </row>
    <row r="79" ht="12.75">
      <c r="C79" s="46"/>
    </row>
    <row r="80" spans="2:3" ht="12.75" hidden="1">
      <c r="B80" s="157" t="s">
        <v>79</v>
      </c>
      <c r="C80" s="46"/>
    </row>
    <row r="81" spans="2:3" ht="12.75" hidden="1">
      <c r="B81" s="158" t="s">
        <v>161</v>
      </c>
      <c r="C81" s="131">
        <f>+C46*C67</f>
        <v>1271.8186132828178</v>
      </c>
    </row>
    <row r="82" spans="2:3" ht="12.75" hidden="1">
      <c r="B82" s="158" t="s">
        <v>162</v>
      </c>
      <c r="C82" s="131">
        <v>0</v>
      </c>
    </row>
    <row r="83" spans="2:3" ht="12.75" hidden="1">
      <c r="B83" s="47" t="s">
        <v>6</v>
      </c>
      <c r="C83" s="46">
        <f>C62*C12</f>
        <v>113395.07356341029</v>
      </c>
    </row>
    <row r="84" spans="2:3" ht="12.75" hidden="1">
      <c r="B84" s="47" t="s">
        <v>5</v>
      </c>
      <c r="C84" s="46">
        <f>+C83/C64</f>
        <v>136.55722473052737</v>
      </c>
    </row>
    <row r="85" spans="2:3" ht="12.75" hidden="1">
      <c r="B85" s="47" t="s">
        <v>7</v>
      </c>
      <c r="C85" s="160">
        <f>'Values of Time'!C55</f>
        <v>26.939147339144746</v>
      </c>
    </row>
    <row r="86" spans="2:3" ht="12.75" hidden="1">
      <c r="B86" s="47" t="s">
        <v>8</v>
      </c>
      <c r="C86" s="160">
        <f>+(C84/60)*C85</f>
        <v>61.31225328733962</v>
      </c>
    </row>
    <row r="87" spans="2:3" ht="12.75" hidden="1">
      <c r="B87" s="158" t="s">
        <v>19</v>
      </c>
      <c r="C87" s="131" t="e">
        <f>+C72*C44</f>
        <v>#VALUE!</v>
      </c>
    </row>
    <row r="88" spans="2:3" ht="12.75" hidden="1">
      <c r="B88" s="158" t="s">
        <v>72</v>
      </c>
      <c r="C88" s="160">
        <f>0.5*C29</f>
        <v>13.469573669572373</v>
      </c>
    </row>
    <row r="89" spans="2:3" ht="12.75" hidden="1">
      <c r="B89" s="158" t="s">
        <v>80</v>
      </c>
      <c r="C89" s="131" t="e">
        <f>-0.5*C64*((C11*C88/60+B37)-(C7*C88/60))</f>
        <v>#VALUE!</v>
      </c>
    </row>
    <row r="90" spans="2:3" ht="12.75" hidden="1">
      <c r="B90" s="158" t="s">
        <v>16</v>
      </c>
      <c r="C90" s="131" t="e">
        <f>+B37*C72</f>
        <v>#VALUE!</v>
      </c>
    </row>
    <row r="91" spans="2:3" ht="12.75" hidden="1">
      <c r="B91" s="158" t="s">
        <v>28</v>
      </c>
      <c r="C91" s="131">
        <v>0</v>
      </c>
    </row>
    <row r="92" spans="2:3" ht="13.5" hidden="1" thickBot="1">
      <c r="B92" s="172" t="s">
        <v>17</v>
      </c>
      <c r="C92" s="173" t="e">
        <f>+C81+C82+C87+C89+C90+C91</f>
        <v>#VALUE!</v>
      </c>
    </row>
    <row r="93" spans="2:3" ht="12.75">
      <c r="B93" s="158"/>
      <c r="C93" s="131"/>
    </row>
    <row r="94" spans="2:3" ht="30.75">
      <c r="B94" s="282" t="s">
        <v>178</v>
      </c>
      <c r="C94" s="160"/>
    </row>
    <row r="95" spans="2:4" ht="15.75" thickBot="1">
      <c r="B95" s="174"/>
      <c r="C95" s="259" t="str">
        <f>Inputs!C4</f>
        <v>Case Study State</v>
      </c>
      <c r="D95" s="132"/>
    </row>
    <row r="96" spans="2:3" ht="12" customHeight="1">
      <c r="B96" s="47" t="s">
        <v>50</v>
      </c>
      <c r="C96" s="42">
        <f>Inputs!C21</f>
        <v>250</v>
      </c>
    </row>
    <row r="97" spans="2:3" ht="12.75" hidden="1">
      <c r="B97" s="47" t="s">
        <v>97</v>
      </c>
      <c r="C97" s="46">
        <f>+(C69+C70)*C96/C58</f>
        <v>1146803.1038140545</v>
      </c>
    </row>
    <row r="98" spans="2:3" ht="12.75" hidden="1">
      <c r="B98" s="47" t="s">
        <v>98</v>
      </c>
      <c r="C98" s="131" t="e">
        <f>+C92*C96/C58</f>
        <v>#VALUE!</v>
      </c>
    </row>
    <row r="99" spans="2:4" ht="12.75" hidden="1">
      <c r="B99" s="47" t="s">
        <v>100</v>
      </c>
      <c r="C99" s="46">
        <f>Inputs!C24</f>
        <v>3180</v>
      </c>
      <c r="D99" s="42" t="s">
        <v>102</v>
      </c>
    </row>
    <row r="100" spans="2:3" ht="12.75" hidden="1">
      <c r="B100" s="47" t="s">
        <v>101</v>
      </c>
      <c r="C100" s="46">
        <f>(+C97/+C6)*C99</f>
        <v>364683387.0128693</v>
      </c>
    </row>
    <row r="101" spans="2:3" ht="12.75" hidden="1">
      <c r="B101" s="47" t="s">
        <v>138</v>
      </c>
      <c r="C101" s="141" t="e">
        <f>+C98*C99/+C6</f>
        <v>#VALUE!</v>
      </c>
    </row>
    <row r="102" ht="12.75" hidden="1"/>
    <row r="103" spans="2:3" ht="12.75" hidden="1">
      <c r="B103" s="47" t="s">
        <v>99</v>
      </c>
      <c r="C103" s="131" t="e">
        <f>+C90*C96/C58</f>
        <v>#VALUE!</v>
      </c>
    </row>
    <row r="104" spans="2:3" ht="12.75">
      <c r="B104" s="47" t="s">
        <v>57</v>
      </c>
      <c r="C104" s="141">
        <f>C76*C43*C96</f>
        <v>476277301.7925399</v>
      </c>
    </row>
    <row r="105" spans="2:3" ht="12.75">
      <c r="B105" s="47" t="s">
        <v>118</v>
      </c>
      <c r="C105" s="263">
        <f>Inputs!C45</f>
        <v>4753000</v>
      </c>
    </row>
    <row r="106" spans="2:3" ht="12.75" hidden="1">
      <c r="B106" s="47" t="s">
        <v>141</v>
      </c>
      <c r="C106" s="46">
        <f>+C105*0.69</f>
        <v>3279569.9999999995</v>
      </c>
    </row>
    <row r="107" spans="2:3" ht="12.75" hidden="1">
      <c r="B107" s="47" t="s">
        <v>119</v>
      </c>
      <c r="C107" s="263">
        <f>Inputs!C18</f>
        <v>1336943</v>
      </c>
    </row>
    <row r="108" spans="2:3" ht="12.75" hidden="1">
      <c r="B108" s="47" t="s">
        <v>163</v>
      </c>
      <c r="C108" s="46">
        <f>C96*C55</f>
        <v>3771505804.216946</v>
      </c>
    </row>
    <row r="109" spans="2:3" ht="12.75" hidden="1">
      <c r="B109" s="47" t="s">
        <v>164</v>
      </c>
      <c r="C109" s="46">
        <f>C96*C63</f>
        <v>3661479789.2858367</v>
      </c>
    </row>
    <row r="110" spans="2:3" ht="12.75" hidden="1">
      <c r="B110" s="47" t="s">
        <v>116</v>
      </c>
      <c r="C110" s="46">
        <f>+C109*(+C12/C6)/60</f>
        <v>25041412.078586444</v>
      </c>
    </row>
    <row r="111" spans="2:3" ht="12.75" hidden="1">
      <c r="B111" s="47" t="s">
        <v>117</v>
      </c>
      <c r="C111" s="46">
        <f>+C110/C105</f>
        <v>5.268548722614442</v>
      </c>
    </row>
    <row r="112" spans="2:3" ht="12.75" hidden="1">
      <c r="B112" s="47" t="s">
        <v>120</v>
      </c>
      <c r="C112" s="46">
        <f>+C110/C107</f>
        <v>18.730351315341377</v>
      </c>
    </row>
    <row r="113" ht="12.75" hidden="1">
      <c r="C113" s="46"/>
    </row>
    <row r="114" spans="2:3" ht="12.75" hidden="1">
      <c r="B114" s="47" t="s">
        <v>121</v>
      </c>
      <c r="C114" s="46">
        <f>+C31*60*C110</f>
        <v>63104358.43803784</v>
      </c>
    </row>
    <row r="115" spans="2:3" ht="12.75" hidden="1">
      <c r="B115" s="47" t="s">
        <v>122</v>
      </c>
      <c r="C115" s="46">
        <f>+C114/C105</f>
        <v>13.276742780988394</v>
      </c>
    </row>
    <row r="116" spans="2:3" ht="12.75" hidden="1">
      <c r="B116" s="47" t="s">
        <v>123</v>
      </c>
      <c r="C116" s="46">
        <f>+C114/C107</f>
        <v>47.20048531466027</v>
      </c>
    </row>
    <row r="117" ht="12.75" hidden="1"/>
    <row r="118" ht="12.75" hidden="1">
      <c r="B118" s="47" t="s">
        <v>477</v>
      </c>
    </row>
    <row r="119" spans="2:3" ht="12.75" hidden="1">
      <c r="B119" s="47" t="s">
        <v>132</v>
      </c>
      <c r="C119" s="263">
        <f>Inputs!C22</f>
        <v>0</v>
      </c>
    </row>
    <row r="120" spans="2:3" ht="12.75" hidden="1">
      <c r="B120" s="47" t="s">
        <v>135</v>
      </c>
      <c r="C120" s="46">
        <f>+C119/C107</f>
        <v>0</v>
      </c>
    </row>
    <row r="121" spans="2:4" ht="12.75" hidden="1">
      <c r="B121" s="47" t="s">
        <v>133</v>
      </c>
      <c r="C121" s="46"/>
      <c r="D121" s="46"/>
    </row>
    <row r="122" spans="2:4" ht="12.75" hidden="1">
      <c r="B122" s="47" t="s">
        <v>136</v>
      </c>
      <c r="C122" s="46">
        <f>+C121/C107</f>
        <v>0</v>
      </c>
      <c r="D122" s="46"/>
    </row>
    <row r="123" spans="3:4" ht="12.75" hidden="1">
      <c r="C123" s="46"/>
      <c r="D123" s="46"/>
    </row>
    <row r="124" spans="2:4" ht="12.75" hidden="1">
      <c r="B124" s="157" t="s">
        <v>179</v>
      </c>
      <c r="C124" s="46"/>
      <c r="D124" s="167"/>
    </row>
    <row r="125" spans="1:4" ht="12.75" hidden="1">
      <c r="A125" s="130" t="s">
        <v>203</v>
      </c>
      <c r="B125" s="47" t="s">
        <v>151</v>
      </c>
      <c r="C125" s="46"/>
      <c r="D125" s="130" t="s">
        <v>173</v>
      </c>
    </row>
    <row r="126" spans="1:4" ht="12.75" hidden="1">
      <c r="A126" s="130" t="s">
        <v>204</v>
      </c>
      <c r="B126" s="47" t="s">
        <v>148</v>
      </c>
      <c r="C126" s="42">
        <v>0.02</v>
      </c>
      <c r="D126" s="130" t="s">
        <v>173</v>
      </c>
    </row>
    <row r="127" spans="1:4" ht="12.75" hidden="1">
      <c r="A127" s="130" t="s">
        <v>207</v>
      </c>
      <c r="B127" s="47" t="s">
        <v>180</v>
      </c>
      <c r="C127" s="131">
        <f>+C125*C126</f>
        <v>0</v>
      </c>
      <c r="D127" s="130" t="s">
        <v>212</v>
      </c>
    </row>
    <row r="128" spans="1:4" ht="12.75" hidden="1">
      <c r="A128" s="130" t="s">
        <v>208</v>
      </c>
      <c r="B128" s="47" t="s">
        <v>149</v>
      </c>
      <c r="C128" s="42">
        <f>Inputs!C21</f>
        <v>250</v>
      </c>
      <c r="D128" s="130" t="s">
        <v>173</v>
      </c>
    </row>
    <row r="129" spans="1:4" ht="12.75" hidden="1">
      <c r="A129" s="130" t="s">
        <v>209</v>
      </c>
      <c r="B129" s="47" t="s">
        <v>150</v>
      </c>
      <c r="C129" s="141">
        <f>+C127*C128</f>
        <v>0</v>
      </c>
      <c r="D129" s="130" t="s">
        <v>213</v>
      </c>
    </row>
    <row r="130" ht="12.75" hidden="1">
      <c r="B130" s="113"/>
    </row>
    <row r="131" spans="2:3" ht="13.5" thickBot="1">
      <c r="B131" s="172"/>
      <c r="C131" s="80"/>
    </row>
    <row r="132" ht="12.75">
      <c r="B132" s="113"/>
    </row>
    <row r="133" spans="2:3" ht="12.75">
      <c r="B133" s="158"/>
      <c r="C133" s="46"/>
    </row>
    <row r="134" spans="2:3" ht="12.75">
      <c r="B134" s="158"/>
      <c r="C134" s="46"/>
    </row>
    <row r="135" spans="2:3" ht="12.75">
      <c r="B135" s="168"/>
      <c r="C135" s="46"/>
    </row>
    <row r="136" spans="2:3" ht="12.75">
      <c r="B136" s="168"/>
      <c r="C136" s="61"/>
    </row>
    <row r="137" spans="2:3" ht="12.75">
      <c r="B137" s="168"/>
      <c r="C137" s="46"/>
    </row>
    <row r="138" spans="2:3" ht="12.75">
      <c r="B138" s="168"/>
      <c r="C138" s="46"/>
    </row>
    <row r="139" spans="2:3" ht="12.75">
      <c r="B139" s="168"/>
      <c r="C139" s="61"/>
    </row>
    <row r="140" spans="2:3" ht="12.75">
      <c r="B140" s="158"/>
      <c r="C140" s="46"/>
    </row>
    <row r="141" ht="12.75">
      <c r="B141" s="113"/>
    </row>
    <row r="142" ht="12.75">
      <c r="B142" s="158"/>
    </row>
    <row r="143" ht="12.75">
      <c r="B143" s="169"/>
    </row>
    <row r="144" ht="12.75">
      <c r="C144" s="170"/>
    </row>
    <row r="145" ht="12.75">
      <c r="C145" s="46"/>
    </row>
    <row r="146" ht="12.75">
      <c r="C146" s="46"/>
    </row>
    <row r="147" ht="12.75">
      <c r="C147" s="131"/>
    </row>
    <row r="149" ht="12.75">
      <c r="B149" s="158"/>
    </row>
    <row r="151" ht="12.75">
      <c r="C151" s="170"/>
    </row>
    <row r="152" ht="12.75">
      <c r="C152" s="46"/>
    </row>
    <row r="153" ht="12.75">
      <c r="C153" s="46"/>
    </row>
    <row r="154" ht="12.75">
      <c r="C154" s="131"/>
    </row>
    <row r="155" ht="18" customHeight="1"/>
    <row r="156" ht="12.75">
      <c r="C156" s="46"/>
    </row>
    <row r="157" ht="12.75">
      <c r="C157" s="46"/>
    </row>
    <row r="158" ht="12.75">
      <c r="C158" s="46"/>
    </row>
    <row r="159" ht="12.75">
      <c r="C159" s="46"/>
    </row>
    <row r="160" ht="12.75">
      <c r="C160" s="46"/>
    </row>
    <row r="161" ht="12.75">
      <c r="C161" s="46"/>
    </row>
    <row r="162" ht="12.75">
      <c r="C162" s="61"/>
    </row>
  </sheetData>
  <sheetProtection/>
  <mergeCells count="3">
    <mergeCell ref="C52:E52"/>
    <mergeCell ref="C18:E18"/>
    <mergeCell ref="C38:E38"/>
  </mergeCells>
  <printOptions/>
  <pageMargins left="0.75" right="0.75" top="0.69" bottom="0.57" header="0.5" footer="0.5"/>
  <pageSetup fitToHeight="1" fitToWidth="1" horizontalDpi="600" verticalDpi="600" orientation="portrait" scale="46" r:id="rId1"/>
  <headerFooter alignWithMargins="0">
    <oddHeader>&amp;C&amp;A</oddHeader>
  </headerFooter>
  <rowBreaks count="1" manualBreakCount="1"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pdecorla</dc:creator>
  <cp:keywords/>
  <dc:description>Sent to USDOT </dc:description>
  <cp:lastModifiedBy>Neil Pogorelsky</cp:lastModifiedBy>
  <cp:lastPrinted>2009-01-27T05:13:19Z</cp:lastPrinted>
  <dcterms:created xsi:type="dcterms:W3CDTF">2004-11-30T12:53:28Z</dcterms:created>
  <dcterms:modified xsi:type="dcterms:W3CDTF">2009-06-30T18:57:49Z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