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2120" windowHeight="8580" activeTab="0"/>
  </bookViews>
  <sheets>
    <sheet name="Transit profile" sheetId="1" r:id="rId1"/>
  </sheets>
  <definedNames>
    <definedName name="_xlnm.Print_Area" localSheetId="0">'Transit profile'!$A$1:$O$188</definedName>
  </definedNames>
  <calcPr fullCalcOnLoad="1"/>
</workbook>
</file>

<file path=xl/sharedStrings.xml><?xml version="1.0" encoding="utf-8"?>
<sst xmlns="http://schemas.openxmlformats.org/spreadsheetml/2006/main" count="644" uniqueCount="102">
  <si>
    <t>N</t>
  </si>
  <si>
    <t>Federal</t>
  </si>
  <si>
    <t>~</t>
  </si>
  <si>
    <t>+</t>
  </si>
  <si>
    <t>Vanpool</t>
  </si>
  <si>
    <t>U</t>
  </si>
  <si>
    <t>&lt; 1</t>
  </si>
  <si>
    <t>NA</t>
  </si>
  <si>
    <t>Heavy rail</t>
  </si>
  <si>
    <t>Light rail</t>
  </si>
  <si>
    <t>Commuter rail</t>
  </si>
  <si>
    <t>Motor bus</t>
  </si>
  <si>
    <t>Trolley bus</t>
  </si>
  <si>
    <t>State and local</t>
  </si>
  <si>
    <t>Other reconciling items</t>
  </si>
  <si>
    <t>Compressed natural gas</t>
  </si>
  <si>
    <t>Transit Profile</t>
  </si>
  <si>
    <t xml:space="preserve">N  </t>
  </si>
  <si>
    <t>Demand responsive</t>
  </si>
  <si>
    <t>Unless otherwise noted, refer to chapter tables for sources.</t>
  </si>
  <si>
    <t>SOURCES</t>
  </si>
  <si>
    <t>1960</t>
  </si>
  <si>
    <t>1970</t>
  </si>
  <si>
    <t>1980</t>
  </si>
  <si>
    <t>1990</t>
  </si>
  <si>
    <t>1994</t>
  </si>
  <si>
    <t>1995</t>
  </si>
  <si>
    <t>1996</t>
  </si>
  <si>
    <t>1997</t>
  </si>
  <si>
    <t xml:space="preserve">1998 </t>
  </si>
  <si>
    <t>1999</t>
  </si>
  <si>
    <r>
      <t>Other</t>
    </r>
    <r>
      <rPr>
        <vertAlign val="superscript"/>
        <sz val="11"/>
        <rFont val="Arial Narrow"/>
        <family val="2"/>
      </rPr>
      <t>b</t>
    </r>
  </si>
  <si>
    <r>
      <t>Ferryboat</t>
    </r>
    <r>
      <rPr>
        <vertAlign val="superscript"/>
        <sz val="11"/>
        <rFont val="Arial Narrow"/>
        <family val="2"/>
      </rPr>
      <t>a</t>
    </r>
  </si>
  <si>
    <r>
      <t>Operating assistance</t>
    </r>
    <r>
      <rPr>
        <vertAlign val="superscript"/>
        <sz val="11"/>
        <rFont val="Arial Narrow"/>
        <family val="2"/>
      </rPr>
      <t>c</t>
    </r>
    <r>
      <rPr>
        <sz val="11"/>
        <rFont val="Arial Narrow"/>
        <family val="2"/>
      </rPr>
      <t>, total</t>
    </r>
  </si>
  <si>
    <t>Operating revenues, total</t>
  </si>
  <si>
    <t>FINANCIAL</t>
  </si>
  <si>
    <t>INVENTORY</t>
  </si>
  <si>
    <t>PERFORMANCE</t>
  </si>
  <si>
    <r>
      <t>2000</t>
    </r>
  </si>
  <si>
    <r>
      <t>Passenger operating revenues</t>
    </r>
    <r>
      <rPr>
        <b/>
        <vertAlign val="superscript"/>
        <sz val="11"/>
        <rFont val="Arial Narrow"/>
        <family val="2"/>
      </rPr>
      <t>1</t>
    </r>
    <r>
      <rPr>
        <b/>
        <sz val="11"/>
        <rFont val="Arial Narrow"/>
        <family val="2"/>
      </rPr>
      <t>, total ($ millions)</t>
    </r>
  </si>
  <si>
    <t>Other operating revenue</t>
  </si>
  <si>
    <r>
      <t>Operating expenses</t>
    </r>
    <r>
      <rPr>
        <b/>
        <vertAlign val="superscript"/>
        <sz val="11"/>
        <rFont val="Arial Narrow"/>
        <family val="2"/>
      </rPr>
      <t>2</t>
    </r>
    <r>
      <rPr>
        <b/>
        <sz val="11"/>
        <rFont val="Arial Narrow"/>
        <family val="2"/>
      </rPr>
      <t>, total ($ millions)</t>
    </r>
  </si>
  <si>
    <r>
      <t>Average passenger revenue per passenger-mile</t>
    </r>
    <r>
      <rPr>
        <b/>
        <vertAlign val="superscript"/>
        <sz val="11"/>
        <rFont val="Arial Narrow"/>
        <family val="2"/>
      </rPr>
      <t>3</t>
    </r>
    <r>
      <rPr>
        <b/>
        <sz val="11"/>
        <rFont val="Arial Narrow"/>
        <family val="2"/>
      </rPr>
      <t>, all modes ($)</t>
    </r>
  </si>
  <si>
    <r>
      <t>Average passenger fare, per unlinked trip</t>
    </r>
    <r>
      <rPr>
        <b/>
        <vertAlign val="superscript"/>
        <sz val="11"/>
        <rFont val="Arial Narrow"/>
        <family val="2"/>
      </rPr>
      <t>4</t>
    </r>
    <r>
      <rPr>
        <b/>
        <sz val="11"/>
        <rFont val="Arial Narrow"/>
        <family val="2"/>
      </rPr>
      <t>, all modes ($)</t>
    </r>
  </si>
  <si>
    <r>
      <t>Vehicle-miles</t>
    </r>
    <r>
      <rPr>
        <b/>
        <vertAlign val="superscript"/>
        <sz val="11"/>
        <rFont val="Arial Narrow"/>
        <family val="2"/>
      </rPr>
      <t>8</t>
    </r>
    <r>
      <rPr>
        <b/>
        <sz val="11"/>
        <rFont val="Arial Narrow"/>
        <family val="2"/>
      </rPr>
      <t>, total (millions)</t>
    </r>
  </si>
  <si>
    <r>
      <t>Unlinked passenger trips</t>
    </r>
    <r>
      <rPr>
        <b/>
        <vertAlign val="superscript"/>
        <sz val="11"/>
        <rFont val="Arial Narrow"/>
        <family val="2"/>
      </rPr>
      <t>9</t>
    </r>
    <r>
      <rPr>
        <b/>
        <sz val="11"/>
        <rFont val="Arial Narrow"/>
        <family val="2"/>
      </rPr>
      <t>, total (millions)</t>
    </r>
  </si>
  <si>
    <r>
      <t>Passenger-miles</t>
    </r>
    <r>
      <rPr>
        <b/>
        <vertAlign val="superscript"/>
        <sz val="11"/>
        <rFont val="Arial Narrow"/>
        <family val="2"/>
      </rPr>
      <t>10</t>
    </r>
    <r>
      <rPr>
        <b/>
        <sz val="11"/>
        <rFont val="Arial Narrow"/>
        <family val="2"/>
      </rPr>
      <t>, total (millions)</t>
    </r>
  </si>
  <si>
    <r>
      <t>Average trip length</t>
    </r>
    <r>
      <rPr>
        <b/>
        <vertAlign val="superscript"/>
        <sz val="11"/>
        <rFont val="Arial Narrow"/>
        <family val="2"/>
      </rPr>
      <t>11</t>
    </r>
    <r>
      <rPr>
        <b/>
        <sz val="11"/>
        <rFont val="Arial Narrow"/>
        <family val="2"/>
      </rPr>
      <t>, all modes (miles)</t>
    </r>
  </si>
  <si>
    <r>
      <t>Average vehicle speed</t>
    </r>
    <r>
      <rPr>
        <b/>
        <vertAlign val="superscript"/>
        <sz val="11"/>
        <rFont val="Arial Narrow"/>
        <family val="2"/>
      </rPr>
      <t>12</t>
    </r>
    <r>
      <rPr>
        <b/>
        <sz val="11"/>
        <rFont val="Arial Narrow"/>
        <family val="2"/>
      </rPr>
      <t>, all modes (miles per hour)</t>
    </r>
  </si>
  <si>
    <r>
      <t>Energy consumption, diesel</t>
    </r>
    <r>
      <rPr>
        <b/>
        <vertAlign val="superscript"/>
        <sz val="11"/>
        <rFont val="Arial Narrow"/>
        <family val="2"/>
      </rPr>
      <t>13</t>
    </r>
    <r>
      <rPr>
        <b/>
        <sz val="11"/>
        <rFont val="Arial Narrow"/>
        <family val="2"/>
      </rPr>
      <t>, total (million gallons)</t>
    </r>
  </si>
  <si>
    <r>
      <t>Energy consumption, other</t>
    </r>
    <r>
      <rPr>
        <b/>
        <vertAlign val="superscript"/>
        <sz val="11"/>
        <rFont val="Arial Narrow"/>
        <family val="2"/>
      </rPr>
      <t>14</t>
    </r>
    <r>
      <rPr>
        <b/>
        <sz val="11"/>
        <rFont val="Arial Narrow"/>
        <family val="2"/>
      </rPr>
      <t>, total (million gallons)</t>
    </r>
  </si>
  <si>
    <r>
      <t>Energy consumption, electric power</t>
    </r>
    <r>
      <rPr>
        <b/>
        <vertAlign val="superscript"/>
        <sz val="11"/>
        <rFont val="Arial Narrow"/>
        <family val="2"/>
      </rPr>
      <t>15</t>
    </r>
    <r>
      <rPr>
        <b/>
        <sz val="11"/>
        <rFont val="Arial Narrow"/>
        <family val="2"/>
      </rPr>
      <t>, total (million kWh)</t>
    </r>
  </si>
  <si>
    <t>2001</t>
  </si>
  <si>
    <t>Passenger fares, total</t>
  </si>
  <si>
    <t>Operating expenses, total</t>
  </si>
  <si>
    <r>
      <t>KEY:</t>
    </r>
    <r>
      <rPr>
        <sz val="11"/>
        <rFont val="Arial"/>
        <family val="2"/>
      </rPr>
      <t xml:space="preserve">  ~ = included in heavy rail figure; + = included in motor bus figure; kWh = kilowatt hours; N = data do not exist; NA = not applicable; P = preliminary; U = data are not available.</t>
    </r>
  </si>
  <si>
    <r>
      <t>a</t>
    </r>
    <r>
      <rPr>
        <sz val="11"/>
        <rFont val="Arial"/>
        <family val="2"/>
      </rPr>
      <t xml:space="preserve"> Excludes international, rural, rural interstate, island and urban park ferries.</t>
    </r>
  </si>
  <si>
    <r>
      <t>b</t>
    </r>
    <r>
      <rPr>
        <sz val="11"/>
        <rFont val="Arial"/>
        <family val="2"/>
      </rPr>
      <t xml:space="preserve"> Includes cable car, inclined plane, aerial tramway, monorail, vanpool, and automated guideway.</t>
    </r>
  </si>
  <si>
    <r>
      <t>c</t>
    </r>
    <r>
      <rPr>
        <sz val="11"/>
        <rFont val="Arial"/>
        <family val="2"/>
      </rPr>
      <t xml:space="preserve"> Beginning in 1992, local operating assistance and other revenue declined by about $500 million due to change in accounting procedures at the New York City Transit Authority. Beginning in 1992, total operating expense declined by about $400 million due to a change in accounting procedures at the New York City Transit Authority.</t>
    </r>
  </si>
  <si>
    <r>
      <t>5</t>
    </r>
    <r>
      <rPr>
        <sz val="11"/>
        <rFont val="Arial"/>
        <family val="2"/>
      </rPr>
      <t xml:space="preserve"> Ibid., table 2 and similar tables for prior years.</t>
    </r>
  </si>
  <si>
    <t>SAFETY</t>
  </si>
  <si>
    <r>
      <t>Fatalities, all modes</t>
    </r>
    <r>
      <rPr>
        <b/>
        <vertAlign val="superscript"/>
        <sz val="11"/>
        <rFont val="Arial Narrow"/>
        <family val="2"/>
      </rPr>
      <t>16</t>
    </r>
  </si>
  <si>
    <r>
      <t>Incidents, all modes</t>
    </r>
    <r>
      <rPr>
        <b/>
        <vertAlign val="superscript"/>
        <sz val="11"/>
        <rFont val="Arial Narrow"/>
        <family val="2"/>
      </rPr>
      <t>16</t>
    </r>
  </si>
  <si>
    <r>
      <t>15</t>
    </r>
    <r>
      <rPr>
        <sz val="11"/>
        <rFont val="Arial"/>
        <family val="2"/>
      </rPr>
      <t xml:space="preserve"> Ibid., table 34 and similar tables in earlier years.</t>
    </r>
  </si>
  <si>
    <r>
      <t>11</t>
    </r>
    <r>
      <rPr>
        <sz val="11"/>
        <rFont val="Arial"/>
        <family val="2"/>
      </rPr>
      <t xml:space="preserve"> Ibid., table 10 and similar tables in earlier years.</t>
    </r>
  </si>
  <si>
    <r>
      <t>1</t>
    </r>
    <r>
      <rPr>
        <sz val="11"/>
        <rFont val="Arial"/>
        <family val="2"/>
      </rPr>
      <t xml:space="preserve"> American Public Transit Association, </t>
    </r>
    <r>
      <rPr>
        <i/>
        <sz val="11"/>
        <rFont val="Arial"/>
        <family val="2"/>
      </rPr>
      <t>Public Transportation Fact Book 2005</t>
    </r>
    <r>
      <rPr>
        <sz val="11"/>
        <rFont val="Arial"/>
        <family val="2"/>
      </rPr>
      <t>, (Washington, DC:  2005), tables 66, 67, 110, and similar tables in earlier years.</t>
    </r>
  </si>
  <si>
    <r>
      <t>3</t>
    </r>
    <r>
      <rPr>
        <sz val="11"/>
        <rFont val="Arial"/>
        <family val="2"/>
      </rPr>
      <t xml:space="preserve"> Ibid., tables 11, 66, 67, 110, and similar tables in earlier years.</t>
    </r>
  </si>
  <si>
    <r>
      <t>4</t>
    </r>
    <r>
      <rPr>
        <sz val="11"/>
        <rFont val="Arial"/>
        <family val="2"/>
      </rPr>
      <t xml:space="preserve"> Ibid., table 65 and similar tables in earlier years.</t>
    </r>
  </si>
  <si>
    <r>
      <t>6</t>
    </r>
    <r>
      <rPr>
        <sz val="11"/>
        <rFont val="Arial"/>
        <family val="2"/>
      </rPr>
      <t xml:space="preserve"> Ibid., tables 25, 110, and similar tables in earlier years.</t>
    </r>
  </si>
  <si>
    <r>
      <t>7</t>
    </r>
    <r>
      <rPr>
        <sz val="11"/>
        <rFont val="Arial"/>
        <family val="2"/>
      </rPr>
      <t xml:space="preserve"> Ibid., tables 31, 110, and similar tables in earlier years.</t>
    </r>
  </si>
  <si>
    <r>
      <t>8</t>
    </r>
    <r>
      <rPr>
        <sz val="11"/>
        <rFont val="Arial"/>
        <family val="2"/>
      </rPr>
      <t xml:space="preserve"> Ibid., tables 19, 110, and similar tables in earlier years.</t>
    </r>
  </si>
  <si>
    <r>
      <t>9</t>
    </r>
    <r>
      <rPr>
        <sz val="11"/>
        <rFont val="Arial"/>
        <family val="2"/>
      </rPr>
      <t xml:space="preserve"> Ibid., tables 8, 110, and similar tables in earlier years.</t>
    </r>
  </si>
  <si>
    <r>
      <t>10</t>
    </r>
    <r>
      <rPr>
        <sz val="11"/>
        <rFont val="Arial"/>
        <family val="2"/>
      </rPr>
      <t xml:space="preserve"> Ibid., tables 11, 110, and similar tables in earlier years.</t>
    </r>
  </si>
  <si>
    <r>
      <t xml:space="preserve">12 </t>
    </r>
    <r>
      <rPr>
        <sz val="11"/>
        <rFont val="Arial"/>
        <family val="2"/>
      </rPr>
      <t>Ibid., 21 and similar tables in earlier years.</t>
    </r>
  </si>
  <si>
    <r>
      <t>13</t>
    </r>
    <r>
      <rPr>
        <sz val="11"/>
        <rFont val="Arial"/>
        <family val="2"/>
      </rPr>
      <t xml:space="preserve"> Ibid., table 35 and similar tables in earlier years.</t>
    </r>
  </si>
  <si>
    <r>
      <t>14</t>
    </r>
    <r>
      <rPr>
        <sz val="11"/>
        <rFont val="Arial"/>
        <family val="2"/>
      </rPr>
      <t xml:space="preserve"> Ibid., table 36 and similar tables in earlier years. </t>
    </r>
  </si>
  <si>
    <r>
      <t>Number of vehicles</t>
    </r>
    <r>
      <rPr>
        <b/>
        <vertAlign val="superscript"/>
        <sz val="11"/>
        <rFont val="Arial Narrow"/>
        <family val="2"/>
      </rPr>
      <t xml:space="preserve"> 6</t>
    </r>
    <r>
      <rPr>
        <b/>
        <sz val="11"/>
        <rFont val="Arial Narrow"/>
        <family val="2"/>
      </rPr>
      <t>, total</t>
    </r>
  </si>
  <si>
    <r>
      <t>16</t>
    </r>
    <r>
      <rPr>
        <sz val="11"/>
        <rFont val="Arial"/>
        <family val="2"/>
      </rPr>
      <t xml:space="preserve"> U.S. Department of Transportation, Federal Transit Administration, </t>
    </r>
    <r>
      <rPr>
        <i/>
        <sz val="11"/>
        <rFont val="Arial"/>
        <family val="2"/>
      </rPr>
      <t>Transit Safety and Security Statistics and Analysis Annual Report</t>
    </r>
    <r>
      <rPr>
        <sz val="11"/>
        <rFont val="Arial"/>
        <family val="2"/>
      </rPr>
      <t xml:space="preserve"> (previously Safety Management Information Statistics - SAMIS), Internet site http://transit-safety.volpe.dot.gov/Data/samis/default.asp April 22, 2005. </t>
    </r>
  </si>
  <si>
    <t>Depreciation and amortization</t>
  </si>
  <si>
    <r>
      <t>Number of systems</t>
    </r>
    <r>
      <rPr>
        <b/>
        <vertAlign val="superscript"/>
        <sz val="11"/>
        <rFont val="Arial Narrow"/>
        <family val="2"/>
      </rPr>
      <t>d, 5</t>
    </r>
    <r>
      <rPr>
        <b/>
        <sz val="11"/>
        <rFont val="Arial Narrow"/>
        <family val="2"/>
      </rPr>
      <t>, total</t>
    </r>
  </si>
  <si>
    <r>
      <t>Commuter rail</t>
    </r>
    <r>
      <rPr>
        <vertAlign val="superscript"/>
        <sz val="11"/>
        <rFont val="Arial Narrow"/>
        <family val="2"/>
      </rPr>
      <t>e</t>
    </r>
  </si>
  <si>
    <r>
      <t>Number of employees</t>
    </r>
    <r>
      <rPr>
        <b/>
        <vertAlign val="superscript"/>
        <sz val="11"/>
        <rFont val="Arial Narrow"/>
        <family val="2"/>
      </rPr>
      <t>f, 7</t>
    </r>
    <r>
      <rPr>
        <b/>
        <sz val="11"/>
        <rFont val="Arial Narrow"/>
        <family val="2"/>
      </rPr>
      <t>, total</t>
    </r>
  </si>
  <si>
    <r>
      <t>Other</t>
    </r>
    <r>
      <rPr>
        <vertAlign val="superscript"/>
        <sz val="11"/>
        <rFont val="Arial Narrow"/>
        <family val="2"/>
      </rPr>
      <t>g</t>
    </r>
  </si>
  <si>
    <r>
      <t>Gasoline and other nondiesel fuels</t>
    </r>
    <r>
      <rPr>
        <vertAlign val="superscript"/>
        <sz val="11"/>
        <rFont val="Arial Narrow"/>
        <family val="2"/>
      </rPr>
      <t>h</t>
    </r>
  </si>
  <si>
    <r>
      <t xml:space="preserve">   </t>
    </r>
    <r>
      <rPr>
        <sz val="11"/>
        <rFont val="Arial Narrow"/>
        <family val="2"/>
      </rPr>
      <t>Major incidents</t>
    </r>
    <r>
      <rPr>
        <vertAlign val="superscript"/>
        <sz val="11"/>
        <rFont val="Arial Narrow"/>
        <family val="2"/>
      </rPr>
      <t>j</t>
    </r>
  </si>
  <si>
    <r>
      <t xml:space="preserve">d </t>
    </r>
    <r>
      <rPr>
        <sz val="11"/>
        <rFont val="Arial"/>
        <family val="2"/>
      </rPr>
      <t>The total figure represents the number of transit agencies.  It is not the sum of all modes since many agencies operate more than one mode.</t>
    </r>
  </si>
  <si>
    <r>
      <t xml:space="preserve">e  </t>
    </r>
    <r>
      <rPr>
        <sz val="11"/>
        <rFont val="Arial"/>
        <family val="2"/>
      </rPr>
      <t>Includes locomotives which make up roughly 10 percent of commuter rail vehicles.</t>
    </r>
  </si>
  <si>
    <r>
      <t xml:space="preserve">f  </t>
    </r>
    <r>
      <rPr>
        <sz val="11"/>
        <rFont val="Arial"/>
        <family val="2"/>
      </rPr>
      <t xml:space="preserve">Based on employee equivalents of 2,080 hours equals one employee; beginning in 1993, based on number of actual employees. </t>
    </r>
  </si>
  <si>
    <r>
      <t xml:space="preserve">g  </t>
    </r>
    <r>
      <rPr>
        <sz val="11"/>
        <rFont val="Arial"/>
        <family val="2"/>
      </rPr>
      <t>Includes cable car, inclined plane, aerial tramway, monorail, and automated guideway.</t>
    </r>
  </si>
  <si>
    <r>
      <t>h</t>
    </r>
    <r>
      <rPr>
        <sz val="11"/>
        <rFont val="Arial"/>
        <family val="2"/>
      </rPr>
      <t xml:space="preserve"> Liquefied natural gas, liquefied petroleum gas, methanol, propane, and other nondiesel fuels, except compressed natural gas.</t>
    </r>
  </si>
  <si>
    <r>
      <t xml:space="preserve">i </t>
    </r>
    <r>
      <rPr>
        <sz val="11"/>
        <rFont val="Arial"/>
        <family val="2"/>
      </rPr>
      <t xml:space="preserve">Beginning in 2002, the Federal Transit Administration changed the reporting threshold for injuries.  Before 2002, essentially all injuries had to be reported to the National Transit Database.  Beginning in 2002, only those injuries requiring immediate medical attention away from the scene of the incident are required to be reported.  </t>
    </r>
  </si>
  <si>
    <r>
      <t xml:space="preserve">j  </t>
    </r>
    <r>
      <rPr>
        <sz val="11"/>
        <rFont val="Arial"/>
        <family val="2"/>
      </rPr>
      <t>In 2002, the Federal Transit Administration defined major incidents as safety and/or security incidents resulting in: a fatality, two or more injuries transported for immediate medical treatment, property damage exceeding $25,000 (all property), main-line derailments, evacuations due to life safety, grade crossing collisions with injury or $7,500 damage, or rail transit vehicle collisions resulting in one or more injuries.</t>
    </r>
  </si>
  <si>
    <r>
      <t>2</t>
    </r>
    <r>
      <rPr>
        <sz val="11"/>
        <rFont val="Arial"/>
        <family val="2"/>
      </rPr>
      <t xml:space="preserve"> Ibid., tables 63, 64, 110 and similar tables in earlier years. 2003: U.S. Department of Transportation, Federal Transit Administration, 2003 National Transit Database, Internet site www.ntdprogram.com.</t>
    </r>
  </si>
  <si>
    <t>Other transit fatalities</t>
  </si>
  <si>
    <t>Other transit injuries</t>
  </si>
  <si>
    <t>Other transit incidents</t>
  </si>
  <si>
    <r>
      <t>Injured persons, all modes</t>
    </r>
    <r>
      <rPr>
        <b/>
        <vertAlign val="superscript"/>
        <sz val="11"/>
        <rFont val="Arial Narrow"/>
        <family val="2"/>
      </rPr>
      <t>i, 16</t>
    </r>
  </si>
  <si>
    <r>
      <t>17</t>
    </r>
    <r>
      <rPr>
        <sz val="11"/>
        <rFont val="Arial"/>
        <family val="2"/>
      </rPr>
      <t xml:space="preserve"> U.S. Department of Transportation, Federal Transit Administration, Office of Program Management, personal communication as of May 24, 2005. </t>
    </r>
  </si>
  <si>
    <r>
      <t>Transit highway-rail grade crossing fatalities</t>
    </r>
    <r>
      <rPr>
        <vertAlign val="superscript"/>
        <sz val="11"/>
        <rFont val="Arial Narrow"/>
        <family val="2"/>
      </rPr>
      <t>k, 17</t>
    </r>
  </si>
  <si>
    <r>
      <t>Transit highway-rail grade crossing injuries</t>
    </r>
    <r>
      <rPr>
        <vertAlign val="superscript"/>
        <sz val="11"/>
        <rFont val="Arial Narrow"/>
        <family val="2"/>
      </rPr>
      <t>k, 17</t>
    </r>
  </si>
  <si>
    <r>
      <t>Transit highway-rail grade crossing incidents</t>
    </r>
    <r>
      <rPr>
        <vertAlign val="superscript"/>
        <sz val="11"/>
        <rFont val="Arial Narrow"/>
        <family val="2"/>
      </rPr>
      <t>k, 17</t>
    </r>
  </si>
  <si>
    <r>
      <t xml:space="preserve">k </t>
    </r>
    <r>
      <rPr>
        <sz val="11"/>
        <rFont val="Arial"/>
        <family val="2"/>
      </rPr>
      <t>Transit highway-rail grade crossing fatalities, injuries, and incidents are the result of public transit rail mode operations excluding commuter rail. Almost all transit highway-rail crossings are light rail crossings. The heavy rail system in Chicago has 5 crossings. For the most part heavy rail operates on rights-of-way that do not include crossings.</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</si>
</sst>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
    <numFmt numFmtId="167" formatCode="_(* #,##0.0_);_(* \(#,##0.0\);_(* &quot;-&quot;??_);_(@_)"/>
    <numFmt numFmtId="168" formatCode="_(* #,##0_);_(* \(#,##0\);_(* &quot;-&quot;??_);_(@_)"/>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quot;(R)&quot;\ #,##0.00;&quot;(R) -&quot;#,##0.00;&quot;(R) &quot;\ 0.00"/>
    <numFmt numFmtId="175" formatCode="&quot;(R)&quot;\ #,##0;&quot;(R) -&quot;#,##0;&quot;(R) &quot;\ 0"/>
    <numFmt numFmtId="176" formatCode="&quot;(P)&quot;\ #,##0;&quot;(P) -&quot;#,##0;&quot;(P) &quot;\ 0"/>
    <numFmt numFmtId="177" formatCode="&quot;(P)&quot;\ ###0;&quot;(P) -&quot;#,##0;&quot;(P) &quot;\ 0"/>
    <numFmt numFmtId="178" formatCode="&quot;(P)&quot;\ ###0;&quot;(P) -&quot;###0;&quot;(P) &quot;\ 0"/>
  </numFmts>
  <fonts count="23">
    <font>
      <sz val="10"/>
      <name val="Arial"/>
      <family val="0"/>
    </font>
    <font>
      <b/>
      <sz val="10"/>
      <name val="Arial"/>
      <family val="0"/>
    </font>
    <font>
      <i/>
      <sz val="10"/>
      <name val="Arial"/>
      <family val="0"/>
    </font>
    <font>
      <b/>
      <i/>
      <sz val="10"/>
      <name val="Arial"/>
      <family val="0"/>
    </font>
    <font>
      <sz val="8"/>
      <name val="Helv"/>
      <family val="0"/>
    </font>
    <font>
      <vertAlign val="superscript"/>
      <sz val="12"/>
      <name val="Helv"/>
      <family val="0"/>
    </font>
    <font>
      <sz val="9"/>
      <name val="Helv"/>
      <family val="0"/>
    </font>
    <font>
      <b/>
      <sz val="9"/>
      <name val="Helv"/>
      <family val="0"/>
    </font>
    <font>
      <b/>
      <sz val="14"/>
      <name val="Helv"/>
      <family val="0"/>
    </font>
    <font>
      <b/>
      <sz val="10"/>
      <name val="Helv"/>
      <family val="0"/>
    </font>
    <font>
      <b/>
      <sz val="12"/>
      <name val="Helv"/>
      <family val="0"/>
    </font>
    <font>
      <sz val="10"/>
      <name val="Helv"/>
      <family val="0"/>
    </font>
    <font>
      <vertAlign val="superscript"/>
      <sz val="10"/>
      <name val="Helv"/>
      <family val="0"/>
    </font>
    <font>
      <b/>
      <sz val="8"/>
      <name val="Helv"/>
      <family val="0"/>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11"/>
      <name val="Arial"/>
      <family val="2"/>
    </font>
    <font>
      <sz val="11"/>
      <name val="Arial"/>
      <family val="2"/>
    </font>
    <font>
      <vertAlign val="superscript"/>
      <sz val="11"/>
      <name val="Arial"/>
      <family val="2"/>
    </font>
    <font>
      <i/>
      <sz val="11"/>
      <name val="Arial"/>
      <family val="2"/>
    </font>
    <font>
      <sz val="11"/>
      <name val="Times New Roman"/>
      <family val="1"/>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lignment horizontal="right"/>
      <protection/>
    </xf>
    <xf numFmtId="0" fontId="9" fillId="0" borderId="2">
      <alignment horizontal="left" vertical="center"/>
      <protection/>
    </xf>
    <xf numFmtId="0" fontId="9" fillId="2" borderId="0">
      <alignment horizontal="centerContinuous" wrapText="1"/>
      <protection/>
    </xf>
    <xf numFmtId="49" fontId="7" fillId="2" borderId="3">
      <alignment horizontal="left" vertical="center"/>
      <protection/>
    </xf>
    <xf numFmtId="9" fontId="0" fillId="0" borderId="0" applyFont="0" applyFill="0" applyBorder="0" applyAlignment="0" applyProtection="0"/>
    <xf numFmtId="0" fontId="4" fillId="0" borderId="0">
      <alignment horizontal="right"/>
      <protection/>
    </xf>
    <xf numFmtId="49" fontId="4" fillId="0" borderId="0">
      <alignment horizontal="center"/>
      <protection/>
    </xf>
    <xf numFmtId="0" fontId="5" fillId="0" borderId="0">
      <alignment horizontal="right"/>
      <protection/>
    </xf>
    <xf numFmtId="0" fontId="4" fillId="0" borderId="0">
      <alignment horizontal="left"/>
      <protection/>
    </xf>
    <xf numFmtId="49" fontId="12" fillId="0" borderId="1" applyFill="0">
      <alignment horizontal="left"/>
      <protection/>
    </xf>
    <xf numFmtId="164" fontId="6" fillId="0" borderId="0" applyNumberFormat="0">
      <alignment horizontal="right"/>
      <protection/>
    </xf>
    <xf numFmtId="4" fontId="6" fillId="0" borderId="2">
      <alignment horizontal="right"/>
      <protection/>
    </xf>
    <xf numFmtId="0" fontId="7" fillId="3" borderId="0">
      <alignment horizontal="centerContinuous" vertical="center" wrapText="1"/>
      <protection/>
    </xf>
    <xf numFmtId="0" fontId="7" fillId="0" borderId="4">
      <alignment horizontal="left" vertical="center"/>
      <protection/>
    </xf>
    <xf numFmtId="0" fontId="8" fillId="0" borderId="0">
      <alignment horizontal="left" vertical="top"/>
      <protection/>
    </xf>
    <xf numFmtId="0" fontId="9" fillId="0" borderId="0">
      <alignment horizontal="left"/>
      <protection/>
    </xf>
    <xf numFmtId="0" fontId="10" fillId="0" borderId="0">
      <alignment horizontal="left"/>
      <protection/>
    </xf>
    <xf numFmtId="0" fontId="11" fillId="0" borderId="0">
      <alignment horizontal="left"/>
      <protection/>
    </xf>
    <xf numFmtId="0" fontId="8" fillId="0" borderId="0">
      <alignment horizontal="left" vertical="top"/>
      <protection/>
    </xf>
    <xf numFmtId="0" fontId="10" fillId="0" borderId="0">
      <alignment horizontal="left"/>
      <protection/>
    </xf>
    <xf numFmtId="0" fontId="11" fillId="0" borderId="0">
      <alignment horizontal="left"/>
      <protection/>
    </xf>
    <xf numFmtId="49" fontId="4" fillId="0" borderId="1">
      <alignment horizontal="left"/>
      <protection/>
    </xf>
    <xf numFmtId="0" fontId="13" fillId="0" borderId="1">
      <alignment horizontal="left"/>
      <protection/>
    </xf>
    <xf numFmtId="0" fontId="9" fillId="0" borderId="0">
      <alignment horizontal="left" vertical="center"/>
      <protection/>
    </xf>
  </cellStyleXfs>
  <cellXfs count="96">
    <xf numFmtId="0" fontId="0" fillId="0" borderId="0" xfId="0" applyAlignment="1">
      <alignment/>
    </xf>
    <xf numFmtId="3" fontId="16" fillId="0" borderId="0" xfId="19" applyFont="1" applyFill="1" applyBorder="1">
      <alignment horizontal="right"/>
      <protection/>
    </xf>
    <xf numFmtId="3" fontId="16" fillId="0" borderId="0" xfId="19" applyNumberFormat="1" applyFont="1" applyFill="1" applyBorder="1">
      <alignment horizontal="right"/>
      <protection/>
    </xf>
    <xf numFmtId="3" fontId="16" fillId="0" borderId="5" xfId="19" applyFont="1" applyFill="1" applyBorder="1" applyAlignment="1">
      <alignment horizontal="right" vertical="center"/>
      <protection/>
    </xf>
    <xf numFmtId="0" fontId="16" fillId="0" borderId="5" xfId="0" applyFont="1" applyFill="1" applyBorder="1" applyAlignment="1">
      <alignment/>
    </xf>
    <xf numFmtId="3" fontId="16" fillId="0" borderId="5" xfId="0" applyNumberFormat="1" applyFont="1" applyFill="1" applyBorder="1" applyAlignment="1">
      <alignment/>
    </xf>
    <xf numFmtId="3" fontId="16" fillId="0" borderId="0" xfId="19" applyFont="1" applyFill="1" applyBorder="1" applyAlignment="1">
      <alignment horizontal="right"/>
      <protection/>
    </xf>
    <xf numFmtId="3" fontId="16" fillId="0" borderId="0" xfId="0" applyNumberFormat="1" applyFont="1" applyFill="1" applyBorder="1" applyAlignment="1">
      <alignment horizontal="right"/>
    </xf>
    <xf numFmtId="0" fontId="16" fillId="0" borderId="5" xfId="0" applyFont="1" applyFill="1" applyBorder="1" applyAlignment="1">
      <alignment vertical="center"/>
    </xf>
    <xf numFmtId="49" fontId="14" fillId="0" borderId="3" xfId="40" applyFont="1" applyFill="1" applyBorder="1" applyAlignment="1">
      <alignment horizontal="left" vertical="center"/>
      <protection/>
    </xf>
    <xf numFmtId="49" fontId="16" fillId="0" borderId="0" xfId="40" applyFont="1" applyFill="1" applyBorder="1" applyAlignment="1">
      <alignment horizontal="left" indent="1"/>
      <protection/>
    </xf>
    <xf numFmtId="49" fontId="14" fillId="0" borderId="6" xfId="40" applyFont="1" applyFill="1" applyBorder="1">
      <alignment horizontal="left"/>
      <protection/>
    </xf>
    <xf numFmtId="49" fontId="16" fillId="0" borderId="0" xfId="40" applyFont="1" applyFill="1" applyBorder="1" applyAlignment="1">
      <alignment horizontal="left" indent="2"/>
      <protection/>
    </xf>
    <xf numFmtId="49" fontId="16" fillId="0" borderId="0" xfId="40" applyFont="1" applyFill="1" applyBorder="1" applyAlignment="1">
      <alignment horizontal="left" indent="3"/>
      <protection/>
    </xf>
    <xf numFmtId="49" fontId="14" fillId="0" borderId="0" xfId="40" applyFont="1" applyFill="1" applyBorder="1">
      <alignment horizontal="left"/>
      <protection/>
    </xf>
    <xf numFmtId="49" fontId="16" fillId="0" borderId="0" xfId="40" applyFont="1" applyFill="1" applyBorder="1" applyAlignment="1">
      <alignment horizontal="left" vertical="top" indent="2"/>
      <protection/>
    </xf>
    <xf numFmtId="49" fontId="16" fillId="0" borderId="0" xfId="40" applyFont="1" applyFill="1" applyBorder="1" applyAlignment="1">
      <alignment horizontal="left" vertical="top" indent="1"/>
      <protection/>
    </xf>
    <xf numFmtId="2" fontId="16" fillId="0" borderId="0" xfId="40" applyNumberFormat="1" applyFont="1" applyFill="1" applyBorder="1" applyAlignment="1">
      <alignment horizontal="left" vertical="top" indent="2"/>
      <protection/>
    </xf>
    <xf numFmtId="49" fontId="16" fillId="0" borderId="0" xfId="40" applyFont="1" applyFill="1" applyBorder="1" applyAlignment="1">
      <alignment horizontal="left" vertical="top" indent="3"/>
      <protection/>
    </xf>
    <xf numFmtId="49" fontId="14" fillId="0" borderId="5" xfId="40" applyFont="1" applyFill="1" applyBorder="1" applyAlignment="1">
      <alignment horizontal="left" vertical="top"/>
      <protection/>
    </xf>
    <xf numFmtId="49" fontId="14" fillId="0" borderId="0" xfId="40" applyFont="1" applyFill="1" applyBorder="1" applyAlignment="1">
      <alignment horizontal="left"/>
      <protection/>
    </xf>
    <xf numFmtId="2" fontId="16" fillId="0" borderId="0" xfId="40" applyNumberFormat="1" applyFont="1" applyFill="1" applyBorder="1" applyAlignment="1">
      <alignment horizontal="left" vertical="top" indent="1"/>
      <protection/>
    </xf>
    <xf numFmtId="49" fontId="16" fillId="0" borderId="3" xfId="40" applyFont="1" applyFill="1" applyBorder="1" applyAlignment="1">
      <alignment horizontal="left" vertical="top" indent="1"/>
      <protection/>
    </xf>
    <xf numFmtId="2" fontId="16" fillId="0" borderId="0" xfId="40" applyNumberFormat="1" applyFont="1" applyFill="1" applyBorder="1" applyAlignment="1">
      <alignment horizontal="left" indent="1"/>
      <protection/>
    </xf>
    <xf numFmtId="2" fontId="16" fillId="0" borderId="3" xfId="40" applyNumberFormat="1" applyFont="1" applyFill="1" applyBorder="1" applyAlignment="1">
      <alignment horizontal="left" vertical="top" indent="1"/>
      <protection/>
    </xf>
    <xf numFmtId="2" fontId="14" fillId="0" borderId="6" xfId="40" applyNumberFormat="1" applyFont="1" applyFill="1" applyBorder="1">
      <alignment horizontal="left"/>
      <protection/>
    </xf>
    <xf numFmtId="2" fontId="14" fillId="0" borderId="0" xfId="40" applyNumberFormat="1" applyFont="1" applyFill="1" applyBorder="1">
      <alignment horizontal="left"/>
      <protection/>
    </xf>
    <xf numFmtId="0" fontId="16" fillId="0" borderId="0" xfId="0" applyFont="1" applyFill="1" applyBorder="1" applyAlignment="1">
      <alignment/>
    </xf>
    <xf numFmtId="3" fontId="19" fillId="0" borderId="0" xfId="0" applyNumberFormat="1" applyFont="1" applyFill="1" applyBorder="1" applyAlignment="1">
      <alignment/>
    </xf>
    <xf numFmtId="0" fontId="19" fillId="0" borderId="0" xfId="0" applyFont="1" applyFill="1" applyBorder="1" applyAlignment="1">
      <alignment/>
    </xf>
    <xf numFmtId="0" fontId="19" fillId="0" borderId="0" xfId="0" applyFont="1" applyFill="1" applyBorder="1" applyAlignment="1" applyProtection="1">
      <alignment/>
      <protection/>
    </xf>
    <xf numFmtId="0" fontId="18" fillId="0" borderId="0" xfId="0" applyFont="1" applyFill="1" applyBorder="1" applyAlignment="1">
      <alignment/>
    </xf>
    <xf numFmtId="0" fontId="19" fillId="0" borderId="0" xfId="0" applyFont="1" applyFill="1" applyBorder="1" applyAlignment="1">
      <alignment horizontal="left"/>
    </xf>
    <xf numFmtId="0" fontId="18" fillId="0" borderId="0" xfId="0" applyFont="1" applyFill="1" applyBorder="1" applyAlignment="1">
      <alignment horizontal="left"/>
    </xf>
    <xf numFmtId="2" fontId="19" fillId="0" borderId="0" xfId="0" applyNumberFormat="1" applyFont="1" applyFill="1" applyBorder="1" applyAlignment="1">
      <alignment/>
    </xf>
    <xf numFmtId="0" fontId="19" fillId="0" borderId="1" xfId="0" applyFont="1" applyFill="1" applyBorder="1" applyAlignment="1">
      <alignment/>
    </xf>
    <xf numFmtId="0" fontId="19" fillId="0" borderId="5" xfId="0" applyFont="1" applyFill="1" applyBorder="1" applyAlignment="1">
      <alignment/>
    </xf>
    <xf numFmtId="3" fontId="19" fillId="0" borderId="0" xfId="19" applyFont="1" applyFill="1" applyBorder="1">
      <alignment horizontal="right"/>
      <protection/>
    </xf>
    <xf numFmtId="0" fontId="19" fillId="0" borderId="0" xfId="0" applyFont="1" applyFill="1" applyAlignment="1">
      <alignment wrapText="1"/>
    </xf>
    <xf numFmtId="0" fontId="18" fillId="0" borderId="0" xfId="0" applyFont="1" applyFill="1" applyAlignment="1">
      <alignment wrapText="1"/>
    </xf>
    <xf numFmtId="0" fontId="21" fillId="0" borderId="0" xfId="0" applyFont="1" applyFill="1" applyAlignment="1">
      <alignment/>
    </xf>
    <xf numFmtId="0" fontId="22" fillId="0" borderId="0" xfId="0" applyFont="1" applyFill="1" applyBorder="1" applyAlignment="1">
      <alignment/>
    </xf>
    <xf numFmtId="0" fontId="22" fillId="0" borderId="0" xfId="0" applyFont="1" applyFill="1" applyBorder="1" applyAlignment="1">
      <alignment/>
    </xf>
    <xf numFmtId="3" fontId="22" fillId="0" borderId="0" xfId="0" applyNumberFormat="1" applyFont="1" applyFill="1" applyBorder="1" applyAlignment="1">
      <alignment/>
    </xf>
    <xf numFmtId="3" fontId="19" fillId="0" borderId="7" xfId="19" applyFont="1" applyFill="1" applyBorder="1">
      <alignment horizontal="right"/>
      <protection/>
    </xf>
    <xf numFmtId="0" fontId="19" fillId="0" borderId="7" xfId="0" applyFont="1" applyFill="1" applyBorder="1" applyAlignment="1">
      <alignment/>
    </xf>
    <xf numFmtId="0" fontId="20" fillId="0" borderId="0" xfId="0" applyFont="1" applyFill="1" applyBorder="1" applyAlignment="1">
      <alignment horizontal="left"/>
    </xf>
    <xf numFmtId="3" fontId="20" fillId="0" borderId="0" xfId="19" applyFont="1" applyFill="1" applyBorder="1" applyAlignment="1">
      <alignment horizontal="left"/>
      <protection/>
    </xf>
    <xf numFmtId="49" fontId="14" fillId="0" borderId="3" xfId="22" applyFont="1" applyFill="1" applyBorder="1" applyAlignment="1" applyProtection="1">
      <alignment horizontal="left"/>
      <protection/>
    </xf>
    <xf numFmtId="0" fontId="16" fillId="0" borderId="0" xfId="0" applyFont="1" applyFill="1" applyBorder="1" applyAlignment="1">
      <alignment horizontal="left"/>
    </xf>
    <xf numFmtId="1" fontId="14" fillId="0" borderId="8" xfId="0" applyNumberFormat="1" applyFont="1" applyFill="1" applyBorder="1" applyAlignment="1" applyProtection="1">
      <alignment horizontal="center"/>
      <protection/>
    </xf>
    <xf numFmtId="3" fontId="18" fillId="0" borderId="0" xfId="19" applyFont="1" applyFill="1" applyBorder="1" applyAlignment="1">
      <alignment horizontal="center"/>
      <protection/>
    </xf>
    <xf numFmtId="1" fontId="14" fillId="0" borderId="3" xfId="21" applyNumberFormat="1" applyFont="1" applyFill="1" applyBorder="1" applyAlignment="1" applyProtection="1">
      <alignment horizontal="center"/>
      <protection/>
    </xf>
    <xf numFmtId="1" fontId="16" fillId="0" borderId="0" xfId="19" applyNumberFormat="1" applyFont="1" applyFill="1" applyBorder="1">
      <alignment horizontal="right"/>
      <protection/>
    </xf>
    <xf numFmtId="1" fontId="16" fillId="0" borderId="0" xfId="19" applyNumberFormat="1" applyFont="1" applyFill="1" applyBorder="1" applyAlignment="1">
      <alignment horizontal="right"/>
      <protection/>
    </xf>
    <xf numFmtId="1" fontId="16" fillId="0" borderId="0" xfId="0" applyNumberFormat="1" applyFont="1" applyFill="1" applyBorder="1" applyAlignment="1">
      <alignment horizontal="right"/>
    </xf>
    <xf numFmtId="1" fontId="14" fillId="0" borderId="5" xfId="21" applyNumberFormat="1" applyFont="1" applyFill="1" applyBorder="1" applyAlignment="1" applyProtection="1">
      <alignment horizontal="right" vertical="center"/>
      <protection/>
    </xf>
    <xf numFmtId="1" fontId="15" fillId="0" borderId="5" xfId="0" applyNumberFormat="1" applyFont="1" applyFill="1" applyBorder="1" applyAlignment="1" applyProtection="1">
      <alignment horizontal="center" vertical="top"/>
      <protection/>
    </xf>
    <xf numFmtId="1" fontId="16" fillId="0" borderId="3" xfId="0" applyNumberFormat="1" applyFont="1" applyFill="1" applyBorder="1" applyAlignment="1">
      <alignment/>
    </xf>
    <xf numFmtId="1" fontId="19" fillId="0" borderId="3" xfId="0" applyNumberFormat="1" applyFont="1" applyFill="1" applyBorder="1" applyAlignment="1">
      <alignment/>
    </xf>
    <xf numFmtId="2" fontId="16" fillId="0" borderId="0" xfId="19" applyNumberFormat="1" applyFont="1" applyFill="1" applyBorder="1">
      <alignment horizontal="right"/>
      <protection/>
    </xf>
    <xf numFmtId="2" fontId="16" fillId="0" borderId="0" xfId="0" applyNumberFormat="1" applyFont="1" applyFill="1" applyBorder="1" applyAlignment="1">
      <alignment horizontal="right"/>
    </xf>
    <xf numFmtId="3" fontId="16" fillId="0" borderId="0" xfId="19" applyNumberFormat="1" applyFont="1" applyFill="1" applyBorder="1" applyAlignment="1">
      <alignment horizontal="right"/>
      <protection/>
    </xf>
    <xf numFmtId="3" fontId="16" fillId="0" borderId="0" xfId="0" applyNumberFormat="1" applyFont="1" applyFill="1" applyBorder="1" applyAlignment="1">
      <alignment/>
    </xf>
    <xf numFmtId="3" fontId="16" fillId="0" borderId="0" xfId="15" applyNumberFormat="1" applyFont="1" applyFill="1" applyBorder="1" applyAlignment="1">
      <alignment horizontal="right"/>
    </xf>
    <xf numFmtId="3" fontId="16" fillId="0" borderId="3" xfId="19" applyNumberFormat="1" applyFont="1" applyFill="1" applyBorder="1">
      <alignment horizontal="right"/>
      <protection/>
    </xf>
    <xf numFmtId="3" fontId="16" fillId="0" borderId="3" xfId="19" applyNumberFormat="1" applyFont="1" applyFill="1" applyBorder="1" applyAlignment="1">
      <alignment horizontal="right"/>
      <protection/>
    </xf>
    <xf numFmtId="3" fontId="16" fillId="0" borderId="3" xfId="0" applyNumberFormat="1" applyFont="1" applyFill="1" applyBorder="1" applyAlignment="1">
      <alignment horizontal="right"/>
    </xf>
    <xf numFmtId="0" fontId="20" fillId="0" borderId="0" xfId="0" applyFont="1" applyFill="1" applyBorder="1" applyAlignment="1">
      <alignment horizontal="left" wrapText="1"/>
    </xf>
    <xf numFmtId="0" fontId="19" fillId="0" borderId="0" xfId="0" applyFont="1" applyFill="1" applyAlignment="1">
      <alignment horizontal="left" wrapText="1"/>
    </xf>
    <xf numFmtId="0" fontId="18" fillId="0" borderId="0" xfId="0" applyFont="1" applyFill="1" applyBorder="1" applyAlignment="1">
      <alignment horizontal="left" wrapText="1"/>
    </xf>
    <xf numFmtId="2" fontId="18" fillId="0" borderId="7" xfId="40" applyNumberFormat="1" applyFont="1" applyFill="1" applyBorder="1" applyAlignment="1">
      <alignment horizontal="left" wrapText="1"/>
      <protection/>
    </xf>
    <xf numFmtId="0" fontId="19" fillId="0" borderId="7" xfId="0" applyFont="1" applyFill="1" applyBorder="1" applyAlignment="1">
      <alignment wrapText="1"/>
    </xf>
    <xf numFmtId="0" fontId="19" fillId="0" borderId="0" xfId="0" applyFont="1" applyFill="1" applyBorder="1" applyAlignment="1">
      <alignment wrapText="1"/>
    </xf>
    <xf numFmtId="0" fontId="19" fillId="0" borderId="0" xfId="0" applyFont="1" applyFill="1" applyAlignment="1">
      <alignment wrapText="1"/>
    </xf>
    <xf numFmtId="0" fontId="19" fillId="0" borderId="0" xfId="0" applyFont="1" applyFill="1" applyAlignment="1">
      <alignment wrapText="1"/>
    </xf>
    <xf numFmtId="0" fontId="20" fillId="0" borderId="0" xfId="0" applyFont="1" applyFill="1" applyBorder="1" applyAlignment="1">
      <alignment wrapText="1"/>
    </xf>
    <xf numFmtId="0" fontId="18" fillId="0" borderId="9" xfId="37" applyFont="1" applyFill="1" applyBorder="1" applyAlignment="1">
      <alignment horizontal="left" vertical="top" wrapText="1"/>
      <protection/>
    </xf>
    <xf numFmtId="0" fontId="19" fillId="0" borderId="9" xfId="0" applyFont="1" applyFill="1" applyBorder="1" applyAlignment="1">
      <alignment wrapText="1"/>
    </xf>
    <xf numFmtId="0" fontId="22" fillId="0" borderId="0" xfId="0" applyFont="1" applyFill="1" applyBorder="1" applyAlignment="1">
      <alignment wrapText="1"/>
    </xf>
    <xf numFmtId="0" fontId="0" fillId="0" borderId="9" xfId="0" applyFill="1" applyBorder="1" applyAlignment="1">
      <alignment wrapText="1"/>
    </xf>
    <xf numFmtId="178" fontId="14" fillId="0" borderId="3" xfId="0" applyNumberFormat="1" applyFont="1" applyFill="1" applyBorder="1" applyAlignment="1" applyProtection="1">
      <alignment horizontal="center"/>
      <protection/>
    </xf>
    <xf numFmtId="2" fontId="16" fillId="0" borderId="0" xfId="0" applyNumberFormat="1" applyFont="1" applyFill="1" applyBorder="1" applyAlignment="1">
      <alignment/>
    </xf>
    <xf numFmtId="2" fontId="16" fillId="0" borderId="3" xfId="0" applyNumberFormat="1" applyFont="1" applyFill="1" applyBorder="1" applyAlignment="1">
      <alignment/>
    </xf>
    <xf numFmtId="175" fontId="16" fillId="0" borderId="0" xfId="19" applyNumberFormat="1" applyFont="1" applyFill="1" applyBorder="1">
      <alignment horizontal="right"/>
      <protection/>
    </xf>
    <xf numFmtId="175" fontId="16" fillId="0" borderId="0" xfId="19" applyNumberFormat="1" applyFont="1" applyFill="1" applyBorder="1" applyAlignment="1">
      <alignment horizontal="right"/>
      <protection/>
    </xf>
    <xf numFmtId="175" fontId="16" fillId="0" borderId="0" xfId="0" applyNumberFormat="1" applyFont="1" applyFill="1" applyBorder="1" applyAlignment="1">
      <alignment horizontal="right"/>
    </xf>
    <xf numFmtId="49" fontId="14" fillId="0" borderId="0" xfId="40" applyFont="1" applyFill="1" applyBorder="1" applyAlignment="1">
      <alignment horizontal="left" vertical="top"/>
      <protection/>
    </xf>
    <xf numFmtId="3" fontId="16" fillId="0" borderId="3" xfId="0" applyNumberFormat="1" applyFont="1" applyFill="1" applyBorder="1" applyAlignment="1">
      <alignment/>
    </xf>
    <xf numFmtId="1" fontId="16" fillId="0" borderId="0" xfId="0" applyNumberFormat="1" applyFont="1" applyFill="1" applyBorder="1" applyAlignment="1">
      <alignment/>
    </xf>
    <xf numFmtId="0" fontId="16" fillId="0" borderId="0" xfId="0" applyFont="1" applyFill="1" applyBorder="1" applyAlignment="1">
      <alignment horizontal="right"/>
    </xf>
    <xf numFmtId="4" fontId="14" fillId="0" borderId="0" xfId="40" applyNumberFormat="1" applyFont="1" applyFill="1" applyBorder="1">
      <alignment horizontal="left"/>
      <protection/>
    </xf>
    <xf numFmtId="3" fontId="16" fillId="0" borderId="9" xfId="0" applyNumberFormat="1" applyFont="1" applyFill="1" applyBorder="1" applyAlignment="1">
      <alignment horizontal="right"/>
    </xf>
    <xf numFmtId="0" fontId="0" fillId="0" borderId="0" xfId="0" applyFill="1" applyAlignment="1">
      <alignment horizontal="left" wrapText="1"/>
    </xf>
    <xf numFmtId="3" fontId="20" fillId="0" borderId="0" xfId="0" applyNumberFormat="1" applyFont="1" applyFill="1" applyBorder="1" applyAlignment="1">
      <alignment horizontal="left" wrapText="1"/>
    </xf>
    <xf numFmtId="0" fontId="19" fillId="0" borderId="0" xfId="0" applyFont="1" applyFill="1" applyBorder="1" applyAlignment="1">
      <alignment horizontal="left" wrapText="1"/>
    </xf>
  </cellXfs>
  <cellStyles count="29">
    <cellStyle name="Normal" xfId="0"/>
    <cellStyle name="Comma" xfId="15"/>
    <cellStyle name="Comma [0]" xfId="16"/>
    <cellStyle name="Currency" xfId="17"/>
    <cellStyle name="Currency [0]" xfId="18"/>
    <cellStyle name="Data" xfId="19"/>
    <cellStyle name="Hed Side" xfId="20"/>
    <cellStyle name="Hed Top" xfId="21"/>
    <cellStyle name="Hed Top - SECTION" xfId="22"/>
    <cellStyle name="Percent" xfId="23"/>
    <cellStyle name="Source Hed" xfId="24"/>
    <cellStyle name="Source Letter" xfId="25"/>
    <cellStyle name="Source Superscript" xfId="26"/>
    <cellStyle name="Source Text" xfId="27"/>
    <cellStyle name="Superscript" xfId="28"/>
    <cellStyle name="Table Data" xfId="29"/>
    <cellStyle name="Table Data Decimal" xfId="30"/>
    <cellStyle name="Table Head Top" xfId="31"/>
    <cellStyle name="Table Hed Side" xfId="32"/>
    <cellStyle name="Table Title" xfId="33"/>
    <cellStyle name="Title Text" xfId="34"/>
    <cellStyle name="Title Text 1" xfId="35"/>
    <cellStyle name="Title Text 2" xfId="36"/>
    <cellStyle name="Title-1" xfId="37"/>
    <cellStyle name="Title-2" xfId="38"/>
    <cellStyle name="Title-3" xfId="39"/>
    <cellStyle name="Wrap" xfId="40"/>
    <cellStyle name="Wrap Bold" xfId="41"/>
    <cellStyle name="Wrap Title"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194"/>
  <sheetViews>
    <sheetView tabSelected="1" zoomScaleSheetLayoutView="100" workbookViewId="0" topLeftCell="A1">
      <selection activeCell="A1" sqref="A1:O1"/>
    </sheetView>
  </sheetViews>
  <sheetFormatPr defaultColWidth="9.140625" defaultRowHeight="12" customHeight="1"/>
  <cols>
    <col min="1" max="1" width="54.28125" style="41" customWidth="1"/>
    <col min="2" max="3" width="9.28125" style="41" customWidth="1"/>
    <col min="4" max="4" width="9.28125" style="42" customWidth="1"/>
    <col min="5" max="5" width="9.421875" style="43" customWidth="1"/>
    <col min="6" max="14" width="9.421875" style="41" customWidth="1"/>
    <col min="15" max="15" width="9.421875" style="27" customWidth="1"/>
    <col min="16" max="241" width="8.8515625" style="41" customWidth="1"/>
    <col min="242" max="16384" width="9.140625" style="41" customWidth="1"/>
  </cols>
  <sheetData>
    <row r="1" spans="1:15" s="29" customFormat="1" ht="18" customHeight="1" thickBot="1">
      <c r="A1" s="77" t="s">
        <v>16</v>
      </c>
      <c r="B1" s="78"/>
      <c r="C1" s="78"/>
      <c r="D1" s="78"/>
      <c r="E1" s="78"/>
      <c r="F1" s="78"/>
      <c r="G1" s="78"/>
      <c r="H1" s="78"/>
      <c r="I1" s="78"/>
      <c r="J1" s="78"/>
      <c r="K1" s="78"/>
      <c r="L1" s="80"/>
      <c r="M1" s="80"/>
      <c r="N1" s="80"/>
      <c r="O1" s="80"/>
    </row>
    <row r="2" spans="1:15" s="30" customFormat="1" ht="15.75">
      <c r="A2" s="48" t="s">
        <v>35</v>
      </c>
      <c r="B2" s="52" t="s">
        <v>21</v>
      </c>
      <c r="C2" s="52" t="s">
        <v>22</v>
      </c>
      <c r="D2" s="52" t="s">
        <v>23</v>
      </c>
      <c r="E2" s="52" t="s">
        <v>24</v>
      </c>
      <c r="F2" s="52" t="s">
        <v>25</v>
      </c>
      <c r="G2" s="52" t="s">
        <v>26</v>
      </c>
      <c r="H2" s="52" t="s">
        <v>27</v>
      </c>
      <c r="I2" s="52" t="s">
        <v>28</v>
      </c>
      <c r="J2" s="52" t="s">
        <v>29</v>
      </c>
      <c r="K2" s="50" t="s">
        <v>30</v>
      </c>
      <c r="L2" s="50" t="s">
        <v>38</v>
      </c>
      <c r="M2" s="50" t="s">
        <v>52</v>
      </c>
      <c r="N2" s="50">
        <v>2002</v>
      </c>
      <c r="O2" s="81">
        <v>2003</v>
      </c>
    </row>
    <row r="3" spans="1:15" s="29" customFormat="1" ht="15.75">
      <c r="A3" s="11" t="s">
        <v>39</v>
      </c>
      <c r="B3" s="2">
        <v>1407</v>
      </c>
      <c r="C3" s="2">
        <v>1707</v>
      </c>
      <c r="D3" s="2">
        <f>+D15+D4</f>
        <v>6510</v>
      </c>
      <c r="E3" s="2">
        <v>16053.2</v>
      </c>
      <c r="F3" s="2">
        <v>17967.8</v>
      </c>
      <c r="G3" s="2">
        <v>18240.6</v>
      </c>
      <c r="H3" s="2">
        <v>19151.2</v>
      </c>
      <c r="I3" s="2">
        <v>19514.9</v>
      </c>
      <c r="J3" s="2">
        <v>21061.8</v>
      </c>
      <c r="K3" s="2">
        <v>22220.2</v>
      </c>
      <c r="L3" s="2">
        <v>24242.6</v>
      </c>
      <c r="M3" s="2">
        <v>25288</v>
      </c>
      <c r="N3" s="2">
        <v>26632.4</v>
      </c>
      <c r="O3" s="63">
        <v>28085.5</v>
      </c>
    </row>
    <row r="4" spans="1:15" s="29" customFormat="1" ht="13.5">
      <c r="A4" s="10" t="s">
        <v>34</v>
      </c>
      <c r="B4" s="2">
        <f>+B14+B5</f>
        <v>1407</v>
      </c>
      <c r="C4" s="2">
        <f>+C14+C5</f>
        <v>1707</v>
      </c>
      <c r="D4" s="2">
        <v>2805</v>
      </c>
      <c r="E4" s="2">
        <v>6785.8</v>
      </c>
      <c r="F4" s="2">
        <v>9026.6</v>
      </c>
      <c r="G4" s="2">
        <v>9613.1</v>
      </c>
      <c r="H4" s="2">
        <v>10344.5</v>
      </c>
      <c r="I4" s="2">
        <v>10854.1</v>
      </c>
      <c r="J4" s="2">
        <v>11654.3</v>
      </c>
      <c r="K4" s="2">
        <v>11930</v>
      </c>
      <c r="L4" s="2">
        <v>12962.5</v>
      </c>
      <c r="M4" s="2">
        <v>12470.6</v>
      </c>
      <c r="N4" s="2">
        <v>13250.5</v>
      </c>
      <c r="O4" s="63">
        <v>14235.9</v>
      </c>
    </row>
    <row r="5" spans="1:15" s="29" customFormat="1" ht="13.5">
      <c r="A5" s="15" t="s">
        <v>53</v>
      </c>
      <c r="B5" s="2">
        <v>1335</v>
      </c>
      <c r="C5" s="2">
        <v>1639</v>
      </c>
      <c r="D5" s="2">
        <v>2556</v>
      </c>
      <c r="E5" s="2">
        <v>5890.8</v>
      </c>
      <c r="F5" s="2">
        <v>6756</v>
      </c>
      <c r="G5" s="2">
        <v>6800.9</v>
      </c>
      <c r="H5" s="2">
        <v>7416.3</v>
      </c>
      <c r="I5" s="2">
        <v>7545.7</v>
      </c>
      <c r="J5" s="62">
        <v>7969.6</v>
      </c>
      <c r="K5" s="7">
        <v>8282.4</v>
      </c>
      <c r="L5" s="62">
        <v>8745.8</v>
      </c>
      <c r="M5" s="62">
        <v>8891.1</v>
      </c>
      <c r="N5" s="62">
        <v>8648.9</v>
      </c>
      <c r="O5" s="63">
        <v>9153.1</v>
      </c>
    </row>
    <row r="6" spans="1:15" s="29" customFormat="1" ht="13.5">
      <c r="A6" s="13" t="s">
        <v>11</v>
      </c>
      <c r="B6" s="2" t="s">
        <v>0</v>
      </c>
      <c r="C6" s="2" t="s">
        <v>0</v>
      </c>
      <c r="D6" s="2" t="s">
        <v>0</v>
      </c>
      <c r="E6" s="2">
        <v>2966.8</v>
      </c>
      <c r="F6" s="2">
        <v>3249.5</v>
      </c>
      <c r="G6" s="2">
        <v>3287.2</v>
      </c>
      <c r="H6" s="2">
        <v>3515</v>
      </c>
      <c r="I6" s="2">
        <v>3557.8</v>
      </c>
      <c r="J6" s="62">
        <v>3991.2</v>
      </c>
      <c r="K6" s="7">
        <v>4175</v>
      </c>
      <c r="L6" s="62">
        <v>4375.5</v>
      </c>
      <c r="M6" s="62">
        <v>4356.7</v>
      </c>
      <c r="N6" s="62">
        <v>4106.2</v>
      </c>
      <c r="O6" s="63">
        <v>4269.6</v>
      </c>
    </row>
    <row r="7" spans="1:15" s="29" customFormat="1" ht="13.5">
      <c r="A7" s="13" t="s">
        <v>8</v>
      </c>
      <c r="B7" s="2" t="s">
        <v>0</v>
      </c>
      <c r="C7" s="2" t="s">
        <v>0</v>
      </c>
      <c r="D7" s="2" t="s">
        <v>0</v>
      </c>
      <c r="E7" s="2">
        <v>1740.8</v>
      </c>
      <c r="F7" s="2">
        <v>1975.7</v>
      </c>
      <c r="G7" s="62">
        <v>2018.2</v>
      </c>
      <c r="H7" s="2">
        <v>2321.5</v>
      </c>
      <c r="I7" s="2">
        <v>2350.9</v>
      </c>
      <c r="J7" s="7">
        <v>2297.4</v>
      </c>
      <c r="K7" s="7">
        <v>2323.3</v>
      </c>
      <c r="L7" s="62">
        <v>2482.7</v>
      </c>
      <c r="M7" s="62">
        <v>2532.6</v>
      </c>
      <c r="N7" s="62">
        <v>2492.5</v>
      </c>
      <c r="O7" s="63">
        <v>2654.3</v>
      </c>
    </row>
    <row r="8" spans="1:15" s="29" customFormat="1" ht="13.5">
      <c r="A8" s="13" t="s">
        <v>9</v>
      </c>
      <c r="B8" s="2" t="s">
        <v>0</v>
      </c>
      <c r="C8" s="2" t="s">
        <v>0</v>
      </c>
      <c r="D8" s="2" t="s">
        <v>0</v>
      </c>
      <c r="E8" s="2">
        <v>82.6</v>
      </c>
      <c r="F8" s="2">
        <v>135.1</v>
      </c>
      <c r="G8" s="2">
        <v>126.5</v>
      </c>
      <c r="H8" s="2">
        <v>144.2</v>
      </c>
      <c r="I8" s="2">
        <v>138.6</v>
      </c>
      <c r="J8" s="7">
        <v>149.7</v>
      </c>
      <c r="K8" s="7">
        <v>163.5</v>
      </c>
      <c r="L8" s="62">
        <v>181.2</v>
      </c>
      <c r="M8" s="62">
        <v>203.8</v>
      </c>
      <c r="N8" s="62">
        <v>226.1</v>
      </c>
      <c r="O8" s="63">
        <v>229.1</v>
      </c>
    </row>
    <row r="9" spans="1:15" s="31" customFormat="1" ht="13.5">
      <c r="A9" s="13" t="s">
        <v>12</v>
      </c>
      <c r="B9" s="2" t="s">
        <v>0</v>
      </c>
      <c r="C9" s="2" t="s">
        <v>0</v>
      </c>
      <c r="D9" s="2" t="s">
        <v>0</v>
      </c>
      <c r="E9" s="2">
        <v>45.8</v>
      </c>
      <c r="F9" s="2">
        <v>54.5</v>
      </c>
      <c r="G9" s="2">
        <v>54</v>
      </c>
      <c r="H9" s="2">
        <v>54.7</v>
      </c>
      <c r="I9" s="2">
        <v>56.9</v>
      </c>
      <c r="J9" s="7">
        <v>55.3</v>
      </c>
      <c r="K9" s="7">
        <v>59.5</v>
      </c>
      <c r="L9" s="7">
        <v>59.5</v>
      </c>
      <c r="M9" s="7">
        <v>59.5</v>
      </c>
      <c r="N9" s="7">
        <v>59.4</v>
      </c>
      <c r="O9" s="63">
        <v>53.5</v>
      </c>
    </row>
    <row r="10" spans="1:15" s="29" customFormat="1" ht="13.5">
      <c r="A10" s="13" t="s">
        <v>18</v>
      </c>
      <c r="B10" s="2" t="s">
        <v>0</v>
      </c>
      <c r="C10" s="2" t="s">
        <v>0</v>
      </c>
      <c r="D10" s="2" t="s">
        <v>0</v>
      </c>
      <c r="E10" s="2">
        <v>40.9</v>
      </c>
      <c r="F10" s="2">
        <v>170.7</v>
      </c>
      <c r="G10" s="2">
        <v>146.3</v>
      </c>
      <c r="H10" s="2">
        <v>156.9</v>
      </c>
      <c r="I10" s="2">
        <v>170.4</v>
      </c>
      <c r="J10" s="62">
        <v>141.5</v>
      </c>
      <c r="K10" s="7">
        <v>158.6</v>
      </c>
      <c r="L10" s="62">
        <v>171.6</v>
      </c>
      <c r="M10" s="62">
        <v>181.5</v>
      </c>
      <c r="N10" s="62">
        <v>193.5</v>
      </c>
      <c r="O10" s="63">
        <v>244</v>
      </c>
    </row>
    <row r="11" spans="1:15" s="29" customFormat="1" ht="15.75">
      <c r="A11" s="18" t="s">
        <v>32</v>
      </c>
      <c r="B11" s="2" t="s">
        <v>0</v>
      </c>
      <c r="C11" s="2" t="s">
        <v>0</v>
      </c>
      <c r="D11" s="2" t="s">
        <v>0</v>
      </c>
      <c r="E11" s="2">
        <v>56</v>
      </c>
      <c r="F11" s="2">
        <v>41</v>
      </c>
      <c r="G11" s="2">
        <v>60</v>
      </c>
      <c r="H11" s="2">
        <v>54</v>
      </c>
      <c r="I11" s="2">
        <v>51</v>
      </c>
      <c r="J11" s="62">
        <v>41</v>
      </c>
      <c r="K11" s="7">
        <v>48.175</v>
      </c>
      <c r="L11" s="62">
        <v>60</v>
      </c>
      <c r="M11" s="62">
        <v>71</v>
      </c>
      <c r="N11" s="62">
        <v>78.136</v>
      </c>
      <c r="O11" s="63">
        <v>99.385</v>
      </c>
    </row>
    <row r="12" spans="1:15" s="29" customFormat="1" ht="13.5">
      <c r="A12" s="13" t="s">
        <v>10</v>
      </c>
      <c r="B12" s="2" t="s">
        <v>0</v>
      </c>
      <c r="C12" s="2" t="s">
        <v>0</v>
      </c>
      <c r="D12" s="2" t="s">
        <v>0</v>
      </c>
      <c r="E12" s="2">
        <v>952.2</v>
      </c>
      <c r="F12" s="2">
        <v>1083.1</v>
      </c>
      <c r="G12" s="2">
        <v>1077.5</v>
      </c>
      <c r="H12" s="2">
        <v>1145.6</v>
      </c>
      <c r="I12" s="2">
        <v>1177.6</v>
      </c>
      <c r="J12" s="7">
        <v>1255.2</v>
      </c>
      <c r="K12" s="7">
        <v>1308.7</v>
      </c>
      <c r="L12" s="62">
        <v>1374.6</v>
      </c>
      <c r="M12" s="62">
        <v>1438.7</v>
      </c>
      <c r="N12" s="62">
        <v>1447.4</v>
      </c>
      <c r="O12" s="63">
        <v>1552.2</v>
      </c>
    </row>
    <row r="13" spans="1:15" s="29" customFormat="1" ht="15.75">
      <c r="A13" s="18" t="s">
        <v>31</v>
      </c>
      <c r="B13" s="2" t="s">
        <v>0</v>
      </c>
      <c r="C13" s="2" t="s">
        <v>0</v>
      </c>
      <c r="D13" s="2" t="s">
        <v>0</v>
      </c>
      <c r="E13" s="2">
        <f>61.7-E11</f>
        <v>5.700000000000003</v>
      </c>
      <c r="F13" s="2">
        <f>87.4-F11</f>
        <v>46.400000000000006</v>
      </c>
      <c r="G13" s="2">
        <f>91.2-G11</f>
        <v>31.200000000000003</v>
      </c>
      <c r="H13" s="2">
        <f>78.4-H11</f>
        <v>24.400000000000006</v>
      </c>
      <c r="I13" s="2">
        <f>93.5-I11</f>
        <v>42.5</v>
      </c>
      <c r="J13" s="62">
        <f>79.3-J11</f>
        <v>38.3</v>
      </c>
      <c r="K13" s="7">
        <f>93.8-K11</f>
        <v>45.625</v>
      </c>
      <c r="L13" s="7">
        <f>100.7-L11</f>
        <v>40.7</v>
      </c>
      <c r="M13" s="7">
        <f>118.3-M11</f>
        <v>47.3</v>
      </c>
      <c r="N13" s="7">
        <f>123.8-N11</f>
        <v>45.664</v>
      </c>
      <c r="O13" s="63">
        <f>150.5-O11</f>
        <v>51.114999999999995</v>
      </c>
    </row>
    <row r="14" spans="1:15" s="29" customFormat="1" ht="13.5">
      <c r="A14" s="12" t="s">
        <v>40</v>
      </c>
      <c r="B14" s="2">
        <v>72</v>
      </c>
      <c r="C14" s="2">
        <v>68</v>
      </c>
      <c r="D14" s="2">
        <v>248</v>
      </c>
      <c r="E14" s="2">
        <v>895</v>
      </c>
      <c r="F14" s="2">
        <v>2270.6</v>
      </c>
      <c r="G14" s="2">
        <v>2812.2</v>
      </c>
      <c r="H14" s="2">
        <v>2928.2</v>
      </c>
      <c r="I14" s="2">
        <v>3308.4</v>
      </c>
      <c r="J14" s="62">
        <v>3684.7</v>
      </c>
      <c r="K14" s="7">
        <v>3647.6</v>
      </c>
      <c r="L14" s="62">
        <v>4216.7</v>
      </c>
      <c r="M14" s="62">
        <v>3579.5</v>
      </c>
      <c r="N14" s="62">
        <v>4601.6</v>
      </c>
      <c r="O14" s="63">
        <v>5082.7</v>
      </c>
    </row>
    <row r="15" spans="1:15" s="29" customFormat="1" ht="15.75">
      <c r="A15" s="16" t="s">
        <v>33</v>
      </c>
      <c r="B15" s="2" t="s">
        <v>0</v>
      </c>
      <c r="C15" s="2" t="s">
        <v>0</v>
      </c>
      <c r="D15" s="2">
        <v>3705</v>
      </c>
      <c r="E15" s="2">
        <v>9267.4</v>
      </c>
      <c r="F15" s="2">
        <v>8941.2</v>
      </c>
      <c r="G15" s="2">
        <v>8627.5</v>
      </c>
      <c r="H15" s="2">
        <v>8806.7</v>
      </c>
      <c r="I15" s="62">
        <v>8660.8</v>
      </c>
      <c r="J15" s="62">
        <v>9407.5</v>
      </c>
      <c r="K15" s="7">
        <v>10290.2</v>
      </c>
      <c r="L15" s="7">
        <v>11280.1</v>
      </c>
      <c r="M15" s="7">
        <v>12817.4</v>
      </c>
      <c r="N15" s="7">
        <v>13381.9</v>
      </c>
      <c r="O15" s="63">
        <v>13849.7</v>
      </c>
    </row>
    <row r="16" spans="1:15" s="31" customFormat="1" ht="13.5">
      <c r="A16" s="12" t="s">
        <v>13</v>
      </c>
      <c r="B16" s="2" t="s">
        <v>0</v>
      </c>
      <c r="C16" s="2" t="s">
        <v>0</v>
      </c>
      <c r="D16" s="2">
        <v>2611</v>
      </c>
      <c r="E16" s="2">
        <f>5326.8+2970.6</f>
        <v>8297.4</v>
      </c>
      <c r="F16" s="2">
        <f>4171.2+3854.4</f>
        <v>8025.6</v>
      </c>
      <c r="G16" s="2">
        <f>3980.9+3829.6</f>
        <v>7810.5</v>
      </c>
      <c r="H16" s="2">
        <f>4128.5+4081.8</f>
        <v>8210.3</v>
      </c>
      <c r="I16" s="62">
        <f>4095.1+3918.7</f>
        <v>8013.799999999999</v>
      </c>
      <c r="J16" s="62">
        <f>4376.9+4279.4</f>
        <v>8656.3</v>
      </c>
      <c r="K16" s="7">
        <f>4539.8+4878.6</f>
        <v>9418.400000000001</v>
      </c>
      <c r="L16" s="7">
        <f>5318.8+4967.1</f>
        <v>10285.900000000001</v>
      </c>
      <c r="M16" s="7">
        <f>5986.6+5700.9</f>
        <v>11687.5</v>
      </c>
      <c r="N16" s="7">
        <f>5343.9+6718.6</f>
        <v>12062.5</v>
      </c>
      <c r="O16" s="63">
        <f>5576.9+6655.8</f>
        <v>12232.7</v>
      </c>
    </row>
    <row r="17" spans="1:15" s="29" customFormat="1" ht="13.5">
      <c r="A17" s="12" t="s">
        <v>1</v>
      </c>
      <c r="B17" s="2" t="s">
        <v>0</v>
      </c>
      <c r="C17" s="2" t="s">
        <v>0</v>
      </c>
      <c r="D17" s="2">
        <v>1093</v>
      </c>
      <c r="E17" s="2">
        <v>970</v>
      </c>
      <c r="F17" s="2">
        <v>915.6</v>
      </c>
      <c r="G17" s="2">
        <v>817</v>
      </c>
      <c r="H17" s="2">
        <v>596.4</v>
      </c>
      <c r="I17" s="62">
        <v>647</v>
      </c>
      <c r="J17" s="62">
        <v>751.2</v>
      </c>
      <c r="K17" s="7">
        <v>871.8</v>
      </c>
      <c r="L17" s="7">
        <v>994.2</v>
      </c>
      <c r="M17" s="7">
        <v>1129.9</v>
      </c>
      <c r="N17" s="7">
        <v>1319.4</v>
      </c>
      <c r="O17" s="63">
        <v>1617</v>
      </c>
    </row>
    <row r="18" spans="1:15" s="32" customFormat="1" ht="15.75">
      <c r="A18" s="20" t="s">
        <v>41</v>
      </c>
      <c r="B18" s="2">
        <v>1377</v>
      </c>
      <c r="C18" s="2">
        <v>1996</v>
      </c>
      <c r="D18" s="2">
        <f>SUM(D19:D29)</f>
        <v>6711</v>
      </c>
      <c r="E18" s="2">
        <f aca="true" t="shared" si="0" ref="E18:J18">+E19+E28+E29</f>
        <v>17979.100000000002</v>
      </c>
      <c r="F18" s="2">
        <f t="shared" si="0"/>
        <v>21652.6</v>
      </c>
      <c r="G18" s="2">
        <f>+G19+G28+G29</f>
        <v>21539.899999999998</v>
      </c>
      <c r="H18" s="2">
        <f t="shared" si="0"/>
        <v>22260.100000000002</v>
      </c>
      <c r="I18" s="2">
        <f t="shared" si="0"/>
        <v>23158.8</v>
      </c>
      <c r="J18" s="2">
        <f t="shared" si="0"/>
        <v>24317.8</v>
      </c>
      <c r="K18" s="2">
        <f>+K19+K28+K29</f>
        <v>25537.6</v>
      </c>
      <c r="L18" s="2">
        <f>+L19+L28+L29</f>
        <v>28193.7</v>
      </c>
      <c r="M18" s="2">
        <f>+M19+M28+M29</f>
        <v>29278.5</v>
      </c>
      <c r="N18" s="2">
        <f>+N19+N28+N29</f>
        <v>30918.3</v>
      </c>
      <c r="O18" s="7" t="s">
        <v>5</v>
      </c>
    </row>
    <row r="19" spans="1:15" s="33" customFormat="1" ht="13.5">
      <c r="A19" s="16" t="s">
        <v>54</v>
      </c>
      <c r="B19" s="2" t="s">
        <v>0</v>
      </c>
      <c r="C19" s="2" t="s">
        <v>0</v>
      </c>
      <c r="D19" s="2">
        <v>6247</v>
      </c>
      <c r="E19" s="2">
        <v>15742.1</v>
      </c>
      <c r="F19" s="2">
        <v>17919.9</v>
      </c>
      <c r="G19" s="2">
        <v>17848.7</v>
      </c>
      <c r="H19" s="62">
        <v>18340.7</v>
      </c>
      <c r="I19" s="62">
        <v>18936.1</v>
      </c>
      <c r="J19" s="62">
        <v>19738.5</v>
      </c>
      <c r="K19" s="7">
        <v>20512.1</v>
      </c>
      <c r="L19" s="7">
        <v>22645.5</v>
      </c>
      <c r="M19" s="7">
        <v>23516.9</v>
      </c>
      <c r="N19" s="7">
        <v>24834</v>
      </c>
      <c r="O19" s="7">
        <v>26859.4</v>
      </c>
    </row>
    <row r="20" spans="1:15" s="29" customFormat="1" ht="13.5">
      <c r="A20" s="12" t="s">
        <v>11</v>
      </c>
      <c r="B20" s="2" t="s">
        <v>0</v>
      </c>
      <c r="C20" s="2" t="s">
        <v>0</v>
      </c>
      <c r="D20" s="2" t="s">
        <v>0</v>
      </c>
      <c r="E20" s="2">
        <v>8903.1</v>
      </c>
      <c r="F20" s="2">
        <v>10144.1</v>
      </c>
      <c r="G20" s="2">
        <v>10320.5</v>
      </c>
      <c r="H20" s="62">
        <v>10574.9</v>
      </c>
      <c r="I20" s="62">
        <v>10944</v>
      </c>
      <c r="J20" s="62">
        <v>11428.9</v>
      </c>
      <c r="K20" s="7">
        <v>11713.8</v>
      </c>
      <c r="L20" s="7">
        <v>12966.2</v>
      </c>
      <c r="M20" s="7">
        <v>13335.2</v>
      </c>
      <c r="N20" s="7">
        <v>14065.6</v>
      </c>
      <c r="O20" s="63">
        <v>15240.3</v>
      </c>
    </row>
    <row r="21" spans="1:15" s="29" customFormat="1" ht="13.5">
      <c r="A21" s="12" t="s">
        <v>8</v>
      </c>
      <c r="B21" s="2" t="s">
        <v>0</v>
      </c>
      <c r="C21" s="2" t="s">
        <v>0</v>
      </c>
      <c r="D21" s="2" t="s">
        <v>0</v>
      </c>
      <c r="E21" s="2">
        <v>3825</v>
      </c>
      <c r="F21" s="2">
        <v>3786.2</v>
      </c>
      <c r="G21" s="2">
        <v>3522.9</v>
      </c>
      <c r="H21" s="62">
        <v>3401.9</v>
      </c>
      <c r="I21" s="62">
        <v>3473.7</v>
      </c>
      <c r="J21" s="7">
        <v>3529.6</v>
      </c>
      <c r="K21" s="7">
        <v>3693.4</v>
      </c>
      <c r="L21" s="7">
        <v>3930.8</v>
      </c>
      <c r="M21" s="7">
        <v>4180.1</v>
      </c>
      <c r="N21" s="7">
        <v>4267.5</v>
      </c>
      <c r="O21" s="63">
        <v>4446.2</v>
      </c>
    </row>
    <row r="22" spans="1:15" s="29" customFormat="1" ht="13.5">
      <c r="A22" s="12" t="s">
        <v>9</v>
      </c>
      <c r="B22" s="2" t="s">
        <v>0</v>
      </c>
      <c r="C22" s="2" t="s">
        <v>0</v>
      </c>
      <c r="D22" s="2" t="s">
        <v>0</v>
      </c>
      <c r="E22" s="2">
        <v>237.1</v>
      </c>
      <c r="F22" s="2">
        <v>412.8</v>
      </c>
      <c r="G22" s="2">
        <v>376.1</v>
      </c>
      <c r="H22" s="62">
        <v>441.6</v>
      </c>
      <c r="I22" s="62">
        <v>472.5</v>
      </c>
      <c r="J22" s="62">
        <v>500.2</v>
      </c>
      <c r="K22" s="7">
        <v>545.6</v>
      </c>
      <c r="L22" s="7">
        <v>606.4</v>
      </c>
      <c r="M22" s="7">
        <v>682.2</v>
      </c>
      <c r="N22" s="7">
        <v>778.3</v>
      </c>
      <c r="O22" s="63">
        <v>815.2</v>
      </c>
    </row>
    <row r="23" spans="1:15" s="29" customFormat="1" ht="13.5">
      <c r="A23" s="12" t="s">
        <v>12</v>
      </c>
      <c r="B23" s="2" t="s">
        <v>0</v>
      </c>
      <c r="C23" s="2" t="s">
        <v>0</v>
      </c>
      <c r="D23" s="2" t="s">
        <v>0</v>
      </c>
      <c r="E23" s="2">
        <v>108.6</v>
      </c>
      <c r="F23" s="2">
        <v>132.9</v>
      </c>
      <c r="G23" s="2">
        <v>138.9</v>
      </c>
      <c r="H23" s="62">
        <v>134.6</v>
      </c>
      <c r="I23" s="62">
        <v>140.2</v>
      </c>
      <c r="J23" s="7">
        <v>146.5</v>
      </c>
      <c r="K23" s="7">
        <v>166.9</v>
      </c>
      <c r="L23" s="7">
        <v>177.6</v>
      </c>
      <c r="M23" s="7">
        <v>172.4</v>
      </c>
      <c r="N23" s="7">
        <v>186.7</v>
      </c>
      <c r="O23" s="63">
        <v>182.7</v>
      </c>
    </row>
    <row r="24" spans="1:15" s="29" customFormat="1" ht="13.5">
      <c r="A24" s="12" t="s">
        <v>18</v>
      </c>
      <c r="B24" s="2" t="s">
        <v>0</v>
      </c>
      <c r="C24" s="2" t="s">
        <v>0</v>
      </c>
      <c r="D24" s="2" t="s">
        <v>0</v>
      </c>
      <c r="E24" s="2">
        <v>517.8</v>
      </c>
      <c r="F24" s="2">
        <v>942.7</v>
      </c>
      <c r="G24" s="2">
        <v>1000.4</v>
      </c>
      <c r="H24" s="62">
        <v>1186.6</v>
      </c>
      <c r="I24" s="62">
        <v>1284.5</v>
      </c>
      <c r="J24" s="62">
        <v>1405.4</v>
      </c>
      <c r="K24" s="7">
        <v>1419.3</v>
      </c>
      <c r="L24" s="7">
        <v>1804.9</v>
      </c>
      <c r="M24" s="7">
        <v>1754</v>
      </c>
      <c r="N24" s="7">
        <v>1949.4</v>
      </c>
      <c r="O24" s="63">
        <v>2363.4</v>
      </c>
    </row>
    <row r="25" spans="1:15" s="29" customFormat="1" ht="15.75">
      <c r="A25" s="17" t="s">
        <v>32</v>
      </c>
      <c r="B25" s="2" t="s">
        <v>0</v>
      </c>
      <c r="C25" s="2" t="s">
        <v>0</v>
      </c>
      <c r="D25" s="2" t="s">
        <v>0</v>
      </c>
      <c r="E25" s="2">
        <v>171</v>
      </c>
      <c r="F25" s="2">
        <v>200</v>
      </c>
      <c r="G25" s="2">
        <v>210</v>
      </c>
      <c r="H25" s="62">
        <v>183</v>
      </c>
      <c r="I25" s="62">
        <v>221</v>
      </c>
      <c r="J25" s="62">
        <v>214</v>
      </c>
      <c r="K25" s="7">
        <v>238.383</v>
      </c>
      <c r="L25" s="7">
        <v>268.4</v>
      </c>
      <c r="M25" s="7">
        <v>324</v>
      </c>
      <c r="N25" s="7">
        <v>354.057</v>
      </c>
      <c r="O25" s="63">
        <v>355.181</v>
      </c>
    </row>
    <row r="26" spans="1:15" s="29" customFormat="1" ht="13.5">
      <c r="A26" s="12" t="s">
        <v>10</v>
      </c>
      <c r="B26" s="2" t="s">
        <v>0</v>
      </c>
      <c r="C26" s="2" t="s">
        <v>0</v>
      </c>
      <c r="D26" s="2" t="s">
        <v>0</v>
      </c>
      <c r="E26" s="2">
        <v>1938.5</v>
      </c>
      <c r="F26" s="2">
        <v>2227.8</v>
      </c>
      <c r="G26" s="2">
        <v>2211.2</v>
      </c>
      <c r="H26" s="62">
        <v>2294.1</v>
      </c>
      <c r="I26" s="62">
        <v>2278.1</v>
      </c>
      <c r="J26" s="62">
        <v>2360.6</v>
      </c>
      <c r="K26" s="7">
        <v>2574.9</v>
      </c>
      <c r="L26" s="7">
        <v>2685.3</v>
      </c>
      <c r="M26" s="7">
        <v>2860.8</v>
      </c>
      <c r="N26" s="7">
        <v>3003.2</v>
      </c>
      <c r="O26" s="63">
        <v>3178.5</v>
      </c>
    </row>
    <row r="27" spans="1:15" s="29" customFormat="1" ht="15.75">
      <c r="A27" s="17" t="s">
        <v>31</v>
      </c>
      <c r="B27" s="2" t="s">
        <v>0</v>
      </c>
      <c r="C27" s="2" t="s">
        <v>0</v>
      </c>
      <c r="D27" s="2" t="s">
        <v>0</v>
      </c>
      <c r="E27" s="2">
        <f>212-E25</f>
        <v>41</v>
      </c>
      <c r="F27" s="2">
        <f>273.4-F25</f>
        <v>73.39999999999998</v>
      </c>
      <c r="G27" s="2">
        <f>278.7-G25</f>
        <v>68.69999999999999</v>
      </c>
      <c r="H27" s="62">
        <f>307-H25</f>
        <v>124</v>
      </c>
      <c r="I27" s="62">
        <f>343.1-I25</f>
        <v>122.10000000000002</v>
      </c>
      <c r="J27" s="62">
        <f>367.3-J25</f>
        <v>153.3</v>
      </c>
      <c r="K27" s="7">
        <f>398.2-238.383</f>
        <v>159.81699999999998</v>
      </c>
      <c r="L27" s="7">
        <f>474.3-L25</f>
        <v>205.90000000000003</v>
      </c>
      <c r="M27" s="7">
        <f>532.2-M25</f>
        <v>208.20000000000005</v>
      </c>
      <c r="N27" s="63">
        <f>583.3-N25</f>
        <v>229.24299999999994</v>
      </c>
      <c r="O27" s="63">
        <f>633.1-O25</f>
        <v>277.91900000000004</v>
      </c>
    </row>
    <row r="28" spans="1:15" s="29" customFormat="1" ht="13.5">
      <c r="A28" s="10" t="s">
        <v>78</v>
      </c>
      <c r="B28" s="2" t="s">
        <v>0</v>
      </c>
      <c r="C28" s="2" t="s">
        <v>0</v>
      </c>
      <c r="D28" s="2">
        <v>278</v>
      </c>
      <c r="E28" s="2">
        <v>1593.1</v>
      </c>
      <c r="F28" s="2">
        <v>2768.6</v>
      </c>
      <c r="G28" s="2">
        <v>2600.6</v>
      </c>
      <c r="H28" s="62">
        <v>2885</v>
      </c>
      <c r="I28" s="62">
        <v>3105.5</v>
      </c>
      <c r="J28" s="62">
        <v>3434.5</v>
      </c>
      <c r="K28" s="7">
        <v>3692.2</v>
      </c>
      <c r="L28" s="7">
        <v>4076.2</v>
      </c>
      <c r="M28" s="7">
        <v>4233</v>
      </c>
      <c r="N28" s="7">
        <v>4470.1</v>
      </c>
      <c r="O28" s="7">
        <v>4500.387759</v>
      </c>
    </row>
    <row r="29" spans="1:15" s="29" customFormat="1" ht="13.5">
      <c r="A29" s="10" t="s">
        <v>14</v>
      </c>
      <c r="B29" s="2" t="s">
        <v>0</v>
      </c>
      <c r="C29" s="2" t="s">
        <v>0</v>
      </c>
      <c r="D29" s="2">
        <v>186</v>
      </c>
      <c r="E29" s="2">
        <v>643.9</v>
      </c>
      <c r="F29" s="2">
        <v>964.1</v>
      </c>
      <c r="G29" s="2">
        <v>1090.6</v>
      </c>
      <c r="H29" s="62">
        <v>1034.4</v>
      </c>
      <c r="I29" s="62">
        <v>1117.2</v>
      </c>
      <c r="J29" s="62">
        <v>1144.8</v>
      </c>
      <c r="K29" s="7">
        <v>1333.3</v>
      </c>
      <c r="L29" s="7">
        <v>1472</v>
      </c>
      <c r="M29" s="7">
        <v>1528.6</v>
      </c>
      <c r="N29" s="7">
        <v>1614.2</v>
      </c>
      <c r="O29" s="7" t="s">
        <v>5</v>
      </c>
    </row>
    <row r="30" spans="1:15" s="29" customFormat="1" ht="15.75">
      <c r="A30" s="14" t="s">
        <v>42</v>
      </c>
      <c r="B30" s="60" t="s">
        <v>0</v>
      </c>
      <c r="C30" s="60" t="s">
        <v>0</v>
      </c>
      <c r="D30" s="60" t="s">
        <v>0</v>
      </c>
      <c r="E30" s="60">
        <f aca="true" t="shared" si="1" ref="E30:J30">SUM(E6:E13)/E95</f>
        <v>0.14317866951850863</v>
      </c>
      <c r="F30" s="60">
        <f t="shared" si="1"/>
        <v>0.17067070860174308</v>
      </c>
      <c r="G30" s="60">
        <f t="shared" si="1"/>
        <v>0.17084254421221864</v>
      </c>
      <c r="H30" s="60">
        <f t="shared" si="1"/>
        <v>0.17923292570931412</v>
      </c>
      <c r="I30" s="60">
        <f t="shared" si="1"/>
        <v>0.1782210255320154</v>
      </c>
      <c r="J30" s="60">
        <f t="shared" si="1"/>
        <v>0.18060188542422045</v>
      </c>
      <c r="K30" s="60">
        <f>SUM(K6:K13)/K95</f>
        <v>0.1806136467714853</v>
      </c>
      <c r="L30" s="60">
        <f>SUM(L6:L13)/L95</f>
        <v>0.18348088784458527</v>
      </c>
      <c r="M30" s="60">
        <f>SUM(M6:M13)/M95</f>
        <v>0.18119217444467084</v>
      </c>
      <c r="N30" s="60">
        <f>SUM(N6:N13)/N95</f>
        <v>0.1789773197582982</v>
      </c>
      <c r="O30" s="60">
        <f>SUM(O6:O13)/O95</f>
        <v>0.19080296839823233</v>
      </c>
    </row>
    <row r="31" spans="1:15" s="29" customFormat="1" ht="13.5">
      <c r="A31" s="10" t="s">
        <v>11</v>
      </c>
      <c r="B31" s="60" t="s">
        <v>0</v>
      </c>
      <c r="C31" s="60" t="s">
        <v>0</v>
      </c>
      <c r="D31" s="60" t="s">
        <v>0</v>
      </c>
      <c r="E31" s="60">
        <f aca="true" t="shared" si="2" ref="E31:J31">+E6/E96</f>
        <v>0.14140412754396836</v>
      </c>
      <c r="F31" s="60">
        <f t="shared" si="2"/>
        <v>0.17255203908241293</v>
      </c>
      <c r="G31" s="60">
        <f t="shared" si="2"/>
        <v>0.1746838133701775</v>
      </c>
      <c r="H31" s="60">
        <f t="shared" si="2"/>
        <v>0.18406996229576875</v>
      </c>
      <c r="I31" s="60">
        <f t="shared" si="2"/>
        <v>0.18148337074066517</v>
      </c>
      <c r="J31" s="60">
        <f t="shared" si="2"/>
        <v>0.19603143418467583</v>
      </c>
      <c r="K31" s="60">
        <f>+K6/K96</f>
        <v>0.19688752652676256</v>
      </c>
      <c r="L31" s="60">
        <f>+L6/L96</f>
        <v>0.20599312650063556</v>
      </c>
      <c r="M31" s="60">
        <f>+M6/M96</f>
        <v>0.19783398419762055</v>
      </c>
      <c r="N31" s="60">
        <f>+N6/N96</f>
        <v>0.18800421226134334</v>
      </c>
      <c r="O31" s="60">
        <f>+O6/O96</f>
        <v>0.20080895494309098</v>
      </c>
    </row>
    <row r="32" spans="1:15" s="29" customFormat="1" ht="13.5">
      <c r="A32" s="10" t="s">
        <v>8</v>
      </c>
      <c r="B32" s="60" t="s">
        <v>0</v>
      </c>
      <c r="C32" s="60" t="s">
        <v>0</v>
      </c>
      <c r="D32" s="60" t="s">
        <v>0</v>
      </c>
      <c r="E32" s="60">
        <f aca="true" t="shared" si="3" ref="E32:J32">+E7/E97</f>
        <v>0.1517037037037037</v>
      </c>
      <c r="F32" s="60">
        <f t="shared" si="3"/>
        <v>0.1851987251593551</v>
      </c>
      <c r="G32" s="60">
        <f t="shared" si="3"/>
        <v>0.19113552419736718</v>
      </c>
      <c r="H32" s="60">
        <f t="shared" si="3"/>
        <v>0.20134431916738943</v>
      </c>
      <c r="I32" s="60">
        <f t="shared" si="3"/>
        <v>0.19499834107498343</v>
      </c>
      <c r="J32" s="60">
        <f t="shared" si="3"/>
        <v>0.18702377075871052</v>
      </c>
      <c r="K32" s="60">
        <f aca="true" t="shared" si="4" ref="K32:L38">+K7/K97</f>
        <v>0.18007285692140754</v>
      </c>
      <c r="L32" s="60">
        <f t="shared" si="4"/>
        <v>0.17933400751227968</v>
      </c>
      <c r="M32" s="60">
        <f aca="true" t="shared" si="5" ref="M32:O38">+M7/M97</f>
        <v>0.17862886161658909</v>
      </c>
      <c r="N32" s="60">
        <f t="shared" si="5"/>
        <v>0.18242699260777281</v>
      </c>
      <c r="O32" s="60">
        <f t="shared" si="5"/>
        <v>0.19508305159488462</v>
      </c>
    </row>
    <row r="33" spans="1:15" s="29" customFormat="1" ht="13.5">
      <c r="A33" s="10" t="s">
        <v>9</v>
      </c>
      <c r="B33" s="60" t="s">
        <v>0</v>
      </c>
      <c r="C33" s="60" t="s">
        <v>0</v>
      </c>
      <c r="D33" s="60" t="s">
        <v>0</v>
      </c>
      <c r="E33" s="60">
        <f aca="true" t="shared" si="6" ref="E33:J33">+E8/E98</f>
        <v>0.1446584938704028</v>
      </c>
      <c r="F33" s="60">
        <f t="shared" si="6"/>
        <v>0.16218487394957984</v>
      </c>
      <c r="G33" s="60">
        <f t="shared" si="6"/>
        <v>0.14709302325581394</v>
      </c>
      <c r="H33" s="60">
        <f t="shared" si="6"/>
        <v>0.15067920585161965</v>
      </c>
      <c r="I33" s="60">
        <f t="shared" si="6"/>
        <v>0.13391304347826086</v>
      </c>
      <c r="J33" s="60">
        <f t="shared" si="6"/>
        <v>0.1327127659574468</v>
      </c>
      <c r="K33" s="60">
        <f t="shared" si="4"/>
        <v>0.13557213930348258</v>
      </c>
      <c r="L33" s="60">
        <f t="shared" si="4"/>
        <v>0.1336283185840708</v>
      </c>
      <c r="M33" s="60">
        <f t="shared" si="5"/>
        <v>0.1418232428670842</v>
      </c>
      <c r="N33" s="60">
        <f t="shared" si="5"/>
        <v>0.15789106145251397</v>
      </c>
      <c r="O33" s="60">
        <f t="shared" si="5"/>
        <v>0.15521680216802167</v>
      </c>
    </row>
    <row r="34" spans="1:15" s="29" customFormat="1" ht="13.5">
      <c r="A34" s="10" t="s">
        <v>12</v>
      </c>
      <c r="B34" s="60" t="s">
        <v>0</v>
      </c>
      <c r="C34" s="60" t="s">
        <v>0</v>
      </c>
      <c r="D34" s="60" t="s">
        <v>0</v>
      </c>
      <c r="E34" s="60">
        <f aca="true" t="shared" si="7" ref="E34:J34">+E9/E99</f>
        <v>0.23730569948186528</v>
      </c>
      <c r="F34" s="60">
        <f t="shared" si="7"/>
        <v>0.2914438502673797</v>
      </c>
      <c r="G34" s="60">
        <f t="shared" si="7"/>
        <v>0.2887700534759358</v>
      </c>
      <c r="H34" s="60">
        <f t="shared" si="7"/>
        <v>0.2972826086956522</v>
      </c>
      <c r="I34" s="60">
        <f t="shared" si="7"/>
        <v>0.301058201058201</v>
      </c>
      <c r="J34" s="60">
        <f t="shared" si="7"/>
        <v>0.3038461538461538</v>
      </c>
      <c r="K34" s="60">
        <f t="shared" si="4"/>
        <v>0.31989247311827956</v>
      </c>
      <c r="L34" s="60">
        <f t="shared" si="4"/>
        <v>0.3098958333333333</v>
      </c>
      <c r="M34" s="60">
        <f t="shared" si="5"/>
        <v>0.3181818181818182</v>
      </c>
      <c r="N34" s="60">
        <f>+N9/N99</f>
        <v>0.3159574468085106</v>
      </c>
      <c r="O34" s="60">
        <f>+O9/O99</f>
        <v>0.3039772727272727</v>
      </c>
    </row>
    <row r="35" spans="1:15" s="29" customFormat="1" ht="13.5">
      <c r="A35" s="10" t="s">
        <v>18</v>
      </c>
      <c r="B35" s="60" t="s">
        <v>0</v>
      </c>
      <c r="C35" s="60" t="s">
        <v>0</v>
      </c>
      <c r="D35" s="60" t="s">
        <v>0</v>
      </c>
      <c r="E35" s="60">
        <f aca="true" t="shared" si="8" ref="E35:J35">+E10/E100</f>
        <v>0.09489559164733179</v>
      </c>
      <c r="F35" s="60">
        <f t="shared" si="8"/>
        <v>0.29584055459272096</v>
      </c>
      <c r="G35" s="60">
        <f t="shared" si="8"/>
        <v>0.2410214168039539</v>
      </c>
      <c r="H35" s="60">
        <f t="shared" si="8"/>
        <v>0.2391768292682927</v>
      </c>
      <c r="I35" s="60">
        <f t="shared" si="8"/>
        <v>0.2259946949602122</v>
      </c>
      <c r="J35" s="60">
        <f t="shared" si="8"/>
        <v>0.19251700680272107</v>
      </c>
      <c r="K35" s="60">
        <f t="shared" si="4"/>
        <v>0.195079950799508</v>
      </c>
      <c r="L35" s="60">
        <f t="shared" si="4"/>
        <v>0.20452920143027412</v>
      </c>
      <c r="M35" s="60">
        <f t="shared" si="5"/>
        <v>0.21228070175438596</v>
      </c>
      <c r="N35" s="60">
        <f t="shared" si="5"/>
        <v>0.2268464243845252</v>
      </c>
      <c r="O35" s="60">
        <f t="shared" si="5"/>
        <v>0.2623655913978495</v>
      </c>
    </row>
    <row r="36" spans="1:15" s="29" customFormat="1" ht="15.75">
      <c r="A36" s="21" t="s">
        <v>32</v>
      </c>
      <c r="B36" s="60" t="s">
        <v>0</v>
      </c>
      <c r="C36" s="60" t="s">
        <v>0</v>
      </c>
      <c r="D36" s="60" t="s">
        <v>0</v>
      </c>
      <c r="E36" s="60">
        <f aca="true" t="shared" si="9" ref="E36:J36">+E11/E101</f>
        <v>0.1958041958041958</v>
      </c>
      <c r="F36" s="60">
        <f t="shared" si="9"/>
        <v>0.1576923076923077</v>
      </c>
      <c r="G36" s="60">
        <f t="shared" si="9"/>
        <v>0.23076923076923078</v>
      </c>
      <c r="H36" s="60">
        <f t="shared" si="9"/>
        <v>0.2109375</v>
      </c>
      <c r="I36" s="60">
        <f t="shared" si="9"/>
        <v>0.17346938775510204</v>
      </c>
      <c r="J36" s="60">
        <f t="shared" si="9"/>
        <v>0.13945578231292516</v>
      </c>
      <c r="K36" s="60">
        <f t="shared" si="4"/>
        <v>0.15550756636711083</v>
      </c>
      <c r="L36" s="60">
        <f t="shared" si="4"/>
        <v>0.18181818181818182</v>
      </c>
      <c r="M36" s="60">
        <f t="shared" si="5"/>
        <v>0.21846153846153846</v>
      </c>
      <c r="N36" s="60">
        <f t="shared" si="5"/>
        <v>0.2348648120594556</v>
      </c>
      <c r="O36" s="60">
        <f t="shared" si="5"/>
        <v>0.25227500602860736</v>
      </c>
    </row>
    <row r="37" spans="1:15" s="29" customFormat="1" ht="13.5">
      <c r="A37" s="10" t="s">
        <v>10</v>
      </c>
      <c r="B37" s="60" t="s">
        <v>0</v>
      </c>
      <c r="C37" s="60" t="s">
        <v>0</v>
      </c>
      <c r="D37" s="60" t="s">
        <v>0</v>
      </c>
      <c r="E37" s="60">
        <f aca="true" t="shared" si="10" ref="E37:J37">+E12/E102</f>
        <v>0.13445354419655464</v>
      </c>
      <c r="F37" s="60">
        <f t="shared" si="10"/>
        <v>0.1354552276138069</v>
      </c>
      <c r="G37" s="60">
        <f t="shared" si="10"/>
        <v>0.1307011159631247</v>
      </c>
      <c r="H37" s="60">
        <f t="shared" si="10"/>
        <v>0.13718117590707699</v>
      </c>
      <c r="I37" s="60">
        <f t="shared" si="10"/>
        <v>0.1465041054988803</v>
      </c>
      <c r="J37" s="60">
        <f t="shared" si="10"/>
        <v>0.14420955882352943</v>
      </c>
      <c r="K37" s="60">
        <f t="shared" si="4"/>
        <v>0.14929272187999088</v>
      </c>
      <c r="L37" s="60">
        <f t="shared" si="4"/>
        <v>0.14620293554562858</v>
      </c>
      <c r="M37" s="60">
        <f t="shared" si="5"/>
        <v>0.15068077084206116</v>
      </c>
      <c r="N37" s="60">
        <f t="shared" si="5"/>
        <v>0.15229377104377106</v>
      </c>
      <c r="O37" s="60">
        <f t="shared" si="5"/>
        <v>0.16238100219688253</v>
      </c>
    </row>
    <row r="38" spans="1:15" s="29" customFormat="1" ht="15.75">
      <c r="A38" s="21" t="s">
        <v>31</v>
      </c>
      <c r="B38" s="60" t="s">
        <v>0</v>
      </c>
      <c r="C38" s="60" t="s">
        <v>0</v>
      </c>
      <c r="D38" s="60" t="s">
        <v>0</v>
      </c>
      <c r="E38" s="60">
        <f aca="true" t="shared" si="11" ref="E38:J38">+E13/E103</f>
        <v>0.04596774193548389</v>
      </c>
      <c r="F38" s="60">
        <f t="shared" si="11"/>
        <v>0.2</v>
      </c>
      <c r="G38" s="60">
        <f t="shared" si="11"/>
        <v>0.1142857142857143</v>
      </c>
      <c r="H38" s="60">
        <f t="shared" si="11"/>
        <v>0.07011494252873565</v>
      </c>
      <c r="I38" s="60">
        <f t="shared" si="11"/>
        <v>0.11517615176151762</v>
      </c>
      <c r="J38" s="60">
        <f t="shared" si="11"/>
        <v>0.08684807256235827</v>
      </c>
      <c r="K38" s="60">
        <f t="shared" si="4"/>
        <v>0.09723832500724625</v>
      </c>
      <c r="L38" s="60">
        <f t="shared" si="4"/>
        <v>0.0880952380952381</v>
      </c>
      <c r="M38" s="60">
        <f t="shared" si="5"/>
        <v>0.09131274131274131</v>
      </c>
      <c r="N38" s="60">
        <f t="shared" si="5"/>
        <v>0.08948198661610966</v>
      </c>
      <c r="O38" s="60">
        <f t="shared" si="5"/>
        <v>0.08998406816361378</v>
      </c>
    </row>
    <row r="39" spans="1:15" s="29" customFormat="1" ht="15.75">
      <c r="A39" s="14" t="s">
        <v>43</v>
      </c>
      <c r="B39" s="60">
        <v>0.14</v>
      </c>
      <c r="C39" s="60">
        <v>0.22</v>
      </c>
      <c r="D39" s="60">
        <v>0.3</v>
      </c>
      <c r="E39" s="60">
        <v>0.67</v>
      </c>
      <c r="F39" s="60">
        <v>0.85</v>
      </c>
      <c r="G39" s="60">
        <v>0.87</v>
      </c>
      <c r="H39" s="60">
        <v>0.93</v>
      </c>
      <c r="I39" s="60">
        <v>0.89</v>
      </c>
      <c r="J39" s="60">
        <v>0.91</v>
      </c>
      <c r="K39" s="61">
        <v>0.9</v>
      </c>
      <c r="L39" s="61">
        <v>0.93</v>
      </c>
      <c r="M39" s="61">
        <v>0.92</v>
      </c>
      <c r="N39" s="61">
        <v>0.89</v>
      </c>
      <c r="O39" s="61">
        <v>0.97</v>
      </c>
    </row>
    <row r="40" spans="1:15" s="34" customFormat="1" ht="13.5">
      <c r="A40" s="10" t="s">
        <v>11</v>
      </c>
      <c r="B40" s="60" t="s">
        <v>0</v>
      </c>
      <c r="C40" s="60" t="s">
        <v>0</v>
      </c>
      <c r="D40" s="60" t="s">
        <v>0</v>
      </c>
      <c r="E40" s="60">
        <v>0.52</v>
      </c>
      <c r="F40" s="60">
        <v>0.62</v>
      </c>
      <c r="G40" s="60">
        <v>0.66</v>
      </c>
      <c r="H40" s="60">
        <v>0.7</v>
      </c>
      <c r="I40" s="60">
        <v>0.7</v>
      </c>
      <c r="J40" s="60">
        <v>0.74</v>
      </c>
      <c r="K40" s="61">
        <v>0.74</v>
      </c>
      <c r="L40" s="61">
        <v>0.77</v>
      </c>
      <c r="M40" s="61">
        <v>0.74</v>
      </c>
      <c r="N40" s="61">
        <v>0.7</v>
      </c>
      <c r="O40" s="82">
        <v>0.72</v>
      </c>
    </row>
    <row r="41" spans="1:15" s="34" customFormat="1" ht="13.5">
      <c r="A41" s="10" t="s">
        <v>8</v>
      </c>
      <c r="B41" s="60" t="s">
        <v>0</v>
      </c>
      <c r="C41" s="60" t="s">
        <v>0</v>
      </c>
      <c r="D41" s="60" t="s">
        <v>0</v>
      </c>
      <c r="E41" s="60">
        <v>0.74</v>
      </c>
      <c r="F41" s="60">
        <v>0.9</v>
      </c>
      <c r="G41" s="60">
        <v>0.99</v>
      </c>
      <c r="H41" s="60">
        <v>1.08</v>
      </c>
      <c r="I41" s="60">
        <v>0.97</v>
      </c>
      <c r="J41" s="60">
        <v>0.9600501462599248</v>
      </c>
      <c r="K41" s="61">
        <v>0.92</v>
      </c>
      <c r="L41" s="61">
        <v>0.94</v>
      </c>
      <c r="M41" s="61">
        <v>0.93</v>
      </c>
      <c r="N41" s="61">
        <v>0.93</v>
      </c>
      <c r="O41" s="82">
        <v>1</v>
      </c>
    </row>
    <row r="42" spans="1:15" s="34" customFormat="1" ht="13.5">
      <c r="A42" s="10" t="s">
        <v>9</v>
      </c>
      <c r="B42" s="60" t="s">
        <v>0</v>
      </c>
      <c r="C42" s="60" t="s">
        <v>0</v>
      </c>
      <c r="D42" s="60" t="s">
        <v>0</v>
      </c>
      <c r="E42" s="60">
        <v>0.47</v>
      </c>
      <c r="F42" s="60">
        <v>0.66</v>
      </c>
      <c r="G42" s="60">
        <v>0.5</v>
      </c>
      <c r="H42" s="60">
        <v>0.55</v>
      </c>
      <c r="I42" s="60">
        <v>0.53</v>
      </c>
      <c r="J42" s="60">
        <v>0.54</v>
      </c>
      <c r="K42" s="61">
        <v>0.56</v>
      </c>
      <c r="L42" s="61">
        <v>0.57</v>
      </c>
      <c r="M42" s="61">
        <v>0.61</v>
      </c>
      <c r="N42" s="61">
        <v>0.67</v>
      </c>
      <c r="O42" s="82">
        <v>0.68</v>
      </c>
    </row>
    <row r="43" spans="1:15" s="34" customFormat="1" ht="13.5">
      <c r="A43" s="10" t="s">
        <v>12</v>
      </c>
      <c r="B43" s="60" t="s">
        <v>0</v>
      </c>
      <c r="C43" s="60" t="s">
        <v>0</v>
      </c>
      <c r="D43" s="60" t="s">
        <v>0</v>
      </c>
      <c r="E43" s="60">
        <v>0.36</v>
      </c>
      <c r="F43" s="60">
        <v>0.47</v>
      </c>
      <c r="G43" s="60">
        <v>0.45</v>
      </c>
      <c r="H43" s="60">
        <v>0.47</v>
      </c>
      <c r="I43" s="60">
        <v>0.47</v>
      </c>
      <c r="J43" s="60">
        <v>0.47264957264957264</v>
      </c>
      <c r="K43" s="61">
        <v>0.5</v>
      </c>
      <c r="L43" s="61">
        <v>0.49</v>
      </c>
      <c r="M43" s="61">
        <v>0.5</v>
      </c>
      <c r="N43" s="61">
        <v>0.46</v>
      </c>
      <c r="O43" s="82">
        <v>0.49</v>
      </c>
    </row>
    <row r="44" spans="1:15" s="34" customFormat="1" ht="13.5">
      <c r="A44" s="10" t="s">
        <v>18</v>
      </c>
      <c r="B44" s="60" t="s">
        <v>0</v>
      </c>
      <c r="C44" s="60" t="s">
        <v>0</v>
      </c>
      <c r="D44" s="60" t="s">
        <v>0</v>
      </c>
      <c r="E44" s="60">
        <v>0.6</v>
      </c>
      <c r="F44" s="60">
        <v>2.04</v>
      </c>
      <c r="G44" s="60">
        <v>2.26</v>
      </c>
      <c r="H44" s="60">
        <v>2.21</v>
      </c>
      <c r="I44" s="60">
        <v>1.83</v>
      </c>
      <c r="J44" s="60">
        <v>1.49</v>
      </c>
      <c r="K44" s="61">
        <v>1.59</v>
      </c>
      <c r="L44" s="61">
        <v>1.64</v>
      </c>
      <c r="M44" s="61">
        <v>1.73</v>
      </c>
      <c r="N44" s="61">
        <v>1.87</v>
      </c>
      <c r="O44" s="82">
        <v>2.14</v>
      </c>
    </row>
    <row r="45" spans="1:15" s="34" customFormat="1" ht="15.75">
      <c r="A45" s="16" t="s">
        <v>32</v>
      </c>
      <c r="B45" s="60" t="s">
        <v>0</v>
      </c>
      <c r="C45" s="60" t="s">
        <v>0</v>
      </c>
      <c r="D45" s="60" t="s">
        <v>0</v>
      </c>
      <c r="E45" s="60">
        <v>1.11</v>
      </c>
      <c r="F45" s="60">
        <v>0.87</v>
      </c>
      <c r="G45" s="60">
        <v>1.31</v>
      </c>
      <c r="H45" s="60">
        <v>1.12</v>
      </c>
      <c r="I45" s="60">
        <v>0.99</v>
      </c>
      <c r="J45" s="60">
        <v>0.8</v>
      </c>
      <c r="K45" s="61">
        <v>0.91</v>
      </c>
      <c r="L45" s="61">
        <v>1.13</v>
      </c>
      <c r="M45" s="61">
        <v>1.32</v>
      </c>
      <c r="N45" s="61">
        <v>1.36</v>
      </c>
      <c r="O45" s="82">
        <v>1.5</v>
      </c>
    </row>
    <row r="46" spans="1:15" s="34" customFormat="1" ht="13.5">
      <c r="A46" s="10" t="s">
        <v>10</v>
      </c>
      <c r="B46" s="60" t="s">
        <v>0</v>
      </c>
      <c r="C46" s="60" t="s">
        <v>0</v>
      </c>
      <c r="D46" s="60" t="s">
        <v>0</v>
      </c>
      <c r="E46" s="60">
        <v>2.9</v>
      </c>
      <c r="F46" s="60">
        <v>3.19</v>
      </c>
      <c r="G46" s="60">
        <v>3.13</v>
      </c>
      <c r="H46" s="60">
        <v>3.24</v>
      </c>
      <c r="I46" s="60">
        <v>3.3</v>
      </c>
      <c r="J46" s="60">
        <v>3.29</v>
      </c>
      <c r="K46" s="61">
        <v>3.31</v>
      </c>
      <c r="L46" s="61">
        <v>3.32</v>
      </c>
      <c r="M46" s="61">
        <v>3.44</v>
      </c>
      <c r="N46" s="61">
        <v>3.49</v>
      </c>
      <c r="O46" s="82">
        <v>3.79</v>
      </c>
    </row>
    <row r="47" spans="1:15" s="34" customFormat="1" ht="15.75">
      <c r="A47" s="22" t="s">
        <v>31</v>
      </c>
      <c r="B47" s="60" t="s">
        <v>0</v>
      </c>
      <c r="C47" s="60" t="s">
        <v>0</v>
      </c>
      <c r="D47" s="60" t="s">
        <v>0</v>
      </c>
      <c r="E47" s="60">
        <v>0.9</v>
      </c>
      <c r="F47" s="60">
        <v>1.28</v>
      </c>
      <c r="G47" s="60">
        <v>1.57</v>
      </c>
      <c r="H47" s="60">
        <v>1.33</v>
      </c>
      <c r="I47" s="60">
        <v>0.66</v>
      </c>
      <c r="J47" s="60">
        <v>1.02</v>
      </c>
      <c r="K47" s="61">
        <v>0.76</v>
      </c>
      <c r="L47" s="61">
        <v>0.66</v>
      </c>
      <c r="M47" s="61">
        <v>0.75</v>
      </c>
      <c r="N47" s="61">
        <v>0.77</v>
      </c>
      <c r="O47" s="83">
        <v>0.91</v>
      </c>
    </row>
    <row r="48" spans="1:15" s="29" customFormat="1" ht="15.75">
      <c r="A48" s="9" t="s">
        <v>36</v>
      </c>
      <c r="B48" s="56"/>
      <c r="C48" s="56"/>
      <c r="D48" s="56"/>
      <c r="E48" s="56"/>
      <c r="F48" s="56"/>
      <c r="G48" s="56"/>
      <c r="H48" s="56"/>
      <c r="I48" s="56"/>
      <c r="J48" s="56"/>
      <c r="K48" s="57"/>
      <c r="L48" s="57"/>
      <c r="M48" s="57"/>
      <c r="N48" s="57"/>
      <c r="O48" s="58"/>
    </row>
    <row r="49" spans="1:16" s="29" customFormat="1" ht="15.75">
      <c r="A49" s="11" t="s">
        <v>79</v>
      </c>
      <c r="B49" s="2">
        <v>1286</v>
      </c>
      <c r="C49" s="2">
        <v>1096</v>
      </c>
      <c r="D49" s="2">
        <v>1055</v>
      </c>
      <c r="E49" s="2">
        <v>5078</v>
      </c>
      <c r="F49" s="2">
        <v>5973</v>
      </c>
      <c r="G49" s="2">
        <v>5973</v>
      </c>
      <c r="H49" s="2">
        <v>5973</v>
      </c>
      <c r="I49" s="62">
        <v>5975</v>
      </c>
      <c r="J49" s="7">
        <v>6000</v>
      </c>
      <c r="K49" s="7">
        <v>6000</v>
      </c>
      <c r="L49" s="62">
        <v>6000</v>
      </c>
      <c r="M49" s="62">
        <v>6000</v>
      </c>
      <c r="N49" s="62">
        <v>6000</v>
      </c>
      <c r="O49" s="63">
        <v>5804</v>
      </c>
      <c r="P49" s="28"/>
    </row>
    <row r="50" spans="1:16" s="29" customFormat="1" ht="13.5">
      <c r="A50" s="23" t="s">
        <v>11</v>
      </c>
      <c r="B50" s="2">
        <v>1236</v>
      </c>
      <c r="C50" s="2">
        <v>1075</v>
      </c>
      <c r="D50" s="2">
        <v>1022</v>
      </c>
      <c r="E50" s="2">
        <v>2685</v>
      </c>
      <c r="F50" s="2">
        <v>2250</v>
      </c>
      <c r="G50" s="2">
        <v>2250</v>
      </c>
      <c r="H50" s="2">
        <v>2250</v>
      </c>
      <c r="I50" s="62">
        <v>2250</v>
      </c>
      <c r="J50" s="7">
        <v>2262</v>
      </c>
      <c r="K50" s="7">
        <v>2262</v>
      </c>
      <c r="L50" s="62">
        <v>2262</v>
      </c>
      <c r="M50" s="62">
        <v>2264</v>
      </c>
      <c r="N50" s="62">
        <v>2264</v>
      </c>
      <c r="O50" s="63">
        <v>1982</v>
      </c>
      <c r="P50" s="28"/>
    </row>
    <row r="51" spans="1:15" s="29" customFormat="1" ht="13.5">
      <c r="A51" s="23" t="s">
        <v>8</v>
      </c>
      <c r="B51" s="2">
        <v>31</v>
      </c>
      <c r="C51" s="2">
        <v>15</v>
      </c>
      <c r="D51" s="2">
        <v>11</v>
      </c>
      <c r="E51" s="2">
        <v>12</v>
      </c>
      <c r="F51" s="2">
        <v>14</v>
      </c>
      <c r="G51" s="2">
        <v>14</v>
      </c>
      <c r="H51" s="2">
        <v>14</v>
      </c>
      <c r="I51" s="62">
        <v>14</v>
      </c>
      <c r="J51" s="7">
        <v>14</v>
      </c>
      <c r="K51" s="7">
        <v>14</v>
      </c>
      <c r="L51" s="62">
        <v>14</v>
      </c>
      <c r="M51" s="62">
        <v>14</v>
      </c>
      <c r="N51" s="62">
        <v>14</v>
      </c>
      <c r="O51" s="63">
        <v>14</v>
      </c>
    </row>
    <row r="52" spans="1:15" s="29" customFormat="1" ht="13.5">
      <c r="A52" s="23" t="s">
        <v>9</v>
      </c>
      <c r="B52" s="2" t="s">
        <v>2</v>
      </c>
      <c r="C52" s="2" t="s">
        <v>2</v>
      </c>
      <c r="D52" s="2">
        <v>9</v>
      </c>
      <c r="E52" s="2">
        <v>17</v>
      </c>
      <c r="F52" s="2">
        <v>22</v>
      </c>
      <c r="G52" s="2">
        <v>22</v>
      </c>
      <c r="H52" s="2">
        <v>22</v>
      </c>
      <c r="I52" s="62">
        <v>22</v>
      </c>
      <c r="J52" s="7">
        <v>23</v>
      </c>
      <c r="K52" s="7">
        <v>24</v>
      </c>
      <c r="L52" s="62">
        <v>25</v>
      </c>
      <c r="M52" s="62">
        <v>26</v>
      </c>
      <c r="N52" s="62">
        <v>27</v>
      </c>
      <c r="O52" s="63">
        <v>27</v>
      </c>
    </row>
    <row r="53" spans="1:15" s="29" customFormat="1" ht="13.5">
      <c r="A53" s="23" t="s">
        <v>12</v>
      </c>
      <c r="B53" s="2">
        <v>19</v>
      </c>
      <c r="C53" s="2">
        <v>6</v>
      </c>
      <c r="D53" s="2">
        <v>5</v>
      </c>
      <c r="E53" s="2">
        <v>5</v>
      </c>
      <c r="F53" s="2">
        <v>5</v>
      </c>
      <c r="G53" s="2">
        <v>5</v>
      </c>
      <c r="H53" s="2">
        <v>5</v>
      </c>
      <c r="I53" s="62">
        <v>5</v>
      </c>
      <c r="J53" s="7">
        <v>5</v>
      </c>
      <c r="K53" s="7">
        <v>5</v>
      </c>
      <c r="L53" s="62">
        <v>5</v>
      </c>
      <c r="M53" s="62">
        <v>5</v>
      </c>
      <c r="N53" s="62">
        <v>5</v>
      </c>
      <c r="O53" s="63">
        <v>4</v>
      </c>
    </row>
    <row r="54" spans="1:15" s="29" customFormat="1" ht="13.5">
      <c r="A54" s="23" t="s">
        <v>18</v>
      </c>
      <c r="B54" s="2" t="s">
        <v>0</v>
      </c>
      <c r="C54" s="2" t="s">
        <v>0</v>
      </c>
      <c r="D54" s="2" t="s">
        <v>0</v>
      </c>
      <c r="E54" s="2">
        <v>3193</v>
      </c>
      <c r="F54" s="2">
        <v>5214</v>
      </c>
      <c r="G54" s="2">
        <v>5214</v>
      </c>
      <c r="H54" s="2">
        <v>5214</v>
      </c>
      <c r="I54" s="62">
        <v>5214</v>
      </c>
      <c r="J54" s="7">
        <v>5254</v>
      </c>
      <c r="K54" s="7">
        <v>5252</v>
      </c>
      <c r="L54" s="62">
        <v>5252</v>
      </c>
      <c r="M54" s="62">
        <v>5251</v>
      </c>
      <c r="N54" s="62">
        <v>5251</v>
      </c>
      <c r="O54" s="63">
        <v>5346</v>
      </c>
    </row>
    <row r="55" spans="1:15" s="29" customFormat="1" ht="15.75">
      <c r="A55" s="21" t="s">
        <v>32</v>
      </c>
      <c r="B55" s="2" t="s">
        <v>0</v>
      </c>
      <c r="C55" s="2" t="s">
        <v>0</v>
      </c>
      <c r="D55" s="2">
        <v>16</v>
      </c>
      <c r="E55" s="2">
        <v>27</v>
      </c>
      <c r="F55" s="2">
        <v>25</v>
      </c>
      <c r="G55" s="2">
        <v>25</v>
      </c>
      <c r="H55" s="2">
        <v>25</v>
      </c>
      <c r="I55" s="62">
        <v>25</v>
      </c>
      <c r="J55" s="7">
        <v>28</v>
      </c>
      <c r="K55" s="7">
        <v>30</v>
      </c>
      <c r="L55" s="62">
        <v>33</v>
      </c>
      <c r="M55" s="62">
        <v>42</v>
      </c>
      <c r="N55" s="62">
        <v>42</v>
      </c>
      <c r="O55" s="63">
        <v>46</v>
      </c>
    </row>
    <row r="56" spans="1:15" s="29" customFormat="1" ht="13.5">
      <c r="A56" s="23" t="s">
        <v>10</v>
      </c>
      <c r="B56" s="2" t="s">
        <v>0</v>
      </c>
      <c r="C56" s="2" t="s">
        <v>0</v>
      </c>
      <c r="D56" s="2">
        <v>18</v>
      </c>
      <c r="E56" s="2">
        <v>14</v>
      </c>
      <c r="F56" s="2">
        <v>16</v>
      </c>
      <c r="G56" s="2">
        <v>16</v>
      </c>
      <c r="H56" s="2">
        <v>16</v>
      </c>
      <c r="I56" s="62">
        <v>18</v>
      </c>
      <c r="J56" s="7">
        <v>18</v>
      </c>
      <c r="K56" s="7">
        <v>20</v>
      </c>
      <c r="L56" s="62">
        <v>19</v>
      </c>
      <c r="M56" s="62">
        <v>21</v>
      </c>
      <c r="N56" s="62">
        <v>20</v>
      </c>
      <c r="O56" s="63">
        <v>21</v>
      </c>
    </row>
    <row r="57" spans="1:15" s="29" customFormat="1" ht="15.75">
      <c r="A57" s="21" t="s">
        <v>31</v>
      </c>
      <c r="B57" s="2" t="s">
        <v>0</v>
      </c>
      <c r="C57" s="2" t="s">
        <v>0</v>
      </c>
      <c r="D57" s="2">
        <v>5</v>
      </c>
      <c r="E57" s="2">
        <v>35</v>
      </c>
      <c r="F57" s="2">
        <v>69</v>
      </c>
      <c r="G57" s="2">
        <v>69</v>
      </c>
      <c r="H57" s="2">
        <v>69</v>
      </c>
      <c r="I57" s="62">
        <v>70</v>
      </c>
      <c r="J57" s="7">
        <v>72</v>
      </c>
      <c r="K57" s="7">
        <v>81</v>
      </c>
      <c r="L57" s="62">
        <v>81</v>
      </c>
      <c r="M57" s="62">
        <v>82</v>
      </c>
      <c r="N57" s="62">
        <f>2+6+1+4+1+68</f>
        <v>82</v>
      </c>
      <c r="O57" s="63">
        <f>2+7+1+4+2+70</f>
        <v>86</v>
      </c>
    </row>
    <row r="58" spans="1:15" s="27" customFormat="1" ht="15.75">
      <c r="A58" s="14" t="s">
        <v>76</v>
      </c>
      <c r="B58" s="63">
        <f aca="true" t="shared" si="12" ref="B58:L58">SUM(B59:B66)</f>
        <v>65292</v>
      </c>
      <c r="C58" s="63">
        <f t="shared" si="12"/>
        <v>61298</v>
      </c>
      <c r="D58" s="63">
        <f t="shared" si="12"/>
        <v>75388</v>
      </c>
      <c r="E58" s="63">
        <f>SUM(E59:E66)</f>
        <v>93553</v>
      </c>
      <c r="F58" s="63">
        <f t="shared" si="12"/>
        <v>116552</v>
      </c>
      <c r="G58" s="63">
        <f t="shared" si="12"/>
        <v>116473</v>
      </c>
      <c r="H58" s="63">
        <f t="shared" si="12"/>
        <v>122937</v>
      </c>
      <c r="I58" s="63">
        <f t="shared" si="12"/>
        <v>126843</v>
      </c>
      <c r="J58" s="63">
        <f t="shared" si="12"/>
        <v>124428</v>
      </c>
      <c r="K58" s="63">
        <f t="shared" si="12"/>
        <v>129183</v>
      </c>
      <c r="L58" s="63">
        <f t="shared" si="12"/>
        <v>131918</v>
      </c>
      <c r="M58" s="63">
        <v>134271</v>
      </c>
      <c r="N58" s="63">
        <v>135282</v>
      </c>
      <c r="O58" s="63">
        <v>139139</v>
      </c>
    </row>
    <row r="59" spans="1:15" s="29" customFormat="1" ht="13.5">
      <c r="A59" s="23" t="s">
        <v>11</v>
      </c>
      <c r="B59" s="2">
        <v>49600</v>
      </c>
      <c r="C59" s="2">
        <v>49700</v>
      </c>
      <c r="D59" s="2">
        <v>59411</v>
      </c>
      <c r="E59" s="2">
        <v>58714</v>
      </c>
      <c r="F59" s="62">
        <v>68123</v>
      </c>
      <c r="G59" s="62">
        <v>67107</v>
      </c>
      <c r="H59" s="62">
        <v>71678</v>
      </c>
      <c r="I59" s="62">
        <v>72770</v>
      </c>
      <c r="J59" s="62">
        <v>72142</v>
      </c>
      <c r="K59" s="7">
        <v>74228</v>
      </c>
      <c r="L59" s="62">
        <v>75013</v>
      </c>
      <c r="M59" s="62">
        <v>76075</v>
      </c>
      <c r="N59" s="62">
        <v>76190</v>
      </c>
      <c r="O59" s="63">
        <v>77328</v>
      </c>
    </row>
    <row r="60" spans="1:15" s="29" customFormat="1" ht="13.5">
      <c r="A60" s="23" t="s">
        <v>8</v>
      </c>
      <c r="B60" s="2">
        <v>9010</v>
      </c>
      <c r="C60" s="2">
        <v>9286</v>
      </c>
      <c r="D60" s="2">
        <v>9641</v>
      </c>
      <c r="E60" s="2">
        <v>10419</v>
      </c>
      <c r="F60" s="62">
        <v>10138</v>
      </c>
      <c r="G60" s="62">
        <v>10157</v>
      </c>
      <c r="H60" s="62">
        <v>10201</v>
      </c>
      <c r="I60" s="62">
        <v>10242</v>
      </c>
      <c r="J60" s="62">
        <v>10301</v>
      </c>
      <c r="K60" s="7">
        <v>10306</v>
      </c>
      <c r="L60" s="62">
        <v>10591</v>
      </c>
      <c r="M60" s="62">
        <v>10718</v>
      </c>
      <c r="N60" s="62">
        <v>10718</v>
      </c>
      <c r="O60" s="63">
        <v>10754</v>
      </c>
    </row>
    <row r="61" spans="1:15" s="29" customFormat="1" ht="13.5">
      <c r="A61" s="23" t="s">
        <v>9</v>
      </c>
      <c r="B61" s="2">
        <v>2856</v>
      </c>
      <c r="C61" s="2">
        <v>1262</v>
      </c>
      <c r="D61" s="2">
        <v>1013</v>
      </c>
      <c r="E61" s="2">
        <v>913</v>
      </c>
      <c r="F61" s="62">
        <v>1054</v>
      </c>
      <c r="G61" s="62">
        <v>999</v>
      </c>
      <c r="H61" s="62">
        <v>1140</v>
      </c>
      <c r="I61" s="62">
        <v>1229</v>
      </c>
      <c r="J61" s="62">
        <v>1220</v>
      </c>
      <c r="K61" s="7">
        <v>1297</v>
      </c>
      <c r="L61" s="62">
        <v>1577</v>
      </c>
      <c r="M61" s="62">
        <v>1366</v>
      </c>
      <c r="N61" s="62">
        <v>1445</v>
      </c>
      <c r="O61" s="63">
        <v>1482</v>
      </c>
    </row>
    <row r="62" spans="1:15" s="29" customFormat="1" ht="13.5">
      <c r="A62" s="23" t="s">
        <v>12</v>
      </c>
      <c r="B62" s="2">
        <v>3826</v>
      </c>
      <c r="C62" s="2">
        <v>1050</v>
      </c>
      <c r="D62" s="2">
        <v>823</v>
      </c>
      <c r="E62" s="2">
        <v>832</v>
      </c>
      <c r="F62" s="62">
        <v>877</v>
      </c>
      <c r="G62" s="62">
        <v>885</v>
      </c>
      <c r="H62" s="62">
        <v>871</v>
      </c>
      <c r="I62" s="62">
        <v>859</v>
      </c>
      <c r="J62" s="62">
        <v>880</v>
      </c>
      <c r="K62" s="7">
        <v>859</v>
      </c>
      <c r="L62" s="62">
        <v>951</v>
      </c>
      <c r="M62" s="62">
        <v>600</v>
      </c>
      <c r="N62" s="62">
        <v>600</v>
      </c>
      <c r="O62" s="63">
        <v>672</v>
      </c>
    </row>
    <row r="63" spans="1:15" s="29" customFormat="1" ht="13.5">
      <c r="A63" s="23" t="s">
        <v>18</v>
      </c>
      <c r="B63" s="2" t="s">
        <v>0</v>
      </c>
      <c r="C63" s="2" t="s">
        <v>0</v>
      </c>
      <c r="D63" s="2" t="s">
        <v>0</v>
      </c>
      <c r="E63" s="2">
        <v>16471</v>
      </c>
      <c r="F63" s="62">
        <v>28729</v>
      </c>
      <c r="G63" s="62">
        <v>29352</v>
      </c>
      <c r="H63" s="62">
        <v>30804</v>
      </c>
      <c r="I63" s="62">
        <v>32509</v>
      </c>
      <c r="J63" s="62">
        <v>29646</v>
      </c>
      <c r="K63" s="7">
        <v>31884</v>
      </c>
      <c r="L63" s="62">
        <v>33080</v>
      </c>
      <c r="M63" s="62">
        <v>34661</v>
      </c>
      <c r="N63" s="62">
        <v>34699</v>
      </c>
      <c r="O63" s="63">
        <v>35954</v>
      </c>
    </row>
    <row r="64" spans="1:15" s="29" customFormat="1" ht="15.75">
      <c r="A64" s="21" t="s">
        <v>32</v>
      </c>
      <c r="B64" s="2" t="s">
        <v>0</v>
      </c>
      <c r="C64" s="2" t="s">
        <v>0</v>
      </c>
      <c r="D64" s="2" t="s">
        <v>0</v>
      </c>
      <c r="E64" s="2">
        <v>108</v>
      </c>
      <c r="F64" s="62">
        <v>110</v>
      </c>
      <c r="G64" s="62">
        <v>110</v>
      </c>
      <c r="H64" s="62">
        <v>109</v>
      </c>
      <c r="I64" s="62">
        <v>134</v>
      </c>
      <c r="J64" s="62">
        <v>113</v>
      </c>
      <c r="K64" s="7">
        <v>112</v>
      </c>
      <c r="L64" s="62">
        <v>119</v>
      </c>
      <c r="M64" s="62">
        <v>125</v>
      </c>
      <c r="N64" s="62">
        <v>125</v>
      </c>
      <c r="O64" s="63">
        <v>131</v>
      </c>
    </row>
    <row r="65" spans="1:15" s="29" customFormat="1" ht="15.75">
      <c r="A65" s="23" t="s">
        <v>80</v>
      </c>
      <c r="B65" s="2" t="s">
        <v>0</v>
      </c>
      <c r="C65" s="2" t="s">
        <v>0</v>
      </c>
      <c r="D65" s="2">
        <v>4500</v>
      </c>
      <c r="E65" s="84">
        <v>5007</v>
      </c>
      <c r="F65" s="85">
        <v>5126</v>
      </c>
      <c r="G65" s="85">
        <v>5164</v>
      </c>
      <c r="H65" s="85">
        <v>5240</v>
      </c>
      <c r="I65" s="85">
        <v>5426</v>
      </c>
      <c r="J65" s="85">
        <v>5536</v>
      </c>
      <c r="K65" s="86">
        <v>5550</v>
      </c>
      <c r="L65" s="85">
        <v>5498</v>
      </c>
      <c r="M65" s="85">
        <v>5572</v>
      </c>
      <c r="N65" s="85">
        <v>5724</v>
      </c>
      <c r="O65" s="63">
        <v>5959</v>
      </c>
    </row>
    <row r="66" spans="1:15" s="29" customFormat="1" ht="15.75">
      <c r="A66" s="21" t="s">
        <v>31</v>
      </c>
      <c r="B66" s="2" t="s">
        <v>0</v>
      </c>
      <c r="C66" s="2" t="s">
        <v>0</v>
      </c>
      <c r="D66" s="2" t="s">
        <v>0</v>
      </c>
      <c r="E66" s="64">
        <f>1197-E64</f>
        <v>1089</v>
      </c>
      <c r="F66" s="64">
        <f>2505-F64</f>
        <v>2395</v>
      </c>
      <c r="G66" s="64">
        <f>2809-G64</f>
        <v>2699</v>
      </c>
      <c r="H66" s="64">
        <f>3003-H64</f>
        <v>2894</v>
      </c>
      <c r="I66" s="64">
        <f>3808-I64</f>
        <v>3674</v>
      </c>
      <c r="J66" s="64">
        <f>4703-J64</f>
        <v>4590</v>
      </c>
      <c r="K66" s="64">
        <f>5059-K64</f>
        <v>4947</v>
      </c>
      <c r="L66" s="64">
        <f>5208-L64</f>
        <v>5089</v>
      </c>
      <c r="M66" s="64">
        <f>5727-M64</f>
        <v>5602</v>
      </c>
      <c r="N66" s="64">
        <f>6330-N64</f>
        <v>6205</v>
      </c>
      <c r="O66" s="63">
        <f>6990-O64</f>
        <v>6859</v>
      </c>
    </row>
    <row r="67" spans="1:15" s="27" customFormat="1" ht="15.75">
      <c r="A67" s="87" t="s">
        <v>81</v>
      </c>
      <c r="B67" s="63">
        <f>SUM(B68:B75)</f>
        <v>156400</v>
      </c>
      <c r="C67" s="63">
        <f>SUM(C68:C75)</f>
        <v>138040</v>
      </c>
      <c r="D67" s="2">
        <v>189300</v>
      </c>
      <c r="E67" s="63">
        <f aca="true" t="shared" si="13" ref="E67:L67">SUM(E68:E75)</f>
        <v>262176</v>
      </c>
      <c r="F67" s="63">
        <f t="shared" si="13"/>
        <v>294087</v>
      </c>
      <c r="G67" s="63">
        <f t="shared" si="13"/>
        <v>300491</v>
      </c>
      <c r="H67" s="63">
        <f t="shared" si="13"/>
        <v>314944</v>
      </c>
      <c r="I67" s="63">
        <f t="shared" si="13"/>
        <v>320759</v>
      </c>
      <c r="J67" s="63">
        <f t="shared" si="13"/>
        <v>327752</v>
      </c>
      <c r="K67" s="63">
        <f t="shared" si="13"/>
        <v>337885</v>
      </c>
      <c r="L67" s="63">
        <f t="shared" si="13"/>
        <v>347841</v>
      </c>
      <c r="M67" s="63">
        <v>357266</v>
      </c>
      <c r="N67" s="63">
        <v>360722</v>
      </c>
      <c r="O67" s="63">
        <v>338022</v>
      </c>
    </row>
    <row r="68" spans="1:15" s="29" customFormat="1" ht="13.5">
      <c r="A68" s="23" t="s">
        <v>11</v>
      </c>
      <c r="B68" s="2">
        <v>121300</v>
      </c>
      <c r="C68" s="2">
        <v>101598</v>
      </c>
      <c r="D68" s="2" t="s">
        <v>0</v>
      </c>
      <c r="E68" s="2">
        <v>162189</v>
      </c>
      <c r="F68" s="62">
        <v>174373</v>
      </c>
      <c r="G68" s="62">
        <v>181973</v>
      </c>
      <c r="H68" s="62">
        <v>190152</v>
      </c>
      <c r="I68" s="62">
        <v>196861</v>
      </c>
      <c r="J68" s="62">
        <v>198644</v>
      </c>
      <c r="K68" s="7">
        <v>204179</v>
      </c>
      <c r="L68" s="62">
        <v>211095</v>
      </c>
      <c r="M68" s="62">
        <v>214674</v>
      </c>
      <c r="N68" s="62">
        <v>214825</v>
      </c>
      <c r="O68" s="63">
        <v>205478</v>
      </c>
    </row>
    <row r="69" spans="1:15" s="29" customFormat="1" ht="13.5">
      <c r="A69" s="23" t="s">
        <v>8</v>
      </c>
      <c r="B69" s="2">
        <v>35100</v>
      </c>
      <c r="C69" s="2">
        <v>36442</v>
      </c>
      <c r="D69" s="2" t="s">
        <v>0</v>
      </c>
      <c r="E69" s="2">
        <v>46102</v>
      </c>
      <c r="F69" s="62">
        <v>51062</v>
      </c>
      <c r="G69" s="62">
        <v>45644</v>
      </c>
      <c r="H69" s="62">
        <v>45793</v>
      </c>
      <c r="I69" s="62">
        <v>45935</v>
      </c>
      <c r="J69" s="62">
        <v>45163</v>
      </c>
      <c r="K69" s="7">
        <v>46311</v>
      </c>
      <c r="L69" s="62">
        <v>47087</v>
      </c>
      <c r="M69" s="62">
        <v>47865</v>
      </c>
      <c r="N69" s="62">
        <v>48464</v>
      </c>
      <c r="O69" s="63">
        <v>48327</v>
      </c>
    </row>
    <row r="70" spans="1:15" s="29" customFormat="1" ht="13.5">
      <c r="A70" s="23" t="s">
        <v>9</v>
      </c>
      <c r="B70" s="2" t="s">
        <v>3</v>
      </c>
      <c r="C70" s="2" t="s">
        <v>3</v>
      </c>
      <c r="D70" s="2" t="s">
        <v>0</v>
      </c>
      <c r="E70" s="2">
        <v>4066</v>
      </c>
      <c r="F70" s="62">
        <v>5140</v>
      </c>
      <c r="G70" s="62">
        <v>4935</v>
      </c>
      <c r="H70" s="62">
        <v>5728</v>
      </c>
      <c r="I70" s="62">
        <v>5940</v>
      </c>
      <c r="J70" s="62">
        <v>6024</v>
      </c>
      <c r="K70" s="7">
        <v>6058</v>
      </c>
      <c r="L70" s="62">
        <v>6572</v>
      </c>
      <c r="M70" s="62">
        <v>7021</v>
      </c>
      <c r="N70" s="62">
        <v>7598</v>
      </c>
      <c r="O70" s="63">
        <v>7619</v>
      </c>
    </row>
    <row r="71" spans="1:15" s="29" customFormat="1" ht="13.5">
      <c r="A71" s="23" t="s">
        <v>12</v>
      </c>
      <c r="B71" s="2" t="s">
        <v>3</v>
      </c>
      <c r="C71" s="2" t="s">
        <v>3</v>
      </c>
      <c r="D71" s="2" t="s">
        <v>0</v>
      </c>
      <c r="E71" s="2">
        <v>1925</v>
      </c>
      <c r="F71" s="62">
        <v>1848</v>
      </c>
      <c r="G71" s="62">
        <v>1871</v>
      </c>
      <c r="H71" s="62">
        <v>2084</v>
      </c>
      <c r="I71" s="62">
        <v>2037</v>
      </c>
      <c r="J71" s="62">
        <v>2053</v>
      </c>
      <c r="K71" s="7">
        <v>2140</v>
      </c>
      <c r="L71" s="62">
        <v>2223</v>
      </c>
      <c r="M71" s="62">
        <v>2008</v>
      </c>
      <c r="N71" s="62">
        <v>2027</v>
      </c>
      <c r="O71" s="63">
        <v>1964</v>
      </c>
    </row>
    <row r="72" spans="1:15" s="29" customFormat="1" ht="13.5">
      <c r="A72" s="23" t="s">
        <v>18</v>
      </c>
      <c r="B72" s="2" t="s">
        <v>0</v>
      </c>
      <c r="C72" s="2" t="s">
        <v>0</v>
      </c>
      <c r="D72" s="2" t="s">
        <v>0</v>
      </c>
      <c r="E72" s="2">
        <v>22740</v>
      </c>
      <c r="F72" s="62">
        <v>35450</v>
      </c>
      <c r="G72" s="62">
        <v>39882</v>
      </c>
      <c r="H72" s="62">
        <v>44667</v>
      </c>
      <c r="I72" s="62">
        <v>44029</v>
      </c>
      <c r="J72" s="62">
        <v>48406</v>
      </c>
      <c r="K72" s="7">
        <v>51186</v>
      </c>
      <c r="L72" s="62">
        <v>52021</v>
      </c>
      <c r="M72" s="62">
        <v>55846</v>
      </c>
      <c r="N72" s="62">
        <v>56746</v>
      </c>
      <c r="O72" s="63">
        <v>42935</v>
      </c>
    </row>
    <row r="73" spans="1:15" s="29" customFormat="1" ht="15.75">
      <c r="A73" s="21" t="s">
        <v>32</v>
      </c>
      <c r="B73" s="2" t="s">
        <v>0</v>
      </c>
      <c r="C73" s="2" t="s">
        <v>0</v>
      </c>
      <c r="D73" s="2" t="s">
        <v>0</v>
      </c>
      <c r="E73" s="2">
        <v>2813</v>
      </c>
      <c r="F73" s="62">
        <v>2764</v>
      </c>
      <c r="G73" s="62">
        <v>2697</v>
      </c>
      <c r="H73" s="62">
        <v>2830</v>
      </c>
      <c r="I73" s="62">
        <v>3166</v>
      </c>
      <c r="J73" s="62">
        <v>3894</v>
      </c>
      <c r="K73" s="7">
        <v>4024</v>
      </c>
      <c r="L73" s="62">
        <v>2682</v>
      </c>
      <c r="M73" s="62">
        <v>4731</v>
      </c>
      <c r="N73" s="62">
        <v>5336</v>
      </c>
      <c r="O73" s="63">
        <v>5434</v>
      </c>
    </row>
    <row r="74" spans="1:15" s="29" customFormat="1" ht="13.5">
      <c r="A74" s="23" t="s">
        <v>10</v>
      </c>
      <c r="B74" s="2" t="s">
        <v>0</v>
      </c>
      <c r="C74" s="2" t="s">
        <v>0</v>
      </c>
      <c r="D74" s="2" t="s">
        <v>0</v>
      </c>
      <c r="E74" s="2">
        <v>21443</v>
      </c>
      <c r="F74" s="62">
        <v>22596</v>
      </c>
      <c r="G74" s="62">
        <v>22320</v>
      </c>
      <c r="H74" s="62">
        <v>22604</v>
      </c>
      <c r="I74" s="62">
        <v>21651</v>
      </c>
      <c r="J74" s="62">
        <v>22488</v>
      </c>
      <c r="K74" s="7">
        <v>22896</v>
      </c>
      <c r="L74" s="62">
        <v>23518</v>
      </c>
      <c r="M74" s="62">
        <v>23851</v>
      </c>
      <c r="N74" s="62">
        <v>24391</v>
      </c>
      <c r="O74" s="63">
        <v>24813</v>
      </c>
    </row>
    <row r="75" spans="1:15" s="27" customFormat="1" ht="15.75">
      <c r="A75" s="24" t="s">
        <v>31</v>
      </c>
      <c r="B75" s="65" t="s">
        <v>0</v>
      </c>
      <c r="C75" s="65" t="s">
        <v>0</v>
      </c>
      <c r="D75" s="65" t="s">
        <v>0</v>
      </c>
      <c r="E75" s="65">
        <f>3711-E73</f>
        <v>898</v>
      </c>
      <c r="F75" s="66">
        <f>3618-F73</f>
        <v>854</v>
      </c>
      <c r="G75" s="66">
        <f>3866-G73</f>
        <v>1169</v>
      </c>
      <c r="H75" s="66">
        <f>3916-H73</f>
        <v>1086</v>
      </c>
      <c r="I75" s="66">
        <f>4306-I73</f>
        <v>1140</v>
      </c>
      <c r="J75" s="66">
        <f>4974-J73</f>
        <v>1080</v>
      </c>
      <c r="K75" s="67">
        <f>5115-K73</f>
        <v>1091</v>
      </c>
      <c r="L75" s="67">
        <f>5325-L73</f>
        <v>2643</v>
      </c>
      <c r="M75" s="67">
        <f>6001-M73</f>
        <v>1270</v>
      </c>
      <c r="N75" s="67">
        <f>6671-N73</f>
        <v>1335</v>
      </c>
      <c r="O75" s="88">
        <f>6887-O73</f>
        <v>1453</v>
      </c>
    </row>
    <row r="76" spans="1:15" s="29" customFormat="1" ht="13.5">
      <c r="A76" s="9" t="s">
        <v>37</v>
      </c>
      <c r="B76" s="59"/>
      <c r="C76" s="59"/>
      <c r="D76" s="59"/>
      <c r="E76" s="59"/>
      <c r="F76" s="59"/>
      <c r="G76" s="59"/>
      <c r="H76" s="59"/>
      <c r="I76" s="59"/>
      <c r="J76" s="59"/>
      <c r="K76" s="59"/>
      <c r="L76" s="59"/>
      <c r="M76" s="59"/>
      <c r="N76" s="59"/>
      <c r="O76" s="58"/>
    </row>
    <row r="77" spans="1:15" s="29" customFormat="1" ht="15.75">
      <c r="A77" s="11" t="s">
        <v>44</v>
      </c>
      <c r="B77" s="2">
        <v>2143</v>
      </c>
      <c r="C77" s="2">
        <v>1883</v>
      </c>
      <c r="D77" s="2">
        <v>2287</v>
      </c>
      <c r="E77" s="2">
        <v>3241.5</v>
      </c>
      <c r="F77" s="2">
        <v>3467.5</v>
      </c>
      <c r="G77" s="2">
        <v>3550.2</v>
      </c>
      <c r="H77" s="2">
        <v>3650.3</v>
      </c>
      <c r="I77" s="62">
        <v>3745.8</v>
      </c>
      <c r="J77" s="62">
        <v>3793.6</v>
      </c>
      <c r="K77" s="7">
        <v>3972.2</v>
      </c>
      <c r="L77" s="62">
        <v>4080.8</v>
      </c>
      <c r="M77" s="62">
        <v>4196.2</v>
      </c>
      <c r="N77" s="62">
        <v>4276.7</v>
      </c>
      <c r="O77" s="63">
        <v>4374.9</v>
      </c>
    </row>
    <row r="78" spans="1:15" s="29" customFormat="1" ht="13.5">
      <c r="A78" s="23" t="s">
        <v>11</v>
      </c>
      <c r="B78" s="2">
        <v>1576</v>
      </c>
      <c r="C78" s="2">
        <v>1409</v>
      </c>
      <c r="D78" s="2">
        <v>1677</v>
      </c>
      <c r="E78" s="2">
        <v>2129.9</v>
      </c>
      <c r="F78" s="2">
        <v>2162</v>
      </c>
      <c r="G78" s="2">
        <v>2183.7</v>
      </c>
      <c r="H78" s="2">
        <v>2220.5</v>
      </c>
      <c r="I78" s="62">
        <v>2244.6</v>
      </c>
      <c r="J78" s="62">
        <v>2174.6</v>
      </c>
      <c r="K78" s="7">
        <v>2275.9</v>
      </c>
      <c r="L78" s="62">
        <v>2314.8</v>
      </c>
      <c r="M78" s="62">
        <v>2376.5</v>
      </c>
      <c r="N78" s="62">
        <v>2411.1</v>
      </c>
      <c r="O78" s="63">
        <v>2420.8</v>
      </c>
    </row>
    <row r="79" spans="1:15" s="29" customFormat="1" ht="13.5">
      <c r="A79" s="23" t="s">
        <v>8</v>
      </c>
      <c r="B79" s="2">
        <v>391</v>
      </c>
      <c r="C79" s="2">
        <v>407</v>
      </c>
      <c r="D79" s="2">
        <v>385</v>
      </c>
      <c r="E79" s="2">
        <v>536.7</v>
      </c>
      <c r="F79" s="2">
        <v>531.8</v>
      </c>
      <c r="G79" s="2">
        <v>537.2</v>
      </c>
      <c r="H79" s="2">
        <v>543.1</v>
      </c>
      <c r="I79" s="62">
        <v>557.7</v>
      </c>
      <c r="J79" s="7">
        <v>565.7</v>
      </c>
      <c r="K79" s="7">
        <v>577.7</v>
      </c>
      <c r="L79" s="62">
        <v>595.2</v>
      </c>
      <c r="M79" s="62">
        <v>608.1</v>
      </c>
      <c r="N79" s="62">
        <v>620.9</v>
      </c>
      <c r="O79" s="63">
        <v>629.9</v>
      </c>
    </row>
    <row r="80" spans="1:15" s="29" customFormat="1" ht="13.5">
      <c r="A80" s="23" t="s">
        <v>9</v>
      </c>
      <c r="B80" s="2">
        <v>75</v>
      </c>
      <c r="C80" s="2">
        <v>34</v>
      </c>
      <c r="D80" s="2">
        <v>18</v>
      </c>
      <c r="E80" s="2">
        <v>24.2</v>
      </c>
      <c r="F80" s="2">
        <v>34</v>
      </c>
      <c r="G80" s="2">
        <v>34.6</v>
      </c>
      <c r="H80" s="2">
        <v>37.6</v>
      </c>
      <c r="I80" s="62">
        <v>41.2</v>
      </c>
      <c r="J80" s="62">
        <v>43.8</v>
      </c>
      <c r="K80" s="7">
        <v>48.7</v>
      </c>
      <c r="L80" s="62">
        <v>52.8</v>
      </c>
      <c r="M80" s="62">
        <v>54.3</v>
      </c>
      <c r="N80" s="62">
        <v>61</v>
      </c>
      <c r="O80" s="63">
        <v>64.3</v>
      </c>
    </row>
    <row r="81" spans="1:15" s="29" customFormat="1" ht="13.5">
      <c r="A81" s="23" t="s">
        <v>12</v>
      </c>
      <c r="B81" s="2">
        <v>101</v>
      </c>
      <c r="C81" s="2">
        <v>33</v>
      </c>
      <c r="D81" s="2">
        <v>13</v>
      </c>
      <c r="E81" s="2">
        <v>13.8</v>
      </c>
      <c r="F81" s="2">
        <v>13.8</v>
      </c>
      <c r="G81" s="2">
        <v>13.8</v>
      </c>
      <c r="H81" s="2">
        <v>13.7</v>
      </c>
      <c r="I81" s="62">
        <v>14</v>
      </c>
      <c r="J81" s="7">
        <v>13.6</v>
      </c>
      <c r="K81" s="7">
        <v>14.2</v>
      </c>
      <c r="L81" s="62">
        <v>14.5</v>
      </c>
      <c r="M81" s="62">
        <v>12.8</v>
      </c>
      <c r="N81" s="62">
        <v>13.9</v>
      </c>
      <c r="O81" s="63">
        <v>13.8</v>
      </c>
    </row>
    <row r="82" spans="1:241" s="35" customFormat="1" ht="13.5">
      <c r="A82" s="23" t="s">
        <v>18</v>
      </c>
      <c r="B82" s="2" t="s">
        <v>0</v>
      </c>
      <c r="C82" s="2" t="s">
        <v>0</v>
      </c>
      <c r="D82" s="62" t="s">
        <v>17</v>
      </c>
      <c r="E82" s="2">
        <v>305.9</v>
      </c>
      <c r="F82" s="2">
        <v>463.7</v>
      </c>
      <c r="G82" s="2">
        <v>506.5</v>
      </c>
      <c r="H82" s="2">
        <v>548.3</v>
      </c>
      <c r="I82" s="62">
        <v>585.3</v>
      </c>
      <c r="J82" s="62">
        <v>670.9</v>
      </c>
      <c r="K82" s="7">
        <v>718.4</v>
      </c>
      <c r="L82" s="62">
        <v>758.9</v>
      </c>
      <c r="M82" s="62">
        <v>789.3</v>
      </c>
      <c r="N82" s="62">
        <v>802.6</v>
      </c>
      <c r="O82" s="63">
        <v>864</v>
      </c>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row>
    <row r="83" spans="1:15" s="29" customFormat="1" ht="15.75">
      <c r="A83" s="21" t="s">
        <v>32</v>
      </c>
      <c r="B83" s="2" t="s">
        <v>0</v>
      </c>
      <c r="C83" s="2" t="s">
        <v>0</v>
      </c>
      <c r="D83" s="2">
        <v>2</v>
      </c>
      <c r="E83" s="2">
        <v>2</v>
      </c>
      <c r="F83" s="2">
        <v>2</v>
      </c>
      <c r="G83" s="2">
        <v>3</v>
      </c>
      <c r="H83" s="2">
        <v>3</v>
      </c>
      <c r="I83" s="62">
        <v>3</v>
      </c>
      <c r="J83" s="62">
        <v>3</v>
      </c>
      <c r="K83" s="7">
        <v>2.791</v>
      </c>
      <c r="L83" s="62">
        <v>3</v>
      </c>
      <c r="M83" s="62">
        <v>2.945</v>
      </c>
      <c r="N83" s="62">
        <v>3.322</v>
      </c>
      <c r="O83" s="63">
        <v>3.594</v>
      </c>
    </row>
    <row r="84" spans="1:15" s="29" customFormat="1" ht="13.5">
      <c r="A84" s="23" t="s">
        <v>10</v>
      </c>
      <c r="B84" s="2" t="s">
        <v>0</v>
      </c>
      <c r="C84" s="2" t="s">
        <v>0</v>
      </c>
      <c r="D84" s="2">
        <v>179</v>
      </c>
      <c r="E84" s="2">
        <v>212.7</v>
      </c>
      <c r="F84" s="2">
        <v>230.8</v>
      </c>
      <c r="G84" s="2">
        <v>237.7</v>
      </c>
      <c r="H84" s="2">
        <v>241.9</v>
      </c>
      <c r="I84" s="62">
        <v>250.7</v>
      </c>
      <c r="J84" s="62">
        <v>259.5</v>
      </c>
      <c r="K84" s="7">
        <v>265.9</v>
      </c>
      <c r="L84" s="62">
        <v>270.9</v>
      </c>
      <c r="M84" s="62">
        <v>277.3</v>
      </c>
      <c r="N84" s="62">
        <v>283.7</v>
      </c>
      <c r="O84" s="63">
        <v>286</v>
      </c>
    </row>
    <row r="85" spans="1:15" s="29" customFormat="1" ht="15.75">
      <c r="A85" s="21" t="s">
        <v>31</v>
      </c>
      <c r="B85" s="2" t="s">
        <v>0</v>
      </c>
      <c r="C85" s="2" t="s">
        <v>0</v>
      </c>
      <c r="D85" s="2">
        <v>13</v>
      </c>
      <c r="E85" s="2">
        <f>18.3-E83</f>
        <v>16.3</v>
      </c>
      <c r="F85" s="2">
        <f>31.5-F83</f>
        <v>29.5</v>
      </c>
      <c r="G85" s="2">
        <f>36.7-G83</f>
        <v>33.7</v>
      </c>
      <c r="H85" s="2">
        <f>45.2-H83</f>
        <v>42.2</v>
      </c>
      <c r="I85" s="62">
        <f>52.3-I83</f>
        <v>49.3</v>
      </c>
      <c r="J85" s="62">
        <f>65.5-J83</f>
        <v>62.5</v>
      </c>
      <c r="K85" s="7">
        <f>71.4-K83</f>
        <v>68.60900000000001</v>
      </c>
      <c r="L85" s="7">
        <f>73.7-L83</f>
        <v>70.7</v>
      </c>
      <c r="M85" s="7">
        <f>77.9-M83</f>
        <v>74.95500000000001</v>
      </c>
      <c r="N85" s="7">
        <f>83.5-N83</f>
        <v>80.178</v>
      </c>
      <c r="O85" s="63">
        <f>96-0</f>
        <v>96</v>
      </c>
    </row>
    <row r="86" spans="1:15" s="29" customFormat="1" ht="15.75">
      <c r="A86" s="14" t="s">
        <v>45</v>
      </c>
      <c r="B86" s="2" t="s">
        <v>0</v>
      </c>
      <c r="C86" s="2">
        <v>7332</v>
      </c>
      <c r="D86" s="2">
        <v>8567</v>
      </c>
      <c r="E86" s="2">
        <v>8799</v>
      </c>
      <c r="F86" s="2">
        <v>7949</v>
      </c>
      <c r="G86" s="2">
        <v>7763</v>
      </c>
      <c r="H86" s="2">
        <v>7948</v>
      </c>
      <c r="I86" s="2">
        <v>8374</v>
      </c>
      <c r="J86" s="62">
        <v>8750</v>
      </c>
      <c r="K86" s="7">
        <v>9168</v>
      </c>
      <c r="L86" s="62">
        <v>9363</v>
      </c>
      <c r="M86" s="62">
        <v>9653</v>
      </c>
      <c r="N86" s="62">
        <v>9623</v>
      </c>
      <c r="O86" s="63">
        <v>9436</v>
      </c>
    </row>
    <row r="87" spans="1:15" s="29" customFormat="1" ht="13.5">
      <c r="A87" s="23" t="s">
        <v>11</v>
      </c>
      <c r="B87" s="2" t="s">
        <v>0</v>
      </c>
      <c r="C87" s="2">
        <v>5034</v>
      </c>
      <c r="D87" s="2">
        <v>5837</v>
      </c>
      <c r="E87" s="2">
        <v>5677</v>
      </c>
      <c r="F87" s="2">
        <v>4871</v>
      </c>
      <c r="G87" s="2">
        <v>4848</v>
      </c>
      <c r="H87" s="2">
        <v>4887</v>
      </c>
      <c r="I87" s="2">
        <v>5013</v>
      </c>
      <c r="J87" s="62">
        <v>5399</v>
      </c>
      <c r="K87" s="7">
        <v>5648</v>
      </c>
      <c r="L87" s="62">
        <v>5678</v>
      </c>
      <c r="M87" s="62">
        <v>5849</v>
      </c>
      <c r="N87" s="62">
        <v>5868</v>
      </c>
      <c r="O87" s="63">
        <v>5692</v>
      </c>
    </row>
    <row r="88" spans="1:15" s="29" customFormat="1" ht="13.5">
      <c r="A88" s="23" t="s">
        <v>8</v>
      </c>
      <c r="B88" s="2" t="s">
        <v>0</v>
      </c>
      <c r="C88" s="2">
        <v>1881</v>
      </c>
      <c r="D88" s="2">
        <v>2108</v>
      </c>
      <c r="E88" s="2">
        <v>2346</v>
      </c>
      <c r="F88" s="2">
        <v>2169</v>
      </c>
      <c r="G88" s="2">
        <v>2033</v>
      </c>
      <c r="H88" s="2">
        <v>2157</v>
      </c>
      <c r="I88" s="2">
        <v>2430</v>
      </c>
      <c r="J88" s="62">
        <v>2393</v>
      </c>
      <c r="K88" s="7">
        <v>2521</v>
      </c>
      <c r="L88" s="62">
        <v>2632</v>
      </c>
      <c r="M88" s="62">
        <v>2728</v>
      </c>
      <c r="N88" s="62">
        <v>2688</v>
      </c>
      <c r="O88" s="63">
        <v>2667</v>
      </c>
    </row>
    <row r="89" spans="1:15" s="29" customFormat="1" ht="13.5">
      <c r="A89" s="23" t="s">
        <v>9</v>
      </c>
      <c r="B89" s="2" t="s">
        <v>0</v>
      </c>
      <c r="C89" s="2">
        <v>124</v>
      </c>
      <c r="D89" s="2">
        <v>133</v>
      </c>
      <c r="E89" s="2">
        <v>175</v>
      </c>
      <c r="F89" s="2">
        <v>284</v>
      </c>
      <c r="G89" s="2">
        <v>251</v>
      </c>
      <c r="H89" s="2">
        <v>261</v>
      </c>
      <c r="I89" s="2">
        <v>262</v>
      </c>
      <c r="J89" s="62">
        <v>276</v>
      </c>
      <c r="K89" s="7">
        <v>292</v>
      </c>
      <c r="L89" s="62">
        <v>320</v>
      </c>
      <c r="M89" s="62">
        <v>336</v>
      </c>
      <c r="N89" s="62">
        <v>337</v>
      </c>
      <c r="O89" s="63">
        <v>338</v>
      </c>
    </row>
    <row r="90" spans="1:15" s="29" customFormat="1" ht="13.5">
      <c r="A90" s="23" t="s">
        <v>12</v>
      </c>
      <c r="B90" s="2" t="s">
        <v>0</v>
      </c>
      <c r="C90" s="2">
        <v>182</v>
      </c>
      <c r="D90" s="2">
        <v>142</v>
      </c>
      <c r="E90" s="2">
        <v>126</v>
      </c>
      <c r="F90" s="2">
        <v>118</v>
      </c>
      <c r="G90" s="2">
        <v>119</v>
      </c>
      <c r="H90" s="2">
        <v>117</v>
      </c>
      <c r="I90" s="2">
        <v>121</v>
      </c>
      <c r="J90" s="62">
        <v>117</v>
      </c>
      <c r="K90" s="7">
        <v>120</v>
      </c>
      <c r="L90" s="62">
        <v>122</v>
      </c>
      <c r="M90" s="62">
        <v>119</v>
      </c>
      <c r="N90" s="62">
        <v>116</v>
      </c>
      <c r="O90" s="63">
        <v>109</v>
      </c>
    </row>
    <row r="91" spans="1:15" s="29" customFormat="1" ht="13.5">
      <c r="A91" s="23" t="s">
        <v>18</v>
      </c>
      <c r="B91" s="2" t="s">
        <v>0</v>
      </c>
      <c r="C91" s="2" t="s">
        <v>0</v>
      </c>
      <c r="D91" s="2" t="s">
        <v>0</v>
      </c>
      <c r="E91" s="2">
        <v>68</v>
      </c>
      <c r="F91" s="2">
        <v>88</v>
      </c>
      <c r="G91" s="2">
        <v>88</v>
      </c>
      <c r="H91" s="2">
        <v>93</v>
      </c>
      <c r="I91" s="2">
        <v>99</v>
      </c>
      <c r="J91" s="62">
        <v>95</v>
      </c>
      <c r="K91" s="7">
        <v>100</v>
      </c>
      <c r="L91" s="62">
        <v>105</v>
      </c>
      <c r="M91" s="62">
        <v>105</v>
      </c>
      <c r="N91" s="62">
        <v>103</v>
      </c>
      <c r="O91" s="63">
        <v>111</v>
      </c>
    </row>
    <row r="92" spans="1:15" s="29" customFormat="1" ht="15.75">
      <c r="A92" s="21" t="s">
        <v>32</v>
      </c>
      <c r="B92" s="2" t="s">
        <v>0</v>
      </c>
      <c r="C92" s="2" t="s">
        <v>0</v>
      </c>
      <c r="D92" s="2">
        <v>63</v>
      </c>
      <c r="E92" s="2">
        <v>50</v>
      </c>
      <c r="F92" s="2">
        <v>47</v>
      </c>
      <c r="G92" s="2">
        <v>47</v>
      </c>
      <c r="H92" s="2">
        <v>48</v>
      </c>
      <c r="I92" s="2">
        <v>51</v>
      </c>
      <c r="J92" s="62">
        <v>52</v>
      </c>
      <c r="K92" s="7">
        <v>53.081</v>
      </c>
      <c r="L92" s="62">
        <v>53</v>
      </c>
      <c r="M92" s="62">
        <v>53.943</v>
      </c>
      <c r="N92" s="62">
        <v>57.379</v>
      </c>
      <c r="O92" s="63">
        <v>66.335</v>
      </c>
    </row>
    <row r="93" spans="1:15" s="29" customFormat="1" ht="13.5">
      <c r="A93" s="23" t="s">
        <v>10</v>
      </c>
      <c r="B93" s="2" t="s">
        <v>0</v>
      </c>
      <c r="C93" s="2" t="s">
        <v>0</v>
      </c>
      <c r="D93" s="2">
        <v>280</v>
      </c>
      <c r="E93" s="2">
        <v>328</v>
      </c>
      <c r="F93" s="2">
        <v>339</v>
      </c>
      <c r="G93" s="2">
        <v>344</v>
      </c>
      <c r="H93" s="2">
        <v>352</v>
      </c>
      <c r="I93" s="2">
        <v>357</v>
      </c>
      <c r="J93" s="62">
        <v>381</v>
      </c>
      <c r="K93" s="7">
        <v>396</v>
      </c>
      <c r="L93" s="62">
        <v>413</v>
      </c>
      <c r="M93" s="62">
        <v>419</v>
      </c>
      <c r="N93" s="62">
        <v>414</v>
      </c>
      <c r="O93" s="63">
        <v>410</v>
      </c>
    </row>
    <row r="94" spans="1:15" s="29" customFormat="1" ht="15.75">
      <c r="A94" s="21" t="s">
        <v>31</v>
      </c>
      <c r="B94" s="2" t="s">
        <v>0</v>
      </c>
      <c r="C94" s="2" t="s">
        <v>0</v>
      </c>
      <c r="D94" s="2">
        <v>4</v>
      </c>
      <c r="E94" s="2">
        <f>79-E92</f>
        <v>29</v>
      </c>
      <c r="F94" s="2">
        <f>80-F92</f>
        <v>33</v>
      </c>
      <c r="G94" s="2">
        <f>80-G92</f>
        <v>33</v>
      </c>
      <c r="H94" s="2">
        <f>81-H92</f>
        <v>33</v>
      </c>
      <c r="I94" s="2">
        <f>92-I92</f>
        <v>41</v>
      </c>
      <c r="J94" s="62">
        <f>89-J92</f>
        <v>37</v>
      </c>
      <c r="K94" s="7">
        <f>91-K92</f>
        <v>37.919</v>
      </c>
      <c r="L94" s="62">
        <f>93-L92</f>
        <v>40</v>
      </c>
      <c r="M94" s="62">
        <f>97-M92</f>
        <v>43.057</v>
      </c>
      <c r="N94" s="62">
        <f>97-N92</f>
        <v>39.621</v>
      </c>
      <c r="O94" s="63">
        <f>111-O92</f>
        <v>44.665000000000006</v>
      </c>
    </row>
    <row r="95" spans="1:15" s="29" customFormat="1" ht="15.75">
      <c r="A95" s="14" t="s">
        <v>46</v>
      </c>
      <c r="B95" s="2" t="s">
        <v>0</v>
      </c>
      <c r="C95" s="2" t="s">
        <v>0</v>
      </c>
      <c r="D95" s="2">
        <v>39854</v>
      </c>
      <c r="E95" s="2">
        <v>41143</v>
      </c>
      <c r="F95" s="2">
        <v>39585</v>
      </c>
      <c r="G95" s="2">
        <v>39808</v>
      </c>
      <c r="H95" s="2">
        <v>41378</v>
      </c>
      <c r="I95" s="2">
        <v>42339</v>
      </c>
      <c r="J95" s="62">
        <v>44128</v>
      </c>
      <c r="K95" s="7">
        <v>45857</v>
      </c>
      <c r="L95" s="62">
        <v>47666</v>
      </c>
      <c r="M95" s="62">
        <v>49070</v>
      </c>
      <c r="N95" s="62">
        <v>48324</v>
      </c>
      <c r="O95" s="63">
        <v>47972</v>
      </c>
    </row>
    <row r="96" spans="1:15" s="29" customFormat="1" ht="13.5">
      <c r="A96" s="23" t="s">
        <v>11</v>
      </c>
      <c r="B96" s="2" t="s">
        <v>0</v>
      </c>
      <c r="C96" s="2" t="s">
        <v>0</v>
      </c>
      <c r="D96" s="2">
        <v>21790</v>
      </c>
      <c r="E96" s="2">
        <v>20981</v>
      </c>
      <c r="F96" s="2">
        <v>18832</v>
      </c>
      <c r="G96" s="2">
        <v>18818</v>
      </c>
      <c r="H96" s="2">
        <v>19096</v>
      </c>
      <c r="I96" s="2">
        <v>19604</v>
      </c>
      <c r="J96" s="62">
        <v>20360</v>
      </c>
      <c r="K96" s="7">
        <v>21205</v>
      </c>
      <c r="L96" s="62">
        <v>21241</v>
      </c>
      <c r="M96" s="62">
        <v>22022</v>
      </c>
      <c r="N96" s="62">
        <v>21841</v>
      </c>
      <c r="O96" s="63">
        <v>21262</v>
      </c>
    </row>
    <row r="97" spans="1:15" s="29" customFormat="1" ht="13.5">
      <c r="A97" s="23" t="s">
        <v>8</v>
      </c>
      <c r="B97" s="2" t="s">
        <v>0</v>
      </c>
      <c r="C97" s="2" t="s">
        <v>0</v>
      </c>
      <c r="D97" s="2">
        <v>10558</v>
      </c>
      <c r="E97" s="2">
        <v>11475</v>
      </c>
      <c r="F97" s="2">
        <v>10668</v>
      </c>
      <c r="G97" s="2">
        <v>10559</v>
      </c>
      <c r="H97" s="2">
        <v>11530</v>
      </c>
      <c r="I97" s="2">
        <v>12056</v>
      </c>
      <c r="J97" s="62">
        <v>12284</v>
      </c>
      <c r="K97" s="7">
        <v>12902</v>
      </c>
      <c r="L97" s="62">
        <v>13844</v>
      </c>
      <c r="M97" s="62">
        <v>14178</v>
      </c>
      <c r="N97" s="62">
        <v>13663</v>
      </c>
      <c r="O97" s="63">
        <v>13606</v>
      </c>
    </row>
    <row r="98" spans="1:15" s="29" customFormat="1" ht="13.5">
      <c r="A98" s="23" t="s">
        <v>9</v>
      </c>
      <c r="B98" s="2" t="s">
        <v>0</v>
      </c>
      <c r="C98" s="2" t="s">
        <v>0</v>
      </c>
      <c r="D98" s="2">
        <v>381</v>
      </c>
      <c r="E98" s="2">
        <v>571</v>
      </c>
      <c r="F98" s="2">
        <v>833</v>
      </c>
      <c r="G98" s="2">
        <v>860</v>
      </c>
      <c r="H98" s="2">
        <v>957</v>
      </c>
      <c r="I98" s="2">
        <v>1035</v>
      </c>
      <c r="J98" s="62">
        <v>1128</v>
      </c>
      <c r="K98" s="7">
        <v>1206</v>
      </c>
      <c r="L98" s="62">
        <v>1356</v>
      </c>
      <c r="M98" s="62">
        <v>1437</v>
      </c>
      <c r="N98" s="62">
        <v>1432</v>
      </c>
      <c r="O98" s="63">
        <v>1476</v>
      </c>
    </row>
    <row r="99" spans="1:15" s="29" customFormat="1" ht="13.5">
      <c r="A99" s="23" t="s">
        <v>12</v>
      </c>
      <c r="B99" s="2" t="s">
        <v>0</v>
      </c>
      <c r="C99" s="2" t="s">
        <v>0</v>
      </c>
      <c r="D99" s="2">
        <v>219</v>
      </c>
      <c r="E99" s="2">
        <v>193</v>
      </c>
      <c r="F99" s="2">
        <v>187</v>
      </c>
      <c r="G99" s="2">
        <v>187</v>
      </c>
      <c r="H99" s="2">
        <v>184</v>
      </c>
      <c r="I99" s="2">
        <v>189</v>
      </c>
      <c r="J99" s="62">
        <v>182</v>
      </c>
      <c r="K99" s="7">
        <v>186</v>
      </c>
      <c r="L99" s="62">
        <v>192</v>
      </c>
      <c r="M99" s="62">
        <v>187</v>
      </c>
      <c r="N99" s="62">
        <v>188</v>
      </c>
      <c r="O99" s="63">
        <v>176</v>
      </c>
    </row>
    <row r="100" spans="1:15" s="29" customFormat="1" ht="13.5">
      <c r="A100" s="23" t="s">
        <v>18</v>
      </c>
      <c r="B100" s="2" t="s">
        <v>0</v>
      </c>
      <c r="C100" s="2" t="s">
        <v>0</v>
      </c>
      <c r="D100" s="2" t="s">
        <v>0</v>
      </c>
      <c r="E100" s="2">
        <v>431</v>
      </c>
      <c r="F100" s="2">
        <v>577</v>
      </c>
      <c r="G100" s="2">
        <v>607</v>
      </c>
      <c r="H100" s="2">
        <v>656</v>
      </c>
      <c r="I100" s="2">
        <v>754</v>
      </c>
      <c r="J100" s="62">
        <v>735</v>
      </c>
      <c r="K100" s="7">
        <v>813</v>
      </c>
      <c r="L100" s="62">
        <v>839</v>
      </c>
      <c r="M100" s="62">
        <v>855</v>
      </c>
      <c r="N100" s="62">
        <v>853</v>
      </c>
      <c r="O100" s="63">
        <v>930</v>
      </c>
    </row>
    <row r="101" spans="1:15" s="29" customFormat="1" ht="15.75">
      <c r="A101" s="21" t="s">
        <v>32</v>
      </c>
      <c r="B101" s="2" t="s">
        <v>0</v>
      </c>
      <c r="C101" s="2" t="s">
        <v>0</v>
      </c>
      <c r="D101" s="2" t="s">
        <v>0</v>
      </c>
      <c r="E101" s="2">
        <v>286</v>
      </c>
      <c r="F101" s="2">
        <v>260</v>
      </c>
      <c r="G101" s="2">
        <v>260</v>
      </c>
      <c r="H101" s="2">
        <v>256</v>
      </c>
      <c r="I101" s="2">
        <v>294</v>
      </c>
      <c r="J101" s="62">
        <v>294</v>
      </c>
      <c r="K101" s="7">
        <v>309.792</v>
      </c>
      <c r="L101" s="62">
        <v>330</v>
      </c>
      <c r="M101" s="62">
        <v>325</v>
      </c>
      <c r="N101" s="62">
        <v>332.685</v>
      </c>
      <c r="O101" s="63">
        <v>393.955</v>
      </c>
    </row>
    <row r="102" spans="1:15" s="29" customFormat="1" ht="13.5">
      <c r="A102" s="23" t="s">
        <v>10</v>
      </c>
      <c r="B102" s="2" t="s">
        <v>0</v>
      </c>
      <c r="C102" s="2" t="s">
        <v>0</v>
      </c>
      <c r="D102" s="2">
        <v>6516</v>
      </c>
      <c r="E102" s="2">
        <v>7082</v>
      </c>
      <c r="F102" s="2">
        <v>7996</v>
      </c>
      <c r="G102" s="2">
        <v>8244</v>
      </c>
      <c r="H102" s="2">
        <v>8351</v>
      </c>
      <c r="I102" s="2">
        <v>8038</v>
      </c>
      <c r="J102" s="62">
        <v>8704</v>
      </c>
      <c r="K102" s="7">
        <v>8766</v>
      </c>
      <c r="L102" s="62">
        <v>9402</v>
      </c>
      <c r="M102" s="62">
        <v>9548</v>
      </c>
      <c r="N102" s="62">
        <v>9504</v>
      </c>
      <c r="O102" s="63">
        <v>9559</v>
      </c>
    </row>
    <row r="103" spans="1:15" s="29" customFormat="1" ht="15.75">
      <c r="A103" s="21" t="s">
        <v>31</v>
      </c>
      <c r="B103" s="2" t="s">
        <v>0</v>
      </c>
      <c r="C103" s="2" t="s">
        <v>0</v>
      </c>
      <c r="D103" s="2">
        <v>390</v>
      </c>
      <c r="E103" s="62">
        <f>410-E101</f>
        <v>124</v>
      </c>
      <c r="F103" s="62">
        <f>492-F101</f>
        <v>232</v>
      </c>
      <c r="G103" s="62">
        <f>533-G101</f>
        <v>273</v>
      </c>
      <c r="H103" s="62">
        <f>604-H101</f>
        <v>348</v>
      </c>
      <c r="I103" s="62">
        <f>663-I101</f>
        <v>369</v>
      </c>
      <c r="J103" s="62">
        <f>735-J101</f>
        <v>441</v>
      </c>
      <c r="K103" s="7">
        <f>779-K101</f>
        <v>469.208</v>
      </c>
      <c r="L103" s="62">
        <f>792-L101</f>
        <v>462</v>
      </c>
      <c r="M103" s="62">
        <f>843-M101</f>
        <v>518</v>
      </c>
      <c r="N103" s="62">
        <f>843-N101</f>
        <v>510.315</v>
      </c>
      <c r="O103" s="63">
        <f>962-O101</f>
        <v>568.0450000000001</v>
      </c>
    </row>
    <row r="104" spans="1:15" s="29" customFormat="1" ht="15.75">
      <c r="A104" s="14" t="s">
        <v>47</v>
      </c>
      <c r="B104" s="53" t="s">
        <v>0</v>
      </c>
      <c r="C104" s="53" t="s">
        <v>0</v>
      </c>
      <c r="D104" s="53" t="s">
        <v>0</v>
      </c>
      <c r="E104" s="53" t="s">
        <v>0</v>
      </c>
      <c r="F104" s="53">
        <v>4.9</v>
      </c>
      <c r="G104" s="53">
        <v>5</v>
      </c>
      <c r="H104" s="53">
        <v>5</v>
      </c>
      <c r="I104" s="53">
        <v>5</v>
      </c>
      <c r="J104" s="55">
        <v>5</v>
      </c>
      <c r="K104" s="55">
        <v>5</v>
      </c>
      <c r="L104" s="55">
        <v>5</v>
      </c>
      <c r="M104" s="55">
        <v>5.1</v>
      </c>
      <c r="N104" s="55">
        <v>5</v>
      </c>
      <c r="O104" s="89">
        <v>5.1</v>
      </c>
    </row>
    <row r="105" spans="1:15" s="29" customFormat="1" ht="13.5">
      <c r="A105" s="23" t="s">
        <v>11</v>
      </c>
      <c r="B105" s="53" t="s">
        <v>0</v>
      </c>
      <c r="C105" s="53" t="s">
        <v>0</v>
      </c>
      <c r="D105" s="53" t="s">
        <v>0</v>
      </c>
      <c r="E105" s="53" t="s">
        <v>0</v>
      </c>
      <c r="F105" s="53">
        <v>3.7</v>
      </c>
      <c r="G105" s="53">
        <v>4</v>
      </c>
      <c r="H105" s="53">
        <v>4</v>
      </c>
      <c r="I105" s="53">
        <v>4</v>
      </c>
      <c r="J105" s="55">
        <v>4</v>
      </c>
      <c r="K105" s="55">
        <v>3.8</v>
      </c>
      <c r="L105" s="55">
        <v>4</v>
      </c>
      <c r="M105" s="55">
        <v>3.8</v>
      </c>
      <c r="N105" s="55">
        <v>3.7</v>
      </c>
      <c r="O105" s="89">
        <v>3.7</v>
      </c>
    </row>
    <row r="106" spans="1:15" s="29" customFormat="1" ht="13.5">
      <c r="A106" s="23" t="s">
        <v>8</v>
      </c>
      <c r="B106" s="53" t="s">
        <v>0</v>
      </c>
      <c r="C106" s="53" t="s">
        <v>0</v>
      </c>
      <c r="D106" s="53" t="s">
        <v>0</v>
      </c>
      <c r="E106" s="53" t="s">
        <v>0</v>
      </c>
      <c r="F106" s="53">
        <v>4.9</v>
      </c>
      <c r="G106" s="53">
        <v>5</v>
      </c>
      <c r="H106" s="53">
        <v>5</v>
      </c>
      <c r="I106" s="53">
        <v>5</v>
      </c>
      <c r="J106" s="55">
        <v>5</v>
      </c>
      <c r="K106" s="55">
        <v>5.1</v>
      </c>
      <c r="L106" s="55">
        <v>5</v>
      </c>
      <c r="M106" s="55">
        <v>5.2</v>
      </c>
      <c r="N106" s="55">
        <v>5.1</v>
      </c>
      <c r="O106" s="89">
        <v>5.1</v>
      </c>
    </row>
    <row r="107" spans="1:15" s="29" customFormat="1" ht="13.5">
      <c r="A107" s="23" t="s">
        <v>9</v>
      </c>
      <c r="B107" s="53" t="s">
        <v>0</v>
      </c>
      <c r="C107" s="53" t="s">
        <v>0</v>
      </c>
      <c r="D107" s="53" t="s">
        <v>0</v>
      </c>
      <c r="E107" s="53" t="s">
        <v>0</v>
      </c>
      <c r="F107" s="53">
        <v>3.6</v>
      </c>
      <c r="G107" s="53">
        <v>3</v>
      </c>
      <c r="H107" s="53">
        <v>4</v>
      </c>
      <c r="I107" s="53">
        <v>4</v>
      </c>
      <c r="J107" s="55">
        <v>4</v>
      </c>
      <c r="K107" s="55">
        <v>4.1</v>
      </c>
      <c r="L107" s="55">
        <v>4</v>
      </c>
      <c r="M107" s="55">
        <v>4.3</v>
      </c>
      <c r="N107" s="55">
        <v>4.3</v>
      </c>
      <c r="O107" s="89">
        <v>4.4</v>
      </c>
    </row>
    <row r="108" spans="1:15" s="29" customFormat="1" ht="13.5">
      <c r="A108" s="23" t="s">
        <v>12</v>
      </c>
      <c r="B108" s="53" t="s">
        <v>0</v>
      </c>
      <c r="C108" s="53" t="s">
        <v>0</v>
      </c>
      <c r="D108" s="53" t="s">
        <v>0</v>
      </c>
      <c r="E108" s="53" t="s">
        <v>0</v>
      </c>
      <c r="F108" s="53">
        <v>1.6</v>
      </c>
      <c r="G108" s="53">
        <v>2</v>
      </c>
      <c r="H108" s="53">
        <v>2</v>
      </c>
      <c r="I108" s="53">
        <v>2</v>
      </c>
      <c r="J108" s="55">
        <v>2</v>
      </c>
      <c r="K108" s="55">
        <v>1.6</v>
      </c>
      <c r="L108" s="55">
        <v>2</v>
      </c>
      <c r="M108" s="55">
        <v>1.6</v>
      </c>
      <c r="N108" s="55">
        <v>1.6</v>
      </c>
      <c r="O108" s="89">
        <v>1.6</v>
      </c>
    </row>
    <row r="109" spans="1:15" s="29" customFormat="1" ht="13.5">
      <c r="A109" s="23" t="s">
        <v>18</v>
      </c>
      <c r="B109" s="53" t="s">
        <v>0</v>
      </c>
      <c r="C109" s="53" t="s">
        <v>0</v>
      </c>
      <c r="D109" s="53" t="s">
        <v>0</v>
      </c>
      <c r="E109" s="53" t="s">
        <v>0</v>
      </c>
      <c r="F109" s="53">
        <v>7.3</v>
      </c>
      <c r="G109" s="53">
        <v>8</v>
      </c>
      <c r="H109" s="53">
        <v>9</v>
      </c>
      <c r="I109" s="53">
        <v>10</v>
      </c>
      <c r="J109" s="54">
        <v>8</v>
      </c>
      <c r="K109" s="55">
        <v>8.1</v>
      </c>
      <c r="L109" s="55">
        <v>8</v>
      </c>
      <c r="M109" s="55">
        <v>8.2</v>
      </c>
      <c r="N109" s="55">
        <v>8.3</v>
      </c>
      <c r="O109" s="89">
        <v>8.4</v>
      </c>
    </row>
    <row r="110" spans="1:15" s="29" customFormat="1" ht="15.75">
      <c r="A110" s="21" t="s">
        <v>32</v>
      </c>
      <c r="B110" s="53" t="s">
        <v>0</v>
      </c>
      <c r="C110" s="53" t="s">
        <v>0</v>
      </c>
      <c r="D110" s="53" t="s">
        <v>0</v>
      </c>
      <c r="E110" s="53" t="s">
        <v>0</v>
      </c>
      <c r="F110" s="53">
        <v>5.7</v>
      </c>
      <c r="G110" s="53">
        <v>6</v>
      </c>
      <c r="H110" s="53">
        <v>5</v>
      </c>
      <c r="I110" s="53">
        <v>6</v>
      </c>
      <c r="J110" s="55">
        <v>6</v>
      </c>
      <c r="K110" s="55">
        <v>5.8</v>
      </c>
      <c r="L110" s="55">
        <v>6</v>
      </c>
      <c r="M110" s="55">
        <v>6</v>
      </c>
      <c r="N110" s="55">
        <v>5.8</v>
      </c>
      <c r="O110" s="89">
        <v>5.9</v>
      </c>
    </row>
    <row r="111" spans="1:15" s="29" customFormat="1" ht="13.5">
      <c r="A111" s="23" t="s">
        <v>10</v>
      </c>
      <c r="B111" s="53" t="s">
        <v>0</v>
      </c>
      <c r="C111" s="53" t="s">
        <v>0</v>
      </c>
      <c r="D111" s="53" t="s">
        <v>0</v>
      </c>
      <c r="E111" s="53" t="s">
        <v>0</v>
      </c>
      <c r="F111" s="53">
        <v>23.7</v>
      </c>
      <c r="G111" s="53">
        <v>24</v>
      </c>
      <c r="H111" s="53">
        <v>24</v>
      </c>
      <c r="I111" s="53">
        <v>23</v>
      </c>
      <c r="J111" s="55">
        <v>23</v>
      </c>
      <c r="K111" s="55">
        <v>22.1</v>
      </c>
      <c r="L111" s="55">
        <v>23</v>
      </c>
      <c r="M111" s="55">
        <v>22.8</v>
      </c>
      <c r="N111" s="55">
        <v>22.9</v>
      </c>
      <c r="O111" s="89">
        <v>23.3</v>
      </c>
    </row>
    <row r="112" spans="1:15" s="29" customFormat="1" ht="13.5">
      <c r="A112" s="23" t="s">
        <v>4</v>
      </c>
      <c r="B112" s="53" t="s">
        <v>0</v>
      </c>
      <c r="C112" s="53" t="s">
        <v>0</v>
      </c>
      <c r="D112" s="53" t="s">
        <v>0</v>
      </c>
      <c r="E112" s="53" t="s">
        <v>0</v>
      </c>
      <c r="F112" s="53">
        <v>32.4</v>
      </c>
      <c r="G112" s="53">
        <v>35</v>
      </c>
      <c r="H112" s="53">
        <v>34</v>
      </c>
      <c r="I112" s="53">
        <v>33</v>
      </c>
      <c r="J112" s="55">
        <v>36</v>
      </c>
      <c r="K112" s="55">
        <v>34.4</v>
      </c>
      <c r="L112" s="55">
        <v>35</v>
      </c>
      <c r="M112" s="55">
        <v>32.9</v>
      </c>
      <c r="N112" s="55">
        <v>37.2</v>
      </c>
      <c r="O112" s="89">
        <v>33.1</v>
      </c>
    </row>
    <row r="113" spans="1:15" s="29" customFormat="1" ht="15.75">
      <c r="A113" s="21" t="s">
        <v>82</v>
      </c>
      <c r="B113" s="53" t="s">
        <v>0</v>
      </c>
      <c r="C113" s="53" t="s">
        <v>0</v>
      </c>
      <c r="D113" s="53" t="s">
        <v>0</v>
      </c>
      <c r="E113" s="53" t="s">
        <v>0</v>
      </c>
      <c r="F113" s="53">
        <v>1</v>
      </c>
      <c r="G113" s="53">
        <v>1</v>
      </c>
      <c r="H113" s="53">
        <v>1</v>
      </c>
      <c r="I113" s="53">
        <v>1</v>
      </c>
      <c r="J113" s="55">
        <v>1</v>
      </c>
      <c r="K113" s="55">
        <v>1</v>
      </c>
      <c r="L113" s="55">
        <v>1</v>
      </c>
      <c r="M113" s="55">
        <v>1</v>
      </c>
      <c r="N113" s="55">
        <v>1</v>
      </c>
      <c r="O113" s="89">
        <v>1</v>
      </c>
    </row>
    <row r="114" spans="1:15" s="29" customFormat="1" ht="15.75">
      <c r="A114" s="14" t="s">
        <v>48</v>
      </c>
      <c r="B114" s="53" t="s">
        <v>0</v>
      </c>
      <c r="C114" s="53" t="s">
        <v>0</v>
      </c>
      <c r="D114" s="53" t="s">
        <v>0</v>
      </c>
      <c r="E114" s="53" t="s">
        <v>0</v>
      </c>
      <c r="F114" s="53">
        <v>14.7</v>
      </c>
      <c r="G114" s="53">
        <v>15</v>
      </c>
      <c r="H114" s="53">
        <v>15</v>
      </c>
      <c r="I114" s="53">
        <v>15</v>
      </c>
      <c r="J114" s="55">
        <v>15</v>
      </c>
      <c r="K114" s="55">
        <v>15</v>
      </c>
      <c r="L114" s="55">
        <v>15</v>
      </c>
      <c r="M114" s="55">
        <v>14.7</v>
      </c>
      <c r="N114" s="55">
        <v>14.8</v>
      </c>
      <c r="O114" s="89">
        <v>14.7</v>
      </c>
    </row>
    <row r="115" spans="1:15" s="29" customFormat="1" ht="13.5">
      <c r="A115" s="23" t="s">
        <v>11</v>
      </c>
      <c r="B115" s="53" t="s">
        <v>0</v>
      </c>
      <c r="C115" s="53" t="s">
        <v>0</v>
      </c>
      <c r="D115" s="53" t="s">
        <v>0</v>
      </c>
      <c r="E115" s="53" t="s">
        <v>0</v>
      </c>
      <c r="F115" s="53">
        <v>13</v>
      </c>
      <c r="G115" s="53">
        <v>13</v>
      </c>
      <c r="H115" s="53">
        <v>13</v>
      </c>
      <c r="I115" s="53">
        <v>13</v>
      </c>
      <c r="J115" s="55">
        <v>13</v>
      </c>
      <c r="K115" s="55">
        <v>13</v>
      </c>
      <c r="L115" s="55">
        <v>13</v>
      </c>
      <c r="M115" s="55">
        <v>12.8</v>
      </c>
      <c r="N115" s="55">
        <v>12.8</v>
      </c>
      <c r="O115" s="89">
        <v>12.7</v>
      </c>
    </row>
    <row r="116" spans="1:15" s="29" customFormat="1" ht="13.5">
      <c r="A116" s="23" t="s">
        <v>8</v>
      </c>
      <c r="B116" s="53" t="s">
        <v>0</v>
      </c>
      <c r="C116" s="53" t="s">
        <v>0</v>
      </c>
      <c r="D116" s="53" t="s">
        <v>0</v>
      </c>
      <c r="E116" s="53" t="s">
        <v>0</v>
      </c>
      <c r="F116" s="53">
        <v>20.7</v>
      </c>
      <c r="G116" s="53">
        <v>21</v>
      </c>
      <c r="H116" s="53">
        <v>21</v>
      </c>
      <c r="I116" s="53">
        <v>21</v>
      </c>
      <c r="J116" s="55">
        <v>21</v>
      </c>
      <c r="K116" s="55">
        <v>21</v>
      </c>
      <c r="L116" s="55">
        <v>21</v>
      </c>
      <c r="M116" s="55">
        <v>20.4</v>
      </c>
      <c r="N116" s="55">
        <v>20.2</v>
      </c>
      <c r="O116" s="89">
        <v>20.6</v>
      </c>
    </row>
    <row r="117" spans="1:15" s="29" customFormat="1" ht="13.5">
      <c r="A117" s="23" t="s">
        <v>9</v>
      </c>
      <c r="B117" s="53" t="s">
        <v>0</v>
      </c>
      <c r="C117" s="53" t="s">
        <v>0</v>
      </c>
      <c r="D117" s="53" t="s">
        <v>0</v>
      </c>
      <c r="E117" s="53" t="s">
        <v>0</v>
      </c>
      <c r="F117" s="53">
        <v>14.4</v>
      </c>
      <c r="G117" s="53">
        <v>14</v>
      </c>
      <c r="H117" s="53">
        <v>14</v>
      </c>
      <c r="I117" s="53">
        <v>16</v>
      </c>
      <c r="J117" s="55">
        <v>16</v>
      </c>
      <c r="K117" s="55">
        <v>15</v>
      </c>
      <c r="L117" s="55">
        <v>15</v>
      </c>
      <c r="M117" s="55">
        <v>15.1</v>
      </c>
      <c r="N117" s="55">
        <v>15.3</v>
      </c>
      <c r="O117" s="89">
        <v>15.7</v>
      </c>
    </row>
    <row r="118" spans="1:15" s="29" customFormat="1" ht="13.5">
      <c r="A118" s="23" t="s">
        <v>12</v>
      </c>
      <c r="B118" s="53" t="s">
        <v>0</v>
      </c>
      <c r="C118" s="53" t="s">
        <v>0</v>
      </c>
      <c r="D118" s="53" t="s">
        <v>0</v>
      </c>
      <c r="E118" s="53" t="s">
        <v>0</v>
      </c>
      <c r="F118" s="53">
        <v>8.2</v>
      </c>
      <c r="G118" s="53">
        <v>8</v>
      </c>
      <c r="H118" s="53">
        <v>8</v>
      </c>
      <c r="I118" s="53">
        <v>8</v>
      </c>
      <c r="J118" s="55">
        <v>8</v>
      </c>
      <c r="K118" s="55">
        <v>7</v>
      </c>
      <c r="L118" s="55">
        <v>7</v>
      </c>
      <c r="M118" s="55">
        <v>7.1</v>
      </c>
      <c r="N118" s="55">
        <v>7.4</v>
      </c>
      <c r="O118" s="89">
        <v>7.4</v>
      </c>
    </row>
    <row r="119" spans="1:15" s="29" customFormat="1" ht="13.5">
      <c r="A119" s="23" t="s">
        <v>18</v>
      </c>
      <c r="B119" s="53" t="s">
        <v>0</v>
      </c>
      <c r="C119" s="53" t="s">
        <v>0</v>
      </c>
      <c r="D119" s="53" t="s">
        <v>0</v>
      </c>
      <c r="E119" s="53" t="s">
        <v>0</v>
      </c>
      <c r="F119" s="53">
        <v>14</v>
      </c>
      <c r="G119" s="53">
        <v>15</v>
      </c>
      <c r="H119" s="53">
        <v>15</v>
      </c>
      <c r="I119" s="53">
        <v>15</v>
      </c>
      <c r="J119" s="55">
        <v>17</v>
      </c>
      <c r="K119" s="55">
        <v>15</v>
      </c>
      <c r="L119" s="55">
        <v>15</v>
      </c>
      <c r="M119" s="55">
        <v>14.5</v>
      </c>
      <c r="N119" s="55">
        <v>14.7</v>
      </c>
      <c r="O119" s="89">
        <v>14.5</v>
      </c>
    </row>
    <row r="120" spans="1:15" s="29" customFormat="1" ht="15.75">
      <c r="A120" s="21" t="s">
        <v>32</v>
      </c>
      <c r="B120" s="53" t="s">
        <v>0</v>
      </c>
      <c r="C120" s="53" t="s">
        <v>0</v>
      </c>
      <c r="D120" s="53" t="s">
        <v>0</v>
      </c>
      <c r="E120" s="53" t="s">
        <v>0</v>
      </c>
      <c r="F120" s="53">
        <v>8.4</v>
      </c>
      <c r="G120" s="53">
        <v>6</v>
      </c>
      <c r="H120" s="53">
        <v>7</v>
      </c>
      <c r="I120" s="53">
        <v>7</v>
      </c>
      <c r="J120" s="55">
        <v>8</v>
      </c>
      <c r="K120" s="55">
        <v>8</v>
      </c>
      <c r="L120" s="55">
        <v>8</v>
      </c>
      <c r="M120" s="55">
        <v>8</v>
      </c>
      <c r="N120" s="55">
        <v>8.3</v>
      </c>
      <c r="O120" s="89">
        <v>8.7</v>
      </c>
    </row>
    <row r="121" spans="1:15" s="29" customFormat="1" ht="13.5">
      <c r="A121" s="23" t="s">
        <v>10</v>
      </c>
      <c r="B121" s="53" t="s">
        <v>0</v>
      </c>
      <c r="C121" s="53" t="s">
        <v>0</v>
      </c>
      <c r="D121" s="53" t="s">
        <v>0</v>
      </c>
      <c r="E121" s="53" t="s">
        <v>0</v>
      </c>
      <c r="F121" s="53">
        <v>33.8</v>
      </c>
      <c r="G121" s="53">
        <v>34</v>
      </c>
      <c r="H121" s="53">
        <v>33</v>
      </c>
      <c r="I121" s="53">
        <v>34</v>
      </c>
      <c r="J121" s="55">
        <v>32</v>
      </c>
      <c r="K121" s="55">
        <v>33</v>
      </c>
      <c r="L121" s="55">
        <v>29</v>
      </c>
      <c r="M121" s="55">
        <v>31.6</v>
      </c>
      <c r="N121" s="55">
        <v>31.7</v>
      </c>
      <c r="O121" s="89">
        <v>31.7</v>
      </c>
    </row>
    <row r="122" spans="1:15" s="29" customFormat="1" ht="13.5">
      <c r="A122" s="23" t="s">
        <v>4</v>
      </c>
      <c r="B122" s="53" t="s">
        <v>0</v>
      </c>
      <c r="C122" s="53" t="s">
        <v>0</v>
      </c>
      <c r="D122" s="53" t="s">
        <v>0</v>
      </c>
      <c r="E122" s="53" t="s">
        <v>0</v>
      </c>
      <c r="F122" s="53">
        <v>32.6</v>
      </c>
      <c r="G122" s="53">
        <v>35</v>
      </c>
      <c r="H122" s="53">
        <v>37</v>
      </c>
      <c r="I122" s="53">
        <v>36</v>
      </c>
      <c r="J122" s="55">
        <v>37</v>
      </c>
      <c r="K122" s="55">
        <v>38</v>
      </c>
      <c r="L122" s="55">
        <v>31</v>
      </c>
      <c r="M122" s="55">
        <v>38.8</v>
      </c>
      <c r="N122" s="55">
        <v>38.2</v>
      </c>
      <c r="O122" s="89">
        <v>32.7</v>
      </c>
    </row>
    <row r="123" spans="1:15" s="29" customFormat="1" ht="15.75">
      <c r="A123" s="21" t="s">
        <v>82</v>
      </c>
      <c r="B123" s="53" t="s">
        <v>0</v>
      </c>
      <c r="C123" s="53" t="s">
        <v>0</v>
      </c>
      <c r="D123" s="53" t="s">
        <v>0</v>
      </c>
      <c r="E123" s="53" t="s">
        <v>0</v>
      </c>
      <c r="F123" s="53">
        <v>5.7</v>
      </c>
      <c r="G123" s="53">
        <v>6</v>
      </c>
      <c r="H123" s="53">
        <v>7</v>
      </c>
      <c r="I123" s="53">
        <v>7</v>
      </c>
      <c r="J123" s="55">
        <v>7</v>
      </c>
      <c r="K123" s="55">
        <v>7</v>
      </c>
      <c r="L123" s="55">
        <v>8</v>
      </c>
      <c r="M123" s="55">
        <v>7.8</v>
      </c>
      <c r="N123" s="55">
        <v>7.5</v>
      </c>
      <c r="O123" s="89">
        <v>7</v>
      </c>
    </row>
    <row r="124" spans="1:15" s="29" customFormat="1" ht="15.75">
      <c r="A124" s="14" t="s">
        <v>49</v>
      </c>
      <c r="B124" s="54">
        <v>208</v>
      </c>
      <c r="C124" s="54">
        <v>271</v>
      </c>
      <c r="D124" s="54">
        <v>431</v>
      </c>
      <c r="E124" s="54">
        <v>651.03</v>
      </c>
      <c r="F124" s="54">
        <v>678.226</v>
      </c>
      <c r="G124" s="54">
        <v>678.286</v>
      </c>
      <c r="H124" s="54">
        <v>692.714</v>
      </c>
      <c r="I124" s="54">
        <v>716.952</v>
      </c>
      <c r="J124" s="54">
        <v>739.621</v>
      </c>
      <c r="K124" s="55">
        <v>763.369</v>
      </c>
      <c r="L124" s="55">
        <v>786.025</v>
      </c>
      <c r="M124" s="55">
        <v>744.663</v>
      </c>
      <c r="N124" s="55">
        <v>724.535</v>
      </c>
      <c r="O124" s="89">
        <v>749.379</v>
      </c>
    </row>
    <row r="125" spans="1:15" s="29" customFormat="1" ht="13.5">
      <c r="A125" s="23" t="s">
        <v>11</v>
      </c>
      <c r="B125" s="53" t="s">
        <v>0</v>
      </c>
      <c r="C125" s="54" t="s">
        <v>0</v>
      </c>
      <c r="D125" s="54" t="s">
        <v>0</v>
      </c>
      <c r="E125" s="54">
        <v>563.151</v>
      </c>
      <c r="F125" s="54">
        <v>565.064</v>
      </c>
      <c r="G125" s="54">
        <v>563.767</v>
      </c>
      <c r="H125" s="54">
        <v>577.68</v>
      </c>
      <c r="I125" s="54">
        <v>597.636</v>
      </c>
      <c r="J125" s="54">
        <v>606.631</v>
      </c>
      <c r="K125" s="55">
        <v>618.204</v>
      </c>
      <c r="L125" s="55">
        <v>635.16</v>
      </c>
      <c r="M125" s="55">
        <v>587.184</v>
      </c>
      <c r="N125" s="55">
        <v>558.99</v>
      </c>
      <c r="O125" s="89">
        <v>535.963</v>
      </c>
    </row>
    <row r="126" spans="1:15" s="29" customFormat="1" ht="13.5">
      <c r="A126" s="23" t="s">
        <v>8</v>
      </c>
      <c r="B126" s="53" t="s">
        <v>7</v>
      </c>
      <c r="C126" s="54" t="s">
        <v>7</v>
      </c>
      <c r="D126" s="54" t="s">
        <v>7</v>
      </c>
      <c r="E126" s="54" t="s">
        <v>7</v>
      </c>
      <c r="F126" s="54" t="s">
        <v>7</v>
      </c>
      <c r="G126" s="54" t="s">
        <v>7</v>
      </c>
      <c r="H126" s="54" t="s">
        <v>7</v>
      </c>
      <c r="I126" s="54" t="s">
        <v>7</v>
      </c>
      <c r="J126" s="55" t="s">
        <v>7</v>
      </c>
      <c r="K126" s="55" t="s">
        <v>7</v>
      </c>
      <c r="L126" s="55" t="s">
        <v>7</v>
      </c>
      <c r="M126" s="55" t="s">
        <v>7</v>
      </c>
      <c r="N126" s="55" t="s">
        <v>7</v>
      </c>
      <c r="O126" s="55" t="s">
        <v>7</v>
      </c>
    </row>
    <row r="127" spans="1:15" s="29" customFormat="1" ht="13.5">
      <c r="A127" s="23" t="s">
        <v>9</v>
      </c>
      <c r="B127" s="53" t="s">
        <v>7</v>
      </c>
      <c r="C127" s="54" t="s">
        <v>7</v>
      </c>
      <c r="D127" s="54" t="s">
        <v>7</v>
      </c>
      <c r="E127" s="54" t="s">
        <v>7</v>
      </c>
      <c r="F127" s="54" t="s">
        <v>7</v>
      </c>
      <c r="G127" s="54" t="s">
        <v>7</v>
      </c>
      <c r="H127" s="54" t="s">
        <v>7</v>
      </c>
      <c r="I127" s="54" t="s">
        <v>7</v>
      </c>
      <c r="J127" s="55" t="s">
        <v>7</v>
      </c>
      <c r="K127" s="55" t="s">
        <v>7</v>
      </c>
      <c r="L127" s="55" t="s">
        <v>7</v>
      </c>
      <c r="M127" s="55" t="s">
        <v>7</v>
      </c>
      <c r="N127" s="55" t="s">
        <v>7</v>
      </c>
      <c r="O127" s="55" t="s">
        <v>7</v>
      </c>
    </row>
    <row r="128" spans="1:15" s="29" customFormat="1" ht="13.5">
      <c r="A128" s="23" t="s">
        <v>12</v>
      </c>
      <c r="B128" s="53" t="s">
        <v>7</v>
      </c>
      <c r="C128" s="54" t="s">
        <v>7</v>
      </c>
      <c r="D128" s="54" t="s">
        <v>7</v>
      </c>
      <c r="E128" s="54" t="s">
        <v>7</v>
      </c>
      <c r="F128" s="54" t="s">
        <v>7</v>
      </c>
      <c r="G128" s="54" t="s">
        <v>7</v>
      </c>
      <c r="H128" s="54" t="s">
        <v>7</v>
      </c>
      <c r="I128" s="54" t="s">
        <v>7</v>
      </c>
      <c r="J128" s="55" t="s">
        <v>7</v>
      </c>
      <c r="K128" s="55" t="s">
        <v>7</v>
      </c>
      <c r="L128" s="55" t="s">
        <v>7</v>
      </c>
      <c r="M128" s="55" t="s">
        <v>7</v>
      </c>
      <c r="N128" s="55" t="s">
        <v>7</v>
      </c>
      <c r="O128" s="55" t="s">
        <v>7</v>
      </c>
    </row>
    <row r="129" spans="1:15" s="29" customFormat="1" ht="13.5">
      <c r="A129" s="23" t="s">
        <v>18</v>
      </c>
      <c r="B129" s="53" t="s">
        <v>0</v>
      </c>
      <c r="C129" s="54" t="s">
        <v>0</v>
      </c>
      <c r="D129" s="54" t="s">
        <v>0</v>
      </c>
      <c r="E129" s="54">
        <v>15.497</v>
      </c>
      <c r="F129" s="54">
        <v>29.949</v>
      </c>
      <c r="G129" s="54">
        <v>28.958</v>
      </c>
      <c r="H129" s="54">
        <v>30.923</v>
      </c>
      <c r="I129" s="54">
        <v>32.02</v>
      </c>
      <c r="J129" s="54">
        <v>38.275</v>
      </c>
      <c r="K129" s="55">
        <v>43.202</v>
      </c>
      <c r="L129" s="55">
        <v>48.088</v>
      </c>
      <c r="M129" s="55">
        <v>54.898</v>
      </c>
      <c r="N129" s="55">
        <v>61.569</v>
      </c>
      <c r="O129" s="89">
        <v>108.898</v>
      </c>
    </row>
    <row r="130" spans="1:15" s="29" customFormat="1" ht="15.75">
      <c r="A130" s="21" t="s">
        <v>32</v>
      </c>
      <c r="B130" s="53" t="s">
        <v>0</v>
      </c>
      <c r="C130" s="54" t="s">
        <v>0</v>
      </c>
      <c r="D130" s="54" t="s">
        <v>0</v>
      </c>
      <c r="E130" s="54">
        <v>19.627</v>
      </c>
      <c r="F130" s="54">
        <v>21.146</v>
      </c>
      <c r="G130" s="54">
        <v>22.307</v>
      </c>
      <c r="H130" s="54">
        <v>21.991</v>
      </c>
      <c r="I130" s="54">
        <v>23.881</v>
      </c>
      <c r="J130" s="54">
        <v>25.269</v>
      </c>
      <c r="K130" s="55">
        <v>28.721</v>
      </c>
      <c r="L130" s="55">
        <v>31.78</v>
      </c>
      <c r="M130" s="55">
        <v>30.266</v>
      </c>
      <c r="N130" s="55">
        <v>30.993</v>
      </c>
      <c r="O130" s="89">
        <v>32.071</v>
      </c>
    </row>
    <row r="131" spans="1:15" s="29" customFormat="1" ht="13.5">
      <c r="A131" s="23" t="s">
        <v>10</v>
      </c>
      <c r="B131" s="53" t="s">
        <v>0</v>
      </c>
      <c r="C131" s="54" t="s">
        <v>0</v>
      </c>
      <c r="D131" s="54" t="s">
        <v>0</v>
      </c>
      <c r="E131" s="54">
        <v>52.681</v>
      </c>
      <c r="F131" s="54">
        <v>61.9</v>
      </c>
      <c r="G131" s="54">
        <v>63.064</v>
      </c>
      <c r="H131" s="54">
        <v>61.888</v>
      </c>
      <c r="I131" s="54">
        <v>63.195</v>
      </c>
      <c r="J131" s="54">
        <v>69.2</v>
      </c>
      <c r="K131" s="55">
        <v>73.005</v>
      </c>
      <c r="L131" s="55">
        <v>70.818</v>
      </c>
      <c r="M131" s="55">
        <v>72.204</v>
      </c>
      <c r="N131" s="55">
        <v>72.847</v>
      </c>
      <c r="O131" s="89">
        <v>72.264</v>
      </c>
    </row>
    <row r="132" spans="1:15" s="29" customFormat="1" ht="15.75">
      <c r="A132" s="21" t="s">
        <v>31</v>
      </c>
      <c r="B132" s="53" t="s">
        <v>0</v>
      </c>
      <c r="C132" s="53" t="s">
        <v>0</v>
      </c>
      <c r="D132" s="53" t="s">
        <v>0</v>
      </c>
      <c r="E132" s="55" t="s">
        <v>6</v>
      </c>
      <c r="F132" s="53" t="s">
        <v>6</v>
      </c>
      <c r="G132" s="53" t="s">
        <v>6</v>
      </c>
      <c r="H132" s="53" t="s">
        <v>6</v>
      </c>
      <c r="I132" s="53" t="s">
        <v>6</v>
      </c>
      <c r="J132" s="55" t="s">
        <v>6</v>
      </c>
      <c r="K132" s="55" t="s">
        <v>6</v>
      </c>
      <c r="L132" s="55" t="s">
        <v>6</v>
      </c>
      <c r="M132" s="55" t="s">
        <v>6</v>
      </c>
      <c r="N132" s="55" t="s">
        <v>6</v>
      </c>
      <c r="O132" s="55" t="s">
        <v>6</v>
      </c>
    </row>
    <row r="133" spans="1:15" s="29" customFormat="1" ht="15.75">
      <c r="A133" s="14" t="s">
        <v>50</v>
      </c>
      <c r="B133" s="54">
        <v>192</v>
      </c>
      <c r="C133" s="54">
        <v>69</v>
      </c>
      <c r="D133" s="54">
        <v>11</v>
      </c>
      <c r="E133" s="54">
        <v>34</v>
      </c>
      <c r="F133" s="54">
        <v>64.838</v>
      </c>
      <c r="G133" s="54">
        <v>71.47</v>
      </c>
      <c r="H133" s="54">
        <v>76.305</v>
      </c>
      <c r="I133" s="54">
        <v>83.369</v>
      </c>
      <c r="J133" s="54">
        <v>89.883</v>
      </c>
      <c r="K133" s="55">
        <v>93.092</v>
      </c>
      <c r="L133" s="55">
        <v>103.078</v>
      </c>
      <c r="M133" s="55">
        <v>112.088</v>
      </c>
      <c r="N133" s="55">
        <v>132.201</v>
      </c>
      <c r="O133" s="89">
        <v>147.121</v>
      </c>
    </row>
    <row r="134" spans="1:15" s="29" customFormat="1" ht="15.75">
      <c r="A134" s="16" t="s">
        <v>83</v>
      </c>
      <c r="B134" s="54">
        <v>192</v>
      </c>
      <c r="C134" s="54">
        <v>68</v>
      </c>
      <c r="D134" s="54">
        <v>11</v>
      </c>
      <c r="E134" s="54">
        <v>33</v>
      </c>
      <c r="F134" s="54">
        <f aca="true" t="shared" si="14" ref="F134:O134">F133-F135</f>
        <v>60.00299999999999</v>
      </c>
      <c r="G134" s="54">
        <f t="shared" si="14"/>
        <v>60.73</v>
      </c>
      <c r="H134" s="54">
        <f t="shared" si="14"/>
        <v>61.21300000000001</v>
      </c>
      <c r="I134" s="54">
        <f t="shared" si="14"/>
        <v>59.463</v>
      </c>
      <c r="J134" s="54">
        <f t="shared" si="14"/>
        <v>52.614999999999995</v>
      </c>
      <c r="K134" s="54">
        <f t="shared" si="14"/>
        <v>48.693999999999996</v>
      </c>
      <c r="L134" s="54">
        <f t="shared" si="14"/>
        <v>48.284000000000006</v>
      </c>
      <c r="M134" s="54">
        <f t="shared" si="14"/>
        <v>45.87299999999999</v>
      </c>
      <c r="N134" s="54">
        <f t="shared" si="14"/>
        <v>51.14999999999999</v>
      </c>
      <c r="O134" s="54">
        <f t="shared" si="14"/>
        <v>47.04700000000001</v>
      </c>
    </row>
    <row r="135" spans="1:15" s="29" customFormat="1" ht="13.5">
      <c r="A135" s="10" t="s">
        <v>15</v>
      </c>
      <c r="B135" s="54" t="s">
        <v>5</v>
      </c>
      <c r="C135" s="54" t="s">
        <v>5</v>
      </c>
      <c r="D135" s="54" t="s">
        <v>5</v>
      </c>
      <c r="E135" s="54" t="s">
        <v>5</v>
      </c>
      <c r="F135" s="54">
        <v>4.835</v>
      </c>
      <c r="G135" s="54">
        <v>10.74</v>
      </c>
      <c r="H135" s="54">
        <v>15.092</v>
      </c>
      <c r="I135" s="54">
        <v>23.906</v>
      </c>
      <c r="J135" s="54">
        <v>37.268</v>
      </c>
      <c r="K135" s="55">
        <v>44.398</v>
      </c>
      <c r="L135" s="55">
        <v>54.794</v>
      </c>
      <c r="M135" s="55">
        <v>66.215</v>
      </c>
      <c r="N135" s="55">
        <v>81.051</v>
      </c>
      <c r="O135" s="89">
        <v>100.074</v>
      </c>
    </row>
    <row r="136" spans="1:15" s="29" customFormat="1" ht="15.75">
      <c r="A136" s="14" t="s">
        <v>51</v>
      </c>
      <c r="B136" s="62">
        <v>2908</v>
      </c>
      <c r="C136" s="62">
        <v>2561</v>
      </c>
      <c r="D136" s="62">
        <v>2446</v>
      </c>
      <c r="E136" s="2">
        <v>4837</v>
      </c>
      <c r="F136" s="2">
        <v>5081</v>
      </c>
      <c r="G136" s="2">
        <v>5068</v>
      </c>
      <c r="H136" s="2">
        <v>5007</v>
      </c>
      <c r="I136" s="62">
        <v>4988</v>
      </c>
      <c r="J136" s="62">
        <v>5073</v>
      </c>
      <c r="K136" s="7">
        <v>5237</v>
      </c>
      <c r="L136" s="7">
        <v>5510</v>
      </c>
      <c r="M136" s="7">
        <v>5610</v>
      </c>
      <c r="N136" s="7">
        <v>5649</v>
      </c>
      <c r="O136" s="63">
        <v>5643</v>
      </c>
    </row>
    <row r="137" spans="1:15" s="29" customFormat="1" ht="13.5">
      <c r="A137" s="23" t="s">
        <v>11</v>
      </c>
      <c r="B137" s="2" t="s">
        <v>7</v>
      </c>
      <c r="C137" s="2" t="s">
        <v>7</v>
      </c>
      <c r="D137" s="2" t="s">
        <v>7</v>
      </c>
      <c r="E137" s="2" t="s">
        <v>7</v>
      </c>
      <c r="F137" s="2" t="s">
        <v>7</v>
      </c>
      <c r="G137" s="2" t="s">
        <v>7</v>
      </c>
      <c r="H137" s="2" t="s">
        <v>7</v>
      </c>
      <c r="I137" s="2" t="s">
        <v>7</v>
      </c>
      <c r="J137" s="2" t="s">
        <v>7</v>
      </c>
      <c r="K137" s="2" t="s">
        <v>7</v>
      </c>
      <c r="L137" s="2" t="s">
        <v>7</v>
      </c>
      <c r="M137" s="2" t="s">
        <v>7</v>
      </c>
      <c r="N137" s="2" t="s">
        <v>7</v>
      </c>
      <c r="O137" s="2" t="s">
        <v>7</v>
      </c>
    </row>
    <row r="138" spans="1:15" s="29" customFormat="1" ht="13.5">
      <c r="A138" s="23" t="s">
        <v>8</v>
      </c>
      <c r="B138" s="2" t="s">
        <v>0</v>
      </c>
      <c r="C138" s="2" t="s">
        <v>0</v>
      </c>
      <c r="D138" s="2" t="s">
        <v>0</v>
      </c>
      <c r="E138" s="2">
        <v>3284</v>
      </c>
      <c r="F138" s="2">
        <v>3431</v>
      </c>
      <c r="G138" s="2">
        <v>3401</v>
      </c>
      <c r="H138" s="2">
        <v>3332</v>
      </c>
      <c r="I138" s="62">
        <v>3253</v>
      </c>
      <c r="J138" s="7">
        <v>3280</v>
      </c>
      <c r="K138" s="7">
        <v>3385</v>
      </c>
      <c r="L138" s="7">
        <v>3549</v>
      </c>
      <c r="M138" s="7">
        <v>3646</v>
      </c>
      <c r="N138" s="7">
        <v>3683</v>
      </c>
      <c r="O138" s="63">
        <v>3632</v>
      </c>
    </row>
    <row r="139" spans="1:15" s="29" customFormat="1" ht="13.5">
      <c r="A139" s="23" t="s">
        <v>9</v>
      </c>
      <c r="B139" s="2" t="s">
        <v>0</v>
      </c>
      <c r="C139" s="2" t="s">
        <v>0</v>
      </c>
      <c r="D139" s="2" t="s">
        <v>0</v>
      </c>
      <c r="E139" s="2">
        <v>239</v>
      </c>
      <c r="F139" s="2">
        <v>282</v>
      </c>
      <c r="G139" s="2">
        <v>288</v>
      </c>
      <c r="H139" s="2">
        <v>321</v>
      </c>
      <c r="I139" s="62">
        <v>361</v>
      </c>
      <c r="J139" s="62">
        <v>381</v>
      </c>
      <c r="K139" s="7">
        <v>416</v>
      </c>
      <c r="L139" s="7">
        <v>463</v>
      </c>
      <c r="M139" s="7">
        <v>487</v>
      </c>
      <c r="N139" s="7">
        <v>510</v>
      </c>
      <c r="O139" s="63">
        <v>507</v>
      </c>
    </row>
    <row r="140" spans="1:15" s="29" customFormat="1" ht="13.5">
      <c r="A140" s="23" t="s">
        <v>12</v>
      </c>
      <c r="B140" s="2" t="s">
        <v>0</v>
      </c>
      <c r="C140" s="2" t="s">
        <v>0</v>
      </c>
      <c r="D140" s="2" t="s">
        <v>0</v>
      </c>
      <c r="E140" s="2">
        <v>69</v>
      </c>
      <c r="F140" s="2">
        <v>103</v>
      </c>
      <c r="G140" s="2">
        <v>100</v>
      </c>
      <c r="H140" s="2">
        <v>69</v>
      </c>
      <c r="I140" s="62">
        <v>78</v>
      </c>
      <c r="J140" s="7">
        <v>74</v>
      </c>
      <c r="K140" s="7">
        <v>75</v>
      </c>
      <c r="L140" s="7">
        <v>77</v>
      </c>
      <c r="M140" s="7">
        <v>74</v>
      </c>
      <c r="N140" s="7">
        <v>73</v>
      </c>
      <c r="O140" s="63">
        <v>69</v>
      </c>
    </row>
    <row r="141" spans="1:15" s="29" customFormat="1" ht="13.5">
      <c r="A141" s="23" t="s">
        <v>18</v>
      </c>
      <c r="B141" s="2" t="s">
        <v>7</v>
      </c>
      <c r="C141" s="2" t="s">
        <v>7</v>
      </c>
      <c r="D141" s="2" t="s">
        <v>7</v>
      </c>
      <c r="E141" s="2" t="s">
        <v>7</v>
      </c>
      <c r="F141" s="2" t="s">
        <v>7</v>
      </c>
      <c r="G141" s="2" t="s">
        <v>7</v>
      </c>
      <c r="H141" s="2" t="s">
        <v>7</v>
      </c>
      <c r="I141" s="2" t="s">
        <v>7</v>
      </c>
      <c r="J141" s="7" t="s">
        <v>7</v>
      </c>
      <c r="K141" s="7" t="s">
        <v>7</v>
      </c>
      <c r="L141" s="7" t="s">
        <v>7</v>
      </c>
      <c r="M141" s="7" t="s">
        <v>7</v>
      </c>
      <c r="N141" s="7" t="s">
        <v>7</v>
      </c>
      <c r="O141" s="7" t="s">
        <v>7</v>
      </c>
    </row>
    <row r="142" spans="1:15" s="29" customFormat="1" ht="15.75">
      <c r="A142" s="21" t="s">
        <v>32</v>
      </c>
      <c r="B142" s="2" t="s">
        <v>7</v>
      </c>
      <c r="C142" s="2" t="s">
        <v>7</v>
      </c>
      <c r="D142" s="2" t="s">
        <v>7</v>
      </c>
      <c r="E142" s="2" t="s">
        <v>7</v>
      </c>
      <c r="F142" s="2" t="s">
        <v>7</v>
      </c>
      <c r="G142" s="2" t="s">
        <v>7</v>
      </c>
      <c r="H142" s="2" t="s">
        <v>7</v>
      </c>
      <c r="I142" s="2" t="s">
        <v>7</v>
      </c>
      <c r="J142" s="7" t="s">
        <v>7</v>
      </c>
      <c r="K142" s="7" t="s">
        <v>7</v>
      </c>
      <c r="L142" s="7" t="s">
        <v>7</v>
      </c>
      <c r="M142" s="7" t="s">
        <v>7</v>
      </c>
      <c r="N142" s="7" t="s">
        <v>7</v>
      </c>
      <c r="O142" s="7" t="s">
        <v>7</v>
      </c>
    </row>
    <row r="143" spans="1:15" s="29" customFormat="1" ht="13.5">
      <c r="A143" s="23" t="s">
        <v>10</v>
      </c>
      <c r="B143" s="2" t="s">
        <v>0</v>
      </c>
      <c r="C143" s="2" t="s">
        <v>0</v>
      </c>
      <c r="D143" s="2" t="s">
        <v>0</v>
      </c>
      <c r="E143" s="2">
        <v>1226</v>
      </c>
      <c r="F143" s="2">
        <v>1244</v>
      </c>
      <c r="G143" s="2">
        <v>1253</v>
      </c>
      <c r="H143" s="2">
        <v>1255</v>
      </c>
      <c r="I143" s="62">
        <v>1270</v>
      </c>
      <c r="J143" s="62">
        <v>1299</v>
      </c>
      <c r="K143" s="7">
        <v>1322</v>
      </c>
      <c r="L143" s="7">
        <v>1370</v>
      </c>
      <c r="M143" s="7">
        <v>1354</v>
      </c>
      <c r="N143" s="7">
        <v>1334</v>
      </c>
      <c r="O143" s="63">
        <v>1383</v>
      </c>
    </row>
    <row r="144" spans="1:15" s="29" customFormat="1" ht="15.75">
      <c r="A144" s="21" t="s">
        <v>31</v>
      </c>
      <c r="B144" s="2" t="s">
        <v>0</v>
      </c>
      <c r="C144" s="2" t="s">
        <v>0</v>
      </c>
      <c r="D144" s="2" t="s">
        <v>0</v>
      </c>
      <c r="E144" s="2">
        <v>19</v>
      </c>
      <c r="F144" s="2">
        <v>21</v>
      </c>
      <c r="G144" s="2">
        <v>26</v>
      </c>
      <c r="H144" s="2">
        <v>30</v>
      </c>
      <c r="I144" s="62">
        <v>26</v>
      </c>
      <c r="J144" s="62">
        <v>39</v>
      </c>
      <c r="K144" s="7">
        <v>39</v>
      </c>
      <c r="L144" s="7">
        <v>51</v>
      </c>
      <c r="M144" s="7">
        <v>49</v>
      </c>
      <c r="N144" s="7">
        <v>49</v>
      </c>
      <c r="O144" s="88">
        <v>51</v>
      </c>
    </row>
    <row r="145" spans="1:15" s="29" customFormat="1" ht="13.5">
      <c r="A145" s="19" t="s">
        <v>60</v>
      </c>
      <c r="B145" s="8"/>
      <c r="C145" s="3"/>
      <c r="D145" s="3"/>
      <c r="E145" s="3"/>
      <c r="F145" s="3"/>
      <c r="G145" s="3"/>
      <c r="H145" s="3"/>
      <c r="I145" s="3"/>
      <c r="J145" s="5"/>
      <c r="K145" s="4"/>
      <c r="L145" s="36"/>
      <c r="M145" s="36"/>
      <c r="N145" s="36"/>
      <c r="O145" s="4"/>
    </row>
    <row r="146" spans="1:15" s="29" customFormat="1" ht="15.75">
      <c r="A146" s="25" t="s">
        <v>61</v>
      </c>
      <c r="B146" s="1" t="s">
        <v>0</v>
      </c>
      <c r="C146" s="1" t="s">
        <v>0</v>
      </c>
      <c r="D146" s="1" t="s">
        <v>0</v>
      </c>
      <c r="E146" s="6">
        <v>339</v>
      </c>
      <c r="F146" s="6">
        <v>320</v>
      </c>
      <c r="G146" s="6">
        <v>274</v>
      </c>
      <c r="H146" s="6">
        <v>264</v>
      </c>
      <c r="I146" s="6">
        <v>275</v>
      </c>
      <c r="J146" s="7">
        <v>286</v>
      </c>
      <c r="K146" s="7">
        <v>299</v>
      </c>
      <c r="L146" s="7">
        <v>295</v>
      </c>
      <c r="M146" s="7">
        <v>267</v>
      </c>
      <c r="N146" s="86">
        <v>280</v>
      </c>
      <c r="O146" s="90">
        <v>234</v>
      </c>
    </row>
    <row r="147" spans="1:15" s="29" customFormat="1" ht="15.75">
      <c r="A147" s="23" t="s">
        <v>98</v>
      </c>
      <c r="B147" s="1" t="s">
        <v>0</v>
      </c>
      <c r="C147" s="1" t="s">
        <v>0</v>
      </c>
      <c r="D147" s="1" t="s">
        <v>0</v>
      </c>
      <c r="E147" s="6"/>
      <c r="F147" s="6"/>
      <c r="G147" s="6"/>
      <c r="H147" s="6"/>
      <c r="I147" s="6"/>
      <c r="J147" s="7"/>
      <c r="K147" s="7"/>
      <c r="L147" s="27">
        <v>12</v>
      </c>
      <c r="M147" s="27">
        <v>1</v>
      </c>
      <c r="N147" s="27">
        <v>1</v>
      </c>
      <c r="O147" s="27">
        <v>4</v>
      </c>
    </row>
    <row r="148" spans="1:16" s="29" customFormat="1" ht="13.5">
      <c r="A148" s="23" t="s">
        <v>93</v>
      </c>
      <c r="B148" s="1" t="s">
        <v>0</v>
      </c>
      <c r="C148" s="1" t="s">
        <v>0</v>
      </c>
      <c r="D148" s="1" t="s">
        <v>0</v>
      </c>
      <c r="E148" s="6"/>
      <c r="F148" s="6"/>
      <c r="G148" s="6"/>
      <c r="H148" s="6"/>
      <c r="I148" s="6"/>
      <c r="J148" s="7"/>
      <c r="K148" s="7"/>
      <c r="L148" s="7">
        <f>L146-L147</f>
        <v>283</v>
      </c>
      <c r="M148" s="7">
        <f>M146-M147</f>
        <v>266</v>
      </c>
      <c r="N148" s="7">
        <f>N146-N147</f>
        <v>279</v>
      </c>
      <c r="O148" s="7">
        <f>O146-O147</f>
        <v>230</v>
      </c>
      <c r="P148" s="7"/>
    </row>
    <row r="149" spans="1:15" s="29" customFormat="1" ht="15.75">
      <c r="A149" s="26" t="s">
        <v>96</v>
      </c>
      <c r="B149" s="1" t="s">
        <v>0</v>
      </c>
      <c r="C149" s="1" t="s">
        <v>0</v>
      </c>
      <c r="D149" s="1" t="s">
        <v>0</v>
      </c>
      <c r="E149" s="6">
        <v>54556</v>
      </c>
      <c r="F149" s="6">
        <v>58193</v>
      </c>
      <c r="G149" s="6">
        <v>57196</v>
      </c>
      <c r="H149" s="6">
        <v>55288</v>
      </c>
      <c r="I149" s="6">
        <v>56132</v>
      </c>
      <c r="J149" s="7">
        <v>55990</v>
      </c>
      <c r="K149" s="7">
        <v>55325</v>
      </c>
      <c r="L149" s="7">
        <v>56697</v>
      </c>
      <c r="M149" s="7">
        <v>53945</v>
      </c>
      <c r="N149" s="86">
        <v>19260</v>
      </c>
      <c r="O149" s="7">
        <v>18235</v>
      </c>
    </row>
    <row r="150" spans="1:15" s="29" customFormat="1" ht="15.75">
      <c r="A150" s="23" t="s">
        <v>99</v>
      </c>
      <c r="B150" s="1" t="s">
        <v>0</v>
      </c>
      <c r="C150" s="1" t="s">
        <v>0</v>
      </c>
      <c r="D150" s="1" t="s">
        <v>0</v>
      </c>
      <c r="E150" s="6"/>
      <c r="F150" s="6"/>
      <c r="G150" s="6"/>
      <c r="H150" s="6"/>
      <c r="I150" s="6"/>
      <c r="J150" s="7"/>
      <c r="K150" s="7"/>
      <c r="L150" s="7">
        <v>111</v>
      </c>
      <c r="M150" s="7">
        <v>54</v>
      </c>
      <c r="N150" s="7">
        <v>76</v>
      </c>
      <c r="O150" s="90">
        <v>68</v>
      </c>
    </row>
    <row r="151" spans="1:15" s="29" customFormat="1" ht="13.5">
      <c r="A151" s="23" t="s">
        <v>94</v>
      </c>
      <c r="B151" s="1" t="s">
        <v>0</v>
      </c>
      <c r="C151" s="1" t="s">
        <v>0</v>
      </c>
      <c r="D151" s="1" t="s">
        <v>0</v>
      </c>
      <c r="E151" s="6"/>
      <c r="F151" s="6"/>
      <c r="G151" s="6"/>
      <c r="H151" s="6"/>
      <c r="I151" s="6"/>
      <c r="J151" s="7"/>
      <c r="K151" s="7"/>
      <c r="L151" s="7">
        <f>L149-L150</f>
        <v>56586</v>
      </c>
      <c r="M151" s="7">
        <f>M149-M150</f>
        <v>53891</v>
      </c>
      <c r="N151" s="7">
        <f>N149-N150</f>
        <v>19184</v>
      </c>
      <c r="O151" s="7">
        <f>O149-O150</f>
        <v>18167</v>
      </c>
    </row>
    <row r="152" spans="1:15" s="29" customFormat="1" ht="15.75">
      <c r="A152" s="26" t="s">
        <v>62</v>
      </c>
      <c r="B152" s="1" t="s">
        <v>0</v>
      </c>
      <c r="C152" s="1" t="s">
        <v>0</v>
      </c>
      <c r="D152" s="1" t="s">
        <v>0</v>
      </c>
      <c r="E152" s="6">
        <v>90163</v>
      </c>
      <c r="F152" s="6">
        <v>70693</v>
      </c>
      <c r="G152" s="6">
        <v>62471</v>
      </c>
      <c r="H152" s="6">
        <v>59392</v>
      </c>
      <c r="I152" s="6">
        <v>61561</v>
      </c>
      <c r="J152" s="7">
        <v>60094</v>
      </c>
      <c r="K152" s="7">
        <v>58703</v>
      </c>
      <c r="L152" s="7">
        <v>59898</v>
      </c>
      <c r="M152" s="7">
        <v>58149</v>
      </c>
      <c r="N152" s="7">
        <v>30331</v>
      </c>
      <c r="O152" s="7">
        <v>19797</v>
      </c>
    </row>
    <row r="153" spans="1:15" s="29" customFormat="1" ht="15.75">
      <c r="A153" s="23" t="s">
        <v>100</v>
      </c>
      <c r="B153" s="1" t="s">
        <v>0</v>
      </c>
      <c r="C153" s="1" t="s">
        <v>0</v>
      </c>
      <c r="D153" s="1" t="s">
        <v>0</v>
      </c>
      <c r="E153" s="6"/>
      <c r="F153" s="6"/>
      <c r="G153" s="6"/>
      <c r="H153" s="6"/>
      <c r="I153" s="6"/>
      <c r="J153" s="7"/>
      <c r="K153" s="7"/>
      <c r="L153" s="7">
        <v>106</v>
      </c>
      <c r="M153" s="7">
        <v>54</v>
      </c>
      <c r="N153" s="7">
        <v>112</v>
      </c>
      <c r="O153" s="7">
        <v>66</v>
      </c>
    </row>
    <row r="154" spans="1:15" s="29" customFormat="1" ht="13.5">
      <c r="A154" s="23" t="s">
        <v>95</v>
      </c>
      <c r="B154" s="1" t="s">
        <v>0</v>
      </c>
      <c r="C154" s="1" t="s">
        <v>0</v>
      </c>
      <c r="D154" s="1" t="s">
        <v>0</v>
      </c>
      <c r="E154" s="6"/>
      <c r="F154" s="6"/>
      <c r="G154" s="6"/>
      <c r="H154" s="6"/>
      <c r="I154" s="6"/>
      <c r="J154" s="7"/>
      <c r="K154" s="7"/>
      <c r="L154" s="7">
        <f>L152-L153</f>
        <v>59792</v>
      </c>
      <c r="M154" s="7">
        <f>M152-M153</f>
        <v>58095</v>
      </c>
      <c r="N154" s="7">
        <f>N152-N153</f>
        <v>30219</v>
      </c>
      <c r="O154" s="7">
        <f>O152-O153</f>
        <v>19731</v>
      </c>
    </row>
    <row r="155" spans="1:15" s="29" customFormat="1" ht="16.5" thickBot="1">
      <c r="A155" s="91" t="s">
        <v>84</v>
      </c>
      <c r="B155" s="2" t="s">
        <v>0</v>
      </c>
      <c r="C155" s="1" t="s">
        <v>0</v>
      </c>
      <c r="D155" s="1" t="s">
        <v>0</v>
      </c>
      <c r="E155" s="1" t="s">
        <v>0</v>
      </c>
      <c r="F155" s="1" t="s">
        <v>0</v>
      </c>
      <c r="G155" s="1" t="s">
        <v>0</v>
      </c>
      <c r="H155" s="1" t="s">
        <v>0</v>
      </c>
      <c r="I155" s="1" t="s">
        <v>0</v>
      </c>
      <c r="J155" s="1" t="s">
        <v>0</v>
      </c>
      <c r="K155" s="1" t="s">
        <v>0</v>
      </c>
      <c r="L155" s="1" t="s">
        <v>0</v>
      </c>
      <c r="M155" s="1" t="s">
        <v>0</v>
      </c>
      <c r="N155" s="86">
        <v>2282</v>
      </c>
      <c r="O155" s="92">
        <v>1913</v>
      </c>
    </row>
    <row r="156" spans="1:15" s="29" customFormat="1" ht="30.75" customHeight="1">
      <c r="A156" s="71" t="s">
        <v>55</v>
      </c>
      <c r="B156" s="72"/>
      <c r="C156" s="72"/>
      <c r="D156" s="72"/>
      <c r="E156" s="72"/>
      <c r="F156" s="44"/>
      <c r="G156" s="44"/>
      <c r="H156" s="44"/>
      <c r="I156" s="44"/>
      <c r="J156" s="45"/>
      <c r="K156" s="45"/>
      <c r="L156" s="45"/>
      <c r="M156" s="45"/>
      <c r="N156" s="45"/>
      <c r="O156" s="27"/>
    </row>
    <row r="157" spans="1:15" s="29" customFormat="1" ht="10.5" customHeight="1">
      <c r="A157" s="73"/>
      <c r="B157" s="74"/>
      <c r="C157" s="74"/>
      <c r="D157" s="74"/>
      <c r="E157" s="74"/>
      <c r="F157" s="37"/>
      <c r="G157" s="37"/>
      <c r="H157" s="37"/>
      <c r="I157" s="37"/>
      <c r="O157" s="27"/>
    </row>
    <row r="158" spans="1:15" s="32" customFormat="1" ht="16.5" customHeight="1">
      <c r="A158" s="68" t="s">
        <v>56</v>
      </c>
      <c r="B158" s="69"/>
      <c r="C158" s="69"/>
      <c r="D158" s="69"/>
      <c r="E158" s="69"/>
      <c r="F158" s="46"/>
      <c r="G158" s="46"/>
      <c r="H158" s="46"/>
      <c r="I158" s="46"/>
      <c r="J158" s="46"/>
      <c r="O158" s="49"/>
    </row>
    <row r="159" spans="1:15" s="32" customFormat="1" ht="16.5" customHeight="1">
      <c r="A159" s="68" t="s">
        <v>57</v>
      </c>
      <c r="B159" s="69"/>
      <c r="C159" s="69"/>
      <c r="D159" s="69"/>
      <c r="E159" s="69"/>
      <c r="F159" s="46"/>
      <c r="G159" s="46"/>
      <c r="H159" s="46"/>
      <c r="I159" s="46"/>
      <c r="J159" s="46"/>
      <c r="O159" s="49"/>
    </row>
    <row r="160" spans="1:15" s="32" customFormat="1" ht="57.75" customHeight="1">
      <c r="A160" s="68" t="s">
        <v>58</v>
      </c>
      <c r="B160" s="69"/>
      <c r="C160" s="69"/>
      <c r="D160" s="69"/>
      <c r="E160" s="69"/>
      <c r="F160" s="46"/>
      <c r="G160" s="46"/>
      <c r="H160" s="46"/>
      <c r="I160" s="46"/>
      <c r="J160" s="46"/>
      <c r="O160" s="49"/>
    </row>
    <row r="161" spans="1:15" s="32" customFormat="1" ht="30" customHeight="1">
      <c r="A161" s="68" t="s">
        <v>85</v>
      </c>
      <c r="B161" s="69"/>
      <c r="C161" s="69"/>
      <c r="D161" s="69"/>
      <c r="E161" s="69"/>
      <c r="F161" s="46"/>
      <c r="G161" s="46"/>
      <c r="H161" s="46"/>
      <c r="I161" s="46"/>
      <c r="J161" s="46"/>
      <c r="O161" s="49"/>
    </row>
    <row r="162" spans="1:15" s="32" customFormat="1" ht="17.25" customHeight="1">
      <c r="A162" s="68" t="s">
        <v>86</v>
      </c>
      <c r="B162" s="93"/>
      <c r="C162" s="93"/>
      <c r="D162" s="93"/>
      <c r="E162" s="93"/>
      <c r="F162" s="46"/>
      <c r="G162" s="46"/>
      <c r="H162" s="46"/>
      <c r="I162" s="46"/>
      <c r="J162" s="46"/>
      <c r="O162" s="49"/>
    </row>
    <row r="163" spans="1:15" s="32" customFormat="1" ht="30.75" customHeight="1">
      <c r="A163" s="68" t="s">
        <v>87</v>
      </c>
      <c r="B163" s="69"/>
      <c r="C163" s="69"/>
      <c r="D163" s="69"/>
      <c r="E163" s="69"/>
      <c r="F163" s="46"/>
      <c r="G163" s="46"/>
      <c r="H163" s="46"/>
      <c r="I163" s="46"/>
      <c r="J163" s="46"/>
      <c r="O163" s="49"/>
    </row>
    <row r="164" spans="1:15" s="32" customFormat="1" ht="17.25" customHeight="1">
      <c r="A164" s="68" t="s">
        <v>88</v>
      </c>
      <c r="B164" s="69"/>
      <c r="C164" s="69"/>
      <c r="D164" s="69"/>
      <c r="E164" s="69"/>
      <c r="F164" s="46"/>
      <c r="G164" s="46"/>
      <c r="H164" s="46"/>
      <c r="I164" s="46"/>
      <c r="J164" s="46"/>
      <c r="O164" s="49"/>
    </row>
    <row r="165" spans="1:15" s="32" customFormat="1" ht="31.5" customHeight="1">
      <c r="A165" s="68" t="s">
        <v>89</v>
      </c>
      <c r="B165" s="69"/>
      <c r="C165" s="69"/>
      <c r="D165" s="69"/>
      <c r="E165" s="69"/>
      <c r="F165" s="47"/>
      <c r="G165" s="47"/>
      <c r="H165" s="47"/>
      <c r="I165" s="46"/>
      <c r="J165" s="46"/>
      <c r="O165" s="49"/>
    </row>
    <row r="166" spans="1:15" s="32" customFormat="1" ht="59.25" customHeight="1">
      <c r="A166" s="94" t="s">
        <v>90</v>
      </c>
      <c r="B166" s="93"/>
      <c r="C166" s="93"/>
      <c r="D166" s="93"/>
      <c r="E166" s="93"/>
      <c r="O166" s="49"/>
    </row>
    <row r="167" spans="1:15" s="32" customFormat="1" ht="72.75" customHeight="1">
      <c r="A167" s="94" t="s">
        <v>91</v>
      </c>
      <c r="B167" s="95"/>
      <c r="C167" s="95"/>
      <c r="D167" s="95"/>
      <c r="E167" s="95"/>
      <c r="O167" s="49"/>
    </row>
    <row r="168" spans="1:15" s="32" customFormat="1" ht="65.25" customHeight="1">
      <c r="A168" s="94" t="s">
        <v>101</v>
      </c>
      <c r="B168" s="94"/>
      <c r="C168" s="94"/>
      <c r="D168" s="94"/>
      <c r="E168" s="94"/>
      <c r="O168" s="49"/>
    </row>
    <row r="169" spans="1:15" s="29" customFormat="1" ht="12.75" customHeight="1">
      <c r="A169" s="70" t="s">
        <v>20</v>
      </c>
      <c r="B169" s="39"/>
      <c r="C169" s="39"/>
      <c r="D169" s="39"/>
      <c r="E169" s="39"/>
      <c r="O169" s="27"/>
    </row>
    <row r="170" spans="1:15" s="29" customFormat="1" ht="13.5" customHeight="1">
      <c r="A170" s="70"/>
      <c r="B170" s="38"/>
      <c r="C170" s="38"/>
      <c r="D170" s="38"/>
      <c r="E170" s="38"/>
      <c r="F170" s="37"/>
      <c r="G170" s="37"/>
      <c r="H170" s="37"/>
      <c r="I170" s="37"/>
      <c r="O170" s="27"/>
    </row>
    <row r="171" spans="1:15" s="29" customFormat="1" ht="13.5" customHeight="1">
      <c r="A171" s="75" t="s">
        <v>19</v>
      </c>
      <c r="B171" s="75"/>
      <c r="C171" s="75"/>
      <c r="D171" s="38"/>
      <c r="E171" s="38"/>
      <c r="F171" s="37"/>
      <c r="G171" s="37"/>
      <c r="H171" s="37"/>
      <c r="I171" s="37"/>
      <c r="O171" s="27"/>
    </row>
    <row r="172" spans="1:15" s="29" customFormat="1" ht="32.25" customHeight="1">
      <c r="A172" s="76" t="s">
        <v>65</v>
      </c>
      <c r="B172" s="74"/>
      <c r="C172" s="74"/>
      <c r="D172" s="74"/>
      <c r="E172" s="74"/>
      <c r="F172" s="37"/>
      <c r="G172" s="37"/>
      <c r="H172" s="37"/>
      <c r="I172" s="37"/>
      <c r="O172" s="27"/>
    </row>
    <row r="173" spans="1:15" s="29" customFormat="1" ht="32.25" customHeight="1">
      <c r="A173" s="76" t="s">
        <v>92</v>
      </c>
      <c r="B173" s="74"/>
      <c r="C173" s="74"/>
      <c r="D173" s="74"/>
      <c r="E173" s="74"/>
      <c r="F173" s="51"/>
      <c r="G173" s="37"/>
      <c r="H173" s="37"/>
      <c r="I173" s="37"/>
      <c r="O173" s="27"/>
    </row>
    <row r="174" spans="1:15" s="29" customFormat="1" ht="13.5">
      <c r="A174" s="76" t="s">
        <v>66</v>
      </c>
      <c r="B174" s="74"/>
      <c r="C174" s="74"/>
      <c r="D174" s="74"/>
      <c r="E174" s="74"/>
      <c r="F174" s="37"/>
      <c r="G174" s="37"/>
      <c r="H174" s="37"/>
      <c r="I174" s="37"/>
      <c r="O174" s="27"/>
    </row>
    <row r="175" spans="1:15" s="29" customFormat="1" ht="13.5">
      <c r="A175" s="76" t="s">
        <v>67</v>
      </c>
      <c r="B175" s="74"/>
      <c r="C175" s="74"/>
      <c r="D175" s="74"/>
      <c r="E175" s="74"/>
      <c r="F175" s="37"/>
      <c r="G175" s="37"/>
      <c r="H175" s="37"/>
      <c r="I175" s="37"/>
      <c r="O175" s="27"/>
    </row>
    <row r="176" spans="1:15" s="29" customFormat="1" ht="17.25" customHeight="1">
      <c r="A176" s="76" t="s">
        <v>59</v>
      </c>
      <c r="B176" s="74"/>
      <c r="C176" s="74"/>
      <c r="D176" s="74"/>
      <c r="E176" s="74"/>
      <c r="F176" s="37"/>
      <c r="G176" s="37"/>
      <c r="H176" s="37"/>
      <c r="I176" s="37"/>
      <c r="O176" s="27"/>
    </row>
    <row r="177" spans="1:15" s="29" customFormat="1" ht="17.25" customHeight="1">
      <c r="A177" s="76" t="s">
        <v>68</v>
      </c>
      <c r="B177" s="74"/>
      <c r="C177" s="74"/>
      <c r="D177" s="74"/>
      <c r="E177" s="74"/>
      <c r="F177" s="37"/>
      <c r="G177" s="37"/>
      <c r="H177" s="37"/>
      <c r="I177" s="37"/>
      <c r="O177" s="27"/>
    </row>
    <row r="178" spans="1:15" s="29" customFormat="1" ht="13.5">
      <c r="A178" s="76" t="s">
        <v>69</v>
      </c>
      <c r="B178" s="74"/>
      <c r="C178" s="74"/>
      <c r="D178" s="74"/>
      <c r="E178" s="74"/>
      <c r="F178" s="37"/>
      <c r="G178" s="37"/>
      <c r="H178" s="37"/>
      <c r="I178" s="37"/>
      <c r="O178" s="27"/>
    </row>
    <row r="179" spans="1:15" s="29" customFormat="1" ht="13.5">
      <c r="A179" s="76" t="s">
        <v>70</v>
      </c>
      <c r="B179" s="74"/>
      <c r="C179" s="74"/>
      <c r="D179" s="74"/>
      <c r="E179" s="74"/>
      <c r="F179" s="37"/>
      <c r="G179" s="37"/>
      <c r="H179" s="37"/>
      <c r="I179" s="37"/>
      <c r="O179" s="27"/>
    </row>
    <row r="180" spans="1:15" s="29" customFormat="1" ht="13.5">
      <c r="A180" s="76" t="s">
        <v>71</v>
      </c>
      <c r="B180" s="74"/>
      <c r="C180" s="74"/>
      <c r="D180" s="74"/>
      <c r="E180" s="74"/>
      <c r="F180" s="37"/>
      <c r="G180" s="37"/>
      <c r="H180" s="37"/>
      <c r="I180" s="37"/>
      <c r="O180" s="27"/>
    </row>
    <row r="181" spans="1:15" s="29" customFormat="1" ht="13.5">
      <c r="A181" s="76" t="s">
        <v>72</v>
      </c>
      <c r="B181" s="74"/>
      <c r="C181" s="74"/>
      <c r="D181" s="74"/>
      <c r="E181" s="74"/>
      <c r="F181" s="37"/>
      <c r="G181" s="37"/>
      <c r="H181" s="37"/>
      <c r="I181" s="37"/>
      <c r="O181" s="27"/>
    </row>
    <row r="182" spans="1:15" s="29" customFormat="1" ht="20.25" customHeight="1">
      <c r="A182" s="76" t="s">
        <v>64</v>
      </c>
      <c r="B182" s="76"/>
      <c r="C182" s="76"/>
      <c r="D182" s="76"/>
      <c r="E182" s="76"/>
      <c r="F182" s="37"/>
      <c r="G182" s="37"/>
      <c r="H182" s="37"/>
      <c r="I182" s="37"/>
      <c r="O182" s="27"/>
    </row>
    <row r="183" spans="1:15" s="29" customFormat="1" ht="15.75">
      <c r="A183" s="76" t="s">
        <v>73</v>
      </c>
      <c r="B183" s="76"/>
      <c r="C183" s="76"/>
      <c r="D183" s="76"/>
      <c r="E183" s="76"/>
      <c r="F183" s="37"/>
      <c r="G183" s="37"/>
      <c r="H183" s="37"/>
      <c r="I183" s="37"/>
      <c r="O183" s="27"/>
    </row>
    <row r="184" spans="1:15" s="29" customFormat="1" ht="15.75">
      <c r="A184" s="76" t="s">
        <v>74</v>
      </c>
      <c r="B184" s="76"/>
      <c r="C184" s="76"/>
      <c r="D184" s="76"/>
      <c r="E184" s="76"/>
      <c r="F184" s="37"/>
      <c r="G184" s="37"/>
      <c r="H184" s="37"/>
      <c r="I184" s="37"/>
      <c r="O184" s="27"/>
    </row>
    <row r="185" spans="1:15" s="29" customFormat="1" ht="20.25" customHeight="1">
      <c r="A185" s="76" t="s">
        <v>75</v>
      </c>
      <c r="B185" s="76"/>
      <c r="C185" s="76"/>
      <c r="D185" s="76"/>
      <c r="E185" s="76"/>
      <c r="F185" s="37"/>
      <c r="G185" s="37"/>
      <c r="H185" s="37"/>
      <c r="I185" s="37"/>
      <c r="O185" s="27"/>
    </row>
    <row r="186" spans="1:15" s="29" customFormat="1" ht="18" customHeight="1">
      <c r="A186" s="76" t="s">
        <v>63</v>
      </c>
      <c r="B186" s="76"/>
      <c r="C186" s="76"/>
      <c r="D186" s="76"/>
      <c r="E186" s="76"/>
      <c r="F186" s="37"/>
      <c r="G186" s="37"/>
      <c r="H186" s="37"/>
      <c r="I186" s="37"/>
      <c r="O186" s="27"/>
    </row>
    <row r="187" spans="1:15" s="29" customFormat="1" ht="47.25" customHeight="1">
      <c r="A187" s="76" t="s">
        <v>77</v>
      </c>
      <c r="B187" s="76"/>
      <c r="C187" s="76"/>
      <c r="D187" s="76"/>
      <c r="E187" s="76"/>
      <c r="O187" s="27"/>
    </row>
    <row r="188" spans="1:15" s="29" customFormat="1" ht="31.5" customHeight="1">
      <c r="A188" s="76" t="s">
        <v>97</v>
      </c>
      <c r="B188" s="74"/>
      <c r="C188" s="74"/>
      <c r="D188" s="74"/>
      <c r="E188" s="74"/>
      <c r="O188" s="27"/>
    </row>
    <row r="189" spans="1:15" s="29" customFormat="1" ht="13.5" customHeight="1">
      <c r="A189" s="40"/>
      <c r="O189" s="27"/>
    </row>
    <row r="190" s="29" customFormat="1" ht="13.5" customHeight="1">
      <c r="O190" s="27"/>
    </row>
    <row r="191" s="29" customFormat="1" ht="13.5" customHeight="1">
      <c r="O191" s="27"/>
    </row>
    <row r="192" s="29" customFormat="1" ht="13.5" customHeight="1">
      <c r="O192" s="27"/>
    </row>
    <row r="193" s="29" customFormat="1" ht="13.5" customHeight="1">
      <c r="O193" s="27"/>
    </row>
    <row r="194" spans="1:2" ht="9.75" customHeight="1">
      <c r="A194" s="79"/>
      <c r="B194" s="79"/>
    </row>
    <row r="195" ht="9.75" customHeight="1"/>
    <row r="196" ht="13.5"/>
  </sheetData>
  <mergeCells count="34">
    <mergeCell ref="A168:E168"/>
    <mergeCell ref="A1:O1"/>
    <mergeCell ref="A194:B194"/>
    <mergeCell ref="A173:E173"/>
    <mergeCell ref="A183:E183"/>
    <mergeCell ref="A182:E182"/>
    <mergeCell ref="A184:E184"/>
    <mergeCell ref="A185:E185"/>
    <mergeCell ref="A186:E186"/>
    <mergeCell ref="A187:E187"/>
    <mergeCell ref="A181:E181"/>
    <mergeCell ref="A180:E180"/>
    <mergeCell ref="A171:C171"/>
    <mergeCell ref="A176:E176"/>
    <mergeCell ref="A174:E174"/>
    <mergeCell ref="A175:E175"/>
    <mergeCell ref="A172:E172"/>
    <mergeCell ref="A179:E179"/>
    <mergeCell ref="A167:E167"/>
    <mergeCell ref="A156:E156"/>
    <mergeCell ref="A157:E157"/>
    <mergeCell ref="A158:E158"/>
    <mergeCell ref="A159:E159"/>
    <mergeCell ref="A162:E162"/>
    <mergeCell ref="A188:E188"/>
    <mergeCell ref="A160:E160"/>
    <mergeCell ref="A164:E164"/>
    <mergeCell ref="A178:E178"/>
    <mergeCell ref="A161:E161"/>
    <mergeCell ref="A163:E163"/>
    <mergeCell ref="A165:E165"/>
    <mergeCell ref="A169:A170"/>
    <mergeCell ref="A166:E166"/>
    <mergeCell ref="A177:E177"/>
  </mergeCells>
  <printOptions horizontalCentered="1"/>
  <pageMargins left="0.5" right="0.5" top="0.5" bottom="0.5" header="0.25" footer="0.25"/>
  <pageSetup fitToHeight="5" horizontalDpi="600" verticalDpi="600" orientation="landscape" scale="65" r:id="rId1"/>
  <rowBreaks count="4" manualBreakCount="4">
    <brk id="38" max="14" man="1"/>
    <brk id="75" max="14" man="1"/>
    <brk id="113" max="14" man="1"/>
    <brk id="15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 Profile</dc:title>
  <dc:subject/>
  <dc:creator>RT</dc:creator>
  <cp:keywords/>
  <dc:description/>
  <cp:lastModifiedBy>long.nguyen</cp:lastModifiedBy>
  <cp:lastPrinted>2006-03-24T13:53:22Z</cp:lastPrinted>
  <dcterms:created xsi:type="dcterms:W3CDTF">1999-07-02T15:13:33Z</dcterms:created>
  <dcterms:modified xsi:type="dcterms:W3CDTF">2006-03-24T13:58:24Z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362371560</vt:i4>
  </property>
  <property fmtid="{D5CDD505-2E9C-101B-9397-08002B2CF9AE}" pid="4" name="_EmailSubje">
    <vt:lpwstr>NTS Transit Profile table</vt:lpwstr>
  </property>
  <property fmtid="{D5CDD505-2E9C-101B-9397-08002B2CF9AE}" pid="5" name="_AuthorEma">
    <vt:lpwstr>Long.Nguyen@dot.gov</vt:lpwstr>
  </property>
  <property fmtid="{D5CDD505-2E9C-101B-9397-08002B2CF9AE}" pid="6" name="_AuthorEmailDisplayNa">
    <vt:lpwstr>Nguyen, Long &lt;RITA&gt;</vt:lpwstr>
  </property>
</Properties>
</file>