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643" activeTab="0"/>
  </bookViews>
  <sheets>
    <sheet name="C-1 CS APPENDIX C-DATA ANALYSIS" sheetId="1" r:id="rId1"/>
    <sheet name="C-2 SCENARIO #1" sheetId="2" r:id="rId2"/>
    <sheet name="C-3 SCENARIO #2" sheetId="3" r:id="rId3"/>
    <sheet name="C-4 SCENARIO #3" sheetId="4" r:id="rId4"/>
    <sheet name="C-5 SCENARIO #4" sheetId="5" r:id="rId5"/>
    <sheet name="C-6 SCENARIO #5" sheetId="6" r:id="rId6"/>
    <sheet name="C-7 SCENARIO #6" sheetId="7" r:id="rId7"/>
  </sheets>
  <externalReferences>
    <externalReference r:id="rId10"/>
  </externalReferences>
  <definedNames>
    <definedName name="_xlnm.Print_Area" localSheetId="1">'C-2 SCENARIO #1'!$B$1:$L$112</definedName>
    <definedName name="_xlnm.Print_Area" localSheetId="2">'C-3 SCENARIO #2'!$B$1:$L$115</definedName>
    <definedName name="_xlnm.Print_Area" localSheetId="3">'C-4 SCENARIO #3'!$B$1:$L$83</definedName>
    <definedName name="_xlnm.Print_Area" localSheetId="4">'C-5 SCENARIO #4'!$B$1:$L$82</definedName>
    <definedName name="_xlnm.Print_Area" localSheetId="5">'C-6 SCENARIO #5'!$B$1:$L$82</definedName>
    <definedName name="_xlnm.Print_Area" localSheetId="6">'C-7 SCENARIO #6'!$B$1:$L$82</definedName>
  </definedNames>
  <calcPr fullCalcOnLoad="1"/>
</workbook>
</file>

<file path=xl/sharedStrings.xml><?xml version="1.0" encoding="utf-8"?>
<sst xmlns="http://schemas.openxmlformats.org/spreadsheetml/2006/main" count="415" uniqueCount="111">
  <si>
    <t>SCENARIO #1 - TRUCKLOAD CARRIER</t>
  </si>
  <si>
    <t>SCENARIO ASSUMPTIONS</t>
  </si>
  <si>
    <t xml:space="preserve">Continental U.S. </t>
  </si>
  <si>
    <t>Miles Per Year</t>
  </si>
  <si>
    <t>Baseline Tire Life (miles)</t>
  </si>
  <si>
    <t># of Tandem Axle Drive Tractors</t>
  </si>
  <si>
    <t>Baseline Retreads per Tire</t>
  </si>
  <si>
    <t># of Tractor Tires</t>
  </si>
  <si>
    <t>Baseline Fleet Fuel Consumption (mpg)</t>
  </si>
  <si>
    <t># of Steer Tires</t>
  </si>
  <si>
    <t>Average Tire Cost</t>
  </si>
  <si>
    <t># of Drive Tires</t>
  </si>
  <si>
    <t>Average Retread Cost</t>
  </si>
  <si>
    <t># of 53' Van Trailers</t>
  </si>
  <si>
    <t>Price of Diesel Fuel</t>
  </si>
  <si>
    <t># of Trailer Tires</t>
  </si>
  <si>
    <t>TRACTOR TIRES</t>
  </si>
  <si>
    <t>Lower Bin</t>
  </si>
  <si>
    <t>Bin</t>
  </si>
  <si>
    <t>Frequency</t>
  </si>
  <si>
    <t>Cumulative %</t>
  </si>
  <si>
    <t>%</t>
  </si>
  <si>
    <t>Tire Life Reduction</t>
  </si>
  <si>
    <t>Tread Wear Increase</t>
  </si>
  <si>
    <t>Fuel Econ. Reduction</t>
  </si>
  <si>
    <t>Additional New Tires Required</t>
  </si>
  <si>
    <t>Additional Retreads Req.</t>
  </si>
  <si>
    <t>Impact on Fuel Econ.</t>
  </si>
  <si>
    <t>More</t>
  </si>
  <si>
    <t>TOTAL</t>
  </si>
  <si>
    <t>TRAILER TIRES</t>
  </si>
  <si>
    <t>New Tires Required</t>
  </si>
  <si>
    <t>Additional Retreads Required</t>
  </si>
  <si>
    <t>TRACTOR COST</t>
  </si>
  <si>
    <t>TRAILER COST</t>
  </si>
  <si>
    <t># Required</t>
  </si>
  <si>
    <t>Cost Each</t>
  </si>
  <si>
    <t>Total Cost</t>
  </si>
  <si>
    <t>Baseline New Tires Needed:</t>
  </si>
  <si>
    <t>Baseline Retreads Required:</t>
  </si>
  <si>
    <t>Additional New Tires Needed:</t>
  </si>
  <si>
    <t>Additional Retreads Required:</t>
  </si>
  <si>
    <t>FUEL COST</t>
  </si>
  <si>
    <t>Impact Due to Tractors</t>
  </si>
  <si>
    <t>Impact Due to Trailers</t>
  </si>
  <si>
    <t>Total Impact (tractor + trailer)</t>
  </si>
  <si>
    <t>Gallons per tractor</t>
  </si>
  <si>
    <t>Additional Gallons Req.</t>
  </si>
  <si>
    <t>Number of Tractors</t>
  </si>
  <si>
    <t>Total Additional Gallons Req.</t>
  </si>
  <si>
    <t>Price of Diesel Fuel Per Gallon</t>
  </si>
  <si>
    <t>Total</t>
  </si>
  <si>
    <t>Baseline Fuel Cost:</t>
  </si>
  <si>
    <t>Additional Fuel Cost:</t>
  </si>
  <si>
    <t>Annual $</t>
  </si>
  <si>
    <t>Baseline</t>
  </si>
  <si>
    <t>Cost Due to Improper Inflation</t>
  </si>
  <si>
    <t>Difference</t>
  </si>
  <si>
    <t>% Difference</t>
  </si>
  <si>
    <t>Fleet</t>
  </si>
  <si>
    <t>Per Tractor</t>
  </si>
  <si>
    <t>Per Trailer</t>
  </si>
  <si>
    <t>Fuel Consumption</t>
  </si>
  <si>
    <t>Per Tractor/Trailer Pair</t>
  </si>
  <si>
    <t>SCENARIO #2 - LTL CARRIER</t>
  </si>
  <si>
    <t>Southeast U.S.</t>
  </si>
  <si>
    <t># of 28' Van Trailers</t>
  </si>
  <si>
    <t># of Single Axle Drive Tractors</t>
  </si>
  <si>
    <t>Baseline Fleet Fuel Consumption</t>
  </si>
  <si>
    <t># of Single Axle Dollies</t>
  </si>
  <si>
    <t># of Single Axle Dollie Tires</t>
  </si>
  <si>
    <t>TRAILER AND DOLLY COST</t>
  </si>
  <si>
    <t>Additional Gallons Req. per Tractor</t>
  </si>
  <si>
    <t>Per Trailer/Dolly</t>
  </si>
  <si>
    <t>Per Tractor &amp; 2 Trailers w/ Dolly</t>
  </si>
  <si>
    <t>SCENARIO #3 - PRIVATE FLEET</t>
  </si>
  <si>
    <t>Large Metropolitan area in Midwest</t>
  </si>
  <si>
    <t>Average Tire Life (miles)</t>
  </si>
  <si>
    <t># of Single Axle Drive Trucks (6-wheel)</t>
  </si>
  <si>
    <t>Retreads per Tire</t>
  </si>
  <si>
    <t>Average Fleet Fuel Consumption</t>
  </si>
  <si>
    <t>TRUCK COST</t>
  </si>
  <si>
    <t>Per Truck</t>
  </si>
  <si>
    <t>Per Truck including fuel</t>
  </si>
  <si>
    <t>SCENARIO #4 - OWNER-OPERATOR</t>
  </si>
  <si>
    <t>Continental U.S.</t>
  </si>
  <si>
    <t>Per Tractor including fuel</t>
  </si>
  <si>
    <t>SCENARIO #5 - CHARTERED MOTOR COACH</t>
  </si>
  <si>
    <t>Western U.S.</t>
  </si>
  <si>
    <t># of 45' Steerable tag axle Motor Coaches</t>
  </si>
  <si>
    <t># of Motor Coach Tires</t>
  </si>
  <si>
    <t>MOTOR COACH TIRES</t>
  </si>
  <si>
    <t>Large Metropolitan Area in Northeast</t>
  </si>
  <si>
    <t># of Single Drive Axle Motor Coaches</t>
  </si>
  <si>
    <t>-</t>
  </si>
  <si>
    <t>SCENARIO #6 - TRANSIT BUS</t>
  </si>
  <si>
    <t>C-2</t>
  </si>
  <si>
    <t>C-4</t>
  </si>
  <si>
    <t>C-6</t>
  </si>
  <si>
    <t>C-7</t>
  </si>
  <si>
    <t>C-8</t>
  </si>
  <si>
    <t>C-9</t>
  </si>
  <si>
    <t>SCENARIO #1 - TRUCKLOAD CARRIER con't…</t>
  </si>
  <si>
    <t>SCENARIO #2 - LTL CARRIER con't…</t>
  </si>
  <si>
    <t>Scenario #1:  TL Fleet…………………………………..</t>
  </si>
  <si>
    <t>Scenario #2:  LTL Fleet…………………………………….</t>
  </si>
  <si>
    <t>Scenario #3:  Private Fleet…………………………..</t>
  </si>
  <si>
    <t>Scenario #4:  Owner-Operator………………………..</t>
  </si>
  <si>
    <t>Scenario #5:  Chartered Motor Coach……………………</t>
  </si>
  <si>
    <t>Scenario #6:  Transit Bus………………………………</t>
  </si>
  <si>
    <t>APPENDIX C: Supporting Data for Cost-Benefit Calculation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</si>
</sst>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0.000000000000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000000000%"/>
    <numFmt numFmtId="170" formatCode="&quot;$&quot;#,##0.00"/>
    <numFmt numFmtId="171" formatCode="0.0"/>
    <numFmt numFmtId="172" formatCode="\±\ 0.00%"/>
    <numFmt numFmtId="173" formatCode="0.0%"/>
    <numFmt numFmtId="174" formatCode="0.000%"/>
    <numFmt numFmtId="175" formatCode="0.0000%"/>
    <numFmt numFmtId="176" formatCode="#,##0.0"/>
    <numFmt numFmtId="177" formatCode="0.000"/>
    <numFmt numFmtId="178" formatCode="&quot;$&quot;#,##0"/>
    <numFmt numFmtId="179" formatCode="&quot;$&quot;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i/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Book Antiqu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176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170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170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Fill="1" applyBorder="1" applyAlignment="1">
      <alignment/>
    </xf>
    <xf numFmtId="9" fontId="5" fillId="0" borderId="0" xfId="0" applyNumberFormat="1" applyFont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 quotePrefix="1">
      <alignment/>
    </xf>
    <xf numFmtId="178" fontId="0" fillId="0" borderId="0" xfId="0" applyNumberFormat="1" applyFill="1" applyBorder="1" applyAlignment="1">
      <alignment/>
    </xf>
    <xf numFmtId="170" fontId="0" fillId="0" borderId="1" xfId="0" applyNumberFormat="1" applyFill="1" applyBorder="1" applyAlignment="1" quotePrefix="1">
      <alignment/>
    </xf>
    <xf numFmtId="178" fontId="0" fillId="0" borderId="1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170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170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 quotePrefix="1">
      <alignment horizontal="center"/>
    </xf>
    <xf numFmtId="3" fontId="0" fillId="0" borderId="1" xfId="0" applyNumberFormat="1" applyFill="1" applyBorder="1" applyAlignment="1" quotePrefix="1">
      <alignment horizontal="center"/>
    </xf>
    <xf numFmtId="4" fontId="0" fillId="0" borderId="1" xfId="0" applyNumberFormat="1" applyFill="1" applyBorder="1" applyAlignment="1">
      <alignment horizontal="center"/>
    </xf>
    <xf numFmtId="170" fontId="0" fillId="0" borderId="1" xfId="0" applyNumberFormat="1" applyFill="1" applyBorder="1" applyAlignment="1" quotePrefix="1">
      <alignment horizontal="center"/>
    </xf>
    <xf numFmtId="178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0" fontId="3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1" xfId="0" applyNumberFormat="1" applyFill="1" applyBorder="1" applyAlignment="1">
      <alignment/>
    </xf>
    <xf numFmtId="170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1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TRAILER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975"/>
          <c:w val="0.950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'C-2 SCENARIO #1'!$D$40:$D$41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'C-2 SCENARIO #1'!$C$42:$C$63</c:f>
              <c:strCache/>
            </c:strRef>
          </c:cat>
          <c:val>
            <c:numRef>
              <c:f>'C-2 SCENARIO #1'!$D$42:$D$63</c:f>
              <c:numCache/>
            </c:numRef>
          </c:val>
        </c:ser>
        <c:axId val="60204387"/>
        <c:axId val="4968572"/>
      </c:barChart>
      <c:lineChart>
        <c:grouping val="standard"/>
        <c:varyColors val="0"/>
        <c:ser>
          <c:idx val="1"/>
          <c:order val="1"/>
          <c:tx>
            <c:strRef>
              <c:f>'C-2 SCENARIO #1'!$G$40:$G$41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'C-2 SCENARIO #1'!$G$42:$G$63</c:f>
              <c:numCache/>
            </c:numRef>
          </c:val>
          <c:smooth val="0"/>
        </c:ser>
        <c:ser>
          <c:idx val="2"/>
          <c:order val="2"/>
          <c:tx>
            <c:strRef>
              <c:f>'C-2 SCENARIO #1'!$H$40:$H$41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'C-2 SCENARIO #1'!$H$42:$H$63</c:f>
              <c:numCache/>
            </c:numRef>
          </c:val>
          <c:smooth val="0"/>
        </c:ser>
        <c:axId val="44717149"/>
        <c:axId val="66910022"/>
      </c:line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8572"/>
        <c:crosses val="autoZero"/>
        <c:auto val="1"/>
        <c:lblOffset val="100"/>
        <c:noMultiLvlLbl val="0"/>
      </c:catAx>
      <c:valAx>
        <c:axId val="4968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04387"/>
        <c:crossesAt val="1"/>
        <c:crossBetween val="between"/>
        <c:dispUnits/>
      </c:valAx>
      <c:catAx>
        <c:axId val="44717149"/>
        <c:scaling>
          <c:orientation val="minMax"/>
        </c:scaling>
        <c:axPos val="b"/>
        <c:delete val="1"/>
        <c:majorTickMark val="out"/>
        <c:minorTickMark val="none"/>
        <c:tickLblPos val="nextTo"/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171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5"/>
          <c:y val="0.17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175"/>
          <c:w val="0.9512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'[1]SCENARIO #3'!$D$16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'[1]SCENARIO #3'!$C$18:$C$39</c:f>
              <c:strCache>
                <c:ptCount val="22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More</c:v>
                </c:pt>
              </c:strCache>
            </c:strRef>
          </c:cat>
          <c:val>
            <c:numRef>
              <c:f>'[1]SCENARIO #3'!$D$18:$D$39</c:f>
              <c:numCache>
                <c:ptCount val="22"/>
                <c:pt idx="0">
                  <c:v>30</c:v>
                </c:pt>
                <c:pt idx="1">
                  <c:v>9</c:v>
                </c:pt>
                <c:pt idx="2">
                  <c:v>22</c:v>
                </c:pt>
                <c:pt idx="3">
                  <c:v>38</c:v>
                </c:pt>
                <c:pt idx="4">
                  <c:v>62</c:v>
                </c:pt>
                <c:pt idx="5">
                  <c:v>126</c:v>
                </c:pt>
                <c:pt idx="6">
                  <c:v>272</c:v>
                </c:pt>
                <c:pt idx="7">
                  <c:v>229</c:v>
                </c:pt>
                <c:pt idx="8">
                  <c:v>375</c:v>
                </c:pt>
                <c:pt idx="9">
                  <c:v>522</c:v>
                </c:pt>
                <c:pt idx="10">
                  <c:v>1010</c:v>
                </c:pt>
                <c:pt idx="11">
                  <c:v>757</c:v>
                </c:pt>
                <c:pt idx="12">
                  <c:v>435</c:v>
                </c:pt>
                <c:pt idx="13">
                  <c:v>175</c:v>
                </c:pt>
                <c:pt idx="14">
                  <c:v>131</c:v>
                </c:pt>
                <c:pt idx="15">
                  <c:v>25</c:v>
                </c:pt>
                <c:pt idx="16">
                  <c:v>11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8009495"/>
        <c:axId val="50758864"/>
      </c:barChart>
      <c:lineChart>
        <c:grouping val="standard"/>
        <c:varyColors val="0"/>
        <c:ser>
          <c:idx val="1"/>
          <c:order val="1"/>
          <c:tx>
            <c:strRef>
              <c:f>'[1]SCENARIO #3'!$G$16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#3'!$G$18:$G$39</c:f>
              <c:numCache>
                <c:ptCount val="22"/>
                <c:pt idx="0">
                  <c:v>0.5625</c:v>
                </c:pt>
                <c:pt idx="1">
                  <c:v>0.535</c:v>
                </c:pt>
                <c:pt idx="2">
                  <c:v>0.5</c:v>
                </c:pt>
                <c:pt idx="3">
                  <c:v>0.46</c:v>
                </c:pt>
                <c:pt idx="4">
                  <c:v>0.4125</c:v>
                </c:pt>
                <c:pt idx="5">
                  <c:v>0.36</c:v>
                </c:pt>
                <c:pt idx="6">
                  <c:v>0.3</c:v>
                </c:pt>
                <c:pt idx="7">
                  <c:v>0.235</c:v>
                </c:pt>
                <c:pt idx="8">
                  <c:v>0.1625</c:v>
                </c:pt>
                <c:pt idx="9">
                  <c:v>0.085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'[1]SCENARIO #3'!$H$16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#3'!$H$18:$H$39</c:f>
              <c:numCache>
                <c:ptCount val="22"/>
                <c:pt idx="0">
                  <c:v>0.6</c:v>
                </c:pt>
                <c:pt idx="1">
                  <c:v>0.54</c:v>
                </c:pt>
                <c:pt idx="2">
                  <c:v>0.48</c:v>
                </c:pt>
                <c:pt idx="3">
                  <c:v>0.42</c:v>
                </c:pt>
                <c:pt idx="4">
                  <c:v>0.36</c:v>
                </c:pt>
                <c:pt idx="5">
                  <c:v>0.3</c:v>
                </c:pt>
                <c:pt idx="6">
                  <c:v>0.24</c:v>
                </c:pt>
                <c:pt idx="7">
                  <c:v>0.18</c:v>
                </c:pt>
                <c:pt idx="8">
                  <c:v>0.12</c:v>
                </c:pt>
                <c:pt idx="9">
                  <c:v>0.06</c:v>
                </c:pt>
                <c:pt idx="10">
                  <c:v>0</c:v>
                </c:pt>
                <c:pt idx="11">
                  <c:v>0.025</c:v>
                </c:pt>
                <c:pt idx="12">
                  <c:v>0.05</c:v>
                </c:pt>
                <c:pt idx="13">
                  <c:v>0.075</c:v>
                </c:pt>
                <c:pt idx="14">
                  <c:v>0.1</c:v>
                </c:pt>
                <c:pt idx="15">
                  <c:v>0.125</c:v>
                </c:pt>
                <c:pt idx="16">
                  <c:v>0.15</c:v>
                </c:pt>
                <c:pt idx="17">
                  <c:v>0.175</c:v>
                </c:pt>
                <c:pt idx="18">
                  <c:v>0.2</c:v>
                </c:pt>
                <c:pt idx="19">
                  <c:v>0.225</c:v>
                </c:pt>
                <c:pt idx="20">
                  <c:v>0.25</c:v>
                </c:pt>
                <c:pt idx="21">
                  <c:v>0.275</c:v>
                </c:pt>
              </c:numCache>
            </c:numRef>
          </c:val>
          <c:smooth val="0"/>
        </c:ser>
        <c:axId val="54176593"/>
        <c:axId val="17827290"/>
      </c:lineChart>
      <c:catAx>
        <c:axId val="280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09495"/>
        <c:crossesAt val="1"/>
        <c:crossBetween val="between"/>
        <c:dispUnits/>
      </c:valAx>
      <c:catAx>
        <c:axId val="54176593"/>
        <c:scaling>
          <c:orientation val="minMax"/>
        </c:scaling>
        <c:axPos val="b"/>
        <c:delete val="1"/>
        <c:majorTickMark val="out"/>
        <c:minorTickMark val="none"/>
        <c:tickLblPos val="nextTo"/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765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5"/>
          <c:y val="0.1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85"/>
          <c:w val="0.951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'C-5 SCENARIO #4'!$D$16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'C-5 SCENARIO #4'!$C$18:$C$39</c:f>
              <c:strCache/>
            </c:strRef>
          </c:cat>
          <c:val>
            <c:numRef>
              <c:f>'C-5 SCENARIO #4'!$D$18:$D$39</c:f>
              <c:numCache/>
            </c:numRef>
          </c:val>
        </c:ser>
        <c:axId val="26227883"/>
        <c:axId val="34724356"/>
      </c:barChart>
      <c:lineChart>
        <c:grouping val="standard"/>
        <c:varyColors val="0"/>
        <c:ser>
          <c:idx val="1"/>
          <c:order val="1"/>
          <c:tx>
            <c:strRef>
              <c:f>'C-5 SCENARIO #4'!$G$16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'C-5 SCENARIO #4'!$G$18:$G$39</c:f>
              <c:numCache/>
            </c:numRef>
          </c:val>
          <c:smooth val="0"/>
        </c:ser>
        <c:ser>
          <c:idx val="2"/>
          <c:order val="2"/>
          <c:tx>
            <c:strRef>
              <c:f>'C-5 SCENARIO #4'!$H$16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'C-5 SCENARIO #4'!$H$18:$H$39</c:f>
              <c:numCache/>
            </c:numRef>
          </c:val>
          <c:smooth val="0"/>
        </c:ser>
        <c:axId val="44083749"/>
        <c:axId val="61209422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27883"/>
        <c:crossesAt val="1"/>
        <c:crossBetween val="between"/>
        <c:dispUnits/>
      </c:valAx>
      <c:catAx>
        <c:axId val="44083749"/>
        <c:scaling>
          <c:orientation val="minMax"/>
        </c:scaling>
        <c:axPos val="b"/>
        <c:delete val="1"/>
        <c:majorTickMark val="out"/>
        <c:minorTickMark val="none"/>
        <c:tickLblPos val="nextTo"/>
        <c:crossAx val="61209422"/>
        <c:crosses val="autoZero"/>
        <c:auto val="1"/>
        <c:lblOffset val="100"/>
        <c:noMultiLvlLbl val="0"/>
      </c:catAx>
      <c:valAx>
        <c:axId val="6120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837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5"/>
          <c:y val="0.16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8"/>
          <c:w val="0.951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'[1]SCENARIO #4'!$D$16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'[1]SCENARIO #4'!$C$18:$C$39</c:f>
              <c:strCache>
                <c:ptCount val="22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More</c:v>
                </c:pt>
              </c:strCache>
            </c:strRef>
          </c:cat>
          <c:val>
            <c:numRef>
              <c:f>'[1]SCENARIO #4'!$D$18:$D$39</c:f>
              <c:numCache>
                <c:ptCount val="22"/>
                <c:pt idx="0">
                  <c:v>11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18</c:v>
                </c:pt>
                <c:pt idx="7">
                  <c:v>49</c:v>
                </c:pt>
                <c:pt idx="8">
                  <c:v>111</c:v>
                </c:pt>
                <c:pt idx="9">
                  <c:v>228</c:v>
                </c:pt>
                <c:pt idx="10">
                  <c:v>329</c:v>
                </c:pt>
                <c:pt idx="11">
                  <c:v>291</c:v>
                </c:pt>
                <c:pt idx="12">
                  <c:v>219</c:v>
                </c:pt>
                <c:pt idx="13">
                  <c:v>87</c:v>
                </c:pt>
                <c:pt idx="14">
                  <c:v>36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4013887"/>
        <c:axId val="59016120"/>
      </c:barChart>
      <c:lineChart>
        <c:grouping val="standard"/>
        <c:varyColors val="0"/>
        <c:ser>
          <c:idx val="1"/>
          <c:order val="1"/>
          <c:tx>
            <c:strRef>
              <c:f>'[1]SCENARIO #4'!$G$16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#4'!$G$18:$G$39</c:f>
              <c:numCache>
                <c:ptCount val="22"/>
                <c:pt idx="0">
                  <c:v>0.5625</c:v>
                </c:pt>
                <c:pt idx="1">
                  <c:v>0.535</c:v>
                </c:pt>
                <c:pt idx="2">
                  <c:v>0.5</c:v>
                </c:pt>
                <c:pt idx="3">
                  <c:v>0.46</c:v>
                </c:pt>
                <c:pt idx="4">
                  <c:v>0.4125</c:v>
                </c:pt>
                <c:pt idx="5">
                  <c:v>0.36</c:v>
                </c:pt>
                <c:pt idx="6">
                  <c:v>0.3</c:v>
                </c:pt>
                <c:pt idx="7">
                  <c:v>0.235</c:v>
                </c:pt>
                <c:pt idx="8">
                  <c:v>0.1625</c:v>
                </c:pt>
                <c:pt idx="9">
                  <c:v>0.085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'[1]SCENARIO #4'!$H$16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#4'!$H$18:$H$39</c:f>
              <c:numCache>
                <c:ptCount val="22"/>
                <c:pt idx="0">
                  <c:v>0.6</c:v>
                </c:pt>
                <c:pt idx="1">
                  <c:v>0.54</c:v>
                </c:pt>
                <c:pt idx="2">
                  <c:v>0.48</c:v>
                </c:pt>
                <c:pt idx="3">
                  <c:v>0.42</c:v>
                </c:pt>
                <c:pt idx="4">
                  <c:v>0.36</c:v>
                </c:pt>
                <c:pt idx="5">
                  <c:v>0.3</c:v>
                </c:pt>
                <c:pt idx="6">
                  <c:v>0.24</c:v>
                </c:pt>
                <c:pt idx="7">
                  <c:v>0.18</c:v>
                </c:pt>
                <c:pt idx="8">
                  <c:v>0.12</c:v>
                </c:pt>
                <c:pt idx="9">
                  <c:v>0.06</c:v>
                </c:pt>
                <c:pt idx="10">
                  <c:v>0</c:v>
                </c:pt>
                <c:pt idx="11">
                  <c:v>0.025</c:v>
                </c:pt>
                <c:pt idx="12">
                  <c:v>0.05</c:v>
                </c:pt>
                <c:pt idx="13">
                  <c:v>0.075</c:v>
                </c:pt>
                <c:pt idx="14">
                  <c:v>0.1</c:v>
                </c:pt>
                <c:pt idx="15">
                  <c:v>0.125</c:v>
                </c:pt>
                <c:pt idx="16">
                  <c:v>0.15</c:v>
                </c:pt>
                <c:pt idx="17">
                  <c:v>0.175</c:v>
                </c:pt>
                <c:pt idx="18">
                  <c:v>0.2</c:v>
                </c:pt>
                <c:pt idx="19">
                  <c:v>0.225</c:v>
                </c:pt>
                <c:pt idx="20">
                  <c:v>0.25</c:v>
                </c:pt>
                <c:pt idx="21">
                  <c:v>0.275</c:v>
                </c:pt>
              </c:numCache>
            </c:numRef>
          </c:val>
          <c:smooth val="0"/>
        </c:ser>
        <c:axId val="61383033"/>
        <c:axId val="15576386"/>
      </c:lineChart>
      <c:catAx>
        <c:axId val="1401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13887"/>
        <c:crossesAt val="1"/>
        <c:crossBetween val="between"/>
        <c:dispUnits/>
      </c:valAx>
      <c:catAx>
        <c:axId val="61383033"/>
        <c:scaling>
          <c:orientation val="minMax"/>
        </c:scaling>
        <c:axPos val="b"/>
        <c:delete val="1"/>
        <c:majorTickMark val="out"/>
        <c:minorTickMark val="none"/>
        <c:tickLblPos val="nextTo"/>
        <c:crossAx val="15576386"/>
        <c:crosses val="autoZero"/>
        <c:auto val="1"/>
        <c:lblOffset val="100"/>
        <c:noMultiLvlLbl val="0"/>
      </c:catAx>
      <c:valAx>
        <c:axId val="15576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830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5"/>
          <c:y val="0.16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85"/>
          <c:w val="0.951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'C-6 SCENARIO #5'!$D$16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'C-6 SCENARIO #5'!$C$18:$C$39</c:f>
              <c:strCache/>
            </c:strRef>
          </c:cat>
          <c:val>
            <c:numRef>
              <c:f>'C-6 SCENARIO #5'!$D$18:$D$39</c:f>
              <c:numCache/>
            </c:numRef>
          </c:val>
        </c:ser>
        <c:axId val="5969747"/>
        <c:axId val="53727724"/>
      </c:barChart>
      <c:lineChart>
        <c:grouping val="standard"/>
        <c:varyColors val="0"/>
        <c:ser>
          <c:idx val="1"/>
          <c:order val="1"/>
          <c:tx>
            <c:strRef>
              <c:f>'C-6 SCENARIO #5'!$G$16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'C-6 SCENARIO #5'!$G$18:$G$39</c:f>
              <c:numCache/>
            </c:numRef>
          </c:val>
          <c:smooth val="0"/>
        </c:ser>
        <c:ser>
          <c:idx val="2"/>
          <c:order val="2"/>
          <c:tx>
            <c:strRef>
              <c:f>'C-6 SCENARIO #5'!$H$16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'C-6 SCENARIO #5'!$H$18:$H$39</c:f>
              <c:numCache/>
            </c:numRef>
          </c:val>
          <c:smooth val="0"/>
        </c:ser>
        <c:axId val="13787469"/>
        <c:axId val="56978358"/>
      </c:line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9747"/>
        <c:crossesAt val="1"/>
        <c:crossBetween val="between"/>
        <c:dispUnits/>
      </c:valAx>
      <c:catAx>
        <c:axId val="13787469"/>
        <c:scaling>
          <c:orientation val="minMax"/>
        </c:scaling>
        <c:axPos val="b"/>
        <c:delete val="1"/>
        <c:majorTickMark val="out"/>
        <c:minorTickMark val="none"/>
        <c:tickLblPos val="nextTo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8746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5"/>
          <c:y val="0.16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8"/>
          <c:w val="0.951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'[1]SCENARIO #5'!$D$16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'[1]SCENARIO #5'!$C$18:$C$39</c:f>
              <c:strCache>
                <c:ptCount val="22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More</c:v>
                </c:pt>
              </c:strCache>
            </c:strRef>
          </c:cat>
          <c:val>
            <c:numRef>
              <c:f>'[1]SCENARIO #5'!$D$18:$D$39</c:f>
              <c:numCache>
                <c:ptCount val="22"/>
                <c:pt idx="0">
                  <c:v>22</c:v>
                </c:pt>
                <c:pt idx="1">
                  <c:v>10</c:v>
                </c:pt>
                <c:pt idx="2">
                  <c:v>17</c:v>
                </c:pt>
                <c:pt idx="3">
                  <c:v>27</c:v>
                </c:pt>
                <c:pt idx="4">
                  <c:v>44</c:v>
                </c:pt>
                <c:pt idx="5">
                  <c:v>52</c:v>
                </c:pt>
                <c:pt idx="6">
                  <c:v>83</c:v>
                </c:pt>
                <c:pt idx="7">
                  <c:v>122</c:v>
                </c:pt>
                <c:pt idx="8">
                  <c:v>207</c:v>
                </c:pt>
                <c:pt idx="9">
                  <c:v>329</c:v>
                </c:pt>
                <c:pt idx="10">
                  <c:v>524</c:v>
                </c:pt>
                <c:pt idx="11">
                  <c:v>407</c:v>
                </c:pt>
                <c:pt idx="12">
                  <c:v>381</c:v>
                </c:pt>
                <c:pt idx="13">
                  <c:v>206</c:v>
                </c:pt>
                <c:pt idx="14">
                  <c:v>194</c:v>
                </c:pt>
                <c:pt idx="15">
                  <c:v>67</c:v>
                </c:pt>
                <c:pt idx="16">
                  <c:v>20</c:v>
                </c:pt>
                <c:pt idx="17">
                  <c:v>7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43043175"/>
        <c:axId val="51844256"/>
      </c:barChart>
      <c:lineChart>
        <c:grouping val="standard"/>
        <c:varyColors val="0"/>
        <c:ser>
          <c:idx val="1"/>
          <c:order val="1"/>
          <c:tx>
            <c:strRef>
              <c:f>'[1]SCENARIO #5'!$G$16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#5'!$G$18:$G$39</c:f>
              <c:numCache>
                <c:ptCount val="22"/>
                <c:pt idx="0">
                  <c:v>0.5625</c:v>
                </c:pt>
                <c:pt idx="1">
                  <c:v>0.535</c:v>
                </c:pt>
                <c:pt idx="2">
                  <c:v>0.5</c:v>
                </c:pt>
                <c:pt idx="3">
                  <c:v>0.46</c:v>
                </c:pt>
                <c:pt idx="4">
                  <c:v>0.4125</c:v>
                </c:pt>
                <c:pt idx="5">
                  <c:v>0.36</c:v>
                </c:pt>
                <c:pt idx="6">
                  <c:v>0.3</c:v>
                </c:pt>
                <c:pt idx="7">
                  <c:v>0.235</c:v>
                </c:pt>
                <c:pt idx="8">
                  <c:v>0.1625</c:v>
                </c:pt>
                <c:pt idx="9">
                  <c:v>0.085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'[1]SCENARIO #5'!$H$16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#5'!$H$18:$H$39</c:f>
              <c:numCache>
                <c:ptCount val="22"/>
                <c:pt idx="0">
                  <c:v>0.6</c:v>
                </c:pt>
                <c:pt idx="1">
                  <c:v>0.54</c:v>
                </c:pt>
                <c:pt idx="2">
                  <c:v>0.48</c:v>
                </c:pt>
                <c:pt idx="3">
                  <c:v>0.42</c:v>
                </c:pt>
                <c:pt idx="4">
                  <c:v>0.36</c:v>
                </c:pt>
                <c:pt idx="5">
                  <c:v>0.3</c:v>
                </c:pt>
                <c:pt idx="6">
                  <c:v>0.24</c:v>
                </c:pt>
                <c:pt idx="7">
                  <c:v>0.18</c:v>
                </c:pt>
                <c:pt idx="8">
                  <c:v>0.12</c:v>
                </c:pt>
                <c:pt idx="9">
                  <c:v>0.06</c:v>
                </c:pt>
                <c:pt idx="10">
                  <c:v>0</c:v>
                </c:pt>
                <c:pt idx="11">
                  <c:v>0.025</c:v>
                </c:pt>
                <c:pt idx="12">
                  <c:v>0.05</c:v>
                </c:pt>
                <c:pt idx="13">
                  <c:v>0.075</c:v>
                </c:pt>
                <c:pt idx="14">
                  <c:v>0.1</c:v>
                </c:pt>
                <c:pt idx="15">
                  <c:v>0.125</c:v>
                </c:pt>
                <c:pt idx="16">
                  <c:v>0.15</c:v>
                </c:pt>
                <c:pt idx="17">
                  <c:v>0.175</c:v>
                </c:pt>
                <c:pt idx="18">
                  <c:v>0.2</c:v>
                </c:pt>
                <c:pt idx="19">
                  <c:v>0.225</c:v>
                </c:pt>
                <c:pt idx="20">
                  <c:v>0.25</c:v>
                </c:pt>
                <c:pt idx="21">
                  <c:v>0.275</c:v>
                </c:pt>
              </c:numCache>
            </c:numRef>
          </c:val>
          <c:smooth val="0"/>
        </c:ser>
        <c:axId val="63945121"/>
        <c:axId val="38635178"/>
      </c:lineChart>
      <c:catAx>
        <c:axId val="4304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43175"/>
        <c:crossesAt val="1"/>
        <c:crossBetween val="between"/>
        <c:dispUnits/>
      </c:valAx>
      <c:catAx>
        <c:axId val="63945121"/>
        <c:scaling>
          <c:orientation val="minMax"/>
        </c:scaling>
        <c:axPos val="b"/>
        <c:delete val="1"/>
        <c:majorTickMark val="out"/>
        <c:minorTickMark val="none"/>
        <c:tickLblPos val="nextTo"/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451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5"/>
          <c:y val="0.16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"/>
          <c:w val="0.951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'C-7 SCENARIO #6'!$D$16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'C-7 SCENARIO #6'!$C$18:$C$39</c:f>
              <c:strCache/>
            </c:strRef>
          </c:cat>
          <c:val>
            <c:numRef>
              <c:f>'C-7 SCENARIO #6'!$D$18:$D$39</c:f>
              <c:numCache/>
            </c:numRef>
          </c:val>
        </c:ser>
        <c:axId val="12172283"/>
        <c:axId val="42441684"/>
      </c:barChart>
      <c:lineChart>
        <c:grouping val="standard"/>
        <c:varyColors val="0"/>
        <c:ser>
          <c:idx val="1"/>
          <c:order val="1"/>
          <c:tx>
            <c:strRef>
              <c:f>'C-7 SCENARIO #6'!$G$16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'C-7 SCENARIO #6'!$G$18:$G$39</c:f>
              <c:numCache/>
            </c:numRef>
          </c:val>
          <c:smooth val="0"/>
        </c:ser>
        <c:ser>
          <c:idx val="2"/>
          <c:order val="2"/>
          <c:tx>
            <c:strRef>
              <c:f>'C-7 SCENARIO #6'!$H$16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'C-7 SCENARIO #6'!$H$18:$H$39</c:f>
              <c:numCache/>
            </c:numRef>
          </c:val>
          <c:smooth val="0"/>
        </c:ser>
        <c:axId val="46430837"/>
        <c:axId val="15224350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41684"/>
        <c:crosses val="autoZero"/>
        <c:auto val="1"/>
        <c:lblOffset val="100"/>
        <c:noMultiLvlLbl val="0"/>
      </c:catAx>
      <c:valAx>
        <c:axId val="42441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72283"/>
        <c:crossesAt val="1"/>
        <c:crossBetween val="between"/>
        <c:dispUnits/>
      </c:valAx>
      <c:catAx>
        <c:axId val="46430837"/>
        <c:scaling>
          <c:orientation val="minMax"/>
        </c:scaling>
        <c:axPos val="b"/>
        <c:delete val="1"/>
        <c:majorTickMark val="out"/>
        <c:minorTickMark val="none"/>
        <c:tickLblPos val="nextTo"/>
        <c:crossAx val="15224350"/>
        <c:crosses val="autoZero"/>
        <c:auto val="1"/>
        <c:lblOffset val="100"/>
        <c:noMultiLvlLbl val="0"/>
      </c:catAx>
      <c:valAx>
        <c:axId val="15224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308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55"/>
          <c:y val="0.16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6325"/>
          <c:w val="0.951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'[1]SCENARIO #6'!$D$16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'[1]SCENARIO #6'!$C$18:$C$39</c:f>
              <c:strCache>
                <c:ptCount val="22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More</c:v>
                </c:pt>
              </c:strCache>
            </c:strRef>
          </c:cat>
          <c:val>
            <c:numRef>
              <c:f>'[1]SCENARIO #6'!$D$18:$D$39</c:f>
              <c:numCache>
                <c:ptCount val="22"/>
                <c:pt idx="0">
                  <c:v>30</c:v>
                </c:pt>
                <c:pt idx="1">
                  <c:v>12</c:v>
                </c:pt>
                <c:pt idx="2">
                  <c:v>11</c:v>
                </c:pt>
                <c:pt idx="3">
                  <c:v>2</c:v>
                </c:pt>
                <c:pt idx="4">
                  <c:v>17</c:v>
                </c:pt>
                <c:pt idx="5">
                  <c:v>31</c:v>
                </c:pt>
                <c:pt idx="6">
                  <c:v>107</c:v>
                </c:pt>
                <c:pt idx="7">
                  <c:v>345</c:v>
                </c:pt>
                <c:pt idx="8">
                  <c:v>728</c:v>
                </c:pt>
                <c:pt idx="9">
                  <c:v>1403</c:v>
                </c:pt>
                <c:pt idx="10">
                  <c:v>2675</c:v>
                </c:pt>
                <c:pt idx="11">
                  <c:v>710</c:v>
                </c:pt>
                <c:pt idx="12">
                  <c:v>395</c:v>
                </c:pt>
                <c:pt idx="13">
                  <c:v>128</c:v>
                </c:pt>
                <c:pt idx="14">
                  <c:v>105</c:v>
                </c:pt>
                <c:pt idx="15">
                  <c:v>44</c:v>
                </c:pt>
                <c:pt idx="16">
                  <c:v>27</c:v>
                </c:pt>
                <c:pt idx="17">
                  <c:v>10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</c:ser>
        <c:axId val="2801423"/>
        <c:axId val="25212808"/>
      </c:barChart>
      <c:lineChart>
        <c:grouping val="standard"/>
        <c:varyColors val="0"/>
        <c:ser>
          <c:idx val="1"/>
          <c:order val="1"/>
          <c:tx>
            <c:strRef>
              <c:f>'[1]SCENARIO #6'!$G$16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#6'!$G$18:$G$39</c:f>
              <c:numCache>
                <c:ptCount val="22"/>
                <c:pt idx="0">
                  <c:v>0.5625</c:v>
                </c:pt>
                <c:pt idx="1">
                  <c:v>0.535</c:v>
                </c:pt>
                <c:pt idx="2">
                  <c:v>0.5</c:v>
                </c:pt>
                <c:pt idx="3">
                  <c:v>0.46</c:v>
                </c:pt>
                <c:pt idx="4">
                  <c:v>0.4125</c:v>
                </c:pt>
                <c:pt idx="5">
                  <c:v>0.36</c:v>
                </c:pt>
                <c:pt idx="6">
                  <c:v>0.3</c:v>
                </c:pt>
                <c:pt idx="7">
                  <c:v>0.235</c:v>
                </c:pt>
                <c:pt idx="8">
                  <c:v>0.1625</c:v>
                </c:pt>
                <c:pt idx="9">
                  <c:v>0.085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'[1]SCENARIO #6'!$H$16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#6'!$H$18:$H$39</c:f>
              <c:numCache>
                <c:ptCount val="22"/>
                <c:pt idx="0">
                  <c:v>0.6</c:v>
                </c:pt>
                <c:pt idx="1">
                  <c:v>0.54</c:v>
                </c:pt>
                <c:pt idx="2">
                  <c:v>0.48</c:v>
                </c:pt>
                <c:pt idx="3">
                  <c:v>0.42</c:v>
                </c:pt>
                <c:pt idx="4">
                  <c:v>0.36</c:v>
                </c:pt>
                <c:pt idx="5">
                  <c:v>0.3</c:v>
                </c:pt>
                <c:pt idx="6">
                  <c:v>0.24</c:v>
                </c:pt>
                <c:pt idx="7">
                  <c:v>0.18</c:v>
                </c:pt>
                <c:pt idx="8">
                  <c:v>0.12</c:v>
                </c:pt>
                <c:pt idx="9">
                  <c:v>0.06</c:v>
                </c:pt>
                <c:pt idx="10">
                  <c:v>0</c:v>
                </c:pt>
                <c:pt idx="11">
                  <c:v>0.025</c:v>
                </c:pt>
                <c:pt idx="12">
                  <c:v>0.05</c:v>
                </c:pt>
                <c:pt idx="13">
                  <c:v>0.075</c:v>
                </c:pt>
                <c:pt idx="14">
                  <c:v>0.1</c:v>
                </c:pt>
                <c:pt idx="15">
                  <c:v>0.125</c:v>
                </c:pt>
                <c:pt idx="16">
                  <c:v>0.15</c:v>
                </c:pt>
                <c:pt idx="17">
                  <c:v>0.175</c:v>
                </c:pt>
                <c:pt idx="18">
                  <c:v>0.2</c:v>
                </c:pt>
                <c:pt idx="19">
                  <c:v>0.225</c:v>
                </c:pt>
                <c:pt idx="20">
                  <c:v>0.25</c:v>
                </c:pt>
                <c:pt idx="21">
                  <c:v>0.275</c:v>
                </c:pt>
              </c:numCache>
            </c:numRef>
          </c:val>
          <c:smooth val="0"/>
        </c:ser>
        <c:axId val="25588681"/>
        <c:axId val="28971538"/>
      </c:lineChart>
      <c:catAx>
        <c:axId val="2801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12808"/>
        <c:crosses val="autoZero"/>
        <c:auto val="1"/>
        <c:lblOffset val="100"/>
        <c:noMultiLvlLbl val="0"/>
      </c:catAx>
      <c:valAx>
        <c:axId val="2521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1423"/>
        <c:crossesAt val="1"/>
        <c:crossBetween val="between"/>
        <c:dispUnits/>
      </c:valAx>
      <c:catAx>
        <c:axId val="25588681"/>
        <c:scaling>
          <c:orientation val="minMax"/>
        </c:scaling>
        <c:axPos val="b"/>
        <c:delete val="1"/>
        <c:majorTickMark val="out"/>
        <c:minorTickMark val="none"/>
        <c:tickLblPos val="nextTo"/>
        <c:crossAx val="28971538"/>
        <c:crosses val="autoZero"/>
        <c:auto val="1"/>
        <c:lblOffset val="100"/>
        <c:noMultiLvlLbl val="0"/>
      </c:catAx>
      <c:valAx>
        <c:axId val="28971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886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5"/>
          <c:y val="0.16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3975"/>
          <c:w val="0.9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'C-2 SCENARIO #1'!$D$14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'C-2 SCENARIO #1'!$C$16:$C$37</c:f>
              <c:strCache/>
            </c:strRef>
          </c:cat>
          <c:val>
            <c:numRef>
              <c:f>'C-2 SCENARIO #1'!$D$16:$D$37</c:f>
              <c:numCache/>
            </c:numRef>
          </c:val>
        </c:ser>
        <c:axId val="65319287"/>
        <c:axId val="51002672"/>
      </c:barChart>
      <c:lineChart>
        <c:grouping val="standard"/>
        <c:varyColors val="0"/>
        <c:ser>
          <c:idx val="1"/>
          <c:order val="1"/>
          <c:tx>
            <c:strRef>
              <c:f>'C-2 SCENARIO #1'!$G$14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'C-2 SCENARIO #1'!$G$16:$G$37</c:f>
              <c:numCache/>
            </c:numRef>
          </c:val>
          <c:smooth val="0"/>
        </c:ser>
        <c:ser>
          <c:idx val="2"/>
          <c:order val="2"/>
          <c:tx>
            <c:strRef>
              <c:f>'C-2 SCENARIO #1'!$H$14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'C-2 SCENARIO #1'!$H$16:$H$37</c:f>
              <c:numCache/>
            </c:numRef>
          </c:val>
          <c:smooth val="0"/>
        </c:ser>
        <c:axId val="56370865"/>
        <c:axId val="37575738"/>
      </c:line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19287"/>
        <c:crossesAt val="1"/>
        <c:crossBetween val="between"/>
        <c:dispUnits/>
      </c:valAx>
      <c:catAx>
        <c:axId val="5637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708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55"/>
          <c:y val="0.17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TRAILER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125"/>
          <c:w val="0.9522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'[1]SCENARIO #1'!$D$40:$D$41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'[1]SCENARIO #1'!$C$42:$C$63</c:f>
              <c:strCache>
                <c:ptCount val="22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More</c:v>
                </c:pt>
              </c:strCache>
            </c:strRef>
          </c:cat>
          <c:val>
            <c:numRef>
              <c:f>'[1]SCENARIO #1'!$D$42:$D$63</c:f>
              <c:numCache>
                <c:ptCount val="22"/>
                <c:pt idx="0">
                  <c:v>8</c:v>
                </c:pt>
                <c:pt idx="1">
                  <c:v>1</c:v>
                </c:pt>
                <c:pt idx="2">
                  <c:v>9</c:v>
                </c:pt>
                <c:pt idx="3">
                  <c:v>12</c:v>
                </c:pt>
                <c:pt idx="4">
                  <c:v>82</c:v>
                </c:pt>
                <c:pt idx="5">
                  <c:v>39</c:v>
                </c:pt>
                <c:pt idx="6">
                  <c:v>49</c:v>
                </c:pt>
                <c:pt idx="7">
                  <c:v>144</c:v>
                </c:pt>
                <c:pt idx="8">
                  <c:v>381</c:v>
                </c:pt>
                <c:pt idx="9">
                  <c:v>621</c:v>
                </c:pt>
                <c:pt idx="10">
                  <c:v>580</c:v>
                </c:pt>
                <c:pt idx="11">
                  <c:v>172</c:v>
                </c:pt>
                <c:pt idx="12">
                  <c:v>150</c:v>
                </c:pt>
                <c:pt idx="13">
                  <c:v>36</c:v>
                </c:pt>
                <c:pt idx="14">
                  <c:v>5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637323"/>
        <c:axId val="23735908"/>
      </c:barChart>
      <c:lineChart>
        <c:grouping val="standard"/>
        <c:varyColors val="0"/>
        <c:ser>
          <c:idx val="1"/>
          <c:order val="1"/>
          <c:tx>
            <c:strRef>
              <c:f>'[1]SCENARIO #1'!$G$40:$G$41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#1'!$G$42:$G$63</c:f>
              <c:numCache>
                <c:ptCount val="22"/>
                <c:pt idx="0">
                  <c:v>0.5625</c:v>
                </c:pt>
                <c:pt idx="1">
                  <c:v>0.535</c:v>
                </c:pt>
                <c:pt idx="2">
                  <c:v>0.5</c:v>
                </c:pt>
                <c:pt idx="3">
                  <c:v>0.46</c:v>
                </c:pt>
                <c:pt idx="4">
                  <c:v>0.4125</c:v>
                </c:pt>
                <c:pt idx="5">
                  <c:v>0.36</c:v>
                </c:pt>
                <c:pt idx="6">
                  <c:v>0.3</c:v>
                </c:pt>
                <c:pt idx="7">
                  <c:v>0.235</c:v>
                </c:pt>
                <c:pt idx="8">
                  <c:v>0.1625</c:v>
                </c:pt>
                <c:pt idx="9">
                  <c:v>0.085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'[1]SCENARIO #1'!$H$40:$H$41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#1'!$H$42:$H$63</c:f>
              <c:numCache>
                <c:ptCount val="22"/>
                <c:pt idx="0">
                  <c:v>0.6</c:v>
                </c:pt>
                <c:pt idx="1">
                  <c:v>0.54</c:v>
                </c:pt>
                <c:pt idx="2">
                  <c:v>0.48</c:v>
                </c:pt>
                <c:pt idx="3">
                  <c:v>0.42</c:v>
                </c:pt>
                <c:pt idx="4">
                  <c:v>0.36</c:v>
                </c:pt>
                <c:pt idx="5">
                  <c:v>0.3</c:v>
                </c:pt>
                <c:pt idx="6">
                  <c:v>0.24</c:v>
                </c:pt>
                <c:pt idx="7">
                  <c:v>0.18</c:v>
                </c:pt>
                <c:pt idx="8">
                  <c:v>0.12</c:v>
                </c:pt>
                <c:pt idx="9">
                  <c:v>0.06</c:v>
                </c:pt>
                <c:pt idx="10">
                  <c:v>0</c:v>
                </c:pt>
                <c:pt idx="11">
                  <c:v>0.025</c:v>
                </c:pt>
                <c:pt idx="12">
                  <c:v>0.05</c:v>
                </c:pt>
                <c:pt idx="13">
                  <c:v>0.075</c:v>
                </c:pt>
                <c:pt idx="14">
                  <c:v>0.1</c:v>
                </c:pt>
                <c:pt idx="15">
                  <c:v>0.125</c:v>
                </c:pt>
                <c:pt idx="16">
                  <c:v>0.15</c:v>
                </c:pt>
                <c:pt idx="17">
                  <c:v>0.175</c:v>
                </c:pt>
                <c:pt idx="18">
                  <c:v>0.2</c:v>
                </c:pt>
                <c:pt idx="19">
                  <c:v>0.225</c:v>
                </c:pt>
                <c:pt idx="20">
                  <c:v>0.25</c:v>
                </c:pt>
                <c:pt idx="21">
                  <c:v>0.275</c:v>
                </c:pt>
              </c:numCache>
            </c:numRef>
          </c:val>
          <c:smooth val="0"/>
        </c:ser>
        <c:axId val="12296581"/>
        <c:axId val="43560366"/>
      </c:lineChart>
      <c:catAx>
        <c:axId val="263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7323"/>
        <c:crossesAt val="1"/>
        <c:crossBetween val="between"/>
        <c:dispUnits/>
      </c:valAx>
      <c:catAx>
        <c:axId val="1229658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965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5"/>
          <c:y val="0.16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125"/>
          <c:w val="0.9512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'[1]SCENARIO #1'!$D$14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'[1]SCENARIO #1'!$C$16:$C$37</c:f>
              <c:strCache>
                <c:ptCount val="22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More</c:v>
                </c:pt>
              </c:strCache>
            </c:strRef>
          </c:cat>
          <c:val>
            <c:numRef>
              <c:f>'[1]SCENARIO #1'!$D$16:$D$37</c:f>
              <c:numCache>
                <c:ptCount val="22"/>
                <c:pt idx="0">
                  <c:v>34</c:v>
                </c:pt>
                <c:pt idx="1">
                  <c:v>11</c:v>
                </c:pt>
                <c:pt idx="2">
                  <c:v>12</c:v>
                </c:pt>
                <c:pt idx="3">
                  <c:v>18</c:v>
                </c:pt>
                <c:pt idx="4">
                  <c:v>36</c:v>
                </c:pt>
                <c:pt idx="5">
                  <c:v>104</c:v>
                </c:pt>
                <c:pt idx="6">
                  <c:v>258</c:v>
                </c:pt>
                <c:pt idx="7">
                  <c:v>442</c:v>
                </c:pt>
                <c:pt idx="8">
                  <c:v>807</c:v>
                </c:pt>
                <c:pt idx="9">
                  <c:v>1333</c:v>
                </c:pt>
                <c:pt idx="10">
                  <c:v>2171</c:v>
                </c:pt>
                <c:pt idx="11">
                  <c:v>828</c:v>
                </c:pt>
                <c:pt idx="12">
                  <c:v>243</c:v>
                </c:pt>
                <c:pt idx="13">
                  <c:v>49</c:v>
                </c:pt>
                <c:pt idx="14">
                  <c:v>26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56498975"/>
        <c:axId val="38728728"/>
      </c:barChart>
      <c:lineChart>
        <c:grouping val="standard"/>
        <c:varyColors val="0"/>
        <c:ser>
          <c:idx val="1"/>
          <c:order val="1"/>
          <c:tx>
            <c:strRef>
              <c:f>'[1]SCENARIO #1'!$G$14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#1'!$G$16:$G$37</c:f>
              <c:numCache>
                <c:ptCount val="22"/>
                <c:pt idx="0">
                  <c:v>0.5625</c:v>
                </c:pt>
                <c:pt idx="1">
                  <c:v>0.535</c:v>
                </c:pt>
                <c:pt idx="2">
                  <c:v>0.5</c:v>
                </c:pt>
                <c:pt idx="3">
                  <c:v>0.46</c:v>
                </c:pt>
                <c:pt idx="4">
                  <c:v>0.4125</c:v>
                </c:pt>
                <c:pt idx="5">
                  <c:v>0.36</c:v>
                </c:pt>
                <c:pt idx="6">
                  <c:v>0.3</c:v>
                </c:pt>
                <c:pt idx="7">
                  <c:v>0.235</c:v>
                </c:pt>
                <c:pt idx="8">
                  <c:v>0.1625</c:v>
                </c:pt>
                <c:pt idx="9">
                  <c:v>0.085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'[1]SCENARIO #1'!$H$14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#1'!$H$16:$H$37</c:f>
              <c:numCache>
                <c:ptCount val="22"/>
                <c:pt idx="0">
                  <c:v>0.6</c:v>
                </c:pt>
                <c:pt idx="1">
                  <c:v>0.54</c:v>
                </c:pt>
                <c:pt idx="2">
                  <c:v>0.48</c:v>
                </c:pt>
                <c:pt idx="3">
                  <c:v>0.42</c:v>
                </c:pt>
                <c:pt idx="4">
                  <c:v>0.36</c:v>
                </c:pt>
                <c:pt idx="5">
                  <c:v>0.3</c:v>
                </c:pt>
                <c:pt idx="6">
                  <c:v>0.24</c:v>
                </c:pt>
                <c:pt idx="7">
                  <c:v>0.18</c:v>
                </c:pt>
                <c:pt idx="8">
                  <c:v>0.12</c:v>
                </c:pt>
                <c:pt idx="9">
                  <c:v>0.06</c:v>
                </c:pt>
                <c:pt idx="10">
                  <c:v>0</c:v>
                </c:pt>
                <c:pt idx="11">
                  <c:v>0.025</c:v>
                </c:pt>
                <c:pt idx="12">
                  <c:v>0.05</c:v>
                </c:pt>
                <c:pt idx="13">
                  <c:v>0.075</c:v>
                </c:pt>
                <c:pt idx="14">
                  <c:v>0.1</c:v>
                </c:pt>
                <c:pt idx="15">
                  <c:v>0.125</c:v>
                </c:pt>
                <c:pt idx="16">
                  <c:v>0.15</c:v>
                </c:pt>
                <c:pt idx="17">
                  <c:v>0.175</c:v>
                </c:pt>
                <c:pt idx="18">
                  <c:v>0.2</c:v>
                </c:pt>
                <c:pt idx="19">
                  <c:v>0.225</c:v>
                </c:pt>
                <c:pt idx="20">
                  <c:v>0.25</c:v>
                </c:pt>
                <c:pt idx="21">
                  <c:v>0.275</c:v>
                </c:pt>
              </c:numCache>
            </c:numRef>
          </c:val>
          <c:smooth val="0"/>
        </c:ser>
        <c:axId val="13014233"/>
        <c:axId val="50019234"/>
      </c:lineChart>
      <c:catAx>
        <c:axId val="5649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28728"/>
        <c:crosses val="autoZero"/>
        <c:auto val="1"/>
        <c:lblOffset val="100"/>
        <c:noMultiLvlLbl val="0"/>
      </c:catAx>
      <c:valAx>
        <c:axId val="3872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98975"/>
        <c:crossesAt val="1"/>
        <c:crossBetween val="between"/>
        <c:dispUnits/>
      </c:valAx>
      <c:catAx>
        <c:axId val="13014233"/>
        <c:scaling>
          <c:orientation val="minMax"/>
        </c:scaling>
        <c:axPos val="b"/>
        <c:delete val="1"/>
        <c:majorTickMark val="out"/>
        <c:minorTickMark val="none"/>
        <c:tickLblPos val="nextTo"/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142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5"/>
          <c:y val="0.1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TRAILER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45"/>
          <c:w val="0.951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'C-3 SCENARIO #2'!$D$43:$D$44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'C-3 SCENARIO #2'!$C$45:$C$66</c:f>
              <c:strCache/>
            </c:strRef>
          </c:cat>
          <c:val>
            <c:numRef>
              <c:f>'C-3 SCENARIO #2'!$D$45:$D$66</c:f>
              <c:numCache/>
            </c:numRef>
          </c:val>
        </c:ser>
        <c:axId val="47519923"/>
        <c:axId val="25026124"/>
      </c:barChart>
      <c:lineChart>
        <c:grouping val="standard"/>
        <c:varyColors val="0"/>
        <c:ser>
          <c:idx val="1"/>
          <c:order val="1"/>
          <c:tx>
            <c:strRef>
              <c:f>'C-3 SCENARIO #2'!$G$43:$G$44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'C-3 SCENARIO #2'!$G$45:$G$66</c:f>
              <c:numCache/>
            </c:numRef>
          </c:val>
          <c:smooth val="0"/>
        </c:ser>
        <c:ser>
          <c:idx val="2"/>
          <c:order val="2"/>
          <c:tx>
            <c:strRef>
              <c:f>'C-3 SCENARIO #2'!$H$43:$H$44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'C-3 SCENARIO #2'!$H$45:$H$66</c:f>
              <c:numCache/>
            </c:numRef>
          </c:val>
          <c:smooth val="0"/>
        </c:ser>
        <c:axId val="23908525"/>
        <c:axId val="13850134"/>
      </c:line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26124"/>
        <c:crosses val="autoZero"/>
        <c:auto val="1"/>
        <c:lblOffset val="100"/>
        <c:noMultiLvlLbl val="0"/>
      </c:catAx>
      <c:valAx>
        <c:axId val="25026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19923"/>
        <c:crossesAt val="1"/>
        <c:crossBetween val="between"/>
        <c:dispUnits/>
      </c:valAx>
      <c:catAx>
        <c:axId val="23908525"/>
        <c:scaling>
          <c:orientation val="minMax"/>
        </c:scaling>
        <c:axPos val="b"/>
        <c:delete val="1"/>
        <c:majorTickMark val="out"/>
        <c:minorTickMark val="none"/>
        <c:tickLblPos val="nextTo"/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085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15"/>
          <c:y val="0.16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345"/>
          <c:w val="0.9507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'C-3 SCENARIO #2'!$D$16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'C-3 SCENARIO #2'!$C$18:$C$39</c:f>
              <c:strCache/>
            </c:strRef>
          </c:cat>
          <c:val>
            <c:numRef>
              <c:f>'C-3 SCENARIO #2'!$D$18:$D$39</c:f>
              <c:numCache/>
            </c:numRef>
          </c:val>
        </c:ser>
        <c:axId val="57542343"/>
        <c:axId val="48119040"/>
      </c:barChart>
      <c:lineChart>
        <c:grouping val="standard"/>
        <c:varyColors val="0"/>
        <c:ser>
          <c:idx val="1"/>
          <c:order val="1"/>
          <c:tx>
            <c:strRef>
              <c:f>'C-3 SCENARIO #2'!$G$16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'C-3 SCENARIO #2'!$G$18:$G$39</c:f>
              <c:numCache/>
            </c:numRef>
          </c:val>
          <c:smooth val="0"/>
        </c:ser>
        <c:ser>
          <c:idx val="2"/>
          <c:order val="2"/>
          <c:tx>
            <c:strRef>
              <c:f>'C-3 SCENARIO #2'!$H$16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'C-3 SCENARIO #2'!$H$18:$H$39</c:f>
              <c:numCache/>
            </c:numRef>
          </c:val>
          <c:smooth val="0"/>
        </c:ser>
        <c:axId val="30418177"/>
        <c:axId val="5328138"/>
      </c:line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42343"/>
        <c:crossesAt val="1"/>
        <c:crossBetween val="between"/>
        <c:dispUnits/>
      </c:valAx>
      <c:catAx>
        <c:axId val="30418177"/>
        <c:scaling>
          <c:orientation val="minMax"/>
        </c:scaling>
        <c:axPos val="b"/>
        <c:delete val="1"/>
        <c:majorTickMark val="out"/>
        <c:minorTickMark val="none"/>
        <c:tickLblPos val="nextTo"/>
        <c:crossAx val="5328138"/>
        <c:crosses val="autoZero"/>
        <c:auto val="1"/>
        <c:lblOffset val="100"/>
        <c:noMultiLvlLbl val="0"/>
      </c:catAx>
      <c:valAx>
        <c:axId val="5328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181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5"/>
          <c:y val="0.1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TRAILER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5275"/>
          <c:w val="0.9522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'[1]SCENARIO #2'!$D$43:$D$44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'[1]SCENARIO #2'!$C$45:$C$66</c:f>
              <c:strCache>
                <c:ptCount val="22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More</c:v>
                </c:pt>
              </c:strCache>
            </c:strRef>
          </c:cat>
          <c:val>
            <c:numRef>
              <c:f>'[1]SCENARIO #2'!$D$45:$D$66</c:f>
              <c:numCache>
                <c:ptCount val="22"/>
                <c:pt idx="0">
                  <c:v>25</c:v>
                </c:pt>
                <c:pt idx="1">
                  <c:v>9</c:v>
                </c:pt>
                <c:pt idx="2">
                  <c:v>11</c:v>
                </c:pt>
                <c:pt idx="3">
                  <c:v>20</c:v>
                </c:pt>
                <c:pt idx="4">
                  <c:v>32</c:v>
                </c:pt>
                <c:pt idx="5">
                  <c:v>36</c:v>
                </c:pt>
                <c:pt idx="6">
                  <c:v>103</c:v>
                </c:pt>
                <c:pt idx="7">
                  <c:v>227</c:v>
                </c:pt>
                <c:pt idx="8">
                  <c:v>679</c:v>
                </c:pt>
                <c:pt idx="9">
                  <c:v>692</c:v>
                </c:pt>
                <c:pt idx="10">
                  <c:v>948</c:v>
                </c:pt>
                <c:pt idx="11">
                  <c:v>866</c:v>
                </c:pt>
                <c:pt idx="12">
                  <c:v>591</c:v>
                </c:pt>
                <c:pt idx="13">
                  <c:v>213</c:v>
                </c:pt>
                <c:pt idx="14">
                  <c:v>59</c:v>
                </c:pt>
                <c:pt idx="15">
                  <c:v>26</c:v>
                </c:pt>
                <c:pt idx="16">
                  <c:v>12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47953243"/>
        <c:axId val="28926004"/>
      </c:barChart>
      <c:lineChart>
        <c:grouping val="standard"/>
        <c:varyColors val="0"/>
        <c:ser>
          <c:idx val="1"/>
          <c:order val="1"/>
          <c:tx>
            <c:strRef>
              <c:f>'[1]SCENARIO #2'!$G$43:$G$44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#2'!$G$45:$G$66</c:f>
              <c:numCache>
                <c:ptCount val="22"/>
                <c:pt idx="0">
                  <c:v>0.5625</c:v>
                </c:pt>
                <c:pt idx="1">
                  <c:v>0.535</c:v>
                </c:pt>
                <c:pt idx="2">
                  <c:v>0.5</c:v>
                </c:pt>
                <c:pt idx="3">
                  <c:v>0.46</c:v>
                </c:pt>
                <c:pt idx="4">
                  <c:v>0.4125</c:v>
                </c:pt>
                <c:pt idx="5">
                  <c:v>0.36</c:v>
                </c:pt>
                <c:pt idx="6">
                  <c:v>0.3</c:v>
                </c:pt>
                <c:pt idx="7">
                  <c:v>0.235</c:v>
                </c:pt>
                <c:pt idx="8">
                  <c:v>0.1625</c:v>
                </c:pt>
                <c:pt idx="9">
                  <c:v>0.085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'[1]SCENARIO #2'!$H$43:$H$44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#2'!$H$45:$H$66</c:f>
              <c:numCache>
                <c:ptCount val="22"/>
                <c:pt idx="0">
                  <c:v>0.6</c:v>
                </c:pt>
                <c:pt idx="1">
                  <c:v>0.54</c:v>
                </c:pt>
                <c:pt idx="2">
                  <c:v>0.48</c:v>
                </c:pt>
                <c:pt idx="3">
                  <c:v>0.42</c:v>
                </c:pt>
                <c:pt idx="4">
                  <c:v>0.36</c:v>
                </c:pt>
                <c:pt idx="5">
                  <c:v>0.3</c:v>
                </c:pt>
                <c:pt idx="6">
                  <c:v>0.24</c:v>
                </c:pt>
                <c:pt idx="7">
                  <c:v>0.18</c:v>
                </c:pt>
                <c:pt idx="8">
                  <c:v>0.12</c:v>
                </c:pt>
                <c:pt idx="9">
                  <c:v>0.06</c:v>
                </c:pt>
                <c:pt idx="10">
                  <c:v>0</c:v>
                </c:pt>
                <c:pt idx="11">
                  <c:v>0.025</c:v>
                </c:pt>
                <c:pt idx="12">
                  <c:v>0.05</c:v>
                </c:pt>
                <c:pt idx="13">
                  <c:v>0.075</c:v>
                </c:pt>
                <c:pt idx="14">
                  <c:v>0.1</c:v>
                </c:pt>
                <c:pt idx="15">
                  <c:v>0.125</c:v>
                </c:pt>
                <c:pt idx="16">
                  <c:v>0.15</c:v>
                </c:pt>
                <c:pt idx="17">
                  <c:v>0.175</c:v>
                </c:pt>
                <c:pt idx="18">
                  <c:v>0.2</c:v>
                </c:pt>
                <c:pt idx="19">
                  <c:v>0.225</c:v>
                </c:pt>
                <c:pt idx="20">
                  <c:v>0.25</c:v>
                </c:pt>
                <c:pt idx="21">
                  <c:v>0.275</c:v>
                </c:pt>
              </c:numCache>
            </c:numRef>
          </c:val>
          <c:smooth val="0"/>
        </c:ser>
        <c:axId val="59007445"/>
        <c:axId val="61304958"/>
      </c:lineChart>
      <c:catAx>
        <c:axId val="4795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 val="autoZero"/>
        <c:auto val="1"/>
        <c:lblOffset val="100"/>
        <c:noMultiLvlLbl val="0"/>
      </c:catAx>
      <c:valAx>
        <c:axId val="28926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53243"/>
        <c:crossesAt val="1"/>
        <c:crossBetween val="between"/>
        <c:dispUnits/>
      </c:valAx>
      <c:catAx>
        <c:axId val="59007445"/>
        <c:scaling>
          <c:orientation val="minMax"/>
        </c:scaling>
        <c:axPos val="b"/>
        <c:delete val="1"/>
        <c:majorTickMark val="out"/>
        <c:minorTickMark val="none"/>
        <c:tickLblPos val="nextTo"/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074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5"/>
          <c:y val="0.17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275"/>
          <c:w val="0.9512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'[1]SCENARIO #2'!$D$16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'[1]SCENARIO #2'!$C$18:$C$39</c:f>
              <c:strCache>
                <c:ptCount val="22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More</c:v>
                </c:pt>
              </c:strCache>
            </c:strRef>
          </c:cat>
          <c:val>
            <c:numRef>
              <c:f>'[1]SCENARIO #2'!$D$18:$D$39</c:f>
              <c:numCache>
                <c:ptCount val="22"/>
                <c:pt idx="0">
                  <c:v>57</c:v>
                </c:pt>
                <c:pt idx="1">
                  <c:v>7</c:v>
                </c:pt>
                <c:pt idx="2">
                  <c:v>37</c:v>
                </c:pt>
                <c:pt idx="3">
                  <c:v>44</c:v>
                </c:pt>
                <c:pt idx="4">
                  <c:v>76</c:v>
                </c:pt>
                <c:pt idx="5">
                  <c:v>103</c:v>
                </c:pt>
                <c:pt idx="6">
                  <c:v>113</c:v>
                </c:pt>
                <c:pt idx="7">
                  <c:v>253</c:v>
                </c:pt>
                <c:pt idx="8">
                  <c:v>550</c:v>
                </c:pt>
                <c:pt idx="9">
                  <c:v>931</c:v>
                </c:pt>
                <c:pt idx="10">
                  <c:v>1442</c:v>
                </c:pt>
                <c:pt idx="11">
                  <c:v>1485</c:v>
                </c:pt>
                <c:pt idx="12">
                  <c:v>687</c:v>
                </c:pt>
                <c:pt idx="13">
                  <c:v>180</c:v>
                </c:pt>
                <c:pt idx="14">
                  <c:v>41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4873711"/>
        <c:axId val="66754536"/>
      </c:barChart>
      <c:lineChart>
        <c:grouping val="standard"/>
        <c:varyColors val="0"/>
        <c:ser>
          <c:idx val="1"/>
          <c:order val="1"/>
          <c:tx>
            <c:strRef>
              <c:f>'[1]SCENARIO #2'!$G$16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#2'!$G$18:$G$39</c:f>
              <c:numCache>
                <c:ptCount val="22"/>
                <c:pt idx="0">
                  <c:v>0.5625</c:v>
                </c:pt>
                <c:pt idx="1">
                  <c:v>0.535</c:v>
                </c:pt>
                <c:pt idx="2">
                  <c:v>0.5</c:v>
                </c:pt>
                <c:pt idx="3">
                  <c:v>0.46</c:v>
                </c:pt>
                <c:pt idx="4">
                  <c:v>0.4125</c:v>
                </c:pt>
                <c:pt idx="5">
                  <c:v>0.36</c:v>
                </c:pt>
                <c:pt idx="6">
                  <c:v>0.3</c:v>
                </c:pt>
                <c:pt idx="7">
                  <c:v>0.235</c:v>
                </c:pt>
                <c:pt idx="8">
                  <c:v>0.1625</c:v>
                </c:pt>
                <c:pt idx="9">
                  <c:v>0.085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'[1]SCENARIO #2'!$H$16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'[1]SCENARIO #2'!$H$18:$H$39</c:f>
              <c:numCache>
                <c:ptCount val="22"/>
                <c:pt idx="0">
                  <c:v>0.6</c:v>
                </c:pt>
                <c:pt idx="1">
                  <c:v>0.54</c:v>
                </c:pt>
                <c:pt idx="2">
                  <c:v>0.48</c:v>
                </c:pt>
                <c:pt idx="3">
                  <c:v>0.42</c:v>
                </c:pt>
                <c:pt idx="4">
                  <c:v>0.36</c:v>
                </c:pt>
                <c:pt idx="5">
                  <c:v>0.3</c:v>
                </c:pt>
                <c:pt idx="6">
                  <c:v>0.24</c:v>
                </c:pt>
                <c:pt idx="7">
                  <c:v>0.18</c:v>
                </c:pt>
                <c:pt idx="8">
                  <c:v>0.12</c:v>
                </c:pt>
                <c:pt idx="9">
                  <c:v>0.06</c:v>
                </c:pt>
                <c:pt idx="10">
                  <c:v>0</c:v>
                </c:pt>
                <c:pt idx="11">
                  <c:v>0.025</c:v>
                </c:pt>
                <c:pt idx="12">
                  <c:v>0.05</c:v>
                </c:pt>
                <c:pt idx="13">
                  <c:v>0.075</c:v>
                </c:pt>
                <c:pt idx="14">
                  <c:v>0.1</c:v>
                </c:pt>
                <c:pt idx="15">
                  <c:v>0.125</c:v>
                </c:pt>
                <c:pt idx="16">
                  <c:v>0.15</c:v>
                </c:pt>
                <c:pt idx="17">
                  <c:v>0.175</c:v>
                </c:pt>
                <c:pt idx="18">
                  <c:v>0.2</c:v>
                </c:pt>
                <c:pt idx="19">
                  <c:v>0.225</c:v>
                </c:pt>
                <c:pt idx="20">
                  <c:v>0.25</c:v>
                </c:pt>
                <c:pt idx="21">
                  <c:v>0.275</c:v>
                </c:pt>
              </c:numCache>
            </c:numRef>
          </c:val>
          <c:smooth val="0"/>
        </c:ser>
        <c:axId val="63919913"/>
        <c:axId val="38408306"/>
      </c:lineChart>
      <c:catAx>
        <c:axId val="1487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73711"/>
        <c:crossesAt val="1"/>
        <c:crossBetween val="between"/>
        <c:dispUnits/>
      </c:valAx>
      <c:catAx>
        <c:axId val="63919913"/>
        <c:scaling>
          <c:orientation val="minMax"/>
        </c:scaling>
        <c:axPos val="b"/>
        <c:delete val="1"/>
        <c:majorTickMark val="out"/>
        <c:minorTickMark val="none"/>
        <c:tickLblPos val="nextTo"/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5"/>
          <c:y val="0.1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TRACTOR TIRES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05"/>
          <c:w val="0.951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'C-4 SCENARIO #3'!$D$16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'C-4 SCENARIO #3'!$C$18:$C$39</c:f>
              <c:strCache/>
            </c:strRef>
          </c:cat>
          <c:val>
            <c:numRef>
              <c:f>'C-4 SCENARIO #3'!$D$18:$D$39</c:f>
              <c:numCache/>
            </c:numRef>
          </c:val>
        </c:ser>
        <c:axId val="10130435"/>
        <c:axId val="24065052"/>
      </c:barChart>
      <c:lineChart>
        <c:grouping val="standard"/>
        <c:varyColors val="0"/>
        <c:ser>
          <c:idx val="1"/>
          <c:order val="1"/>
          <c:tx>
            <c:strRef>
              <c:f>'C-4 SCENARIO #3'!$G$16</c:f>
              <c:strCache>
                <c:ptCount val="1"/>
                <c:pt idx="0">
                  <c:v>Tire Life Reduction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'C-4 SCENARIO #3'!$G$18:$G$39</c:f>
              <c:numCache/>
            </c:numRef>
          </c:val>
          <c:smooth val="0"/>
        </c:ser>
        <c:ser>
          <c:idx val="2"/>
          <c:order val="2"/>
          <c:tx>
            <c:strRef>
              <c:f>'C-4 SCENARIO #3'!$H$16</c:f>
              <c:strCache>
                <c:ptCount val="1"/>
                <c:pt idx="0">
                  <c:v>Tread Wear Increase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'C-4 SCENARIO #3'!$H$18:$H$39</c:f>
              <c:numCache/>
            </c:numRef>
          </c:val>
          <c:smooth val="0"/>
        </c:ser>
        <c:axId val="15258877"/>
        <c:axId val="3112166"/>
      </c:line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30435"/>
        <c:crossesAt val="1"/>
        <c:crossBetween val="between"/>
        <c:dispUnits/>
      </c:valAx>
      <c:catAx>
        <c:axId val="15258877"/>
        <c:scaling>
          <c:orientation val="minMax"/>
        </c:scaling>
        <c:axPos val="b"/>
        <c:delete val="1"/>
        <c:majorTickMark val="out"/>
        <c:minorTickMark val="none"/>
        <c:tickLblPos val="nextTo"/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588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5"/>
          <c:y val="0.16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86</xdr:row>
      <xdr:rowOff>152400</xdr:rowOff>
    </xdr:from>
    <xdr:to>
      <xdr:col>12</xdr:col>
      <xdr:colOff>0</xdr:colOff>
      <xdr:row>110</xdr:row>
      <xdr:rowOff>152400</xdr:rowOff>
    </xdr:to>
    <xdr:graphicFrame>
      <xdr:nvGraphicFramePr>
        <xdr:cNvPr id="1" name="Chart 1"/>
        <xdr:cNvGraphicFramePr/>
      </xdr:nvGraphicFramePr>
      <xdr:xfrm>
        <a:off x="6419850" y="15668625"/>
        <a:ext cx="5353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86</xdr:row>
      <xdr:rowOff>152400</xdr:rowOff>
    </xdr:from>
    <xdr:to>
      <xdr:col>6</xdr:col>
      <xdr:colOff>304800</xdr:colOff>
      <xdr:row>110</xdr:row>
      <xdr:rowOff>152400</xdr:rowOff>
    </xdr:to>
    <xdr:graphicFrame>
      <xdr:nvGraphicFramePr>
        <xdr:cNvPr id="2" name="Chart 2"/>
        <xdr:cNvGraphicFramePr/>
      </xdr:nvGraphicFramePr>
      <xdr:xfrm>
        <a:off x="981075" y="15668625"/>
        <a:ext cx="52101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87</xdr:row>
      <xdr:rowOff>152400</xdr:rowOff>
    </xdr:from>
    <xdr:to>
      <xdr:col>12</xdr:col>
      <xdr:colOff>0</xdr:colOff>
      <xdr:row>107</xdr:row>
      <xdr:rowOff>133350</xdr:rowOff>
    </xdr:to>
    <xdr:graphicFrame>
      <xdr:nvGraphicFramePr>
        <xdr:cNvPr id="3" name="Chart 5"/>
        <xdr:cNvGraphicFramePr/>
      </xdr:nvGraphicFramePr>
      <xdr:xfrm>
        <a:off x="6419850" y="15830550"/>
        <a:ext cx="535305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87</xdr:row>
      <xdr:rowOff>152400</xdr:rowOff>
    </xdr:from>
    <xdr:to>
      <xdr:col>6</xdr:col>
      <xdr:colOff>304800</xdr:colOff>
      <xdr:row>107</xdr:row>
      <xdr:rowOff>133350</xdr:rowOff>
    </xdr:to>
    <xdr:graphicFrame>
      <xdr:nvGraphicFramePr>
        <xdr:cNvPr id="4" name="Chart 6"/>
        <xdr:cNvGraphicFramePr/>
      </xdr:nvGraphicFramePr>
      <xdr:xfrm>
        <a:off x="981075" y="15830550"/>
        <a:ext cx="521017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90</xdr:row>
      <xdr:rowOff>0</xdr:rowOff>
    </xdr:from>
    <xdr:to>
      <xdr:col>12</xdr:col>
      <xdr:colOff>0</xdr:colOff>
      <xdr:row>114</xdr:row>
      <xdr:rowOff>0</xdr:rowOff>
    </xdr:to>
    <xdr:graphicFrame>
      <xdr:nvGraphicFramePr>
        <xdr:cNvPr id="1" name="Chart 1"/>
        <xdr:cNvGraphicFramePr/>
      </xdr:nvGraphicFramePr>
      <xdr:xfrm>
        <a:off x="6419850" y="16087725"/>
        <a:ext cx="5353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6</xdr:col>
      <xdr:colOff>304800</xdr:colOff>
      <xdr:row>114</xdr:row>
      <xdr:rowOff>0</xdr:rowOff>
    </xdr:to>
    <xdr:graphicFrame>
      <xdr:nvGraphicFramePr>
        <xdr:cNvPr id="2" name="Chart 2"/>
        <xdr:cNvGraphicFramePr/>
      </xdr:nvGraphicFramePr>
      <xdr:xfrm>
        <a:off x="981075" y="16087725"/>
        <a:ext cx="52101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91</xdr:row>
      <xdr:rowOff>0</xdr:rowOff>
    </xdr:from>
    <xdr:to>
      <xdr:col>12</xdr:col>
      <xdr:colOff>0</xdr:colOff>
      <xdr:row>111</xdr:row>
      <xdr:rowOff>95250</xdr:rowOff>
    </xdr:to>
    <xdr:graphicFrame>
      <xdr:nvGraphicFramePr>
        <xdr:cNvPr id="3" name="Chart 3"/>
        <xdr:cNvGraphicFramePr/>
      </xdr:nvGraphicFramePr>
      <xdr:xfrm>
        <a:off x="6419850" y="16249650"/>
        <a:ext cx="535305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6</xdr:col>
      <xdr:colOff>304800</xdr:colOff>
      <xdr:row>111</xdr:row>
      <xdr:rowOff>95250</xdr:rowOff>
    </xdr:to>
    <xdr:graphicFrame>
      <xdr:nvGraphicFramePr>
        <xdr:cNvPr id="4" name="Chart 4"/>
        <xdr:cNvGraphicFramePr/>
      </xdr:nvGraphicFramePr>
      <xdr:xfrm>
        <a:off x="981075" y="16249650"/>
        <a:ext cx="521017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6</xdr:col>
      <xdr:colOff>304800</xdr:colOff>
      <xdr:row>81</xdr:row>
      <xdr:rowOff>142875</xdr:rowOff>
    </xdr:to>
    <xdr:graphicFrame>
      <xdr:nvGraphicFramePr>
        <xdr:cNvPr id="1" name="Chart 1"/>
        <xdr:cNvGraphicFramePr/>
      </xdr:nvGraphicFramePr>
      <xdr:xfrm>
        <a:off x="981075" y="11239500"/>
        <a:ext cx="5210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6</xdr:col>
      <xdr:colOff>304800</xdr:colOff>
      <xdr:row>81</xdr:row>
      <xdr:rowOff>142875</xdr:rowOff>
    </xdr:to>
    <xdr:graphicFrame>
      <xdr:nvGraphicFramePr>
        <xdr:cNvPr id="2" name="Chart 2"/>
        <xdr:cNvGraphicFramePr/>
      </xdr:nvGraphicFramePr>
      <xdr:xfrm>
        <a:off x="981075" y="11239500"/>
        <a:ext cx="52101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152400</xdr:rowOff>
    </xdr:from>
    <xdr:to>
      <xdr:col>6</xdr:col>
      <xdr:colOff>304800</xdr:colOff>
      <xdr:row>80</xdr:row>
      <xdr:rowOff>133350</xdr:rowOff>
    </xdr:to>
    <xdr:graphicFrame>
      <xdr:nvGraphicFramePr>
        <xdr:cNvPr id="1" name="Chart 1"/>
        <xdr:cNvGraphicFramePr/>
      </xdr:nvGraphicFramePr>
      <xdr:xfrm>
        <a:off x="981075" y="11220450"/>
        <a:ext cx="52101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60</xdr:row>
      <xdr:rowOff>152400</xdr:rowOff>
    </xdr:from>
    <xdr:to>
      <xdr:col>6</xdr:col>
      <xdr:colOff>304800</xdr:colOff>
      <xdr:row>80</xdr:row>
      <xdr:rowOff>133350</xdr:rowOff>
    </xdr:to>
    <xdr:graphicFrame>
      <xdr:nvGraphicFramePr>
        <xdr:cNvPr id="2" name="Chart 2"/>
        <xdr:cNvGraphicFramePr/>
      </xdr:nvGraphicFramePr>
      <xdr:xfrm>
        <a:off x="981075" y="11220450"/>
        <a:ext cx="52101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152400</xdr:rowOff>
    </xdr:from>
    <xdr:to>
      <xdr:col>6</xdr:col>
      <xdr:colOff>304800</xdr:colOff>
      <xdr:row>80</xdr:row>
      <xdr:rowOff>133350</xdr:rowOff>
    </xdr:to>
    <xdr:graphicFrame>
      <xdr:nvGraphicFramePr>
        <xdr:cNvPr id="1" name="Chart 1"/>
        <xdr:cNvGraphicFramePr/>
      </xdr:nvGraphicFramePr>
      <xdr:xfrm>
        <a:off x="981075" y="11220450"/>
        <a:ext cx="52101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60</xdr:row>
      <xdr:rowOff>152400</xdr:rowOff>
    </xdr:from>
    <xdr:to>
      <xdr:col>6</xdr:col>
      <xdr:colOff>304800</xdr:colOff>
      <xdr:row>80</xdr:row>
      <xdr:rowOff>133350</xdr:rowOff>
    </xdr:to>
    <xdr:graphicFrame>
      <xdr:nvGraphicFramePr>
        <xdr:cNvPr id="2" name="Chart 2"/>
        <xdr:cNvGraphicFramePr/>
      </xdr:nvGraphicFramePr>
      <xdr:xfrm>
        <a:off x="981075" y="11220450"/>
        <a:ext cx="52101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152400</xdr:rowOff>
    </xdr:from>
    <xdr:to>
      <xdr:col>6</xdr:col>
      <xdr:colOff>304800</xdr:colOff>
      <xdr:row>80</xdr:row>
      <xdr:rowOff>133350</xdr:rowOff>
    </xdr:to>
    <xdr:graphicFrame>
      <xdr:nvGraphicFramePr>
        <xdr:cNvPr id="1" name="Chart 1"/>
        <xdr:cNvGraphicFramePr/>
      </xdr:nvGraphicFramePr>
      <xdr:xfrm>
        <a:off x="981075" y="11220450"/>
        <a:ext cx="52101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60</xdr:row>
      <xdr:rowOff>152400</xdr:rowOff>
    </xdr:from>
    <xdr:to>
      <xdr:col>6</xdr:col>
      <xdr:colOff>304800</xdr:colOff>
      <xdr:row>80</xdr:row>
      <xdr:rowOff>133350</xdr:rowOff>
    </xdr:to>
    <xdr:graphicFrame>
      <xdr:nvGraphicFramePr>
        <xdr:cNvPr id="2" name="Chart 2"/>
        <xdr:cNvGraphicFramePr/>
      </xdr:nvGraphicFramePr>
      <xdr:xfrm>
        <a:off x="981075" y="11220450"/>
        <a:ext cx="52101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st-Benefit%20Analysis%20-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ROI"/>
      <sheetName val="Sensitivity Analysis"/>
      <sheetName val="ROI-Low"/>
      <sheetName val="ROI-Average"/>
      <sheetName val="ROI-High"/>
      <sheetName val="% of Cost Chart"/>
      <sheetName val="Cost Breakdown Chart"/>
      <sheetName val="SCENARIO #1"/>
      <sheetName val="SCENARIO #2"/>
      <sheetName val="SCENARIO #3"/>
      <sheetName val="SCENARIO #4"/>
      <sheetName val="SCENARIO #5"/>
      <sheetName val="SCENARIO #6"/>
    </sheetNames>
    <sheetDataSet>
      <sheetData sheetId="8">
        <row r="14">
          <cell r="D14" t="str">
            <v>Frequency</v>
          </cell>
          <cell r="G14" t="str">
            <v>Tire Life Reduction</v>
          </cell>
          <cell r="H14" t="str">
            <v>Tread Wear Increase</v>
          </cell>
        </row>
        <row r="16">
          <cell r="C16">
            <v>-50</v>
          </cell>
          <cell r="D16">
            <v>34</v>
          </cell>
          <cell r="G16">
            <v>0.5625</v>
          </cell>
          <cell r="H16">
            <v>0.6</v>
          </cell>
        </row>
        <row r="17">
          <cell r="C17">
            <v>-45</v>
          </cell>
          <cell r="D17">
            <v>11</v>
          </cell>
          <cell r="G17">
            <v>0.535</v>
          </cell>
          <cell r="H17">
            <v>0.54</v>
          </cell>
        </row>
        <row r="18">
          <cell r="C18">
            <v>-40</v>
          </cell>
          <cell r="D18">
            <v>12</v>
          </cell>
          <cell r="G18">
            <v>0.5</v>
          </cell>
          <cell r="H18">
            <v>0.48</v>
          </cell>
        </row>
        <row r="19">
          <cell r="C19">
            <v>-35</v>
          </cell>
          <cell r="D19">
            <v>18</v>
          </cell>
          <cell r="G19">
            <v>0.46</v>
          </cell>
          <cell r="H19">
            <v>0.42</v>
          </cell>
        </row>
        <row r="20">
          <cell r="C20">
            <v>-30</v>
          </cell>
          <cell r="D20">
            <v>36</v>
          </cell>
          <cell r="G20">
            <v>0.4125</v>
          </cell>
          <cell r="H20">
            <v>0.36</v>
          </cell>
        </row>
        <row r="21">
          <cell r="C21">
            <v>-25</v>
          </cell>
          <cell r="D21">
            <v>104</v>
          </cell>
          <cell r="G21">
            <v>0.36</v>
          </cell>
          <cell r="H21">
            <v>0.3</v>
          </cell>
        </row>
        <row r="22">
          <cell r="C22">
            <v>-20</v>
          </cell>
          <cell r="D22">
            <v>258</v>
          </cell>
          <cell r="G22">
            <v>0.3</v>
          </cell>
          <cell r="H22">
            <v>0.24</v>
          </cell>
        </row>
        <row r="23">
          <cell r="C23">
            <v>-15</v>
          </cell>
          <cell r="D23">
            <v>442</v>
          </cell>
          <cell r="G23">
            <v>0.235</v>
          </cell>
          <cell r="H23">
            <v>0.18</v>
          </cell>
        </row>
        <row r="24">
          <cell r="C24">
            <v>-10</v>
          </cell>
          <cell r="D24">
            <v>807</v>
          </cell>
          <cell r="G24">
            <v>0.1625</v>
          </cell>
          <cell r="H24">
            <v>0.12</v>
          </cell>
        </row>
        <row r="25">
          <cell r="C25">
            <v>-5</v>
          </cell>
          <cell r="D25">
            <v>1333</v>
          </cell>
          <cell r="G25">
            <v>0.085</v>
          </cell>
          <cell r="H25">
            <v>0.06</v>
          </cell>
        </row>
        <row r="26">
          <cell r="C26">
            <v>0</v>
          </cell>
          <cell r="D26">
            <v>2171</v>
          </cell>
          <cell r="G26">
            <v>0</v>
          </cell>
          <cell r="H26">
            <v>0</v>
          </cell>
        </row>
        <row r="27">
          <cell r="C27">
            <v>5</v>
          </cell>
          <cell r="D27">
            <v>828</v>
          </cell>
          <cell r="G27">
            <v>0</v>
          </cell>
          <cell r="H27">
            <v>0.025</v>
          </cell>
        </row>
        <row r="28">
          <cell r="C28">
            <v>10</v>
          </cell>
          <cell r="D28">
            <v>243</v>
          </cell>
          <cell r="G28">
            <v>0</v>
          </cell>
          <cell r="H28">
            <v>0.05</v>
          </cell>
        </row>
        <row r="29">
          <cell r="C29">
            <v>15</v>
          </cell>
          <cell r="D29">
            <v>49</v>
          </cell>
          <cell r="G29">
            <v>0</v>
          </cell>
          <cell r="H29">
            <v>0.075</v>
          </cell>
        </row>
        <row r="30">
          <cell r="C30">
            <v>20</v>
          </cell>
          <cell r="D30">
            <v>26</v>
          </cell>
          <cell r="G30">
            <v>0</v>
          </cell>
          <cell r="H30">
            <v>0.1</v>
          </cell>
        </row>
        <row r="31">
          <cell r="C31">
            <v>25</v>
          </cell>
          <cell r="D31">
            <v>6</v>
          </cell>
          <cell r="G31">
            <v>0</v>
          </cell>
          <cell r="H31">
            <v>0.125</v>
          </cell>
        </row>
        <row r="32">
          <cell r="C32">
            <v>30</v>
          </cell>
          <cell r="D32">
            <v>4</v>
          </cell>
          <cell r="G32">
            <v>0</v>
          </cell>
          <cell r="H32">
            <v>0.15</v>
          </cell>
        </row>
        <row r="33">
          <cell r="C33">
            <v>35</v>
          </cell>
          <cell r="D33">
            <v>1</v>
          </cell>
          <cell r="G33">
            <v>0</v>
          </cell>
          <cell r="H33">
            <v>0.175</v>
          </cell>
        </row>
        <row r="34">
          <cell r="C34">
            <v>40</v>
          </cell>
          <cell r="D34">
            <v>0</v>
          </cell>
          <cell r="G34">
            <v>0</v>
          </cell>
          <cell r="H34">
            <v>0.2</v>
          </cell>
        </row>
        <row r="35">
          <cell r="C35">
            <v>45</v>
          </cell>
          <cell r="D35">
            <v>0</v>
          </cell>
          <cell r="G35">
            <v>0</v>
          </cell>
          <cell r="H35">
            <v>0.225</v>
          </cell>
        </row>
        <row r="36">
          <cell r="C36">
            <v>50</v>
          </cell>
          <cell r="D36">
            <v>0</v>
          </cell>
          <cell r="G36">
            <v>0</v>
          </cell>
          <cell r="H36">
            <v>0.25</v>
          </cell>
        </row>
        <row r="37">
          <cell r="C37" t="str">
            <v>More</v>
          </cell>
          <cell r="D37">
            <v>0</v>
          </cell>
          <cell r="G37">
            <v>0</v>
          </cell>
          <cell r="H37">
            <v>0.275</v>
          </cell>
        </row>
        <row r="40">
          <cell r="D40" t="str">
            <v>Frequency</v>
          </cell>
          <cell r="G40" t="str">
            <v>Tire Life Reduction</v>
          </cell>
          <cell r="H40" t="str">
            <v>Tread Wear Increase</v>
          </cell>
        </row>
        <row r="42">
          <cell r="C42">
            <v>-50</v>
          </cell>
          <cell r="D42">
            <v>8</v>
          </cell>
          <cell r="G42">
            <v>0.5625</v>
          </cell>
          <cell r="H42">
            <v>0.6</v>
          </cell>
        </row>
        <row r="43">
          <cell r="C43">
            <v>-45</v>
          </cell>
          <cell r="D43">
            <v>1</v>
          </cell>
          <cell r="G43">
            <v>0.535</v>
          </cell>
          <cell r="H43">
            <v>0.54</v>
          </cell>
        </row>
        <row r="44">
          <cell r="C44">
            <v>-40</v>
          </cell>
          <cell r="D44">
            <v>9</v>
          </cell>
          <cell r="G44">
            <v>0.5</v>
          </cell>
          <cell r="H44">
            <v>0.48</v>
          </cell>
        </row>
        <row r="45">
          <cell r="C45">
            <v>-35</v>
          </cell>
          <cell r="D45">
            <v>12</v>
          </cell>
          <cell r="G45">
            <v>0.46</v>
          </cell>
          <cell r="H45">
            <v>0.42</v>
          </cell>
        </row>
        <row r="46">
          <cell r="C46">
            <v>-30</v>
          </cell>
          <cell r="D46">
            <v>82</v>
          </cell>
          <cell r="G46">
            <v>0.4125</v>
          </cell>
          <cell r="H46">
            <v>0.36</v>
          </cell>
        </row>
        <row r="47">
          <cell r="C47">
            <v>-25</v>
          </cell>
          <cell r="D47">
            <v>39</v>
          </cell>
          <cell r="G47">
            <v>0.36</v>
          </cell>
          <cell r="H47">
            <v>0.3</v>
          </cell>
        </row>
        <row r="48">
          <cell r="C48">
            <v>-20</v>
          </cell>
          <cell r="D48">
            <v>49</v>
          </cell>
          <cell r="G48">
            <v>0.3</v>
          </cell>
          <cell r="H48">
            <v>0.24</v>
          </cell>
        </row>
        <row r="49">
          <cell r="C49">
            <v>-15</v>
          </cell>
          <cell r="D49">
            <v>144</v>
          </cell>
          <cell r="G49">
            <v>0.235</v>
          </cell>
          <cell r="H49">
            <v>0.18</v>
          </cell>
        </row>
        <row r="50">
          <cell r="C50">
            <v>-10</v>
          </cell>
          <cell r="D50">
            <v>381</v>
          </cell>
          <cell r="G50">
            <v>0.1625</v>
          </cell>
          <cell r="H50">
            <v>0.12</v>
          </cell>
        </row>
        <row r="51">
          <cell r="C51">
            <v>-5</v>
          </cell>
          <cell r="D51">
            <v>621</v>
          </cell>
          <cell r="G51">
            <v>0.085</v>
          </cell>
          <cell r="H51">
            <v>0.06</v>
          </cell>
        </row>
        <row r="52">
          <cell r="C52">
            <v>0</v>
          </cell>
          <cell r="D52">
            <v>580</v>
          </cell>
          <cell r="G52">
            <v>0</v>
          </cell>
          <cell r="H52">
            <v>0</v>
          </cell>
        </row>
        <row r="53">
          <cell r="C53">
            <v>5</v>
          </cell>
          <cell r="D53">
            <v>172</v>
          </cell>
          <cell r="G53">
            <v>0</v>
          </cell>
          <cell r="H53">
            <v>0.025</v>
          </cell>
        </row>
        <row r="54">
          <cell r="C54">
            <v>10</v>
          </cell>
          <cell r="D54">
            <v>150</v>
          </cell>
          <cell r="G54">
            <v>0</v>
          </cell>
          <cell r="H54">
            <v>0.05</v>
          </cell>
        </row>
        <row r="55">
          <cell r="C55">
            <v>15</v>
          </cell>
          <cell r="D55">
            <v>36</v>
          </cell>
          <cell r="G55">
            <v>0</v>
          </cell>
          <cell r="H55">
            <v>0.075</v>
          </cell>
        </row>
        <row r="56">
          <cell r="C56">
            <v>20</v>
          </cell>
          <cell r="D56">
            <v>5</v>
          </cell>
          <cell r="G56">
            <v>0</v>
          </cell>
          <cell r="H56">
            <v>0.1</v>
          </cell>
        </row>
        <row r="57">
          <cell r="C57">
            <v>25</v>
          </cell>
          <cell r="D57">
            <v>6</v>
          </cell>
          <cell r="G57">
            <v>0</v>
          </cell>
          <cell r="H57">
            <v>0.125</v>
          </cell>
        </row>
        <row r="58">
          <cell r="C58">
            <v>30</v>
          </cell>
          <cell r="D58">
            <v>2</v>
          </cell>
          <cell r="G58">
            <v>0</v>
          </cell>
          <cell r="H58">
            <v>0.15</v>
          </cell>
        </row>
        <row r="59">
          <cell r="C59">
            <v>35</v>
          </cell>
          <cell r="D59">
            <v>4</v>
          </cell>
          <cell r="G59">
            <v>0</v>
          </cell>
          <cell r="H59">
            <v>0.175</v>
          </cell>
        </row>
        <row r="60">
          <cell r="C60">
            <v>40</v>
          </cell>
          <cell r="D60">
            <v>1</v>
          </cell>
          <cell r="G60">
            <v>0</v>
          </cell>
          <cell r="H60">
            <v>0.2</v>
          </cell>
        </row>
        <row r="61">
          <cell r="C61">
            <v>45</v>
          </cell>
          <cell r="D61">
            <v>0</v>
          </cell>
          <cell r="G61">
            <v>0</v>
          </cell>
          <cell r="H61">
            <v>0.225</v>
          </cell>
        </row>
        <row r="62">
          <cell r="C62">
            <v>50</v>
          </cell>
          <cell r="D62">
            <v>0</v>
          </cell>
          <cell r="G62">
            <v>0</v>
          </cell>
          <cell r="H62">
            <v>0.25</v>
          </cell>
        </row>
        <row r="63">
          <cell r="C63" t="str">
            <v>More</v>
          </cell>
          <cell r="D63">
            <v>0</v>
          </cell>
          <cell r="G63">
            <v>0</v>
          </cell>
          <cell r="H63">
            <v>0.275</v>
          </cell>
        </row>
      </sheetData>
      <sheetData sheetId="9">
        <row r="16">
          <cell r="D16" t="str">
            <v>Frequency</v>
          </cell>
          <cell r="G16" t="str">
            <v>Tire Life Reduction</v>
          </cell>
          <cell r="H16" t="str">
            <v>Tread Wear Increase</v>
          </cell>
        </row>
        <row r="18">
          <cell r="C18">
            <v>-50</v>
          </cell>
          <cell r="D18">
            <v>57</v>
          </cell>
          <cell r="G18">
            <v>0.5625</v>
          </cell>
          <cell r="H18">
            <v>0.6</v>
          </cell>
        </row>
        <row r="19">
          <cell r="C19">
            <v>-45</v>
          </cell>
          <cell r="D19">
            <v>7</v>
          </cell>
          <cell r="G19">
            <v>0.535</v>
          </cell>
          <cell r="H19">
            <v>0.54</v>
          </cell>
        </row>
        <row r="20">
          <cell r="C20">
            <v>-40</v>
          </cell>
          <cell r="D20">
            <v>37</v>
          </cell>
          <cell r="G20">
            <v>0.5</v>
          </cell>
          <cell r="H20">
            <v>0.48</v>
          </cell>
        </row>
        <row r="21">
          <cell r="C21">
            <v>-35</v>
          </cell>
          <cell r="D21">
            <v>44</v>
          </cell>
          <cell r="G21">
            <v>0.46</v>
          </cell>
          <cell r="H21">
            <v>0.42</v>
          </cell>
        </row>
        <row r="22">
          <cell r="C22">
            <v>-30</v>
          </cell>
          <cell r="D22">
            <v>76</v>
          </cell>
          <cell r="G22">
            <v>0.4125</v>
          </cell>
          <cell r="H22">
            <v>0.36</v>
          </cell>
        </row>
        <row r="23">
          <cell r="C23">
            <v>-25</v>
          </cell>
          <cell r="D23">
            <v>103</v>
          </cell>
          <cell r="G23">
            <v>0.36</v>
          </cell>
          <cell r="H23">
            <v>0.3</v>
          </cell>
        </row>
        <row r="24">
          <cell r="C24">
            <v>-20</v>
          </cell>
          <cell r="D24">
            <v>113</v>
          </cell>
          <cell r="G24">
            <v>0.3</v>
          </cell>
          <cell r="H24">
            <v>0.24</v>
          </cell>
        </row>
        <row r="25">
          <cell r="C25">
            <v>-15</v>
          </cell>
          <cell r="D25">
            <v>253</v>
          </cell>
          <cell r="G25">
            <v>0.235</v>
          </cell>
          <cell r="H25">
            <v>0.18</v>
          </cell>
        </row>
        <row r="26">
          <cell r="C26">
            <v>-10</v>
          </cell>
          <cell r="D26">
            <v>550</v>
          </cell>
          <cell r="G26">
            <v>0.1625</v>
          </cell>
          <cell r="H26">
            <v>0.12</v>
          </cell>
        </row>
        <row r="27">
          <cell r="C27">
            <v>-5</v>
          </cell>
          <cell r="D27">
            <v>931</v>
          </cell>
          <cell r="G27">
            <v>0.085</v>
          </cell>
          <cell r="H27">
            <v>0.06</v>
          </cell>
        </row>
        <row r="28">
          <cell r="C28">
            <v>0</v>
          </cell>
          <cell r="D28">
            <v>1442</v>
          </cell>
          <cell r="G28">
            <v>0</v>
          </cell>
          <cell r="H28">
            <v>0</v>
          </cell>
        </row>
        <row r="29">
          <cell r="C29">
            <v>5</v>
          </cell>
          <cell r="D29">
            <v>1485</v>
          </cell>
          <cell r="G29">
            <v>0</v>
          </cell>
          <cell r="H29">
            <v>0.025</v>
          </cell>
        </row>
        <row r="30">
          <cell r="C30">
            <v>10</v>
          </cell>
          <cell r="D30">
            <v>687</v>
          </cell>
          <cell r="G30">
            <v>0</v>
          </cell>
          <cell r="H30">
            <v>0.05</v>
          </cell>
        </row>
        <row r="31">
          <cell r="C31">
            <v>15</v>
          </cell>
          <cell r="D31">
            <v>180</v>
          </cell>
          <cell r="G31">
            <v>0</v>
          </cell>
          <cell r="H31">
            <v>0.075</v>
          </cell>
        </row>
        <row r="32">
          <cell r="C32">
            <v>20</v>
          </cell>
          <cell r="D32">
            <v>41</v>
          </cell>
          <cell r="G32">
            <v>0</v>
          </cell>
          <cell r="H32">
            <v>0.1</v>
          </cell>
        </row>
        <row r="33">
          <cell r="C33">
            <v>25</v>
          </cell>
          <cell r="D33">
            <v>6</v>
          </cell>
          <cell r="G33">
            <v>0</v>
          </cell>
          <cell r="H33">
            <v>0.125</v>
          </cell>
        </row>
        <row r="34">
          <cell r="C34">
            <v>30</v>
          </cell>
          <cell r="D34">
            <v>2</v>
          </cell>
          <cell r="G34">
            <v>0</v>
          </cell>
          <cell r="H34">
            <v>0.15</v>
          </cell>
        </row>
        <row r="35">
          <cell r="C35">
            <v>35</v>
          </cell>
          <cell r="D35">
            <v>0</v>
          </cell>
          <cell r="G35">
            <v>0</v>
          </cell>
          <cell r="H35">
            <v>0.175</v>
          </cell>
        </row>
        <row r="36">
          <cell r="C36">
            <v>40</v>
          </cell>
          <cell r="D36">
            <v>0</v>
          </cell>
          <cell r="G36">
            <v>0</v>
          </cell>
          <cell r="H36">
            <v>0.2</v>
          </cell>
        </row>
        <row r="37">
          <cell r="C37">
            <v>45</v>
          </cell>
          <cell r="D37">
            <v>0</v>
          </cell>
          <cell r="G37">
            <v>0</v>
          </cell>
          <cell r="H37">
            <v>0.225</v>
          </cell>
        </row>
        <row r="38">
          <cell r="C38">
            <v>50</v>
          </cell>
          <cell r="D38">
            <v>0</v>
          </cell>
          <cell r="G38">
            <v>0</v>
          </cell>
          <cell r="H38">
            <v>0.25</v>
          </cell>
        </row>
        <row r="39">
          <cell r="C39" t="str">
            <v>More</v>
          </cell>
          <cell r="D39">
            <v>0</v>
          </cell>
          <cell r="G39">
            <v>0</v>
          </cell>
          <cell r="H39">
            <v>0.275</v>
          </cell>
        </row>
        <row r="43">
          <cell r="D43" t="str">
            <v>Frequency</v>
          </cell>
          <cell r="G43" t="str">
            <v>Tire Life Reduction</v>
          </cell>
          <cell r="H43" t="str">
            <v>Tread Wear Increase</v>
          </cell>
        </row>
        <row r="45">
          <cell r="C45">
            <v>-50</v>
          </cell>
          <cell r="D45">
            <v>25</v>
          </cell>
          <cell r="G45">
            <v>0.5625</v>
          </cell>
          <cell r="H45">
            <v>0.6</v>
          </cell>
        </row>
        <row r="46">
          <cell r="C46">
            <v>-45</v>
          </cell>
          <cell r="D46">
            <v>9</v>
          </cell>
          <cell r="G46">
            <v>0.535</v>
          </cell>
          <cell r="H46">
            <v>0.54</v>
          </cell>
        </row>
        <row r="47">
          <cell r="C47">
            <v>-40</v>
          </cell>
          <cell r="D47">
            <v>11</v>
          </cell>
          <cell r="G47">
            <v>0.5</v>
          </cell>
          <cell r="H47">
            <v>0.48</v>
          </cell>
        </row>
        <row r="48">
          <cell r="C48">
            <v>-35</v>
          </cell>
          <cell r="D48">
            <v>20</v>
          </cell>
          <cell r="G48">
            <v>0.46</v>
          </cell>
          <cell r="H48">
            <v>0.42</v>
          </cell>
        </row>
        <row r="49">
          <cell r="C49">
            <v>-30</v>
          </cell>
          <cell r="D49">
            <v>32</v>
          </cell>
          <cell r="G49">
            <v>0.4125</v>
          </cell>
          <cell r="H49">
            <v>0.36</v>
          </cell>
        </row>
        <row r="50">
          <cell r="C50">
            <v>-25</v>
          </cell>
          <cell r="D50">
            <v>36</v>
          </cell>
          <cell r="G50">
            <v>0.36</v>
          </cell>
          <cell r="H50">
            <v>0.3</v>
          </cell>
        </row>
        <row r="51">
          <cell r="C51">
            <v>-20</v>
          </cell>
          <cell r="D51">
            <v>103</v>
          </cell>
          <cell r="G51">
            <v>0.3</v>
          </cell>
          <cell r="H51">
            <v>0.24</v>
          </cell>
        </row>
        <row r="52">
          <cell r="C52">
            <v>-15</v>
          </cell>
          <cell r="D52">
            <v>227</v>
          </cell>
          <cell r="G52">
            <v>0.235</v>
          </cell>
          <cell r="H52">
            <v>0.18</v>
          </cell>
        </row>
        <row r="53">
          <cell r="C53">
            <v>-10</v>
          </cell>
          <cell r="D53">
            <v>679</v>
          </cell>
          <cell r="G53">
            <v>0.1625</v>
          </cell>
          <cell r="H53">
            <v>0.12</v>
          </cell>
        </row>
        <row r="54">
          <cell r="C54">
            <v>-5</v>
          </cell>
          <cell r="D54">
            <v>692</v>
          </cell>
          <cell r="G54">
            <v>0.085</v>
          </cell>
          <cell r="H54">
            <v>0.06</v>
          </cell>
        </row>
        <row r="55">
          <cell r="C55">
            <v>0</v>
          </cell>
          <cell r="D55">
            <v>948</v>
          </cell>
          <cell r="G55">
            <v>0</v>
          </cell>
          <cell r="H55">
            <v>0</v>
          </cell>
        </row>
        <row r="56">
          <cell r="C56">
            <v>5</v>
          </cell>
          <cell r="D56">
            <v>866</v>
          </cell>
          <cell r="G56">
            <v>0</v>
          </cell>
          <cell r="H56">
            <v>0.025</v>
          </cell>
        </row>
        <row r="57">
          <cell r="C57">
            <v>10</v>
          </cell>
          <cell r="D57">
            <v>591</v>
          </cell>
          <cell r="G57">
            <v>0</v>
          </cell>
          <cell r="H57">
            <v>0.05</v>
          </cell>
        </row>
        <row r="58">
          <cell r="C58">
            <v>15</v>
          </cell>
          <cell r="D58">
            <v>213</v>
          </cell>
          <cell r="G58">
            <v>0</v>
          </cell>
          <cell r="H58">
            <v>0.075</v>
          </cell>
        </row>
        <row r="59">
          <cell r="C59">
            <v>20</v>
          </cell>
          <cell r="D59">
            <v>59</v>
          </cell>
          <cell r="G59">
            <v>0</v>
          </cell>
          <cell r="H59">
            <v>0.1</v>
          </cell>
        </row>
        <row r="60">
          <cell r="C60">
            <v>25</v>
          </cell>
          <cell r="D60">
            <v>26</v>
          </cell>
          <cell r="G60">
            <v>0</v>
          </cell>
          <cell r="H60">
            <v>0.125</v>
          </cell>
        </row>
        <row r="61">
          <cell r="C61">
            <v>30</v>
          </cell>
          <cell r="D61">
            <v>12</v>
          </cell>
          <cell r="G61">
            <v>0</v>
          </cell>
          <cell r="H61">
            <v>0.15</v>
          </cell>
        </row>
        <row r="62">
          <cell r="C62">
            <v>35</v>
          </cell>
          <cell r="D62">
            <v>0</v>
          </cell>
          <cell r="G62">
            <v>0</v>
          </cell>
          <cell r="H62">
            <v>0.175</v>
          </cell>
        </row>
        <row r="63">
          <cell r="C63">
            <v>40</v>
          </cell>
          <cell r="D63">
            <v>2</v>
          </cell>
          <cell r="G63">
            <v>0</v>
          </cell>
          <cell r="H63">
            <v>0.2</v>
          </cell>
        </row>
        <row r="64">
          <cell r="C64">
            <v>45</v>
          </cell>
          <cell r="D64">
            <v>0</v>
          </cell>
          <cell r="G64">
            <v>0</v>
          </cell>
          <cell r="H64">
            <v>0.225</v>
          </cell>
        </row>
        <row r="65">
          <cell r="C65">
            <v>50</v>
          </cell>
          <cell r="D65">
            <v>0</v>
          </cell>
          <cell r="G65">
            <v>0</v>
          </cell>
          <cell r="H65">
            <v>0.25</v>
          </cell>
        </row>
        <row r="66">
          <cell r="C66" t="str">
            <v>More</v>
          </cell>
          <cell r="D66">
            <v>0</v>
          </cell>
          <cell r="G66">
            <v>0</v>
          </cell>
          <cell r="H66">
            <v>0.275</v>
          </cell>
        </row>
      </sheetData>
      <sheetData sheetId="10">
        <row r="16">
          <cell r="D16" t="str">
            <v>Frequency</v>
          </cell>
          <cell r="G16" t="str">
            <v>Tire Life Reduction</v>
          </cell>
          <cell r="H16" t="str">
            <v>Tread Wear Increase</v>
          </cell>
        </row>
        <row r="18">
          <cell r="C18">
            <v>-50</v>
          </cell>
          <cell r="D18">
            <v>30</v>
          </cell>
          <cell r="G18">
            <v>0.5625</v>
          </cell>
          <cell r="H18">
            <v>0.6</v>
          </cell>
        </row>
        <row r="19">
          <cell r="C19">
            <v>-45</v>
          </cell>
          <cell r="D19">
            <v>9</v>
          </cell>
          <cell r="G19">
            <v>0.535</v>
          </cell>
          <cell r="H19">
            <v>0.54</v>
          </cell>
        </row>
        <row r="20">
          <cell r="C20">
            <v>-40</v>
          </cell>
          <cell r="D20">
            <v>22</v>
          </cell>
          <cell r="G20">
            <v>0.5</v>
          </cell>
          <cell r="H20">
            <v>0.48</v>
          </cell>
        </row>
        <row r="21">
          <cell r="C21">
            <v>-35</v>
          </cell>
          <cell r="D21">
            <v>38</v>
          </cell>
          <cell r="G21">
            <v>0.46</v>
          </cell>
          <cell r="H21">
            <v>0.42</v>
          </cell>
        </row>
        <row r="22">
          <cell r="C22">
            <v>-30</v>
          </cell>
          <cell r="D22">
            <v>62</v>
          </cell>
          <cell r="G22">
            <v>0.4125</v>
          </cell>
          <cell r="H22">
            <v>0.36</v>
          </cell>
        </row>
        <row r="23">
          <cell r="C23">
            <v>-25</v>
          </cell>
          <cell r="D23">
            <v>126</v>
          </cell>
          <cell r="G23">
            <v>0.36</v>
          </cell>
          <cell r="H23">
            <v>0.3</v>
          </cell>
        </row>
        <row r="24">
          <cell r="C24">
            <v>-20</v>
          </cell>
          <cell r="D24">
            <v>272</v>
          </cell>
          <cell r="G24">
            <v>0.3</v>
          </cell>
          <cell r="H24">
            <v>0.24</v>
          </cell>
        </row>
        <row r="25">
          <cell r="C25">
            <v>-15</v>
          </cell>
          <cell r="D25">
            <v>229</v>
          </cell>
          <cell r="G25">
            <v>0.235</v>
          </cell>
          <cell r="H25">
            <v>0.18</v>
          </cell>
        </row>
        <row r="26">
          <cell r="C26">
            <v>-10</v>
          </cell>
          <cell r="D26">
            <v>375</v>
          </cell>
          <cell r="G26">
            <v>0.1625</v>
          </cell>
          <cell r="H26">
            <v>0.12</v>
          </cell>
        </row>
        <row r="27">
          <cell r="C27">
            <v>-5</v>
          </cell>
          <cell r="D27">
            <v>522</v>
          </cell>
          <cell r="G27">
            <v>0.085</v>
          </cell>
          <cell r="H27">
            <v>0.06</v>
          </cell>
        </row>
        <row r="28">
          <cell r="C28">
            <v>0</v>
          </cell>
          <cell r="D28">
            <v>1010</v>
          </cell>
          <cell r="G28">
            <v>0</v>
          </cell>
          <cell r="H28">
            <v>0</v>
          </cell>
        </row>
        <row r="29">
          <cell r="C29">
            <v>5</v>
          </cell>
          <cell r="D29">
            <v>757</v>
          </cell>
          <cell r="G29">
            <v>0</v>
          </cell>
          <cell r="H29">
            <v>0.025</v>
          </cell>
        </row>
        <row r="30">
          <cell r="C30">
            <v>10</v>
          </cell>
          <cell r="D30">
            <v>435</v>
          </cell>
          <cell r="G30">
            <v>0</v>
          </cell>
          <cell r="H30">
            <v>0.05</v>
          </cell>
        </row>
        <row r="31">
          <cell r="C31">
            <v>15</v>
          </cell>
          <cell r="D31">
            <v>175</v>
          </cell>
          <cell r="G31">
            <v>0</v>
          </cell>
          <cell r="H31">
            <v>0.075</v>
          </cell>
        </row>
        <row r="32">
          <cell r="C32">
            <v>20</v>
          </cell>
          <cell r="D32">
            <v>131</v>
          </cell>
          <cell r="G32">
            <v>0</v>
          </cell>
          <cell r="H32">
            <v>0.1</v>
          </cell>
        </row>
        <row r="33">
          <cell r="C33">
            <v>25</v>
          </cell>
          <cell r="D33">
            <v>25</v>
          </cell>
          <cell r="G33">
            <v>0</v>
          </cell>
          <cell r="H33">
            <v>0.125</v>
          </cell>
        </row>
        <row r="34">
          <cell r="C34">
            <v>30</v>
          </cell>
          <cell r="D34">
            <v>11</v>
          </cell>
          <cell r="G34">
            <v>0</v>
          </cell>
          <cell r="H34">
            <v>0.15</v>
          </cell>
        </row>
        <row r="35">
          <cell r="C35">
            <v>35</v>
          </cell>
          <cell r="D35">
            <v>2</v>
          </cell>
          <cell r="G35">
            <v>0</v>
          </cell>
          <cell r="H35">
            <v>0.175</v>
          </cell>
        </row>
        <row r="36">
          <cell r="C36">
            <v>40</v>
          </cell>
          <cell r="D36">
            <v>0</v>
          </cell>
          <cell r="G36">
            <v>0</v>
          </cell>
          <cell r="H36">
            <v>0.2</v>
          </cell>
        </row>
        <row r="37">
          <cell r="C37">
            <v>45</v>
          </cell>
          <cell r="D37">
            <v>0</v>
          </cell>
          <cell r="G37">
            <v>0</v>
          </cell>
          <cell r="H37">
            <v>0.225</v>
          </cell>
        </row>
        <row r="38">
          <cell r="C38">
            <v>50</v>
          </cell>
          <cell r="D38">
            <v>0</v>
          </cell>
          <cell r="G38">
            <v>0</v>
          </cell>
          <cell r="H38">
            <v>0.25</v>
          </cell>
        </row>
        <row r="39">
          <cell r="C39" t="str">
            <v>More</v>
          </cell>
          <cell r="D39">
            <v>0</v>
          </cell>
          <cell r="G39">
            <v>0</v>
          </cell>
          <cell r="H39">
            <v>0.275</v>
          </cell>
        </row>
      </sheetData>
      <sheetData sheetId="11">
        <row r="16">
          <cell r="D16" t="str">
            <v>Frequency</v>
          </cell>
          <cell r="G16" t="str">
            <v>Tire Life Reduction</v>
          </cell>
          <cell r="H16" t="str">
            <v>Tread Wear Increase</v>
          </cell>
        </row>
        <row r="18">
          <cell r="C18">
            <v>-50</v>
          </cell>
          <cell r="D18">
            <v>11</v>
          </cell>
          <cell r="G18">
            <v>0.5625</v>
          </cell>
          <cell r="H18">
            <v>0.6</v>
          </cell>
        </row>
        <row r="19">
          <cell r="C19">
            <v>-45</v>
          </cell>
          <cell r="D19">
            <v>4</v>
          </cell>
          <cell r="G19">
            <v>0.535</v>
          </cell>
          <cell r="H19">
            <v>0.54</v>
          </cell>
        </row>
        <row r="20">
          <cell r="C20">
            <v>-40</v>
          </cell>
          <cell r="D20">
            <v>4</v>
          </cell>
          <cell r="G20">
            <v>0.5</v>
          </cell>
          <cell r="H20">
            <v>0.48</v>
          </cell>
        </row>
        <row r="21">
          <cell r="C21">
            <v>-35</v>
          </cell>
          <cell r="D21">
            <v>4</v>
          </cell>
          <cell r="G21">
            <v>0.46</v>
          </cell>
          <cell r="H21">
            <v>0.42</v>
          </cell>
        </row>
        <row r="22">
          <cell r="C22">
            <v>-30</v>
          </cell>
          <cell r="D22">
            <v>5</v>
          </cell>
          <cell r="G22">
            <v>0.4125</v>
          </cell>
          <cell r="H22">
            <v>0.36</v>
          </cell>
        </row>
        <row r="23">
          <cell r="C23">
            <v>-25</v>
          </cell>
          <cell r="D23">
            <v>12</v>
          </cell>
          <cell r="G23">
            <v>0.36</v>
          </cell>
          <cell r="H23">
            <v>0.3</v>
          </cell>
        </row>
        <row r="24">
          <cell r="C24">
            <v>-20</v>
          </cell>
          <cell r="D24">
            <v>18</v>
          </cell>
          <cell r="G24">
            <v>0.3</v>
          </cell>
          <cell r="H24">
            <v>0.24</v>
          </cell>
        </row>
        <row r="25">
          <cell r="C25">
            <v>-15</v>
          </cell>
          <cell r="D25">
            <v>49</v>
          </cell>
          <cell r="G25">
            <v>0.235</v>
          </cell>
          <cell r="H25">
            <v>0.18</v>
          </cell>
        </row>
        <row r="26">
          <cell r="C26">
            <v>-10</v>
          </cell>
          <cell r="D26">
            <v>111</v>
          </cell>
          <cell r="G26">
            <v>0.1625</v>
          </cell>
          <cell r="H26">
            <v>0.12</v>
          </cell>
        </row>
        <row r="27">
          <cell r="C27">
            <v>-5</v>
          </cell>
          <cell r="D27">
            <v>228</v>
          </cell>
          <cell r="G27">
            <v>0.085</v>
          </cell>
          <cell r="H27">
            <v>0.06</v>
          </cell>
        </row>
        <row r="28">
          <cell r="C28">
            <v>0</v>
          </cell>
          <cell r="D28">
            <v>329</v>
          </cell>
          <cell r="G28">
            <v>0</v>
          </cell>
          <cell r="H28">
            <v>0</v>
          </cell>
        </row>
        <row r="29">
          <cell r="C29">
            <v>5</v>
          </cell>
          <cell r="D29">
            <v>291</v>
          </cell>
          <cell r="G29">
            <v>0</v>
          </cell>
          <cell r="H29">
            <v>0.025</v>
          </cell>
        </row>
        <row r="30">
          <cell r="C30">
            <v>10</v>
          </cell>
          <cell r="D30">
            <v>219</v>
          </cell>
          <cell r="G30">
            <v>0</v>
          </cell>
          <cell r="H30">
            <v>0.05</v>
          </cell>
        </row>
        <row r="31">
          <cell r="C31">
            <v>15</v>
          </cell>
          <cell r="D31">
            <v>87</v>
          </cell>
          <cell r="G31">
            <v>0</v>
          </cell>
          <cell r="H31">
            <v>0.075</v>
          </cell>
        </row>
        <row r="32">
          <cell r="C32">
            <v>20</v>
          </cell>
          <cell r="D32">
            <v>36</v>
          </cell>
          <cell r="G32">
            <v>0</v>
          </cell>
          <cell r="H32">
            <v>0.1</v>
          </cell>
        </row>
        <row r="33">
          <cell r="C33">
            <v>25</v>
          </cell>
          <cell r="D33">
            <v>3</v>
          </cell>
          <cell r="G33">
            <v>0</v>
          </cell>
          <cell r="H33">
            <v>0.125</v>
          </cell>
        </row>
        <row r="34">
          <cell r="C34">
            <v>30</v>
          </cell>
          <cell r="D34">
            <v>0</v>
          </cell>
          <cell r="G34">
            <v>0</v>
          </cell>
          <cell r="H34">
            <v>0.15</v>
          </cell>
        </row>
        <row r="35">
          <cell r="C35">
            <v>35</v>
          </cell>
          <cell r="D35">
            <v>0</v>
          </cell>
          <cell r="G35">
            <v>0</v>
          </cell>
          <cell r="H35">
            <v>0.175</v>
          </cell>
        </row>
        <row r="36">
          <cell r="C36">
            <v>40</v>
          </cell>
          <cell r="D36">
            <v>0</v>
          </cell>
          <cell r="G36">
            <v>0</v>
          </cell>
          <cell r="H36">
            <v>0.2</v>
          </cell>
        </row>
        <row r="37">
          <cell r="C37">
            <v>45</v>
          </cell>
          <cell r="D37">
            <v>0</v>
          </cell>
          <cell r="G37">
            <v>0</v>
          </cell>
          <cell r="H37">
            <v>0.225</v>
          </cell>
        </row>
        <row r="38">
          <cell r="C38">
            <v>50</v>
          </cell>
          <cell r="D38">
            <v>0</v>
          </cell>
          <cell r="G38">
            <v>0</v>
          </cell>
          <cell r="H38">
            <v>0.25</v>
          </cell>
        </row>
        <row r="39">
          <cell r="C39" t="str">
            <v>More</v>
          </cell>
          <cell r="D39">
            <v>0</v>
          </cell>
          <cell r="G39">
            <v>0</v>
          </cell>
          <cell r="H39">
            <v>0.275</v>
          </cell>
        </row>
      </sheetData>
      <sheetData sheetId="12">
        <row r="16">
          <cell r="D16" t="str">
            <v>Frequency</v>
          </cell>
          <cell r="G16" t="str">
            <v>Tire Life Reduction</v>
          </cell>
          <cell r="H16" t="str">
            <v>Tread Wear Increase</v>
          </cell>
        </row>
        <row r="18">
          <cell r="C18">
            <v>-50</v>
          </cell>
          <cell r="D18">
            <v>22</v>
          </cell>
          <cell r="G18">
            <v>0.5625</v>
          </cell>
          <cell r="H18">
            <v>0.6</v>
          </cell>
        </row>
        <row r="19">
          <cell r="C19">
            <v>-45</v>
          </cell>
          <cell r="D19">
            <v>10</v>
          </cell>
          <cell r="G19">
            <v>0.535</v>
          </cell>
          <cell r="H19">
            <v>0.54</v>
          </cell>
        </row>
        <row r="20">
          <cell r="C20">
            <v>-40</v>
          </cell>
          <cell r="D20">
            <v>17</v>
          </cell>
          <cell r="G20">
            <v>0.5</v>
          </cell>
          <cell r="H20">
            <v>0.48</v>
          </cell>
        </row>
        <row r="21">
          <cell r="C21">
            <v>-35</v>
          </cell>
          <cell r="D21">
            <v>27</v>
          </cell>
          <cell r="G21">
            <v>0.46</v>
          </cell>
          <cell r="H21">
            <v>0.42</v>
          </cell>
        </row>
        <row r="22">
          <cell r="C22">
            <v>-30</v>
          </cell>
          <cell r="D22">
            <v>44</v>
          </cell>
          <cell r="G22">
            <v>0.4125</v>
          </cell>
          <cell r="H22">
            <v>0.36</v>
          </cell>
        </row>
        <row r="23">
          <cell r="C23">
            <v>-25</v>
          </cell>
          <cell r="D23">
            <v>52</v>
          </cell>
          <cell r="G23">
            <v>0.36</v>
          </cell>
          <cell r="H23">
            <v>0.3</v>
          </cell>
        </row>
        <row r="24">
          <cell r="C24">
            <v>-20</v>
          </cell>
          <cell r="D24">
            <v>83</v>
          </cell>
          <cell r="G24">
            <v>0.3</v>
          </cell>
          <cell r="H24">
            <v>0.24</v>
          </cell>
        </row>
        <row r="25">
          <cell r="C25">
            <v>-15</v>
          </cell>
          <cell r="D25">
            <v>122</v>
          </cell>
          <cell r="G25">
            <v>0.235</v>
          </cell>
          <cell r="H25">
            <v>0.18</v>
          </cell>
        </row>
        <row r="26">
          <cell r="C26">
            <v>-10</v>
          </cell>
          <cell r="D26">
            <v>207</v>
          </cell>
          <cell r="G26">
            <v>0.1625</v>
          </cell>
          <cell r="H26">
            <v>0.12</v>
          </cell>
        </row>
        <row r="27">
          <cell r="C27">
            <v>-5</v>
          </cell>
          <cell r="D27">
            <v>329</v>
          </cell>
          <cell r="G27">
            <v>0.085</v>
          </cell>
          <cell r="H27">
            <v>0.06</v>
          </cell>
        </row>
        <row r="28">
          <cell r="C28">
            <v>0</v>
          </cell>
          <cell r="D28">
            <v>524</v>
          </cell>
          <cell r="G28">
            <v>0</v>
          </cell>
          <cell r="H28">
            <v>0</v>
          </cell>
        </row>
        <row r="29">
          <cell r="C29">
            <v>5</v>
          </cell>
          <cell r="D29">
            <v>407</v>
          </cell>
          <cell r="G29">
            <v>0</v>
          </cell>
          <cell r="H29">
            <v>0.025</v>
          </cell>
        </row>
        <row r="30">
          <cell r="C30">
            <v>10</v>
          </cell>
          <cell r="D30">
            <v>381</v>
          </cell>
          <cell r="G30">
            <v>0</v>
          </cell>
          <cell r="H30">
            <v>0.05</v>
          </cell>
        </row>
        <row r="31">
          <cell r="C31">
            <v>15</v>
          </cell>
          <cell r="D31">
            <v>206</v>
          </cell>
          <cell r="G31">
            <v>0</v>
          </cell>
          <cell r="H31">
            <v>0.075</v>
          </cell>
        </row>
        <row r="32">
          <cell r="C32">
            <v>20</v>
          </cell>
          <cell r="D32">
            <v>194</v>
          </cell>
          <cell r="G32">
            <v>0</v>
          </cell>
          <cell r="H32">
            <v>0.1</v>
          </cell>
        </row>
        <row r="33">
          <cell r="C33">
            <v>25</v>
          </cell>
          <cell r="D33">
            <v>67</v>
          </cell>
          <cell r="G33">
            <v>0</v>
          </cell>
          <cell r="H33">
            <v>0.125</v>
          </cell>
        </row>
        <row r="34">
          <cell r="C34">
            <v>30</v>
          </cell>
          <cell r="D34">
            <v>20</v>
          </cell>
          <cell r="G34">
            <v>0</v>
          </cell>
          <cell r="H34">
            <v>0.15</v>
          </cell>
        </row>
        <row r="35">
          <cell r="C35">
            <v>35</v>
          </cell>
          <cell r="D35">
            <v>7</v>
          </cell>
          <cell r="G35">
            <v>0</v>
          </cell>
          <cell r="H35">
            <v>0.175</v>
          </cell>
        </row>
        <row r="36">
          <cell r="C36">
            <v>40</v>
          </cell>
          <cell r="D36">
            <v>2</v>
          </cell>
          <cell r="G36">
            <v>0</v>
          </cell>
          <cell r="H36">
            <v>0.2</v>
          </cell>
        </row>
        <row r="37">
          <cell r="C37">
            <v>45</v>
          </cell>
          <cell r="D37">
            <v>0</v>
          </cell>
          <cell r="G37">
            <v>0</v>
          </cell>
          <cell r="H37">
            <v>0.225</v>
          </cell>
        </row>
        <row r="38">
          <cell r="C38">
            <v>50</v>
          </cell>
          <cell r="D38">
            <v>0</v>
          </cell>
          <cell r="G38">
            <v>0</v>
          </cell>
          <cell r="H38">
            <v>0.25</v>
          </cell>
        </row>
        <row r="39">
          <cell r="C39" t="str">
            <v>More</v>
          </cell>
          <cell r="D39">
            <v>0</v>
          </cell>
          <cell r="G39">
            <v>0</v>
          </cell>
          <cell r="H39">
            <v>0.275</v>
          </cell>
        </row>
      </sheetData>
      <sheetData sheetId="13">
        <row r="16">
          <cell r="D16" t="str">
            <v>Frequency</v>
          </cell>
          <cell r="G16" t="str">
            <v>Tire Life Reduction</v>
          </cell>
          <cell r="H16" t="str">
            <v>Tread Wear Increase</v>
          </cell>
        </row>
        <row r="18">
          <cell r="C18">
            <v>-50</v>
          </cell>
          <cell r="D18">
            <v>30</v>
          </cell>
          <cell r="G18">
            <v>0.5625</v>
          </cell>
          <cell r="H18">
            <v>0.6</v>
          </cell>
        </row>
        <row r="19">
          <cell r="C19">
            <v>-45</v>
          </cell>
          <cell r="D19">
            <v>12</v>
          </cell>
          <cell r="G19">
            <v>0.535</v>
          </cell>
          <cell r="H19">
            <v>0.54</v>
          </cell>
        </row>
        <row r="20">
          <cell r="C20">
            <v>-40</v>
          </cell>
          <cell r="D20">
            <v>11</v>
          </cell>
          <cell r="G20">
            <v>0.5</v>
          </cell>
          <cell r="H20">
            <v>0.48</v>
          </cell>
        </row>
        <row r="21">
          <cell r="C21">
            <v>-35</v>
          </cell>
          <cell r="D21">
            <v>2</v>
          </cell>
          <cell r="G21">
            <v>0.46</v>
          </cell>
          <cell r="H21">
            <v>0.42</v>
          </cell>
        </row>
        <row r="22">
          <cell r="C22">
            <v>-30</v>
          </cell>
          <cell r="D22">
            <v>17</v>
          </cell>
          <cell r="G22">
            <v>0.4125</v>
          </cell>
          <cell r="H22">
            <v>0.36</v>
          </cell>
        </row>
        <row r="23">
          <cell r="C23">
            <v>-25</v>
          </cell>
          <cell r="D23">
            <v>31</v>
          </cell>
          <cell r="G23">
            <v>0.36</v>
          </cell>
          <cell r="H23">
            <v>0.3</v>
          </cell>
        </row>
        <row r="24">
          <cell r="C24">
            <v>-20</v>
          </cell>
          <cell r="D24">
            <v>107</v>
          </cell>
          <cell r="G24">
            <v>0.3</v>
          </cell>
          <cell r="H24">
            <v>0.24</v>
          </cell>
        </row>
        <row r="25">
          <cell r="C25">
            <v>-15</v>
          </cell>
          <cell r="D25">
            <v>345</v>
          </cell>
          <cell r="G25">
            <v>0.235</v>
          </cell>
          <cell r="H25">
            <v>0.18</v>
          </cell>
        </row>
        <row r="26">
          <cell r="C26">
            <v>-10</v>
          </cell>
          <cell r="D26">
            <v>728</v>
          </cell>
          <cell r="G26">
            <v>0.1625</v>
          </cell>
          <cell r="H26">
            <v>0.12</v>
          </cell>
        </row>
        <row r="27">
          <cell r="C27">
            <v>-5</v>
          </cell>
          <cell r="D27">
            <v>1403</v>
          </cell>
          <cell r="G27">
            <v>0.085</v>
          </cell>
          <cell r="H27">
            <v>0.06</v>
          </cell>
        </row>
        <row r="28">
          <cell r="C28">
            <v>0</v>
          </cell>
          <cell r="D28">
            <v>2675</v>
          </cell>
          <cell r="G28">
            <v>0</v>
          </cell>
          <cell r="H28">
            <v>0</v>
          </cell>
        </row>
        <row r="29">
          <cell r="C29">
            <v>5</v>
          </cell>
          <cell r="D29">
            <v>710</v>
          </cell>
          <cell r="G29">
            <v>0</v>
          </cell>
          <cell r="H29">
            <v>0.025</v>
          </cell>
        </row>
        <row r="30">
          <cell r="C30">
            <v>10</v>
          </cell>
          <cell r="D30">
            <v>395</v>
          </cell>
          <cell r="G30">
            <v>0</v>
          </cell>
          <cell r="H30">
            <v>0.05</v>
          </cell>
        </row>
        <row r="31">
          <cell r="C31">
            <v>15</v>
          </cell>
          <cell r="D31">
            <v>128</v>
          </cell>
          <cell r="G31">
            <v>0</v>
          </cell>
          <cell r="H31">
            <v>0.075</v>
          </cell>
        </row>
        <row r="32">
          <cell r="C32">
            <v>20</v>
          </cell>
          <cell r="D32">
            <v>105</v>
          </cell>
          <cell r="G32">
            <v>0</v>
          </cell>
          <cell r="H32">
            <v>0.1</v>
          </cell>
        </row>
        <row r="33">
          <cell r="C33">
            <v>25</v>
          </cell>
          <cell r="D33">
            <v>44</v>
          </cell>
          <cell r="G33">
            <v>0</v>
          </cell>
          <cell r="H33">
            <v>0.125</v>
          </cell>
        </row>
        <row r="34">
          <cell r="C34">
            <v>30</v>
          </cell>
          <cell r="D34">
            <v>27</v>
          </cell>
          <cell r="G34">
            <v>0</v>
          </cell>
          <cell r="H34">
            <v>0.15</v>
          </cell>
        </row>
        <row r="35">
          <cell r="C35">
            <v>35</v>
          </cell>
          <cell r="D35">
            <v>10</v>
          </cell>
          <cell r="G35">
            <v>0</v>
          </cell>
          <cell r="H35">
            <v>0.175</v>
          </cell>
        </row>
        <row r="36">
          <cell r="C36">
            <v>40</v>
          </cell>
          <cell r="D36">
            <v>5</v>
          </cell>
          <cell r="G36">
            <v>0</v>
          </cell>
          <cell r="H36">
            <v>0.2</v>
          </cell>
        </row>
        <row r="37">
          <cell r="C37">
            <v>45</v>
          </cell>
          <cell r="D37">
            <v>0</v>
          </cell>
          <cell r="G37">
            <v>0</v>
          </cell>
          <cell r="H37">
            <v>0.225</v>
          </cell>
        </row>
        <row r="38">
          <cell r="C38">
            <v>50</v>
          </cell>
          <cell r="D38">
            <v>0</v>
          </cell>
          <cell r="G38">
            <v>0</v>
          </cell>
          <cell r="H38">
            <v>0.25</v>
          </cell>
        </row>
        <row r="39">
          <cell r="C39" t="str">
            <v>More</v>
          </cell>
          <cell r="D39">
            <v>1</v>
          </cell>
          <cell r="G39">
            <v>0</v>
          </cell>
          <cell r="H39">
            <v>0.275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2" max="2" width="40.7109375" style="0" customWidth="1"/>
  </cols>
  <sheetData>
    <row r="1" ht="15.75">
      <c r="A1" s="92" t="s">
        <v>110</v>
      </c>
    </row>
    <row r="3" spans="1:5" ht="15.75">
      <c r="A3" s="93" t="s">
        <v>94</v>
      </c>
      <c r="B3" s="92" t="s">
        <v>104</v>
      </c>
      <c r="C3" s="92" t="s">
        <v>96</v>
      </c>
      <c r="D3" s="92"/>
      <c r="E3" s="92"/>
    </row>
    <row r="4" spans="1:5" ht="15.75">
      <c r="A4" s="93" t="s">
        <v>94</v>
      </c>
      <c r="B4" s="92" t="s">
        <v>105</v>
      </c>
      <c r="C4" s="92" t="s">
        <v>97</v>
      </c>
      <c r="D4" s="92"/>
      <c r="E4" s="92"/>
    </row>
    <row r="5" spans="1:5" ht="15.75">
      <c r="A5" s="93" t="s">
        <v>94</v>
      </c>
      <c r="B5" s="92" t="s">
        <v>106</v>
      </c>
      <c r="C5" s="92" t="s">
        <v>98</v>
      </c>
      <c r="D5" s="92"/>
      <c r="E5" s="92"/>
    </row>
    <row r="6" spans="1:5" ht="15.75">
      <c r="A6" s="93" t="s">
        <v>94</v>
      </c>
      <c r="B6" s="92" t="s">
        <v>107</v>
      </c>
      <c r="C6" s="92" t="s">
        <v>99</v>
      </c>
      <c r="D6" s="92"/>
      <c r="E6" s="92"/>
    </row>
    <row r="7" spans="1:4" ht="15.75">
      <c r="A7" s="93" t="s">
        <v>94</v>
      </c>
      <c r="B7" s="92" t="s">
        <v>108</v>
      </c>
      <c r="C7" s="92" t="s">
        <v>100</v>
      </c>
      <c r="D7" s="92"/>
    </row>
    <row r="8" spans="1:4" ht="15.75">
      <c r="A8" s="93" t="s">
        <v>94</v>
      </c>
      <c r="B8" s="92" t="s">
        <v>109</v>
      </c>
      <c r="C8" s="92" t="s">
        <v>101</v>
      </c>
      <c r="D8" s="92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&amp;CPage C-&amp;P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M87"/>
  <sheetViews>
    <sheetView view="pageBreakPreview" zoomScale="60" zoomScaleNormal="70" workbookViewId="0" topLeftCell="A1">
      <selection activeCell="A1" sqref="A1:M1"/>
    </sheetView>
  </sheetViews>
  <sheetFormatPr defaultColWidth="9.140625" defaultRowHeight="12.75"/>
  <cols>
    <col min="1" max="21" width="14.7109375" style="0" customWidth="1"/>
  </cols>
  <sheetData>
    <row r="1" spans="1:13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03"/>
    </row>
    <row r="2" spans="1:11" ht="16.5" thickBot="1">
      <c r="A2" s="1"/>
      <c r="B2" s="3" t="s">
        <v>1</v>
      </c>
      <c r="C2" s="3"/>
      <c r="D2" s="1"/>
      <c r="E2" s="1"/>
      <c r="F2" s="1"/>
      <c r="G2" s="1"/>
      <c r="J2" s="1"/>
      <c r="K2" s="1"/>
    </row>
    <row r="3" spans="1:11" ht="15.75">
      <c r="A3" s="1"/>
      <c r="B3" s="98" t="s">
        <v>2</v>
      </c>
      <c r="C3" s="99"/>
      <c r="D3" s="99"/>
      <c r="E3" s="99"/>
      <c r="F3" s="99"/>
      <c r="G3" s="99"/>
      <c r="H3" s="99"/>
      <c r="I3" s="99"/>
      <c r="J3" s="99"/>
      <c r="K3" s="2"/>
    </row>
    <row r="4" spans="1:10" ht="15.75">
      <c r="A4" s="1"/>
      <c r="B4" s="103" t="s">
        <v>3</v>
      </c>
      <c r="C4" s="103"/>
      <c r="D4" s="103"/>
      <c r="E4" s="4">
        <v>125000</v>
      </c>
      <c r="F4" s="5"/>
      <c r="G4" s="97" t="s">
        <v>4</v>
      </c>
      <c r="H4" s="97"/>
      <c r="I4" s="97"/>
      <c r="J4" s="7">
        <v>650000</v>
      </c>
    </row>
    <row r="5" spans="1:10" ht="15.75">
      <c r="A5" s="1"/>
      <c r="B5" s="103" t="s">
        <v>5</v>
      </c>
      <c r="C5" s="103"/>
      <c r="D5" s="103"/>
      <c r="E5" s="4">
        <v>400</v>
      </c>
      <c r="F5" s="8"/>
      <c r="G5" s="97" t="s">
        <v>6</v>
      </c>
      <c r="H5" s="97"/>
      <c r="I5" s="97"/>
      <c r="J5" s="7">
        <v>2</v>
      </c>
    </row>
    <row r="6" spans="1:10" ht="15.75">
      <c r="A6" s="1"/>
      <c r="B6" s="103" t="s">
        <v>7</v>
      </c>
      <c r="C6" s="103"/>
      <c r="D6" s="103"/>
      <c r="E6" s="7">
        <f>E5*10</f>
        <v>4000</v>
      </c>
      <c r="F6" s="8"/>
      <c r="G6" s="97" t="s">
        <v>8</v>
      </c>
      <c r="H6" s="97"/>
      <c r="I6" s="97"/>
      <c r="J6" s="9">
        <v>6.5</v>
      </c>
    </row>
    <row r="7" spans="1:10" ht="15.75">
      <c r="A7" s="1"/>
      <c r="B7" s="97" t="s">
        <v>9</v>
      </c>
      <c r="C7" s="103"/>
      <c r="D7" s="103"/>
      <c r="E7" s="7">
        <f>E5*2</f>
        <v>800</v>
      </c>
      <c r="F7" s="8"/>
      <c r="G7" s="97" t="s">
        <v>10</v>
      </c>
      <c r="H7" s="100"/>
      <c r="I7" s="100"/>
      <c r="J7" s="11">
        <v>300</v>
      </c>
    </row>
    <row r="8" spans="1:10" ht="15.75">
      <c r="A8" s="1"/>
      <c r="B8" s="97" t="s">
        <v>11</v>
      </c>
      <c r="C8" s="100"/>
      <c r="D8" s="100"/>
      <c r="E8" s="7">
        <f>E5*8</f>
        <v>3200</v>
      </c>
      <c r="F8" s="8"/>
      <c r="G8" s="97" t="s">
        <v>12</v>
      </c>
      <c r="H8" s="100"/>
      <c r="I8" s="100"/>
      <c r="J8" s="11">
        <v>90</v>
      </c>
    </row>
    <row r="9" spans="1:10" ht="15.75">
      <c r="A9" s="1"/>
      <c r="B9" s="103" t="s">
        <v>13</v>
      </c>
      <c r="C9" s="103"/>
      <c r="D9" s="103"/>
      <c r="E9" s="4">
        <v>600</v>
      </c>
      <c r="F9" s="12"/>
      <c r="G9" s="97" t="s">
        <v>14</v>
      </c>
      <c r="H9" s="100"/>
      <c r="I9" s="100"/>
      <c r="J9" s="11">
        <v>1.4</v>
      </c>
    </row>
    <row r="10" spans="1:10" ht="15.75">
      <c r="A10" s="1"/>
      <c r="B10" s="97" t="s">
        <v>15</v>
      </c>
      <c r="C10" s="97"/>
      <c r="D10" s="97"/>
      <c r="E10" s="13">
        <f>E9*8</f>
        <v>4800</v>
      </c>
      <c r="F10" s="12"/>
      <c r="G10" s="6"/>
      <c r="H10" s="10"/>
      <c r="I10" s="10"/>
      <c r="J10" s="11"/>
    </row>
    <row r="11" spans="1:10" ht="16.5" thickBot="1">
      <c r="A11" s="1"/>
      <c r="B11" s="14"/>
      <c r="C11" s="14"/>
      <c r="D11" s="14"/>
      <c r="E11" s="14"/>
      <c r="F11" s="15"/>
      <c r="G11" s="111"/>
      <c r="H11" s="111"/>
      <c r="I11" s="111"/>
      <c r="J11" s="17"/>
    </row>
    <row r="12" spans="1:7" ht="15.75">
      <c r="A12" s="1"/>
      <c r="G12" s="1"/>
    </row>
    <row r="13" spans="1:12" ht="16.5" thickBot="1">
      <c r="A13" s="1"/>
      <c r="B13" s="3" t="s">
        <v>16</v>
      </c>
      <c r="C13" s="1"/>
      <c r="D13" s="1"/>
      <c r="E13" s="1"/>
      <c r="F13" s="1"/>
      <c r="G13" s="1"/>
      <c r="H13" s="1"/>
      <c r="I13" s="1"/>
      <c r="J13" s="1"/>
      <c r="K13" s="2"/>
      <c r="L13" s="2"/>
    </row>
    <row r="14" spans="2:12" ht="13.5" customHeight="1">
      <c r="B14" s="101" t="s">
        <v>17</v>
      </c>
      <c r="C14" s="104" t="s">
        <v>18</v>
      </c>
      <c r="D14" s="104" t="s">
        <v>19</v>
      </c>
      <c r="E14" s="104" t="s">
        <v>20</v>
      </c>
      <c r="F14" s="104" t="s">
        <v>21</v>
      </c>
      <c r="G14" s="104" t="s">
        <v>22</v>
      </c>
      <c r="H14" s="104" t="s">
        <v>23</v>
      </c>
      <c r="I14" s="104" t="s">
        <v>24</v>
      </c>
      <c r="J14" s="104" t="s">
        <v>25</v>
      </c>
      <c r="K14" s="109" t="s">
        <v>26</v>
      </c>
      <c r="L14" s="109" t="s">
        <v>27</v>
      </c>
    </row>
    <row r="15" spans="2:12" ht="12.75">
      <c r="B15" s="102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2:12" ht="12.75">
      <c r="B16" s="18"/>
      <c r="C16" s="19">
        <v>-50</v>
      </c>
      <c r="D16" s="20">
        <v>34</v>
      </c>
      <c r="E16" s="21">
        <v>0.005326648911170296</v>
      </c>
      <c r="F16" s="22">
        <v>0.005326648911170296</v>
      </c>
      <c r="G16" s="23">
        <v>0.5625</v>
      </c>
      <c r="H16" s="23">
        <v>0.6</v>
      </c>
      <c r="I16" s="23">
        <v>0.025</v>
      </c>
      <c r="J16" s="24">
        <f>(((F16*$E$6)*$J$4)/((1-G16)*$J$4))-($E$6*F16)</f>
        <v>27.394194400304382</v>
      </c>
      <c r="K16" s="24">
        <f>(($E$6*F16)*$J$4)/((1-H16)*($J$4/$J$5))-(($E$6*F16*$J$4)/($J$4/$J$5))</f>
        <v>63.91978693404355</v>
      </c>
      <c r="L16" s="25">
        <f>F16*I16</f>
        <v>0.0001331662227792574</v>
      </c>
    </row>
    <row r="17" spans="2:12" ht="12.75">
      <c r="B17" s="8">
        <v>-50</v>
      </c>
      <c r="C17" s="19">
        <v>-45</v>
      </c>
      <c r="D17" s="20">
        <v>11</v>
      </c>
      <c r="E17" s="21">
        <v>0.007049976500078333</v>
      </c>
      <c r="F17" s="23">
        <v>0.0017233275889080371</v>
      </c>
      <c r="G17" s="23">
        <v>0.535</v>
      </c>
      <c r="H17" s="23">
        <v>0.54</v>
      </c>
      <c r="I17" s="23">
        <v>0.0225</v>
      </c>
      <c r="J17" s="24">
        <f aca="true" t="shared" si="0" ref="J17:J37">(((F17*$E$6)*$J$4)/((1-G17)*$J$4))-($E$6*F17)</f>
        <v>7.93101298981333</v>
      </c>
      <c r="K17" s="24">
        <f aca="true" t="shared" si="1" ref="K17:K37">(($E$6*F17)*$J$4)/((1-H17)*($J$4/$J$5))-(($E$6*F17*$J$4)/($J$4/$J$5))</f>
        <v>16.184293878440695</v>
      </c>
      <c r="L17" s="25">
        <f aca="true" t="shared" si="2" ref="L17:L37">F17*I17</f>
        <v>3.877487075043084E-05</v>
      </c>
    </row>
    <row r="18" spans="2:12" ht="12.75">
      <c r="B18" s="8">
        <v>-45</v>
      </c>
      <c r="C18" s="19">
        <v>-40</v>
      </c>
      <c r="D18" s="20">
        <v>12</v>
      </c>
      <c r="E18" s="21">
        <v>0.008929970233432555</v>
      </c>
      <c r="F18" s="23">
        <v>0.001879993733354222</v>
      </c>
      <c r="G18" s="23">
        <v>0.5</v>
      </c>
      <c r="H18" s="23">
        <v>0.48</v>
      </c>
      <c r="I18" s="23">
        <v>0.02</v>
      </c>
      <c r="J18" s="24">
        <f t="shared" si="0"/>
        <v>7.519974933416889</v>
      </c>
      <c r="K18" s="24">
        <f t="shared" si="1"/>
        <v>13.8830306463081</v>
      </c>
      <c r="L18" s="25">
        <f t="shared" si="2"/>
        <v>3.759987466708444E-05</v>
      </c>
    </row>
    <row r="19" spans="2:12" ht="12.75">
      <c r="B19" s="8">
        <v>-40</v>
      </c>
      <c r="C19" s="19">
        <v>-35</v>
      </c>
      <c r="D19" s="20">
        <v>18</v>
      </c>
      <c r="E19" s="21">
        <v>0.011749960833463888</v>
      </c>
      <c r="F19" s="23">
        <v>0.0028199906000313333</v>
      </c>
      <c r="G19" s="23">
        <v>0.46</v>
      </c>
      <c r="H19" s="23">
        <v>0.42</v>
      </c>
      <c r="I19" s="23">
        <v>0.0175</v>
      </c>
      <c r="J19" s="24">
        <f t="shared" si="0"/>
        <v>9.608856859366023</v>
      </c>
      <c r="K19" s="24">
        <f t="shared" si="1"/>
        <v>16.336497269147028</v>
      </c>
      <c r="L19" s="25">
        <f t="shared" si="2"/>
        <v>4.9349835500548335E-05</v>
      </c>
    </row>
    <row r="20" spans="2:12" ht="12.75">
      <c r="B20" s="8">
        <v>-35</v>
      </c>
      <c r="C20" s="19">
        <v>-30</v>
      </c>
      <c r="D20" s="20">
        <v>36</v>
      </c>
      <c r="E20" s="21">
        <v>0.017389942033526555</v>
      </c>
      <c r="F20" s="26">
        <v>0.005639981200062667</v>
      </c>
      <c r="G20" s="23">
        <v>0.4125</v>
      </c>
      <c r="H20" s="23">
        <v>0.36</v>
      </c>
      <c r="I20" s="23">
        <v>0.015</v>
      </c>
      <c r="J20" s="24">
        <f t="shared" si="0"/>
        <v>15.839947200175995</v>
      </c>
      <c r="K20" s="24">
        <f t="shared" si="1"/>
        <v>25.379915400281995</v>
      </c>
      <c r="L20" s="25">
        <f t="shared" si="2"/>
        <v>8.459971800094E-05</v>
      </c>
    </row>
    <row r="21" spans="2:12" ht="12.75">
      <c r="B21" s="8">
        <v>-30</v>
      </c>
      <c r="C21" s="19">
        <v>-25</v>
      </c>
      <c r="D21" s="20">
        <v>104</v>
      </c>
      <c r="E21" s="21">
        <v>0.033683221055929816</v>
      </c>
      <c r="F21" s="23">
        <v>0.01629327902240326</v>
      </c>
      <c r="G21" s="23">
        <v>0.36</v>
      </c>
      <c r="H21" s="23">
        <v>0.3</v>
      </c>
      <c r="I21" s="23">
        <v>0.0125</v>
      </c>
      <c r="J21" s="24">
        <f t="shared" si="0"/>
        <v>36.659877800407344</v>
      </c>
      <c r="K21" s="24">
        <f t="shared" si="1"/>
        <v>55.862670933954035</v>
      </c>
      <c r="L21" s="25">
        <f t="shared" si="2"/>
        <v>0.00020366598778004077</v>
      </c>
    </row>
    <row r="22" spans="2:12" ht="12.75">
      <c r="B22" s="18">
        <v>-25</v>
      </c>
      <c r="C22" s="19">
        <v>-20</v>
      </c>
      <c r="D22" s="20">
        <v>258</v>
      </c>
      <c r="E22" s="21">
        <v>0.07410308632304559</v>
      </c>
      <c r="F22" s="22">
        <v>0.04041986526711577</v>
      </c>
      <c r="G22" s="23">
        <v>0.3</v>
      </c>
      <c r="H22" s="23">
        <v>0.24</v>
      </c>
      <c r="I22" s="23">
        <v>0.01</v>
      </c>
      <c r="J22" s="24">
        <f t="shared" si="0"/>
        <v>69.29119760076989</v>
      </c>
      <c r="K22" s="24">
        <f t="shared" si="1"/>
        <v>102.11334383271355</v>
      </c>
      <c r="L22" s="25">
        <f t="shared" si="2"/>
        <v>0.0004041986526711577</v>
      </c>
    </row>
    <row r="23" spans="2:12" ht="12.75">
      <c r="B23" s="8">
        <v>-20</v>
      </c>
      <c r="C23" s="19">
        <v>-15</v>
      </c>
      <c r="D23" s="20">
        <v>442</v>
      </c>
      <c r="E23" s="21">
        <v>0.14334952216825944</v>
      </c>
      <c r="F23" s="22">
        <v>0.06924643584521385</v>
      </c>
      <c r="G23" s="23">
        <v>0.235</v>
      </c>
      <c r="H23" s="23">
        <v>0.18</v>
      </c>
      <c r="I23" s="23">
        <v>0.0075</v>
      </c>
      <c r="J23" s="24">
        <f t="shared" si="0"/>
        <v>85.08712378366147</v>
      </c>
      <c r="K23" s="24">
        <f t="shared" si="1"/>
        <v>121.60349709403408</v>
      </c>
      <c r="L23" s="25">
        <f t="shared" si="2"/>
        <v>0.0005193482688391039</v>
      </c>
    </row>
    <row r="24" spans="2:12" ht="12.75">
      <c r="B24" s="8">
        <v>-15</v>
      </c>
      <c r="C24" s="19">
        <v>-10</v>
      </c>
      <c r="D24" s="20">
        <v>807</v>
      </c>
      <c r="E24" s="21">
        <v>0.2697791007363309</v>
      </c>
      <c r="F24" s="23">
        <v>0.12642957856807144</v>
      </c>
      <c r="G24" s="23">
        <v>0.1625</v>
      </c>
      <c r="H24" s="23">
        <v>0.12</v>
      </c>
      <c r="I24" s="23">
        <v>0.005</v>
      </c>
      <c r="J24" s="24">
        <f t="shared" si="0"/>
        <v>98.12444903790617</v>
      </c>
      <c r="K24" s="24">
        <f t="shared" si="1"/>
        <v>137.92317661971435</v>
      </c>
      <c r="L24" s="25">
        <f t="shared" si="2"/>
        <v>0.0006321478928403572</v>
      </c>
    </row>
    <row r="25" spans="2:12" ht="12.75">
      <c r="B25" s="8">
        <v>-10</v>
      </c>
      <c r="C25" s="19">
        <v>-5</v>
      </c>
      <c r="D25" s="20">
        <v>1333</v>
      </c>
      <c r="E25" s="21">
        <v>0.4786150712830957</v>
      </c>
      <c r="F25" s="23">
        <v>0.20883597054676484</v>
      </c>
      <c r="G25" s="23">
        <v>0.085</v>
      </c>
      <c r="H25" s="23">
        <v>0.06</v>
      </c>
      <c r="I25" s="23">
        <v>0.0025</v>
      </c>
      <c r="J25" s="24">
        <f t="shared" si="0"/>
        <v>77.60025135071044</v>
      </c>
      <c r="K25" s="24">
        <f t="shared" si="1"/>
        <v>106.63964453451808</v>
      </c>
      <c r="L25" s="25">
        <f t="shared" si="2"/>
        <v>0.0005220899263669121</v>
      </c>
    </row>
    <row r="26" spans="2:12" ht="12.75">
      <c r="B26" s="8">
        <v>-5</v>
      </c>
      <c r="C26" s="19">
        <v>0</v>
      </c>
      <c r="D26" s="20">
        <v>2171</v>
      </c>
      <c r="E26" s="21">
        <v>0.8187372708757638</v>
      </c>
      <c r="F26" s="23">
        <v>0.34012219959266804</v>
      </c>
      <c r="G26" s="23">
        <v>0</v>
      </c>
      <c r="H26" s="23">
        <v>0</v>
      </c>
      <c r="I26" s="23">
        <v>0</v>
      </c>
      <c r="J26" s="24">
        <f t="shared" si="0"/>
        <v>0</v>
      </c>
      <c r="K26" s="24">
        <f t="shared" si="1"/>
        <v>0</v>
      </c>
      <c r="L26" s="25">
        <f t="shared" si="2"/>
        <v>0</v>
      </c>
    </row>
    <row r="27" spans="2:12" ht="12.75">
      <c r="B27" s="8">
        <v>0</v>
      </c>
      <c r="C27" s="19">
        <v>5</v>
      </c>
      <c r="D27" s="20">
        <v>828</v>
      </c>
      <c r="E27" s="21">
        <v>0.9484568384772051</v>
      </c>
      <c r="F27" s="23">
        <v>0.12971956760144132</v>
      </c>
      <c r="G27" s="23">
        <v>0</v>
      </c>
      <c r="H27" s="23">
        <v>0.025</v>
      </c>
      <c r="I27" s="23">
        <v>0</v>
      </c>
      <c r="J27" s="24">
        <f t="shared" si="0"/>
        <v>0</v>
      </c>
      <c r="K27" s="24">
        <f t="shared" si="1"/>
        <v>26.609142072090435</v>
      </c>
      <c r="L27" s="25">
        <f t="shared" si="2"/>
        <v>0</v>
      </c>
    </row>
    <row r="28" spans="2:12" ht="12.75">
      <c r="B28" s="8">
        <v>5</v>
      </c>
      <c r="C28" s="19">
        <v>10</v>
      </c>
      <c r="D28" s="20">
        <v>243</v>
      </c>
      <c r="E28" s="21">
        <v>0.9865267115776281</v>
      </c>
      <c r="F28" s="23">
        <v>0.03806987310042298</v>
      </c>
      <c r="G28" s="23">
        <v>0</v>
      </c>
      <c r="H28" s="23">
        <v>0.05</v>
      </c>
      <c r="I28" s="23">
        <v>0</v>
      </c>
      <c r="J28" s="24">
        <f t="shared" si="0"/>
        <v>0</v>
      </c>
      <c r="K28" s="24">
        <f t="shared" si="1"/>
        <v>16.0294202528097</v>
      </c>
      <c r="L28" s="25">
        <f t="shared" si="2"/>
        <v>0</v>
      </c>
    </row>
    <row r="29" spans="2:12" ht="12.75">
      <c r="B29" s="8">
        <v>10</v>
      </c>
      <c r="C29" s="19">
        <v>15</v>
      </c>
      <c r="D29" s="20">
        <v>49</v>
      </c>
      <c r="E29" s="21">
        <v>0.9942033526554912</v>
      </c>
      <c r="F29" s="23">
        <v>0.007676641077863144</v>
      </c>
      <c r="G29" s="23">
        <v>0</v>
      </c>
      <c r="H29" s="23">
        <v>0.075</v>
      </c>
      <c r="I29" s="23">
        <v>0</v>
      </c>
      <c r="J29" s="24">
        <f t="shared" si="0"/>
        <v>0</v>
      </c>
      <c r="K29" s="24">
        <f t="shared" si="1"/>
        <v>4.979442861316635</v>
      </c>
      <c r="L29" s="25">
        <f t="shared" si="2"/>
        <v>0</v>
      </c>
    </row>
    <row r="30" spans="2:12" ht="12.75">
      <c r="B30" s="8">
        <v>15</v>
      </c>
      <c r="C30" s="19">
        <v>20</v>
      </c>
      <c r="D30" s="20">
        <v>26</v>
      </c>
      <c r="E30" s="21">
        <v>0.998276672411092</v>
      </c>
      <c r="F30" s="23">
        <v>0.004073319755600768</v>
      </c>
      <c r="G30" s="23">
        <v>0</v>
      </c>
      <c r="H30" s="23">
        <v>0.1</v>
      </c>
      <c r="I30" s="23">
        <v>0</v>
      </c>
      <c r="J30" s="24">
        <f t="shared" si="0"/>
        <v>0</v>
      </c>
      <c r="K30" s="24">
        <f t="shared" si="1"/>
        <v>3.620728671645125</v>
      </c>
      <c r="L30" s="25">
        <f t="shared" si="2"/>
        <v>0</v>
      </c>
    </row>
    <row r="31" spans="2:12" ht="12.75">
      <c r="B31" s="8">
        <v>20</v>
      </c>
      <c r="C31" s="19">
        <v>25</v>
      </c>
      <c r="D31" s="20">
        <v>6</v>
      </c>
      <c r="E31" s="21">
        <v>0.9992166692777691</v>
      </c>
      <c r="F31" s="23">
        <v>0.0009399968666771175</v>
      </c>
      <c r="G31" s="23">
        <v>0</v>
      </c>
      <c r="H31" s="23">
        <v>0.125</v>
      </c>
      <c r="I31" s="23">
        <v>0</v>
      </c>
      <c r="J31" s="24">
        <f t="shared" si="0"/>
        <v>0</v>
      </c>
      <c r="K31" s="24">
        <f t="shared" si="1"/>
        <v>1.0742821333452763</v>
      </c>
      <c r="L31" s="25">
        <f t="shared" si="2"/>
        <v>0</v>
      </c>
    </row>
    <row r="32" spans="2:12" ht="12.75">
      <c r="B32" s="8">
        <v>25</v>
      </c>
      <c r="C32" s="19">
        <v>30</v>
      </c>
      <c r="D32" s="20">
        <v>4</v>
      </c>
      <c r="E32" s="21">
        <v>0.9998433338555538</v>
      </c>
      <c r="F32" s="23">
        <v>0.000626664577784708</v>
      </c>
      <c r="G32" s="23">
        <v>0</v>
      </c>
      <c r="H32" s="23">
        <v>0.15</v>
      </c>
      <c r="I32" s="23">
        <v>0</v>
      </c>
      <c r="J32" s="24">
        <f t="shared" si="0"/>
        <v>0</v>
      </c>
      <c r="K32" s="24">
        <f t="shared" si="1"/>
        <v>0.8847029333431173</v>
      </c>
      <c r="L32" s="25">
        <f t="shared" si="2"/>
        <v>0</v>
      </c>
    </row>
    <row r="33" spans="2:12" ht="12.75">
      <c r="B33" s="8">
        <v>30</v>
      </c>
      <c r="C33" s="19">
        <v>35</v>
      </c>
      <c r="D33" s="20">
        <v>1</v>
      </c>
      <c r="E33" s="21">
        <v>1</v>
      </c>
      <c r="F33" s="23">
        <v>0.00015666614444620475</v>
      </c>
      <c r="G33" s="23">
        <v>0</v>
      </c>
      <c r="H33" s="23">
        <v>0.175</v>
      </c>
      <c r="I33" s="23">
        <v>0</v>
      </c>
      <c r="J33" s="24">
        <f t="shared" si="0"/>
        <v>0</v>
      </c>
      <c r="K33" s="24">
        <f t="shared" si="1"/>
        <v>0.2658576996662869</v>
      </c>
      <c r="L33" s="25">
        <f t="shared" si="2"/>
        <v>0</v>
      </c>
    </row>
    <row r="34" spans="2:12" ht="12.75">
      <c r="B34" s="8">
        <v>35</v>
      </c>
      <c r="C34" s="19">
        <v>40</v>
      </c>
      <c r="D34" s="20">
        <v>0</v>
      </c>
      <c r="E34" s="21">
        <v>1</v>
      </c>
      <c r="F34" s="23">
        <v>0</v>
      </c>
      <c r="G34" s="23">
        <v>0</v>
      </c>
      <c r="H34" s="23">
        <v>0.2</v>
      </c>
      <c r="I34" s="23">
        <v>0</v>
      </c>
      <c r="J34" s="24">
        <f t="shared" si="0"/>
        <v>0</v>
      </c>
      <c r="K34" s="24">
        <f t="shared" si="1"/>
        <v>0</v>
      </c>
      <c r="L34" s="25">
        <f t="shared" si="2"/>
        <v>0</v>
      </c>
    </row>
    <row r="35" spans="2:12" ht="12.75">
      <c r="B35" s="8">
        <v>40</v>
      </c>
      <c r="C35" s="19">
        <v>45</v>
      </c>
      <c r="D35" s="20">
        <v>0</v>
      </c>
      <c r="E35" s="21">
        <v>1</v>
      </c>
      <c r="F35" s="23">
        <v>0</v>
      </c>
      <c r="G35" s="23">
        <v>0</v>
      </c>
      <c r="H35" s="23">
        <v>0.225</v>
      </c>
      <c r="I35" s="23">
        <v>0</v>
      </c>
      <c r="J35" s="24">
        <f t="shared" si="0"/>
        <v>0</v>
      </c>
      <c r="K35" s="24">
        <f t="shared" si="1"/>
        <v>0</v>
      </c>
      <c r="L35" s="25">
        <f t="shared" si="2"/>
        <v>0</v>
      </c>
    </row>
    <row r="36" spans="2:12" ht="12.75">
      <c r="B36" s="8">
        <v>45</v>
      </c>
      <c r="C36" s="19">
        <v>50</v>
      </c>
      <c r="D36" s="20">
        <v>0</v>
      </c>
      <c r="E36" s="21">
        <v>1</v>
      </c>
      <c r="F36" s="23">
        <v>0</v>
      </c>
      <c r="G36" s="23">
        <v>0</v>
      </c>
      <c r="H36" s="23">
        <v>0.25</v>
      </c>
      <c r="I36" s="23">
        <v>0</v>
      </c>
      <c r="J36" s="24">
        <f t="shared" si="0"/>
        <v>0</v>
      </c>
      <c r="K36" s="24">
        <f t="shared" si="1"/>
        <v>0</v>
      </c>
      <c r="L36" s="25">
        <f t="shared" si="2"/>
        <v>0</v>
      </c>
    </row>
    <row r="37" spans="2:12" ht="13.5" thickBot="1">
      <c r="B37" s="27"/>
      <c r="C37" s="27" t="s">
        <v>28</v>
      </c>
      <c r="D37" s="27">
        <v>0</v>
      </c>
      <c r="E37" s="28">
        <v>1</v>
      </c>
      <c r="F37" s="29">
        <v>0</v>
      </c>
      <c r="G37" s="30">
        <v>0</v>
      </c>
      <c r="H37" s="29">
        <v>0.275</v>
      </c>
      <c r="I37" s="29">
        <v>0</v>
      </c>
      <c r="J37" s="31">
        <f t="shared" si="0"/>
        <v>0</v>
      </c>
      <c r="K37" s="31">
        <f t="shared" si="1"/>
        <v>0</v>
      </c>
      <c r="L37" s="32">
        <f t="shared" si="2"/>
        <v>0</v>
      </c>
    </row>
    <row r="38" spans="2:12" ht="12.75">
      <c r="B38" s="6"/>
      <c r="C38" s="6"/>
      <c r="D38" s="6"/>
      <c r="E38" s="33"/>
      <c r="F38" s="34"/>
      <c r="G38" s="35"/>
      <c r="I38" s="36" t="s">
        <v>29</v>
      </c>
      <c r="J38" s="20">
        <f>ROUND(SUM(J16:J37),0)</f>
        <v>435</v>
      </c>
      <c r="K38" s="20">
        <f>ROUND(SUM(K16:K37),0)</f>
        <v>713</v>
      </c>
      <c r="L38" s="25">
        <f>SUM(L16:L37)</f>
        <v>0.0026249412501958324</v>
      </c>
    </row>
    <row r="39" spans="2:10" ht="13.5" thickBot="1">
      <c r="B39" s="37" t="s">
        <v>30</v>
      </c>
      <c r="C39" s="2"/>
      <c r="D39" s="2"/>
      <c r="J39" s="38"/>
    </row>
    <row r="40" spans="2:12" ht="12.75" customHeight="1">
      <c r="B40" s="101" t="s">
        <v>17</v>
      </c>
      <c r="C40" s="104" t="s">
        <v>18</v>
      </c>
      <c r="D40" s="104" t="s">
        <v>19</v>
      </c>
      <c r="E40" s="104" t="s">
        <v>20</v>
      </c>
      <c r="F40" s="104" t="s">
        <v>21</v>
      </c>
      <c r="G40" s="104" t="s">
        <v>22</v>
      </c>
      <c r="H40" s="104" t="s">
        <v>23</v>
      </c>
      <c r="I40" s="104" t="s">
        <v>24</v>
      </c>
      <c r="J40" s="104" t="s">
        <v>31</v>
      </c>
      <c r="K40" s="109" t="s">
        <v>32</v>
      </c>
      <c r="L40" s="109" t="s">
        <v>27</v>
      </c>
    </row>
    <row r="41" spans="2:12" ht="12.75" customHeight="1">
      <c r="B41" s="102"/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2:13" ht="12.75">
      <c r="B42" s="18"/>
      <c r="C42" s="19">
        <v>-50</v>
      </c>
      <c r="D42" s="20">
        <v>8</v>
      </c>
      <c r="E42" s="21">
        <v>0.0034752389226759338</v>
      </c>
      <c r="F42" s="22">
        <v>0.0034752389226759338</v>
      </c>
      <c r="G42" s="23">
        <v>0.5625</v>
      </c>
      <c r="H42" s="23">
        <v>0.6</v>
      </c>
      <c r="I42" s="23">
        <v>0.025</v>
      </c>
      <c r="J42" s="24">
        <f>(((F42*$E$10)*$J$4)/((1-G42)*$J$4))-($E$10*F42)</f>
        <v>21.447188779942913</v>
      </c>
      <c r="K42" s="24">
        <f aca="true" t="shared" si="3" ref="K42:K63">(($E$10*F42)*$J$4)/((1-H42)*($J$4/$J$5))-($E$10*F42*$J$4/($J$4/$J$5))</f>
        <v>50.043440486533456</v>
      </c>
      <c r="L42" s="25">
        <f>F42*I42</f>
        <v>8.688097306689835E-05</v>
      </c>
      <c r="M42" s="25"/>
    </row>
    <row r="43" spans="2:13" ht="12.75">
      <c r="B43" s="8">
        <v>-50</v>
      </c>
      <c r="C43" s="19">
        <v>-45</v>
      </c>
      <c r="D43" s="20">
        <v>1</v>
      </c>
      <c r="E43" s="21">
        <v>0.003909643788010426</v>
      </c>
      <c r="F43" s="23">
        <v>0.0004344048653344922</v>
      </c>
      <c r="G43" s="23">
        <v>0.535</v>
      </c>
      <c r="H43" s="23">
        <v>0.54</v>
      </c>
      <c r="I43" s="23">
        <v>0.0225</v>
      </c>
      <c r="J43" s="24">
        <f aca="true" t="shared" si="4" ref="J43:J63">(((F43*$E$10)*$J$4)/((1-G43)*$J$4))-($E$10*F43)</f>
        <v>2.3990359014601634</v>
      </c>
      <c r="K43" s="24">
        <f t="shared" si="3"/>
        <v>4.895553960639147</v>
      </c>
      <c r="L43" s="25">
        <f aca="true" t="shared" si="5" ref="L43:L63">F43*I43</f>
        <v>9.774109470026075E-06</v>
      </c>
      <c r="M43" s="25"/>
    </row>
    <row r="44" spans="2:13" ht="12.75">
      <c r="B44" s="8">
        <v>-45</v>
      </c>
      <c r="C44" s="19">
        <v>-40</v>
      </c>
      <c r="D44" s="20">
        <v>9</v>
      </c>
      <c r="E44" s="21">
        <v>0.007819287576020852</v>
      </c>
      <c r="F44" s="23">
        <v>0.003909643788010426</v>
      </c>
      <c r="G44" s="23">
        <v>0.5</v>
      </c>
      <c r="H44" s="23">
        <v>0.48</v>
      </c>
      <c r="I44" s="23">
        <v>0.02</v>
      </c>
      <c r="J44" s="24">
        <f t="shared" si="4"/>
        <v>18.766290182450046</v>
      </c>
      <c r="K44" s="24">
        <f t="shared" si="3"/>
        <v>34.645458798369326</v>
      </c>
      <c r="L44" s="25">
        <f t="shared" si="5"/>
        <v>7.819287576020852E-05</v>
      </c>
      <c r="M44" s="25"/>
    </row>
    <row r="45" spans="2:13" ht="12.75" customHeight="1">
      <c r="B45" s="8">
        <v>-40</v>
      </c>
      <c r="C45" s="19">
        <v>-35</v>
      </c>
      <c r="D45" s="20">
        <v>12</v>
      </c>
      <c r="E45" s="21">
        <v>0.013032145960034752</v>
      </c>
      <c r="F45" s="23">
        <v>0.0052128583840139</v>
      </c>
      <c r="G45" s="23">
        <v>0.46</v>
      </c>
      <c r="H45" s="23">
        <v>0.42</v>
      </c>
      <c r="I45" s="23">
        <v>0.0175</v>
      </c>
      <c r="J45" s="24">
        <f t="shared" si="4"/>
        <v>21.31479872574572</v>
      </c>
      <c r="K45" s="24">
        <f t="shared" si="3"/>
        <v>36.23835345576558</v>
      </c>
      <c r="L45" s="25">
        <f t="shared" si="5"/>
        <v>9.122502172024325E-05</v>
      </c>
      <c r="M45" s="25"/>
    </row>
    <row r="46" spans="2:13" ht="12.75">
      <c r="B46" s="8">
        <v>-35</v>
      </c>
      <c r="C46" s="19">
        <v>-30</v>
      </c>
      <c r="D46" s="20">
        <v>82</v>
      </c>
      <c r="E46" s="21">
        <v>0.04865334491746308</v>
      </c>
      <c r="F46" s="26">
        <v>0.035621198957428324</v>
      </c>
      <c r="G46" s="23">
        <v>0.4125</v>
      </c>
      <c r="H46" s="23">
        <v>0.36</v>
      </c>
      <c r="I46" s="23">
        <v>0.015</v>
      </c>
      <c r="J46" s="24">
        <f t="shared" si="4"/>
        <v>120.05101946503507</v>
      </c>
      <c r="K46" s="24">
        <f t="shared" si="3"/>
        <v>192.354474370113</v>
      </c>
      <c r="L46" s="25">
        <f t="shared" si="5"/>
        <v>0.0005343179843614248</v>
      </c>
      <c r="M46" s="25"/>
    </row>
    <row r="47" spans="2:13" ht="12.75">
      <c r="B47" s="8">
        <v>-30</v>
      </c>
      <c r="C47" s="19">
        <v>-25</v>
      </c>
      <c r="D47" s="20">
        <v>39</v>
      </c>
      <c r="E47" s="21">
        <v>0.06559513466550826</v>
      </c>
      <c r="F47" s="23">
        <v>0.01694178974804518</v>
      </c>
      <c r="G47" s="23">
        <v>0.36</v>
      </c>
      <c r="H47" s="23">
        <v>0.3</v>
      </c>
      <c r="I47" s="23">
        <v>0.0125</v>
      </c>
      <c r="J47" s="24">
        <f t="shared" si="4"/>
        <v>45.742832319721984</v>
      </c>
      <c r="K47" s="24">
        <f t="shared" si="3"/>
        <v>69.70336353481446</v>
      </c>
      <c r="L47" s="25">
        <f t="shared" si="5"/>
        <v>0.00021177237185056476</v>
      </c>
      <c r="M47" s="25"/>
    </row>
    <row r="48" spans="2:13" ht="12.75">
      <c r="B48" s="18">
        <v>-25</v>
      </c>
      <c r="C48" s="19">
        <v>-20</v>
      </c>
      <c r="D48" s="20">
        <v>49</v>
      </c>
      <c r="E48" s="21">
        <v>0.08688097306689835</v>
      </c>
      <c r="F48" s="22">
        <v>0.02128583840139009</v>
      </c>
      <c r="G48" s="23">
        <v>0.3</v>
      </c>
      <c r="H48" s="23">
        <v>0.24</v>
      </c>
      <c r="I48" s="23">
        <v>0.01</v>
      </c>
      <c r="J48" s="24">
        <f t="shared" si="4"/>
        <v>43.78801042571676</v>
      </c>
      <c r="K48" s="24">
        <f t="shared" si="3"/>
        <v>64.52969957474048</v>
      </c>
      <c r="L48" s="25">
        <f t="shared" si="5"/>
        <v>0.0002128583840139009</v>
      </c>
      <c r="M48" s="25"/>
    </row>
    <row r="49" spans="2:13" ht="12.75">
      <c r="B49" s="8">
        <v>-20</v>
      </c>
      <c r="C49" s="19">
        <v>-15</v>
      </c>
      <c r="D49" s="20">
        <v>144</v>
      </c>
      <c r="E49" s="21">
        <v>0.14943527367506515</v>
      </c>
      <c r="F49" s="22">
        <v>0.0625543006081668</v>
      </c>
      <c r="G49" s="23">
        <v>0.235</v>
      </c>
      <c r="H49" s="23">
        <v>0.18</v>
      </c>
      <c r="I49" s="23">
        <v>0.0075</v>
      </c>
      <c r="J49" s="24">
        <f t="shared" si="4"/>
        <v>92.2369295241989</v>
      </c>
      <c r="K49" s="24">
        <f t="shared" si="3"/>
        <v>131.82174567184416</v>
      </c>
      <c r="L49" s="25">
        <f t="shared" si="5"/>
        <v>0.000469157254561251</v>
      </c>
      <c r="M49" s="25"/>
    </row>
    <row r="50" spans="2:13" ht="12.75">
      <c r="B50" s="8">
        <v>-15</v>
      </c>
      <c r="C50" s="19">
        <v>-10</v>
      </c>
      <c r="D50" s="20">
        <v>381</v>
      </c>
      <c r="E50" s="21">
        <v>0.3149435273675065</v>
      </c>
      <c r="F50" s="23">
        <v>0.16550825369244138</v>
      </c>
      <c r="G50" s="23">
        <v>0.1625</v>
      </c>
      <c r="H50" s="23">
        <v>0.12</v>
      </c>
      <c r="I50" s="23">
        <v>0.005</v>
      </c>
      <c r="J50" s="24">
        <f t="shared" si="4"/>
        <v>154.1450004538559</v>
      </c>
      <c r="K50" s="24">
        <f t="shared" si="3"/>
        <v>216.66535028828685</v>
      </c>
      <c r="L50" s="25">
        <f t="shared" si="5"/>
        <v>0.0008275412684622069</v>
      </c>
      <c r="M50" s="25"/>
    </row>
    <row r="51" spans="2:13" ht="12.75">
      <c r="B51" s="8">
        <v>-10</v>
      </c>
      <c r="C51" s="19">
        <v>-5</v>
      </c>
      <c r="D51" s="20">
        <v>621</v>
      </c>
      <c r="E51" s="21">
        <v>0.5847089487402259</v>
      </c>
      <c r="F51" s="23">
        <v>0.2697654213727194</v>
      </c>
      <c r="G51" s="23">
        <v>0.085</v>
      </c>
      <c r="H51" s="23">
        <v>0.06</v>
      </c>
      <c r="I51" s="23">
        <v>0.0025</v>
      </c>
      <c r="J51" s="24">
        <f t="shared" si="4"/>
        <v>120.28884362849135</v>
      </c>
      <c r="K51" s="24">
        <f t="shared" si="3"/>
        <v>165.30306671349626</v>
      </c>
      <c r="L51" s="25">
        <f t="shared" si="5"/>
        <v>0.0006744135534317986</v>
      </c>
      <c r="M51" s="25"/>
    </row>
    <row r="52" spans="2:13" ht="12.75">
      <c r="B52" s="8">
        <v>-5</v>
      </c>
      <c r="C52" s="19">
        <v>0</v>
      </c>
      <c r="D52" s="20">
        <v>580</v>
      </c>
      <c r="E52" s="21">
        <v>0.8366637706342311</v>
      </c>
      <c r="F52" s="23">
        <v>0.2519548218940052</v>
      </c>
      <c r="G52" s="23">
        <v>0</v>
      </c>
      <c r="H52" s="23">
        <v>0</v>
      </c>
      <c r="I52" s="23">
        <v>0</v>
      </c>
      <c r="J52" s="24">
        <f t="shared" si="4"/>
        <v>0</v>
      </c>
      <c r="K52" s="24">
        <f t="shared" si="3"/>
        <v>0</v>
      </c>
      <c r="L52" s="25">
        <f t="shared" si="5"/>
        <v>0</v>
      </c>
      <c r="M52" s="25"/>
    </row>
    <row r="53" spans="2:13" ht="12.75">
      <c r="B53" s="8">
        <v>0</v>
      </c>
      <c r="C53" s="19">
        <v>5</v>
      </c>
      <c r="D53" s="20">
        <v>172</v>
      </c>
      <c r="E53" s="21">
        <v>0.9113814074717637</v>
      </c>
      <c r="F53" s="23">
        <v>0.07471763683753252</v>
      </c>
      <c r="G53" s="23">
        <v>0</v>
      </c>
      <c r="H53" s="23">
        <v>0.025</v>
      </c>
      <c r="I53" s="23">
        <v>0</v>
      </c>
      <c r="J53" s="24">
        <f t="shared" si="4"/>
        <v>0</v>
      </c>
      <c r="K53" s="24">
        <f t="shared" si="3"/>
        <v>18.392033683084946</v>
      </c>
      <c r="L53" s="25">
        <f t="shared" si="5"/>
        <v>0</v>
      </c>
      <c r="M53" s="25"/>
    </row>
    <row r="54" spans="2:13" ht="12.75">
      <c r="B54" s="8">
        <v>5</v>
      </c>
      <c r="C54" s="19">
        <v>10</v>
      </c>
      <c r="D54" s="20">
        <v>150</v>
      </c>
      <c r="E54" s="21">
        <v>0.9765421372719374</v>
      </c>
      <c r="F54" s="23">
        <v>0.06516072980017373</v>
      </c>
      <c r="G54" s="23">
        <v>0</v>
      </c>
      <c r="H54" s="23">
        <v>0.05</v>
      </c>
      <c r="I54" s="23">
        <v>0</v>
      </c>
      <c r="J54" s="24">
        <f t="shared" si="4"/>
        <v>0</v>
      </c>
      <c r="K54" s="24">
        <f t="shared" si="3"/>
        <v>32.92331610956148</v>
      </c>
      <c r="L54" s="25">
        <f t="shared" si="5"/>
        <v>0</v>
      </c>
      <c r="M54" s="25"/>
    </row>
    <row r="55" spans="2:13" ht="12.75">
      <c r="B55" s="8">
        <v>10</v>
      </c>
      <c r="C55" s="19">
        <v>15</v>
      </c>
      <c r="D55" s="20">
        <v>36</v>
      </c>
      <c r="E55" s="21">
        <v>0.9921807124239791</v>
      </c>
      <c r="F55" s="23">
        <v>0.0156385751520417</v>
      </c>
      <c r="G55" s="23">
        <v>0</v>
      </c>
      <c r="H55" s="23">
        <v>0.075</v>
      </c>
      <c r="I55" s="23">
        <v>0</v>
      </c>
      <c r="J55" s="24">
        <f t="shared" si="4"/>
        <v>0</v>
      </c>
      <c r="K55" s="24">
        <f t="shared" si="3"/>
        <v>12.172728766994624</v>
      </c>
      <c r="L55" s="25">
        <f t="shared" si="5"/>
        <v>0</v>
      </c>
      <c r="M55" s="25"/>
    </row>
    <row r="56" spans="2:13" ht="12.75">
      <c r="B56" s="8">
        <v>15</v>
      </c>
      <c r="C56" s="19">
        <v>20</v>
      </c>
      <c r="D56" s="20">
        <v>5</v>
      </c>
      <c r="E56" s="21">
        <v>0.9943527367506516</v>
      </c>
      <c r="F56" s="23">
        <v>0.002172024326672517</v>
      </c>
      <c r="G56" s="23">
        <v>0</v>
      </c>
      <c r="H56" s="23">
        <v>0.1</v>
      </c>
      <c r="I56" s="23">
        <v>0</v>
      </c>
      <c r="J56" s="24">
        <f t="shared" si="4"/>
        <v>0</v>
      </c>
      <c r="K56" s="24">
        <f t="shared" si="3"/>
        <v>2.316825948450685</v>
      </c>
      <c r="L56" s="25">
        <f t="shared" si="5"/>
        <v>0</v>
      </c>
      <c r="M56" s="25"/>
    </row>
    <row r="57" spans="2:13" ht="12.75">
      <c r="B57" s="8">
        <v>20</v>
      </c>
      <c r="C57" s="19">
        <v>25</v>
      </c>
      <c r="D57" s="20">
        <v>6</v>
      </c>
      <c r="E57" s="21">
        <v>0.9969591659426585</v>
      </c>
      <c r="F57" s="23">
        <v>0.0026064291920069316</v>
      </c>
      <c r="G57" s="23">
        <v>0</v>
      </c>
      <c r="H57" s="23">
        <v>0.125</v>
      </c>
      <c r="I57" s="23">
        <v>0</v>
      </c>
      <c r="J57" s="24">
        <f t="shared" si="4"/>
        <v>0</v>
      </c>
      <c r="K57" s="24">
        <f t="shared" si="3"/>
        <v>3.5745314633237903</v>
      </c>
      <c r="L57" s="25">
        <f t="shared" si="5"/>
        <v>0</v>
      </c>
      <c r="M57" s="25"/>
    </row>
    <row r="58" spans="2:13" ht="12.75">
      <c r="B58" s="8">
        <v>25</v>
      </c>
      <c r="C58" s="19">
        <v>30</v>
      </c>
      <c r="D58" s="20">
        <v>2</v>
      </c>
      <c r="E58" s="21">
        <v>0.9978279756733276</v>
      </c>
      <c r="F58" s="23">
        <v>0.0008688097306690512</v>
      </c>
      <c r="G58" s="23">
        <v>0</v>
      </c>
      <c r="H58" s="23">
        <v>0.15</v>
      </c>
      <c r="I58" s="23">
        <v>0</v>
      </c>
      <c r="J58" s="24">
        <f t="shared" si="4"/>
        <v>0</v>
      </c>
      <c r="K58" s="24">
        <f t="shared" si="3"/>
        <v>1.4718658966628624</v>
      </c>
      <c r="L58" s="25">
        <f t="shared" si="5"/>
        <v>0</v>
      </c>
      <c r="M58" s="25"/>
    </row>
    <row r="59" spans="2:13" ht="12.75">
      <c r="B59" s="8">
        <v>30</v>
      </c>
      <c r="C59" s="19">
        <v>35</v>
      </c>
      <c r="D59" s="20">
        <v>4</v>
      </c>
      <c r="E59" s="21">
        <v>0.9995655951346655</v>
      </c>
      <c r="F59" s="23">
        <v>0.0017376194613378804</v>
      </c>
      <c r="G59" s="23">
        <v>0</v>
      </c>
      <c r="H59" s="23">
        <v>0.175</v>
      </c>
      <c r="I59" s="23">
        <v>0</v>
      </c>
      <c r="J59" s="24">
        <f t="shared" si="4"/>
        <v>0</v>
      </c>
      <c r="K59" s="24">
        <f t="shared" si="3"/>
        <v>3.538425084906226</v>
      </c>
      <c r="L59" s="25">
        <f t="shared" si="5"/>
        <v>0</v>
      </c>
      <c r="M59" s="25"/>
    </row>
    <row r="60" spans="2:13" ht="12.75">
      <c r="B60" s="8">
        <v>35</v>
      </c>
      <c r="C60" s="19">
        <v>40</v>
      </c>
      <c r="D60" s="20">
        <v>1</v>
      </c>
      <c r="E60" s="21">
        <v>1</v>
      </c>
      <c r="F60" s="23">
        <v>0.0004344048653345256</v>
      </c>
      <c r="G60" s="23">
        <v>0</v>
      </c>
      <c r="H60" s="23">
        <v>0.2</v>
      </c>
      <c r="I60" s="23">
        <v>0</v>
      </c>
      <c r="J60" s="24">
        <f t="shared" si="4"/>
        <v>0</v>
      </c>
      <c r="K60" s="24">
        <f t="shared" si="3"/>
        <v>1.0425716768028614</v>
      </c>
      <c r="L60" s="25">
        <f t="shared" si="5"/>
        <v>0</v>
      </c>
      <c r="M60" s="25"/>
    </row>
    <row r="61" spans="2:13" ht="12.75">
      <c r="B61" s="8">
        <v>40</v>
      </c>
      <c r="C61" s="19">
        <v>45</v>
      </c>
      <c r="D61" s="20">
        <v>0</v>
      </c>
      <c r="E61" s="21">
        <v>1</v>
      </c>
      <c r="F61" s="23">
        <v>0</v>
      </c>
      <c r="G61" s="23">
        <v>0</v>
      </c>
      <c r="H61" s="23">
        <v>0.225</v>
      </c>
      <c r="I61" s="23">
        <v>0</v>
      </c>
      <c r="J61" s="24">
        <f t="shared" si="4"/>
        <v>0</v>
      </c>
      <c r="K61" s="24">
        <f t="shared" si="3"/>
        <v>0</v>
      </c>
      <c r="L61" s="25">
        <f t="shared" si="5"/>
        <v>0</v>
      </c>
      <c r="M61" s="25"/>
    </row>
    <row r="62" spans="2:13" ht="12.75">
      <c r="B62" s="8">
        <v>45</v>
      </c>
      <c r="C62" s="19">
        <v>50</v>
      </c>
      <c r="D62" s="20">
        <v>0</v>
      </c>
      <c r="E62" s="21">
        <v>1</v>
      </c>
      <c r="F62" s="23">
        <v>0</v>
      </c>
      <c r="G62" s="23">
        <v>0</v>
      </c>
      <c r="H62" s="23">
        <v>0.25</v>
      </c>
      <c r="I62" s="23">
        <v>0</v>
      </c>
      <c r="J62" s="24">
        <f t="shared" si="4"/>
        <v>0</v>
      </c>
      <c r="K62" s="24">
        <f t="shared" si="3"/>
        <v>0</v>
      </c>
      <c r="L62" s="25">
        <f t="shared" si="5"/>
        <v>0</v>
      </c>
      <c r="M62" s="25"/>
    </row>
    <row r="63" spans="2:13" ht="13.5" thickBot="1">
      <c r="B63" s="27"/>
      <c r="C63" s="27" t="s">
        <v>28</v>
      </c>
      <c r="D63" s="27">
        <v>0</v>
      </c>
      <c r="E63" s="28">
        <v>1</v>
      </c>
      <c r="F63" s="29">
        <v>0</v>
      </c>
      <c r="G63" s="30">
        <v>0</v>
      </c>
      <c r="H63" s="29">
        <v>0.275</v>
      </c>
      <c r="I63" s="29">
        <v>0</v>
      </c>
      <c r="J63" s="31">
        <f t="shared" si="4"/>
        <v>0</v>
      </c>
      <c r="K63" s="31">
        <f t="shared" si="3"/>
        <v>0</v>
      </c>
      <c r="L63" s="32">
        <f t="shared" si="5"/>
        <v>0</v>
      </c>
      <c r="M63" s="25"/>
    </row>
    <row r="64" spans="2:13" ht="12.75">
      <c r="B64" s="6"/>
      <c r="C64" s="6"/>
      <c r="D64" s="6"/>
      <c r="E64" s="33"/>
      <c r="F64" s="34"/>
      <c r="G64" s="35"/>
      <c r="I64" s="36" t="s">
        <v>29</v>
      </c>
      <c r="J64" s="20">
        <f>ROUND(SUM(J42:J63),0)</f>
        <v>640</v>
      </c>
      <c r="K64" s="20">
        <f>ROUND(SUM(K42:K63),0)</f>
        <v>1042</v>
      </c>
      <c r="L64" s="25">
        <f>SUM(L42:L63)</f>
        <v>0.003196133796698523</v>
      </c>
      <c r="M64" s="25"/>
    </row>
    <row r="65" spans="5:13" ht="12.75">
      <c r="E65" s="6"/>
      <c r="F65" s="6"/>
      <c r="G65" s="6"/>
      <c r="H65" s="33"/>
      <c r="I65" s="34"/>
      <c r="J65" s="35"/>
      <c r="K65" s="36"/>
      <c r="L65" s="36"/>
      <c r="M65" s="25"/>
    </row>
    <row r="66" spans="1:13" ht="21" customHeight="1">
      <c r="A66" s="106" t="s">
        <v>102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7"/>
    </row>
    <row r="67" spans="1:13" ht="12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5"/>
    </row>
    <row r="68" spans="2:12" ht="12.75" customHeight="1" thickBot="1">
      <c r="B68" s="108" t="s">
        <v>33</v>
      </c>
      <c r="C68" s="108"/>
      <c r="D68" s="108"/>
      <c r="E68" s="108"/>
      <c r="F68" s="108"/>
      <c r="H68" s="108" t="s">
        <v>34</v>
      </c>
      <c r="I68" s="108"/>
      <c r="J68" s="108"/>
      <c r="K68" s="108"/>
      <c r="L68" s="108"/>
    </row>
    <row r="69" spans="2:12" ht="12.75" customHeight="1">
      <c r="B69" s="39"/>
      <c r="C69" s="39"/>
      <c r="D69" s="40" t="s">
        <v>35</v>
      </c>
      <c r="E69" s="40" t="s">
        <v>36</v>
      </c>
      <c r="F69" s="40" t="s">
        <v>37</v>
      </c>
      <c r="H69" s="39"/>
      <c r="I69" s="39"/>
      <c r="J69" s="40" t="s">
        <v>35</v>
      </c>
      <c r="K69" s="40" t="s">
        <v>36</v>
      </c>
      <c r="L69" s="40" t="s">
        <v>37</v>
      </c>
    </row>
    <row r="70" spans="2:12" ht="12.75" customHeight="1">
      <c r="B70" s="97" t="s">
        <v>38</v>
      </c>
      <c r="C70" s="97"/>
      <c r="D70" s="41">
        <f>E6</f>
        <v>4000</v>
      </c>
      <c r="E70" s="42">
        <f>J7</f>
        <v>300</v>
      </c>
      <c r="F70" s="43">
        <f>D70*J7</f>
        <v>1200000</v>
      </c>
      <c r="H70" s="97" t="s">
        <v>38</v>
      </c>
      <c r="I70" s="97"/>
      <c r="J70" s="41">
        <f>E10</f>
        <v>4800</v>
      </c>
      <c r="K70" s="42">
        <f>J7</f>
        <v>300</v>
      </c>
      <c r="L70" s="43">
        <f>J70*J7</f>
        <v>1440000</v>
      </c>
    </row>
    <row r="71" spans="2:12" ht="12.75" customHeight="1">
      <c r="B71" s="97" t="s">
        <v>39</v>
      </c>
      <c r="C71" s="97"/>
      <c r="D71" s="41">
        <f>E6*J5</f>
        <v>8000</v>
      </c>
      <c r="E71" s="42">
        <f>J8</f>
        <v>90</v>
      </c>
      <c r="F71" s="43">
        <f>D71*J8</f>
        <v>720000</v>
      </c>
      <c r="H71" s="97" t="s">
        <v>39</v>
      </c>
      <c r="I71" s="97"/>
      <c r="J71" s="6">
        <f>E10*J5</f>
        <v>9600</v>
      </c>
      <c r="K71" s="42">
        <f>J8</f>
        <v>90</v>
      </c>
      <c r="L71" s="43">
        <f>J71*J8</f>
        <v>864000</v>
      </c>
    </row>
    <row r="72" spans="2:12" ht="12.75" customHeight="1">
      <c r="B72" s="97" t="s">
        <v>40</v>
      </c>
      <c r="C72" s="97"/>
      <c r="D72" s="6">
        <f>J38</f>
        <v>435</v>
      </c>
      <c r="E72" s="42">
        <f>J7</f>
        <v>300</v>
      </c>
      <c r="F72" s="43">
        <f>D72*J7</f>
        <v>130500</v>
      </c>
      <c r="H72" s="97" t="s">
        <v>40</v>
      </c>
      <c r="I72" s="97"/>
      <c r="J72" s="6">
        <f>J64</f>
        <v>640</v>
      </c>
      <c r="K72" s="42">
        <f>J7</f>
        <v>300</v>
      </c>
      <c r="L72" s="43">
        <f>J72*J7</f>
        <v>192000</v>
      </c>
    </row>
    <row r="73" spans="2:12" ht="12.75" customHeight="1" thickBot="1">
      <c r="B73" s="111" t="s">
        <v>41</v>
      </c>
      <c r="C73" s="111"/>
      <c r="D73" s="16">
        <f>K38</f>
        <v>713</v>
      </c>
      <c r="E73" s="44">
        <f>J8</f>
        <v>90</v>
      </c>
      <c r="F73" s="45">
        <f>D73*J8</f>
        <v>64170</v>
      </c>
      <c r="H73" s="111" t="s">
        <v>41</v>
      </c>
      <c r="I73" s="111"/>
      <c r="J73" s="16">
        <f>K64</f>
        <v>1042</v>
      </c>
      <c r="K73" s="44">
        <f>J8</f>
        <v>90</v>
      </c>
      <c r="L73" s="45">
        <f>J73*J8</f>
        <v>93780</v>
      </c>
    </row>
    <row r="74" spans="2:12" ht="12.75" customHeight="1">
      <c r="B74" s="6"/>
      <c r="C74" s="6"/>
      <c r="D74" s="6"/>
      <c r="E74" s="46"/>
      <c r="F74" s="47"/>
      <c r="H74" s="6"/>
      <c r="I74" s="6"/>
      <c r="J74" s="6"/>
      <c r="K74" s="46"/>
      <c r="L74" s="47"/>
    </row>
    <row r="75" spans="2:12" ht="44.25" customHeight="1" thickBot="1">
      <c r="B75" s="108" t="s">
        <v>42</v>
      </c>
      <c r="C75" s="108"/>
      <c r="D75" s="108"/>
      <c r="E75" s="108"/>
      <c r="F75" s="108"/>
      <c r="G75" s="112"/>
      <c r="H75" s="112"/>
      <c r="I75" s="112"/>
      <c r="J75" s="112"/>
      <c r="K75" s="112"/>
      <c r="L75" s="112"/>
    </row>
    <row r="76" spans="2:12" ht="12.75" customHeight="1">
      <c r="B76" s="49"/>
      <c r="C76" s="49"/>
      <c r="D76" s="50" t="s">
        <v>43</v>
      </c>
      <c r="E76" s="50" t="s">
        <v>44</v>
      </c>
      <c r="F76" s="51" t="s">
        <v>45</v>
      </c>
      <c r="G76" s="50" t="s">
        <v>46</v>
      </c>
      <c r="H76" s="50" t="s">
        <v>47</v>
      </c>
      <c r="I76" s="50" t="s">
        <v>48</v>
      </c>
      <c r="J76" s="50" t="s">
        <v>49</v>
      </c>
      <c r="K76" s="50" t="s">
        <v>50</v>
      </c>
      <c r="L76" s="51" t="s">
        <v>51</v>
      </c>
    </row>
    <row r="77" spans="2:12" ht="12.75" customHeight="1">
      <c r="B77" s="97" t="s">
        <v>52</v>
      </c>
      <c r="C77" s="97"/>
      <c r="D77" s="52"/>
      <c r="E77" s="52"/>
      <c r="F77" s="53"/>
      <c r="G77" s="54">
        <f>J4/J6</f>
        <v>100000</v>
      </c>
      <c r="H77" s="55"/>
      <c r="I77" s="56">
        <f>E5</f>
        <v>400</v>
      </c>
      <c r="J77" s="55"/>
      <c r="K77" s="53">
        <f>J9</f>
        <v>1.4</v>
      </c>
      <c r="L77" s="57">
        <f>G77*I77*K77</f>
        <v>56000000</v>
      </c>
    </row>
    <row r="78" spans="2:12" ht="12.75" customHeight="1" thickBot="1">
      <c r="B78" s="111" t="s">
        <v>53</v>
      </c>
      <c r="C78" s="112"/>
      <c r="D78" s="30">
        <f>L38</f>
        <v>0.0026249412501958324</v>
      </c>
      <c r="E78" s="58">
        <f>L64</f>
        <v>0.003196133796698523</v>
      </c>
      <c r="F78" s="30">
        <f>L38+L64</f>
        <v>0.005821075046894355</v>
      </c>
      <c r="G78" s="59">
        <f>J4/J6</f>
        <v>100000</v>
      </c>
      <c r="H78" s="60">
        <f>F78*G78</f>
        <v>582.1075046894355</v>
      </c>
      <c r="I78" s="59">
        <f>E5</f>
        <v>400</v>
      </c>
      <c r="J78" s="60">
        <f>H78*I78</f>
        <v>232843.00187577418</v>
      </c>
      <c r="K78" s="61">
        <f>J9</f>
        <v>1.4</v>
      </c>
      <c r="L78" s="62">
        <f>J78*K78</f>
        <v>325980.2026260838</v>
      </c>
    </row>
    <row r="79" spans="5:12" ht="12.75" customHeight="1">
      <c r="E79" s="63"/>
      <c r="F79" s="64"/>
      <c r="K79" s="65"/>
      <c r="L79" s="66"/>
    </row>
    <row r="80" spans="3:12" ht="16.5" thickBot="1">
      <c r="C80" s="67"/>
      <c r="D80" s="68"/>
      <c r="E80" s="68"/>
      <c r="F80" s="68"/>
      <c r="G80" s="69"/>
      <c r="H80" s="12"/>
      <c r="I80" s="12"/>
      <c r="K80" s="65"/>
      <c r="L80" s="2"/>
    </row>
    <row r="81" spans="3:12" ht="38.25">
      <c r="C81" s="67"/>
      <c r="D81" s="115" t="s">
        <v>54</v>
      </c>
      <c r="E81" s="115"/>
      <c r="F81" s="70" t="s">
        <v>55</v>
      </c>
      <c r="G81" s="71" t="s">
        <v>56</v>
      </c>
      <c r="H81" s="70" t="s">
        <v>57</v>
      </c>
      <c r="I81" s="70" t="s">
        <v>58</v>
      </c>
      <c r="K81" s="65"/>
      <c r="L81" s="2"/>
    </row>
    <row r="82" spans="3:12" ht="15.75">
      <c r="C82" s="67"/>
      <c r="D82" s="114" t="s">
        <v>59</v>
      </c>
      <c r="E82" s="114"/>
      <c r="F82" s="72">
        <f>(F70+F71+L70+L71+L77)/(J4/E4)</f>
        <v>11581538.461538462</v>
      </c>
      <c r="G82" s="72">
        <f>(SUM(F70:F73)+SUM(L70:L73)+SUM(L77:L78))/(J4/E4)</f>
        <v>11736621.19281271</v>
      </c>
      <c r="H82" s="72">
        <f>G82-F82</f>
        <v>155082.73127424717</v>
      </c>
      <c r="I82" s="73">
        <f>(H82/F82)</f>
        <v>0.013390512131809333</v>
      </c>
      <c r="K82" s="65"/>
      <c r="L82" s="2"/>
    </row>
    <row r="83" spans="3:12" ht="15.75">
      <c r="C83" s="67"/>
      <c r="D83" s="114" t="s">
        <v>60</v>
      </c>
      <c r="E83" s="114"/>
      <c r="F83" s="72">
        <f>((F70+F71)/E5)/(J4/E4)</f>
        <v>923.0769230769231</v>
      </c>
      <c r="G83" s="72">
        <f>((F70+F71+F72+F73)/E5)/(J4/E4)</f>
        <v>1016.6682692307693</v>
      </c>
      <c r="H83" s="72">
        <f>G83-F83</f>
        <v>93.59134615384619</v>
      </c>
      <c r="I83" s="73">
        <f>(H83/F83)</f>
        <v>0.10139062500000004</v>
      </c>
      <c r="K83" s="65"/>
      <c r="L83" s="2"/>
    </row>
    <row r="84" spans="3:12" ht="15.75">
      <c r="C84" s="67"/>
      <c r="D84" s="114" t="s">
        <v>61</v>
      </c>
      <c r="E84" s="114"/>
      <c r="F84" s="72">
        <f>(L70+L71)/(J4/(E4*(E5/E9)))/E9</f>
        <v>492.3076923076923</v>
      </c>
      <c r="G84" s="72">
        <f>(L70+L71+L72+L73)/(J4/(E4*(E5/E9)))/E9</f>
        <v>553.3717948717948</v>
      </c>
      <c r="H84" s="72">
        <f>G84-F84</f>
        <v>61.064102564102484</v>
      </c>
      <c r="I84" s="73">
        <f>(H84/F84)</f>
        <v>0.12403645833333317</v>
      </c>
      <c r="K84" s="65"/>
      <c r="L84" s="2"/>
    </row>
    <row r="85" spans="3:12" ht="15.75">
      <c r="C85" s="67"/>
      <c r="D85" s="114" t="s">
        <v>62</v>
      </c>
      <c r="E85" s="114"/>
      <c r="F85" s="72">
        <f>L77/(J4/E4)</f>
        <v>10769230.769230768</v>
      </c>
      <c r="G85" s="72">
        <f>(L77+L78)/(J4/E4)</f>
        <v>10831919.269735785</v>
      </c>
      <c r="H85" s="72">
        <f>G85-F85</f>
        <v>62688.50050501712</v>
      </c>
      <c r="I85" s="73">
        <f>(H85/F85)</f>
        <v>0.005821075046894447</v>
      </c>
      <c r="K85" s="65"/>
      <c r="L85" s="2"/>
    </row>
    <row r="86" spans="3:12" ht="12.75" customHeight="1" thickBot="1">
      <c r="C86" s="67"/>
      <c r="D86" s="113" t="s">
        <v>63</v>
      </c>
      <c r="E86" s="113"/>
      <c r="F86" s="74">
        <f>F83+F84+(F85/E5)</f>
        <v>28338.46153846154</v>
      </c>
      <c r="G86" s="74">
        <f>G83+G84+(G85/E5)</f>
        <v>28649.838238442026</v>
      </c>
      <c r="H86" s="74">
        <f>G86-F86</f>
        <v>311.3766999804866</v>
      </c>
      <c r="I86" s="75">
        <f>(H86/F86)</f>
        <v>0.010987777143719667</v>
      </c>
      <c r="K86" s="65"/>
      <c r="L86" s="2"/>
    </row>
    <row r="87" spans="3:12" ht="12.75" customHeight="1">
      <c r="C87" s="67"/>
      <c r="D87" s="68"/>
      <c r="E87" s="68"/>
      <c r="F87" s="68"/>
      <c r="G87" s="69"/>
      <c r="H87" s="12"/>
      <c r="I87" s="12"/>
      <c r="K87" s="65"/>
      <c r="L87" s="2"/>
    </row>
    <row r="88" ht="12.75" customHeight="1"/>
    <row r="89" ht="12.75" customHeight="1"/>
  </sheetData>
  <mergeCells count="58">
    <mergeCell ref="B78:C78"/>
    <mergeCell ref="D86:E86"/>
    <mergeCell ref="D85:E85"/>
    <mergeCell ref="D83:E83"/>
    <mergeCell ref="D84:E84"/>
    <mergeCell ref="D81:E81"/>
    <mergeCell ref="D82:E82"/>
    <mergeCell ref="A1:M1"/>
    <mergeCell ref="K14:K15"/>
    <mergeCell ref="J14:J15"/>
    <mergeCell ref="L14:L15"/>
    <mergeCell ref="I14:I15"/>
    <mergeCell ref="F14:F15"/>
    <mergeCell ref="E14:E15"/>
    <mergeCell ref="B10:D10"/>
    <mergeCell ref="G11:I11"/>
    <mergeCell ref="B14:B15"/>
    <mergeCell ref="A66:M66"/>
    <mergeCell ref="B68:F68"/>
    <mergeCell ref="H68:L68"/>
    <mergeCell ref="E40:E41"/>
    <mergeCell ref="F40:F41"/>
    <mergeCell ref="L40:L41"/>
    <mergeCell ref="I40:I41"/>
    <mergeCell ref="K40:K41"/>
    <mergeCell ref="J40:J41"/>
    <mergeCell ref="G40:G41"/>
    <mergeCell ref="H40:H41"/>
    <mergeCell ref="D14:D15"/>
    <mergeCell ref="C14:C15"/>
    <mergeCell ref="G14:G15"/>
    <mergeCell ref="H14:H15"/>
    <mergeCell ref="B40:B41"/>
    <mergeCell ref="G9:I9"/>
    <mergeCell ref="B4:D4"/>
    <mergeCell ref="B5:D5"/>
    <mergeCell ref="B6:D6"/>
    <mergeCell ref="B7:D7"/>
    <mergeCell ref="B8:D8"/>
    <mergeCell ref="B9:D9"/>
    <mergeCell ref="C40:C41"/>
    <mergeCell ref="D40:D41"/>
    <mergeCell ref="B3:J3"/>
    <mergeCell ref="G7:I7"/>
    <mergeCell ref="G8:I8"/>
    <mergeCell ref="G4:I4"/>
    <mergeCell ref="G5:I5"/>
    <mergeCell ref="G6:I6"/>
    <mergeCell ref="B77:C77"/>
    <mergeCell ref="H71:I71"/>
    <mergeCell ref="H72:I72"/>
    <mergeCell ref="B70:C70"/>
    <mergeCell ref="B71:C71"/>
    <mergeCell ref="B72:C72"/>
    <mergeCell ref="H70:I70"/>
    <mergeCell ref="H73:I73"/>
    <mergeCell ref="B75:L75"/>
    <mergeCell ref="B73:C73"/>
  </mergeCells>
  <printOptions horizontalCentered="1"/>
  <pageMargins left="1" right="1" top="0.5" bottom="0.5" header="0.22" footer="0.24"/>
  <pageSetup fitToHeight="0" fitToWidth="1" horizontalDpi="600" verticalDpi="600" orientation="portrait" scale="52" r:id="rId2"/>
  <headerFooter alignWithMargins="0">
    <oddFooter>&amp;CPage C-&amp;P of &amp;N</oddFooter>
  </headerFooter>
  <rowBreaks count="1" manualBreakCount="1">
    <brk id="65" min="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M90"/>
  <sheetViews>
    <sheetView view="pageBreakPreview" zoomScale="60" zoomScaleNormal="70" workbookViewId="0" topLeftCell="A76">
      <selection activeCell="M94" sqref="M94"/>
    </sheetView>
  </sheetViews>
  <sheetFormatPr defaultColWidth="9.140625" defaultRowHeight="12.75"/>
  <cols>
    <col min="1" max="13" width="14.7109375" style="0" customWidth="1"/>
  </cols>
  <sheetData>
    <row r="1" spans="1:13" ht="15.75">
      <c r="A1" s="11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03"/>
    </row>
    <row r="2" spans="1:13" ht="15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03"/>
    </row>
    <row r="3" spans="1:11" ht="16.5" thickBot="1">
      <c r="A3" s="1"/>
      <c r="B3" s="3" t="s">
        <v>1</v>
      </c>
      <c r="C3" s="3"/>
      <c r="D3" s="1"/>
      <c r="E3" s="1"/>
      <c r="F3" s="1"/>
      <c r="G3" s="1"/>
      <c r="J3" s="1"/>
      <c r="K3" s="1"/>
    </row>
    <row r="4" spans="1:11" ht="15.75">
      <c r="A4" s="1"/>
      <c r="B4" s="98" t="s">
        <v>65</v>
      </c>
      <c r="C4" s="99"/>
      <c r="D4" s="99"/>
      <c r="E4" s="99"/>
      <c r="F4" s="99"/>
      <c r="G4" s="99"/>
      <c r="H4" s="99"/>
      <c r="I4" s="99"/>
      <c r="J4" s="99"/>
      <c r="K4" s="2"/>
    </row>
    <row r="5" spans="1:10" ht="15.75">
      <c r="A5" s="1"/>
      <c r="B5" s="103" t="s">
        <v>3</v>
      </c>
      <c r="C5" s="103"/>
      <c r="D5" s="103"/>
      <c r="E5" s="4">
        <v>100000</v>
      </c>
      <c r="F5" s="5"/>
      <c r="G5" s="103" t="s">
        <v>66</v>
      </c>
      <c r="H5" s="103"/>
      <c r="I5" s="103"/>
      <c r="J5" s="4">
        <v>1875</v>
      </c>
    </row>
    <row r="6" spans="1:10" ht="15.75">
      <c r="A6" s="1"/>
      <c r="B6" s="103" t="s">
        <v>67</v>
      </c>
      <c r="C6" s="103"/>
      <c r="D6" s="103"/>
      <c r="E6" s="4">
        <v>750</v>
      </c>
      <c r="F6" s="8"/>
      <c r="G6" s="97" t="s">
        <v>15</v>
      </c>
      <c r="H6" s="97"/>
      <c r="I6" s="97"/>
      <c r="J6" s="4">
        <f>J5*4</f>
        <v>7500</v>
      </c>
    </row>
    <row r="7" spans="1:10" ht="15.75">
      <c r="A7" s="1"/>
      <c r="B7" s="103" t="s">
        <v>7</v>
      </c>
      <c r="C7" s="103"/>
      <c r="D7" s="103"/>
      <c r="E7" s="7">
        <f>E6*6</f>
        <v>4500</v>
      </c>
      <c r="F7" s="8"/>
      <c r="G7" s="97" t="s">
        <v>4</v>
      </c>
      <c r="H7" s="97"/>
      <c r="I7" s="97"/>
      <c r="J7" s="7">
        <v>500000</v>
      </c>
    </row>
    <row r="8" spans="1:12" ht="15.75">
      <c r="A8" s="1"/>
      <c r="B8" s="97" t="s">
        <v>9</v>
      </c>
      <c r="C8" s="97"/>
      <c r="D8" s="97"/>
      <c r="E8" s="7">
        <f>E6*2</f>
        <v>1500</v>
      </c>
      <c r="F8" s="8"/>
      <c r="G8" s="97" t="s">
        <v>6</v>
      </c>
      <c r="H8" s="97"/>
      <c r="I8" s="97"/>
      <c r="J8" s="7">
        <v>2</v>
      </c>
      <c r="L8" s="96"/>
    </row>
    <row r="9" spans="1:10" ht="15.75">
      <c r="A9" s="1"/>
      <c r="B9" s="97" t="s">
        <v>11</v>
      </c>
      <c r="C9" s="97"/>
      <c r="D9" s="97"/>
      <c r="E9" s="7">
        <f>E6*4</f>
        <v>3000</v>
      </c>
      <c r="F9" s="8"/>
      <c r="G9" s="97" t="s">
        <v>68</v>
      </c>
      <c r="H9" s="97"/>
      <c r="I9" s="97"/>
      <c r="J9" s="9">
        <v>6.3</v>
      </c>
    </row>
    <row r="10" spans="1:10" ht="15.75">
      <c r="A10" s="1"/>
      <c r="B10" s="97" t="s">
        <v>69</v>
      </c>
      <c r="C10" s="100"/>
      <c r="D10" s="100"/>
      <c r="E10" s="7">
        <v>750</v>
      </c>
      <c r="F10" s="12"/>
      <c r="G10" s="97" t="s">
        <v>10</v>
      </c>
      <c r="H10" s="97"/>
      <c r="I10" s="97"/>
      <c r="J10" s="11">
        <v>300</v>
      </c>
    </row>
    <row r="11" spans="1:10" ht="15.75">
      <c r="A11" s="1"/>
      <c r="B11" s="100" t="s">
        <v>70</v>
      </c>
      <c r="C11" s="100"/>
      <c r="D11" s="100"/>
      <c r="E11" s="13">
        <f>E10*4</f>
        <v>3000</v>
      </c>
      <c r="F11" s="12"/>
      <c r="G11" s="97" t="s">
        <v>12</v>
      </c>
      <c r="H11" s="97"/>
      <c r="I11" s="97"/>
      <c r="J11" s="11">
        <v>90</v>
      </c>
    </row>
    <row r="12" spans="1:10" ht="16.5" thickBot="1">
      <c r="A12" s="1"/>
      <c r="B12" s="48"/>
      <c r="C12" s="48"/>
      <c r="D12" s="48"/>
      <c r="E12" s="76"/>
      <c r="F12" s="15"/>
      <c r="G12" s="111" t="s">
        <v>14</v>
      </c>
      <c r="H12" s="111"/>
      <c r="I12" s="111"/>
      <c r="J12" s="17">
        <v>1.4</v>
      </c>
    </row>
    <row r="13" spans="1:7" ht="15.75">
      <c r="A13" s="1"/>
      <c r="G13" s="1"/>
    </row>
    <row r="14" spans="1:11" ht="15.75">
      <c r="A14" s="1"/>
      <c r="B14" s="77"/>
      <c r="C14" s="10"/>
      <c r="D14" s="10"/>
      <c r="E14" s="10"/>
      <c r="F14" s="41"/>
      <c r="G14" s="1"/>
      <c r="H14" s="1"/>
      <c r="I14" s="1"/>
      <c r="J14" s="1"/>
      <c r="K14" s="2"/>
    </row>
    <row r="15" spans="1:12" ht="16.5" thickBot="1">
      <c r="A15" s="1"/>
      <c r="B15" s="3" t="s">
        <v>16</v>
      </c>
      <c r="C15" s="1"/>
      <c r="D15" s="1"/>
      <c r="E15" s="1"/>
      <c r="F15" s="1"/>
      <c r="G15" s="1"/>
      <c r="H15" s="1"/>
      <c r="I15" s="1"/>
      <c r="J15" s="1"/>
      <c r="K15" s="2"/>
      <c r="L15" s="2"/>
    </row>
    <row r="16" spans="2:12" ht="13.5" customHeight="1">
      <c r="B16" s="101" t="s">
        <v>17</v>
      </c>
      <c r="C16" s="104" t="s">
        <v>18</v>
      </c>
      <c r="D16" s="104" t="s">
        <v>19</v>
      </c>
      <c r="E16" s="104" t="s">
        <v>20</v>
      </c>
      <c r="F16" s="104" t="s">
        <v>21</v>
      </c>
      <c r="G16" s="104" t="s">
        <v>22</v>
      </c>
      <c r="H16" s="104" t="s">
        <v>23</v>
      </c>
      <c r="I16" s="104" t="s">
        <v>24</v>
      </c>
      <c r="J16" s="104" t="s">
        <v>31</v>
      </c>
      <c r="K16" s="109" t="s">
        <v>32</v>
      </c>
      <c r="L16" s="109" t="s">
        <v>27</v>
      </c>
    </row>
    <row r="17" spans="2:12" ht="12.75">
      <c r="B17" s="102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2:12" ht="12.75">
      <c r="B18" s="18"/>
      <c r="C18" s="19">
        <v>-50</v>
      </c>
      <c r="D18" s="20">
        <v>57</v>
      </c>
      <c r="E18" s="21">
        <v>0.009477884935151313</v>
      </c>
      <c r="F18" s="22">
        <v>0.009477884935151313</v>
      </c>
      <c r="G18" s="23">
        <v>0.5625</v>
      </c>
      <c r="H18" s="23">
        <v>0.6</v>
      </c>
      <c r="I18" s="23">
        <v>0.025</v>
      </c>
      <c r="J18" s="24">
        <f aca="true" t="shared" si="0" ref="J18:J39">(((F18*$E$7)*$J$7)/((1-G18)*$J$7))-($E$7*F18)</f>
        <v>54.83633426766118</v>
      </c>
      <c r="K18" s="24">
        <f aca="true" t="shared" si="1" ref="K18:K39">(($E$7*F18)*$J$7)/((1-H18)*($J$7/$J$8))-($E$7*F18*$J$7/($J$7/$J$8))</f>
        <v>127.95144662454273</v>
      </c>
      <c r="L18" s="25">
        <f aca="true" t="shared" si="2" ref="L18:L39">F18*I18</f>
        <v>0.00023694712337878282</v>
      </c>
    </row>
    <row r="19" spans="2:12" ht="12.75">
      <c r="B19" s="8">
        <v>-50</v>
      </c>
      <c r="C19" s="19">
        <v>-45</v>
      </c>
      <c r="D19" s="20">
        <v>7</v>
      </c>
      <c r="E19" s="21">
        <v>0.010641835716661123</v>
      </c>
      <c r="F19" s="23">
        <v>0.0011639507815098104</v>
      </c>
      <c r="G19" s="23">
        <v>0.535</v>
      </c>
      <c r="H19" s="23">
        <v>0.54</v>
      </c>
      <c r="I19" s="23">
        <v>0.0225</v>
      </c>
      <c r="J19" s="24">
        <f t="shared" si="0"/>
        <v>6.0262613042685365</v>
      </c>
      <c r="K19" s="24">
        <f t="shared" si="1"/>
        <v>12.29739303942974</v>
      </c>
      <c r="L19" s="25">
        <f t="shared" si="2"/>
        <v>2.6188892583970732E-05</v>
      </c>
    </row>
    <row r="20" spans="2:12" ht="12.75">
      <c r="B20" s="8">
        <v>-45</v>
      </c>
      <c r="C20" s="19">
        <v>-40</v>
      </c>
      <c r="D20" s="20">
        <v>37</v>
      </c>
      <c r="E20" s="21">
        <v>0.016794146990355835</v>
      </c>
      <c r="F20" s="23">
        <v>0.006152311273694712</v>
      </c>
      <c r="G20" s="23">
        <v>0.5</v>
      </c>
      <c r="H20" s="23">
        <v>0.48</v>
      </c>
      <c r="I20" s="23">
        <v>0.02</v>
      </c>
      <c r="J20" s="24">
        <f t="shared" si="0"/>
        <v>27.685400731626203</v>
      </c>
      <c r="K20" s="24">
        <f t="shared" si="1"/>
        <v>51.111509043002215</v>
      </c>
      <c r="L20" s="25">
        <f t="shared" si="2"/>
        <v>0.00012304622547389422</v>
      </c>
    </row>
    <row r="21" spans="2:12" ht="12.75">
      <c r="B21" s="8">
        <v>-40</v>
      </c>
      <c r="C21" s="19">
        <v>-35</v>
      </c>
      <c r="D21" s="20">
        <v>44</v>
      </c>
      <c r="E21" s="21">
        <v>0.02411040904556036</v>
      </c>
      <c r="F21" s="23">
        <v>0.0073162620552045254</v>
      </c>
      <c r="G21" s="23">
        <v>0.46</v>
      </c>
      <c r="H21" s="23">
        <v>0.42</v>
      </c>
      <c r="I21" s="23">
        <v>0.0175</v>
      </c>
      <c r="J21" s="24">
        <f t="shared" si="0"/>
        <v>28.045671211617353</v>
      </c>
      <c r="K21" s="24">
        <f t="shared" si="1"/>
        <v>47.68184580805706</v>
      </c>
      <c r="L21" s="25">
        <f t="shared" si="2"/>
        <v>0.0001280345859660792</v>
      </c>
    </row>
    <row r="22" spans="2:12" ht="12.75">
      <c r="B22" s="8">
        <v>-35</v>
      </c>
      <c r="C22" s="19">
        <v>-30</v>
      </c>
      <c r="D22" s="20">
        <v>76</v>
      </c>
      <c r="E22" s="21">
        <v>0.03674758895909545</v>
      </c>
      <c r="F22" s="26">
        <v>0.012637179913535086</v>
      </c>
      <c r="G22" s="23">
        <v>0.4125</v>
      </c>
      <c r="H22" s="23">
        <v>0.36</v>
      </c>
      <c r="I22" s="23">
        <v>0.015</v>
      </c>
      <c r="J22" s="24">
        <f t="shared" si="0"/>
        <v>39.92811100340341</v>
      </c>
      <c r="K22" s="24">
        <f t="shared" si="1"/>
        <v>63.97572331227137</v>
      </c>
      <c r="L22" s="25">
        <f t="shared" si="2"/>
        <v>0.0001895576987030263</v>
      </c>
    </row>
    <row r="23" spans="2:12" ht="12.75">
      <c r="B23" s="8">
        <v>-30</v>
      </c>
      <c r="C23" s="19">
        <v>-25</v>
      </c>
      <c r="D23" s="20">
        <v>103</v>
      </c>
      <c r="E23" s="21">
        <v>0.05387429331559694</v>
      </c>
      <c r="F23" s="23">
        <v>0.017126704356501495</v>
      </c>
      <c r="G23" s="23">
        <v>0.36</v>
      </c>
      <c r="H23" s="23">
        <v>0.3</v>
      </c>
      <c r="I23" s="23">
        <v>0.0125</v>
      </c>
      <c r="J23" s="24">
        <f t="shared" si="0"/>
        <v>43.3519704023944</v>
      </c>
      <c r="K23" s="24">
        <f t="shared" si="1"/>
        <v>66.06014537507718</v>
      </c>
      <c r="L23" s="25">
        <f t="shared" si="2"/>
        <v>0.0002140838044562687</v>
      </c>
    </row>
    <row r="24" spans="2:12" ht="12.75">
      <c r="B24" s="18">
        <v>-25</v>
      </c>
      <c r="C24" s="19">
        <v>-20</v>
      </c>
      <c r="D24" s="20">
        <v>113</v>
      </c>
      <c r="E24" s="21">
        <v>0.07266378450282673</v>
      </c>
      <c r="F24" s="22">
        <v>0.018789491187229793</v>
      </c>
      <c r="G24" s="23">
        <v>0.3</v>
      </c>
      <c r="H24" s="23">
        <v>0.24</v>
      </c>
      <c r="I24" s="23">
        <v>0.01</v>
      </c>
      <c r="J24" s="24">
        <f t="shared" si="0"/>
        <v>36.23687586108602</v>
      </c>
      <c r="K24" s="24">
        <f t="shared" si="1"/>
        <v>53.401711795284655</v>
      </c>
      <c r="L24" s="25">
        <f t="shared" si="2"/>
        <v>0.00018789491187229794</v>
      </c>
    </row>
    <row r="25" spans="2:12" ht="12.75">
      <c r="B25" s="8">
        <v>-20</v>
      </c>
      <c r="C25" s="19">
        <v>-15</v>
      </c>
      <c r="D25" s="20">
        <v>253</v>
      </c>
      <c r="E25" s="21">
        <v>0.11473229132025274</v>
      </c>
      <c r="F25" s="22">
        <v>0.04206850681742601</v>
      </c>
      <c r="G25" s="23">
        <v>0.235</v>
      </c>
      <c r="H25" s="23">
        <v>0.18</v>
      </c>
      <c r="I25" s="23">
        <v>0.0075</v>
      </c>
      <c r="J25" s="24">
        <f t="shared" si="0"/>
        <v>58.15352412997126</v>
      </c>
      <c r="K25" s="24">
        <f t="shared" si="1"/>
        <v>83.11095249296352</v>
      </c>
      <c r="L25" s="25">
        <f t="shared" si="2"/>
        <v>0.00031551380113069505</v>
      </c>
    </row>
    <row r="26" spans="2:12" ht="12.75">
      <c r="B26" s="8">
        <v>-15</v>
      </c>
      <c r="C26" s="19">
        <v>-10</v>
      </c>
      <c r="D26" s="20">
        <v>550</v>
      </c>
      <c r="E26" s="21">
        <v>0.20618556701030927</v>
      </c>
      <c r="F26" s="23">
        <v>0.09145327569005653</v>
      </c>
      <c r="G26" s="23">
        <v>0.1625</v>
      </c>
      <c r="H26" s="23">
        <v>0.12</v>
      </c>
      <c r="I26" s="23">
        <v>0.005</v>
      </c>
      <c r="J26" s="24">
        <f t="shared" si="0"/>
        <v>79.85099444579566</v>
      </c>
      <c r="K26" s="24">
        <f t="shared" si="1"/>
        <v>112.23811107416032</v>
      </c>
      <c r="L26" s="25">
        <f t="shared" si="2"/>
        <v>0.0004572663784502826</v>
      </c>
    </row>
    <row r="27" spans="2:12" ht="12.75">
      <c r="B27" s="8">
        <v>-10</v>
      </c>
      <c r="C27" s="19">
        <v>-5</v>
      </c>
      <c r="D27" s="20">
        <v>931</v>
      </c>
      <c r="E27" s="21">
        <v>0.36099102095111407</v>
      </c>
      <c r="F27" s="23">
        <v>0.1548054539408048</v>
      </c>
      <c r="G27" s="23">
        <v>0.085</v>
      </c>
      <c r="H27" s="23">
        <v>0.06</v>
      </c>
      <c r="I27" s="23">
        <v>0.0025</v>
      </c>
      <c r="J27" s="24">
        <f t="shared" si="0"/>
        <v>64.71375533591015</v>
      </c>
      <c r="K27" s="24">
        <f t="shared" si="1"/>
        <v>88.93079268939846</v>
      </c>
      <c r="L27" s="25">
        <f t="shared" si="2"/>
        <v>0.000387013634852012</v>
      </c>
    </row>
    <row r="28" spans="2:12" ht="12.75">
      <c r="B28" s="8">
        <v>-5</v>
      </c>
      <c r="C28" s="19">
        <v>0</v>
      </c>
      <c r="D28" s="20">
        <v>1442</v>
      </c>
      <c r="E28" s="21">
        <v>0.6007648819421351</v>
      </c>
      <c r="F28" s="23">
        <v>0.239773860991021</v>
      </c>
      <c r="G28" s="23">
        <v>0</v>
      </c>
      <c r="H28" s="23">
        <v>0</v>
      </c>
      <c r="I28" s="23">
        <v>0</v>
      </c>
      <c r="J28" s="24">
        <f t="shared" si="0"/>
        <v>0</v>
      </c>
      <c r="K28" s="24">
        <f t="shared" si="1"/>
        <v>0</v>
      </c>
      <c r="L28" s="25">
        <f t="shared" si="2"/>
        <v>0</v>
      </c>
    </row>
    <row r="29" spans="2:12" ht="12.75">
      <c r="B29" s="8">
        <v>0</v>
      </c>
      <c r="C29" s="19">
        <v>5</v>
      </c>
      <c r="D29" s="20">
        <v>1485</v>
      </c>
      <c r="E29" s="21">
        <v>0.8476887263052877</v>
      </c>
      <c r="F29" s="23">
        <v>0.24692384436315262</v>
      </c>
      <c r="G29" s="23">
        <v>0</v>
      </c>
      <c r="H29" s="23">
        <v>0.025</v>
      </c>
      <c r="I29" s="23">
        <v>0</v>
      </c>
      <c r="J29" s="24">
        <f t="shared" si="0"/>
        <v>0</v>
      </c>
      <c r="K29" s="24">
        <f t="shared" si="1"/>
        <v>56.982425622265964</v>
      </c>
      <c r="L29" s="25">
        <f t="shared" si="2"/>
        <v>0</v>
      </c>
    </row>
    <row r="30" spans="2:12" ht="12.75">
      <c r="B30" s="8">
        <v>5</v>
      </c>
      <c r="C30" s="19">
        <v>10</v>
      </c>
      <c r="D30" s="20">
        <v>687</v>
      </c>
      <c r="E30" s="21">
        <v>0.9619221815763219</v>
      </c>
      <c r="F30" s="23">
        <v>0.11423345527103423</v>
      </c>
      <c r="G30" s="23">
        <v>0</v>
      </c>
      <c r="H30" s="23">
        <v>0.05</v>
      </c>
      <c r="I30" s="23">
        <v>0</v>
      </c>
      <c r="J30" s="24">
        <f t="shared" si="0"/>
        <v>0</v>
      </c>
      <c r="K30" s="24">
        <f t="shared" si="1"/>
        <v>54.11058407575297</v>
      </c>
      <c r="L30" s="25">
        <f t="shared" si="2"/>
        <v>0</v>
      </c>
    </row>
    <row r="31" spans="2:12" ht="12.75">
      <c r="B31" s="8">
        <v>10</v>
      </c>
      <c r="C31" s="19">
        <v>15</v>
      </c>
      <c r="D31" s="20">
        <v>180</v>
      </c>
      <c r="E31" s="21">
        <v>0.9918523445294313</v>
      </c>
      <c r="F31" s="23">
        <v>0.02993016295310935</v>
      </c>
      <c r="G31" s="23">
        <v>0</v>
      </c>
      <c r="H31" s="23">
        <v>0.075</v>
      </c>
      <c r="I31" s="23">
        <v>0</v>
      </c>
      <c r="J31" s="24">
        <f t="shared" si="0"/>
        <v>0</v>
      </c>
      <c r="K31" s="24">
        <f t="shared" si="1"/>
        <v>21.840929722539272</v>
      </c>
      <c r="L31" s="25">
        <f t="shared" si="2"/>
        <v>0</v>
      </c>
    </row>
    <row r="32" spans="2:12" ht="12.75">
      <c r="B32" s="8">
        <v>15</v>
      </c>
      <c r="C32" s="19">
        <v>20</v>
      </c>
      <c r="D32" s="20">
        <v>41</v>
      </c>
      <c r="E32" s="21">
        <v>0.9986697705354174</v>
      </c>
      <c r="F32" s="23">
        <v>0.006817426005986116</v>
      </c>
      <c r="G32" s="23">
        <v>0</v>
      </c>
      <c r="H32" s="23">
        <v>0.1</v>
      </c>
      <c r="I32" s="23">
        <v>0</v>
      </c>
      <c r="J32" s="24">
        <f t="shared" si="0"/>
        <v>0</v>
      </c>
      <c r="K32" s="24">
        <f t="shared" si="1"/>
        <v>6.817426005986114</v>
      </c>
      <c r="L32" s="25">
        <f t="shared" si="2"/>
        <v>0</v>
      </c>
    </row>
    <row r="33" spans="2:12" ht="12.75">
      <c r="B33" s="8">
        <v>20</v>
      </c>
      <c r="C33" s="19">
        <v>25</v>
      </c>
      <c r="D33" s="20">
        <v>6</v>
      </c>
      <c r="E33" s="21">
        <v>0.9996674426338543</v>
      </c>
      <c r="F33" s="23">
        <v>0.0009976720984369303</v>
      </c>
      <c r="G33" s="23">
        <v>0</v>
      </c>
      <c r="H33" s="23">
        <v>0.125</v>
      </c>
      <c r="I33" s="23">
        <v>0</v>
      </c>
      <c r="J33" s="24">
        <f t="shared" si="0"/>
        <v>0</v>
      </c>
      <c r="K33" s="24">
        <f t="shared" si="1"/>
        <v>1.282721269418909</v>
      </c>
      <c r="L33" s="25">
        <f t="shared" si="2"/>
        <v>0</v>
      </c>
    </row>
    <row r="34" spans="2:12" ht="12.75">
      <c r="B34" s="8">
        <v>25</v>
      </c>
      <c r="C34" s="19">
        <v>30</v>
      </c>
      <c r="D34" s="20">
        <v>2</v>
      </c>
      <c r="E34" s="21">
        <v>1</v>
      </c>
      <c r="F34" s="23">
        <v>0.00033255736614568043</v>
      </c>
      <c r="G34" s="23">
        <v>0</v>
      </c>
      <c r="H34" s="23">
        <v>0.15</v>
      </c>
      <c r="I34" s="23">
        <v>0</v>
      </c>
      <c r="J34" s="24">
        <f t="shared" si="0"/>
        <v>0</v>
      </c>
      <c r="K34" s="24">
        <f t="shared" si="1"/>
        <v>0.5281793462313749</v>
      </c>
      <c r="L34" s="25">
        <f t="shared" si="2"/>
        <v>0</v>
      </c>
    </row>
    <row r="35" spans="2:12" ht="12.75">
      <c r="B35" s="8">
        <v>30</v>
      </c>
      <c r="C35" s="19">
        <v>35</v>
      </c>
      <c r="D35" s="20">
        <v>0</v>
      </c>
      <c r="E35" s="21">
        <v>1</v>
      </c>
      <c r="F35" s="23">
        <v>0</v>
      </c>
      <c r="G35" s="23">
        <v>0</v>
      </c>
      <c r="H35" s="23">
        <v>0.175</v>
      </c>
      <c r="I35" s="23">
        <v>0</v>
      </c>
      <c r="J35" s="24">
        <f t="shared" si="0"/>
        <v>0</v>
      </c>
      <c r="K35" s="24">
        <f t="shared" si="1"/>
        <v>0</v>
      </c>
      <c r="L35" s="25">
        <f t="shared" si="2"/>
        <v>0</v>
      </c>
    </row>
    <row r="36" spans="2:12" ht="12.75">
      <c r="B36" s="8">
        <v>35</v>
      </c>
      <c r="C36" s="19">
        <v>40</v>
      </c>
      <c r="D36" s="20">
        <v>0</v>
      </c>
      <c r="E36" s="21">
        <v>1</v>
      </c>
      <c r="F36" s="23">
        <v>0</v>
      </c>
      <c r="G36" s="23">
        <v>0</v>
      </c>
      <c r="H36" s="23">
        <v>0.2</v>
      </c>
      <c r="I36" s="23">
        <v>0</v>
      </c>
      <c r="J36" s="24">
        <f t="shared" si="0"/>
        <v>0</v>
      </c>
      <c r="K36" s="24">
        <f t="shared" si="1"/>
        <v>0</v>
      </c>
      <c r="L36" s="25">
        <f t="shared" si="2"/>
        <v>0</v>
      </c>
    </row>
    <row r="37" spans="2:12" ht="12.75">
      <c r="B37" s="8">
        <v>40</v>
      </c>
      <c r="C37" s="19">
        <v>45</v>
      </c>
      <c r="D37" s="20">
        <v>0</v>
      </c>
      <c r="E37" s="21">
        <v>1</v>
      </c>
      <c r="F37" s="23">
        <v>0</v>
      </c>
      <c r="G37" s="23">
        <v>0</v>
      </c>
      <c r="H37" s="23">
        <v>0.225</v>
      </c>
      <c r="I37" s="23">
        <v>0</v>
      </c>
      <c r="J37" s="24">
        <f t="shared" si="0"/>
        <v>0</v>
      </c>
      <c r="K37" s="24">
        <f t="shared" si="1"/>
        <v>0</v>
      </c>
      <c r="L37" s="25">
        <f t="shared" si="2"/>
        <v>0</v>
      </c>
    </row>
    <row r="38" spans="2:12" ht="12.75">
      <c r="B38" s="8">
        <v>45</v>
      </c>
      <c r="C38" s="19">
        <v>50</v>
      </c>
      <c r="D38" s="20">
        <v>0</v>
      </c>
      <c r="E38" s="21">
        <v>1</v>
      </c>
      <c r="F38" s="23">
        <v>0</v>
      </c>
      <c r="G38" s="23">
        <v>0</v>
      </c>
      <c r="H38" s="23">
        <v>0.25</v>
      </c>
      <c r="I38" s="23">
        <v>0</v>
      </c>
      <c r="J38" s="24">
        <f t="shared" si="0"/>
        <v>0</v>
      </c>
      <c r="K38" s="24">
        <f t="shared" si="1"/>
        <v>0</v>
      </c>
      <c r="L38" s="25">
        <f t="shared" si="2"/>
        <v>0</v>
      </c>
    </row>
    <row r="39" spans="2:12" ht="13.5" thickBot="1">
      <c r="B39" s="27"/>
      <c r="C39" s="27" t="s">
        <v>28</v>
      </c>
      <c r="D39" s="27">
        <v>0</v>
      </c>
      <c r="E39" s="28">
        <v>1</v>
      </c>
      <c r="F39" s="29">
        <v>0</v>
      </c>
      <c r="G39" s="30">
        <v>0</v>
      </c>
      <c r="H39" s="29">
        <v>0.275</v>
      </c>
      <c r="I39" s="29">
        <v>0</v>
      </c>
      <c r="J39" s="31">
        <f t="shared" si="0"/>
        <v>0</v>
      </c>
      <c r="K39" s="31">
        <f t="shared" si="1"/>
        <v>0</v>
      </c>
      <c r="L39" s="32">
        <f t="shared" si="2"/>
        <v>0</v>
      </c>
    </row>
    <row r="40" spans="2:12" ht="12.75">
      <c r="B40" s="6"/>
      <c r="C40" s="6"/>
      <c r="D40" s="6"/>
      <c r="E40" s="33"/>
      <c r="F40" s="34"/>
      <c r="G40" s="35"/>
      <c r="H40" s="36" t="s">
        <v>29</v>
      </c>
      <c r="I40" s="36"/>
      <c r="J40" s="20">
        <f>ROUND(SUM(J18:J39),0)</f>
        <v>439</v>
      </c>
      <c r="K40" s="20">
        <f>ROUND(SUM(K18:K39),0)</f>
        <v>848</v>
      </c>
      <c r="L40" s="25">
        <f>SUM(L18:L39)</f>
        <v>0.0022655470568673096</v>
      </c>
    </row>
    <row r="41" spans="2:9" ht="12.75">
      <c r="B41" s="6"/>
      <c r="C41" s="6"/>
      <c r="D41" s="6"/>
      <c r="E41" s="33"/>
      <c r="F41" s="34"/>
      <c r="G41" s="35"/>
      <c r="H41" s="78"/>
      <c r="I41" s="78"/>
    </row>
    <row r="42" spans="2:10" ht="13.5" thickBot="1">
      <c r="B42" s="37" t="s">
        <v>30</v>
      </c>
      <c r="C42" s="2"/>
      <c r="D42" s="2"/>
      <c r="J42" s="38"/>
    </row>
    <row r="43" spans="2:12" ht="12.75" customHeight="1">
      <c r="B43" s="101" t="s">
        <v>17</v>
      </c>
      <c r="C43" s="104" t="s">
        <v>18</v>
      </c>
      <c r="D43" s="104" t="s">
        <v>19</v>
      </c>
      <c r="E43" s="104" t="s">
        <v>20</v>
      </c>
      <c r="F43" s="104" t="s">
        <v>21</v>
      </c>
      <c r="G43" s="104" t="s">
        <v>22</v>
      </c>
      <c r="H43" s="104" t="s">
        <v>23</v>
      </c>
      <c r="I43" s="104" t="s">
        <v>24</v>
      </c>
      <c r="J43" s="104" t="s">
        <v>31</v>
      </c>
      <c r="K43" s="109" t="s">
        <v>32</v>
      </c>
      <c r="L43" s="109" t="s">
        <v>27</v>
      </c>
    </row>
    <row r="44" spans="2:12" ht="12.75" customHeight="1">
      <c r="B44" s="102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2.75">
      <c r="B45" s="18"/>
      <c r="C45" s="19">
        <v>-50</v>
      </c>
      <c r="D45" s="20">
        <v>25</v>
      </c>
      <c r="E45" s="21">
        <v>0.005493298176225006</v>
      </c>
      <c r="F45" s="22">
        <v>0.005493298176225006</v>
      </c>
      <c r="G45" s="23">
        <v>0.5625</v>
      </c>
      <c r="H45" s="23">
        <v>0.6</v>
      </c>
      <c r="I45" s="23">
        <v>0.025</v>
      </c>
      <c r="J45" s="24">
        <f aca="true" t="shared" si="3" ref="J45:J66">(((F45*($J$6+$E$11))*$J$7)/((1-G45)*$J$7))-(($J$6+$E$11)*F45)</f>
        <v>74.15952537903756</v>
      </c>
      <c r="K45" s="24">
        <f aca="true" t="shared" si="4" ref="K45:K66">((($J$6+$E$11)*F45)*$J$7)/((1-H45)*($J$7/$J$8))-(($J$6+$E$11)*F45*$J$7/($J$7/$J$8))</f>
        <v>173.03889255108768</v>
      </c>
      <c r="L45" s="25">
        <f aca="true" t="shared" si="5" ref="L45:L66">F45*I45</f>
        <v>0.00013733245440562515</v>
      </c>
    </row>
    <row r="46" spans="2:12" ht="12.75">
      <c r="B46" s="8">
        <v>-50</v>
      </c>
      <c r="C46" s="19">
        <v>-45</v>
      </c>
      <c r="D46" s="20">
        <v>9</v>
      </c>
      <c r="E46" s="21">
        <v>0.007470885519666007</v>
      </c>
      <c r="F46" s="23">
        <v>0.0019775873434410016</v>
      </c>
      <c r="G46" s="23">
        <v>0.535</v>
      </c>
      <c r="H46" s="23">
        <v>0.54</v>
      </c>
      <c r="I46" s="23">
        <v>0.0225</v>
      </c>
      <c r="J46" s="24">
        <f t="shared" si="3"/>
        <v>23.890530971569525</v>
      </c>
      <c r="K46" s="24">
        <f t="shared" si="4"/>
        <v>48.75182711874123</v>
      </c>
      <c r="L46" s="25">
        <f t="shared" si="5"/>
        <v>4.4495715227422535E-05</v>
      </c>
    </row>
    <row r="47" spans="2:12" ht="12.75">
      <c r="B47" s="8">
        <v>-45</v>
      </c>
      <c r="C47" s="19">
        <v>-40</v>
      </c>
      <c r="D47" s="20">
        <v>11</v>
      </c>
      <c r="E47" s="21">
        <v>0.00988793671720501</v>
      </c>
      <c r="F47" s="23">
        <v>0.0024170511975390033</v>
      </c>
      <c r="G47" s="23">
        <v>0.5</v>
      </c>
      <c r="H47" s="23">
        <v>0.48</v>
      </c>
      <c r="I47" s="23">
        <v>0.02</v>
      </c>
      <c r="J47" s="24">
        <f t="shared" si="3"/>
        <v>25.379037574159536</v>
      </c>
      <c r="K47" s="24">
        <f t="shared" si="4"/>
        <v>46.8536078292176</v>
      </c>
      <c r="L47" s="25">
        <f t="shared" si="5"/>
        <v>4.834102395078007E-05</v>
      </c>
    </row>
    <row r="48" spans="2:12" ht="12.75" customHeight="1">
      <c r="B48" s="8">
        <v>-40</v>
      </c>
      <c r="C48" s="19">
        <v>-35</v>
      </c>
      <c r="D48" s="20">
        <v>20</v>
      </c>
      <c r="E48" s="21">
        <v>0.014282575258185014</v>
      </c>
      <c r="F48" s="23">
        <v>0.004394638540980003</v>
      </c>
      <c r="G48" s="23">
        <v>0.46</v>
      </c>
      <c r="H48" s="23">
        <v>0.42</v>
      </c>
      <c r="I48" s="23">
        <v>0.0175</v>
      </c>
      <c r="J48" s="24">
        <f t="shared" si="3"/>
        <v>39.30760028321003</v>
      </c>
      <c r="K48" s="24">
        <f t="shared" si="4"/>
        <v>66.82881367490278</v>
      </c>
      <c r="L48" s="25">
        <f t="shared" si="5"/>
        <v>7.690617446715006E-05</v>
      </c>
    </row>
    <row r="49" spans="2:12" ht="12.75">
      <c r="B49" s="8">
        <v>-35</v>
      </c>
      <c r="C49" s="19">
        <v>-30</v>
      </c>
      <c r="D49" s="20">
        <v>32</v>
      </c>
      <c r="E49" s="21">
        <v>0.02131399692375302</v>
      </c>
      <c r="F49" s="26">
        <v>0.0070314216655680065</v>
      </c>
      <c r="G49" s="23">
        <v>0.4125</v>
      </c>
      <c r="H49" s="23">
        <v>0.36</v>
      </c>
      <c r="I49" s="23">
        <v>0.015</v>
      </c>
      <c r="J49" s="24">
        <f t="shared" si="3"/>
        <v>51.83803419402797</v>
      </c>
      <c r="K49" s="24">
        <f t="shared" si="4"/>
        <v>83.0586684245221</v>
      </c>
      <c r="L49" s="25">
        <f t="shared" si="5"/>
        <v>0.0001054713249835201</v>
      </c>
    </row>
    <row r="50" spans="2:12" ht="12.75">
      <c r="B50" s="8">
        <v>-30</v>
      </c>
      <c r="C50" s="19">
        <v>-25</v>
      </c>
      <c r="D50" s="20">
        <v>36</v>
      </c>
      <c r="E50" s="21">
        <v>0.02922434629751703</v>
      </c>
      <c r="F50" s="23">
        <v>0.00791034937376401</v>
      </c>
      <c r="G50" s="23">
        <v>0.36</v>
      </c>
      <c r="H50" s="23">
        <v>0.3</v>
      </c>
      <c r="I50" s="23">
        <v>0.0125</v>
      </c>
      <c r="J50" s="24">
        <f t="shared" si="3"/>
        <v>46.72050098879369</v>
      </c>
      <c r="K50" s="24">
        <f t="shared" si="4"/>
        <v>71.19314436387612</v>
      </c>
      <c r="L50" s="25">
        <f t="shared" si="5"/>
        <v>9.887936717205013E-05</v>
      </c>
    </row>
    <row r="51" spans="2:12" ht="12.75">
      <c r="B51" s="18">
        <v>-25</v>
      </c>
      <c r="C51" s="19">
        <v>-20</v>
      </c>
      <c r="D51" s="20">
        <v>103</v>
      </c>
      <c r="E51" s="21">
        <v>0.05185673478356405</v>
      </c>
      <c r="F51" s="22">
        <v>0.02263238848604702</v>
      </c>
      <c r="G51" s="23">
        <v>0.3</v>
      </c>
      <c r="H51" s="23">
        <v>0.24</v>
      </c>
      <c r="I51" s="23">
        <v>0.01</v>
      </c>
      <c r="J51" s="24">
        <f t="shared" si="3"/>
        <v>101.8457481872116</v>
      </c>
      <c r="K51" s="24">
        <f t="shared" si="4"/>
        <v>150.08847101273284</v>
      </c>
      <c r="L51" s="25">
        <f t="shared" si="5"/>
        <v>0.0002263238848604702</v>
      </c>
    </row>
    <row r="52" spans="2:12" ht="12.75">
      <c r="B52" s="8">
        <v>-20</v>
      </c>
      <c r="C52" s="19">
        <v>-15</v>
      </c>
      <c r="D52" s="20">
        <v>227</v>
      </c>
      <c r="E52" s="21">
        <v>0.1017358822236871</v>
      </c>
      <c r="F52" s="22">
        <v>0.04987914744012305</v>
      </c>
      <c r="G52" s="23">
        <v>0.235</v>
      </c>
      <c r="H52" s="23">
        <v>0.18</v>
      </c>
      <c r="I52" s="23">
        <v>0.0075</v>
      </c>
      <c r="J52" s="24">
        <f t="shared" si="3"/>
        <v>160.88470105686747</v>
      </c>
      <c r="K52" s="24">
        <f t="shared" si="4"/>
        <v>229.93070405324988</v>
      </c>
      <c r="L52" s="25">
        <f t="shared" si="5"/>
        <v>0.00037409360580092286</v>
      </c>
    </row>
    <row r="53" spans="2:12" ht="12.75">
      <c r="B53" s="8">
        <v>-15</v>
      </c>
      <c r="C53" s="19">
        <v>-10</v>
      </c>
      <c r="D53" s="20">
        <v>679</v>
      </c>
      <c r="E53" s="21">
        <v>0.25093386068995827</v>
      </c>
      <c r="F53" s="23">
        <v>0.14919797846627117</v>
      </c>
      <c r="G53" s="23">
        <v>0.1625</v>
      </c>
      <c r="H53" s="23">
        <v>0.12</v>
      </c>
      <c r="I53" s="23">
        <v>0.005</v>
      </c>
      <c r="J53" s="24">
        <f t="shared" si="3"/>
        <v>303.9630456812838</v>
      </c>
      <c r="K53" s="24">
        <f t="shared" si="4"/>
        <v>427.2487565170495</v>
      </c>
      <c r="L53" s="25">
        <f t="shared" si="5"/>
        <v>0.0007459898923313559</v>
      </c>
    </row>
    <row r="54" spans="2:12" ht="12.75">
      <c r="B54" s="8">
        <v>-10</v>
      </c>
      <c r="C54" s="19">
        <v>-5</v>
      </c>
      <c r="D54" s="20">
        <v>692</v>
      </c>
      <c r="E54" s="21">
        <v>0.4029883542078664</v>
      </c>
      <c r="F54" s="23">
        <v>0.15205449351790812</v>
      </c>
      <c r="G54" s="23">
        <v>0.085</v>
      </c>
      <c r="H54" s="23">
        <v>0.06</v>
      </c>
      <c r="I54" s="23">
        <v>0.0025</v>
      </c>
      <c r="J54" s="24">
        <f t="shared" si="3"/>
        <v>148.31544859533642</v>
      </c>
      <c r="K54" s="24">
        <f t="shared" si="4"/>
        <v>203.8177253537915</v>
      </c>
      <c r="L54" s="25">
        <f t="shared" si="5"/>
        <v>0.0003801362337947703</v>
      </c>
    </row>
    <row r="55" spans="2:12" ht="12.75">
      <c r="B55" s="8">
        <v>-5</v>
      </c>
      <c r="C55" s="19">
        <v>0</v>
      </c>
      <c r="D55" s="20">
        <v>948</v>
      </c>
      <c r="E55" s="21">
        <v>0.6112942210503186</v>
      </c>
      <c r="F55" s="23">
        <v>0.20830586684245223</v>
      </c>
      <c r="G55" s="23">
        <v>0</v>
      </c>
      <c r="H55" s="23">
        <v>0</v>
      </c>
      <c r="I55" s="23">
        <v>0</v>
      </c>
      <c r="J55" s="24">
        <f t="shared" si="3"/>
        <v>0</v>
      </c>
      <c r="K55" s="24">
        <f t="shared" si="4"/>
        <v>0</v>
      </c>
      <c r="L55" s="25">
        <f t="shared" si="5"/>
        <v>0</v>
      </c>
    </row>
    <row r="56" spans="2:12" ht="12.75">
      <c r="B56" s="8">
        <v>0</v>
      </c>
      <c r="C56" s="19">
        <v>5</v>
      </c>
      <c r="D56" s="20">
        <v>866</v>
      </c>
      <c r="E56" s="21">
        <v>0.8015820698747528</v>
      </c>
      <c r="F56" s="23">
        <v>0.19028784882443417</v>
      </c>
      <c r="G56" s="23">
        <v>0</v>
      </c>
      <c r="H56" s="23">
        <v>0.025</v>
      </c>
      <c r="I56" s="23">
        <v>0</v>
      </c>
      <c r="J56" s="24">
        <f t="shared" si="3"/>
        <v>0</v>
      </c>
      <c r="K56" s="24">
        <f t="shared" si="4"/>
        <v>102.46268782854122</v>
      </c>
      <c r="L56" s="25">
        <f t="shared" si="5"/>
        <v>0</v>
      </c>
    </row>
    <row r="57" spans="2:12" ht="12.75">
      <c r="B57" s="8">
        <v>5</v>
      </c>
      <c r="C57" s="19">
        <v>10</v>
      </c>
      <c r="D57" s="20">
        <v>591</v>
      </c>
      <c r="E57" s="21">
        <v>0.9314436387607119</v>
      </c>
      <c r="F57" s="23">
        <v>0.12986156888595912</v>
      </c>
      <c r="G57" s="23">
        <v>0</v>
      </c>
      <c r="H57" s="23">
        <v>0.05</v>
      </c>
      <c r="I57" s="23">
        <v>0</v>
      </c>
      <c r="J57" s="24">
        <f t="shared" si="3"/>
        <v>0</v>
      </c>
      <c r="K57" s="24">
        <f t="shared" si="4"/>
        <v>143.53120771606018</v>
      </c>
      <c r="L57" s="25">
        <f t="shared" si="5"/>
        <v>0</v>
      </c>
    </row>
    <row r="58" spans="2:12" ht="12.75">
      <c r="B58" s="8">
        <v>10</v>
      </c>
      <c r="C58" s="19">
        <v>15</v>
      </c>
      <c r="D58" s="20">
        <v>213</v>
      </c>
      <c r="E58" s="21">
        <v>0.978246539222149</v>
      </c>
      <c r="F58" s="23">
        <v>0.04680290046143709</v>
      </c>
      <c r="G58" s="23">
        <v>0</v>
      </c>
      <c r="H58" s="23">
        <v>0.075</v>
      </c>
      <c r="I58" s="23">
        <v>0</v>
      </c>
      <c r="J58" s="24">
        <f t="shared" si="3"/>
        <v>0</v>
      </c>
      <c r="K58" s="24">
        <f t="shared" si="4"/>
        <v>79.6914251100145</v>
      </c>
      <c r="L58" s="25">
        <f t="shared" si="5"/>
        <v>0</v>
      </c>
    </row>
    <row r="59" spans="2:12" ht="12.75">
      <c r="B59" s="8">
        <v>15</v>
      </c>
      <c r="C59" s="19">
        <v>20</v>
      </c>
      <c r="D59" s="20">
        <v>59</v>
      </c>
      <c r="E59" s="21">
        <v>0.99121072291804</v>
      </c>
      <c r="F59" s="23">
        <v>0.01296418369589103</v>
      </c>
      <c r="G59" s="23">
        <v>0</v>
      </c>
      <c r="H59" s="23">
        <v>0.1</v>
      </c>
      <c r="I59" s="23">
        <v>0</v>
      </c>
      <c r="J59" s="24">
        <f t="shared" si="3"/>
        <v>0</v>
      </c>
      <c r="K59" s="24">
        <f t="shared" si="4"/>
        <v>30.2497619570791</v>
      </c>
      <c r="L59" s="25">
        <f t="shared" si="5"/>
        <v>0</v>
      </c>
    </row>
    <row r="60" spans="2:12" ht="12.75">
      <c r="B60" s="8">
        <v>20</v>
      </c>
      <c r="C60" s="19">
        <v>25</v>
      </c>
      <c r="D60" s="20">
        <v>26</v>
      </c>
      <c r="E60" s="21">
        <v>0.996923753021314</v>
      </c>
      <c r="F60" s="23">
        <v>0.005713030103273953</v>
      </c>
      <c r="G60" s="23">
        <v>0</v>
      </c>
      <c r="H60" s="23">
        <v>0.125</v>
      </c>
      <c r="I60" s="23">
        <v>0</v>
      </c>
      <c r="J60" s="24">
        <f t="shared" si="3"/>
        <v>0</v>
      </c>
      <c r="K60" s="24">
        <f t="shared" si="4"/>
        <v>17.139090309821867</v>
      </c>
      <c r="L60" s="25">
        <f t="shared" si="5"/>
        <v>0</v>
      </c>
    </row>
    <row r="61" spans="2:12" ht="12.75">
      <c r="B61" s="8">
        <v>25</v>
      </c>
      <c r="C61" s="19">
        <v>30</v>
      </c>
      <c r="D61" s="20">
        <v>12</v>
      </c>
      <c r="E61" s="21">
        <v>0.999560536145902</v>
      </c>
      <c r="F61" s="23">
        <v>0.002636783124588038</v>
      </c>
      <c r="G61" s="23">
        <v>0</v>
      </c>
      <c r="H61" s="23">
        <v>0.15</v>
      </c>
      <c r="I61" s="23">
        <v>0</v>
      </c>
      <c r="J61" s="24">
        <f t="shared" si="3"/>
        <v>0</v>
      </c>
      <c r="K61" s="24">
        <f t="shared" si="4"/>
        <v>9.771608049943907</v>
      </c>
      <c r="L61" s="25">
        <f t="shared" si="5"/>
        <v>0</v>
      </c>
    </row>
    <row r="62" spans="2:12" ht="12.75">
      <c r="B62" s="8">
        <v>30</v>
      </c>
      <c r="C62" s="19">
        <v>35</v>
      </c>
      <c r="D62" s="20">
        <v>0</v>
      </c>
      <c r="E62" s="21">
        <v>0.999560536145902</v>
      </c>
      <c r="F62" s="23">
        <v>0</v>
      </c>
      <c r="G62" s="23">
        <v>0</v>
      </c>
      <c r="H62" s="23">
        <v>0.175</v>
      </c>
      <c r="I62" s="23">
        <v>0</v>
      </c>
      <c r="J62" s="24">
        <f t="shared" si="3"/>
        <v>0</v>
      </c>
      <c r="K62" s="24">
        <f t="shared" si="4"/>
        <v>0</v>
      </c>
      <c r="L62" s="25">
        <f t="shared" si="5"/>
        <v>0</v>
      </c>
    </row>
    <row r="63" spans="2:12" ht="12.75">
      <c r="B63" s="8">
        <v>35</v>
      </c>
      <c r="C63" s="19">
        <v>40</v>
      </c>
      <c r="D63" s="20">
        <v>2</v>
      </c>
      <c r="E63" s="21">
        <v>1</v>
      </c>
      <c r="F63" s="23">
        <v>0.00043946385409798783</v>
      </c>
      <c r="G63" s="23">
        <v>0</v>
      </c>
      <c r="H63" s="23">
        <v>0.2</v>
      </c>
      <c r="I63" s="23">
        <v>0</v>
      </c>
      <c r="J63" s="24">
        <f t="shared" si="3"/>
        <v>0</v>
      </c>
      <c r="K63" s="24">
        <f t="shared" si="4"/>
        <v>2.307185234014435</v>
      </c>
      <c r="L63" s="25">
        <f t="shared" si="5"/>
        <v>0</v>
      </c>
    </row>
    <row r="64" spans="2:12" ht="12.75">
      <c r="B64" s="8">
        <v>40</v>
      </c>
      <c r="C64" s="19">
        <v>45</v>
      </c>
      <c r="D64" s="20">
        <v>0</v>
      </c>
      <c r="E64" s="21">
        <v>1</v>
      </c>
      <c r="F64" s="23">
        <v>0</v>
      </c>
      <c r="G64" s="23">
        <v>0</v>
      </c>
      <c r="H64" s="23">
        <v>0.225</v>
      </c>
      <c r="I64" s="23">
        <v>0</v>
      </c>
      <c r="J64" s="24">
        <f t="shared" si="3"/>
        <v>0</v>
      </c>
      <c r="K64" s="24">
        <f t="shared" si="4"/>
        <v>0</v>
      </c>
      <c r="L64" s="25">
        <f t="shared" si="5"/>
        <v>0</v>
      </c>
    </row>
    <row r="65" spans="2:12" ht="12.75">
      <c r="B65" s="8">
        <v>45</v>
      </c>
      <c r="C65" s="19">
        <v>50</v>
      </c>
      <c r="D65" s="20">
        <v>0</v>
      </c>
      <c r="E65" s="21">
        <v>1</v>
      </c>
      <c r="F65" s="23">
        <v>0</v>
      </c>
      <c r="G65" s="23">
        <v>0</v>
      </c>
      <c r="H65" s="23">
        <v>0.25</v>
      </c>
      <c r="I65" s="23">
        <v>0</v>
      </c>
      <c r="J65" s="24">
        <f t="shared" si="3"/>
        <v>0</v>
      </c>
      <c r="K65" s="24">
        <f t="shared" si="4"/>
        <v>0</v>
      </c>
      <c r="L65" s="25">
        <f t="shared" si="5"/>
        <v>0</v>
      </c>
    </row>
    <row r="66" spans="2:12" ht="13.5" thickBot="1">
      <c r="B66" s="27"/>
      <c r="C66" s="27" t="s">
        <v>28</v>
      </c>
      <c r="D66" s="27">
        <v>0</v>
      </c>
      <c r="E66" s="28">
        <v>1</v>
      </c>
      <c r="F66" s="29">
        <v>0</v>
      </c>
      <c r="G66" s="30">
        <v>0</v>
      </c>
      <c r="H66" s="29">
        <v>0.275</v>
      </c>
      <c r="I66" s="29">
        <v>0</v>
      </c>
      <c r="J66" s="31">
        <f t="shared" si="3"/>
        <v>0</v>
      </c>
      <c r="K66" s="31">
        <f t="shared" si="4"/>
        <v>0</v>
      </c>
      <c r="L66" s="32">
        <f t="shared" si="5"/>
        <v>0</v>
      </c>
    </row>
    <row r="67" spans="2:12" ht="12.75">
      <c r="B67" s="6"/>
      <c r="C67" s="6"/>
      <c r="D67" s="6"/>
      <c r="E67" s="33"/>
      <c r="F67" s="34"/>
      <c r="G67" s="35"/>
      <c r="H67" s="36" t="s">
        <v>29</v>
      </c>
      <c r="I67" s="36"/>
      <c r="J67" s="20">
        <f>ROUND(SUM(J45:J66),0)</f>
        <v>976</v>
      </c>
      <c r="K67" s="20">
        <f>ROUND(SUM(K45:K66),0)</f>
        <v>1886</v>
      </c>
      <c r="L67" s="25">
        <f>SUM(L45:L66)</f>
        <v>0.002237969676994067</v>
      </c>
    </row>
    <row r="68" spans="2:12" ht="12.75">
      <c r="B68" s="6"/>
      <c r="C68" s="6"/>
      <c r="D68" s="6"/>
      <c r="E68" s="33"/>
      <c r="F68" s="34"/>
      <c r="G68" s="35"/>
      <c r="H68" s="36"/>
      <c r="I68" s="36"/>
      <c r="J68" s="20"/>
      <c r="K68" s="20"/>
      <c r="L68" s="25"/>
    </row>
    <row r="69" spans="1:13" ht="23.25" customHeight="1">
      <c r="A69" s="106" t="s">
        <v>103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7"/>
    </row>
    <row r="70" spans="1:13" ht="15.7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5"/>
    </row>
    <row r="71" spans="2:12" ht="13.5" thickBot="1">
      <c r="B71" s="116" t="s">
        <v>33</v>
      </c>
      <c r="C71" s="116"/>
      <c r="D71" s="116"/>
      <c r="E71" s="116"/>
      <c r="F71" s="116"/>
      <c r="G71" s="79"/>
      <c r="H71" s="116" t="s">
        <v>71</v>
      </c>
      <c r="I71" s="117"/>
      <c r="J71" s="117"/>
      <c r="K71" s="117"/>
      <c r="L71" s="117"/>
    </row>
    <row r="72" spans="2:12" ht="12.75">
      <c r="B72" s="39"/>
      <c r="C72" s="39"/>
      <c r="D72" s="40" t="s">
        <v>35</v>
      </c>
      <c r="E72" s="40" t="s">
        <v>36</v>
      </c>
      <c r="F72" s="40" t="s">
        <v>37</v>
      </c>
      <c r="G72" s="2"/>
      <c r="H72" s="39"/>
      <c r="I72" s="39"/>
      <c r="J72" s="40" t="s">
        <v>35</v>
      </c>
      <c r="K72" s="40" t="s">
        <v>36</v>
      </c>
      <c r="L72" s="40" t="s">
        <v>37</v>
      </c>
    </row>
    <row r="73" spans="2:12" ht="12.75">
      <c r="B73" s="97" t="s">
        <v>38</v>
      </c>
      <c r="C73" s="97"/>
      <c r="D73" s="41">
        <f>E7</f>
        <v>4500</v>
      </c>
      <c r="E73" s="42">
        <f>J10</f>
        <v>300</v>
      </c>
      <c r="F73" s="43">
        <f>D73*E73</f>
        <v>1350000</v>
      </c>
      <c r="G73" s="2"/>
      <c r="H73" s="97" t="s">
        <v>38</v>
      </c>
      <c r="I73" s="97"/>
      <c r="J73" s="41">
        <f>E11+J6</f>
        <v>10500</v>
      </c>
      <c r="K73" s="42">
        <f>J10</f>
        <v>300</v>
      </c>
      <c r="L73" s="43">
        <f>J73*K73</f>
        <v>3150000</v>
      </c>
    </row>
    <row r="74" spans="2:12" ht="12.75">
      <c r="B74" s="97" t="s">
        <v>39</v>
      </c>
      <c r="C74" s="97"/>
      <c r="D74" s="41">
        <f>E7*J8</f>
        <v>9000</v>
      </c>
      <c r="E74" s="42">
        <f>J11</f>
        <v>90</v>
      </c>
      <c r="F74" s="43">
        <f>D74*E74</f>
        <v>810000</v>
      </c>
      <c r="G74" s="80"/>
      <c r="H74" s="97" t="s">
        <v>39</v>
      </c>
      <c r="I74" s="97"/>
      <c r="J74" s="41">
        <f>(E11+J6)*J8</f>
        <v>21000</v>
      </c>
      <c r="K74" s="42">
        <f>J11</f>
        <v>90</v>
      </c>
      <c r="L74" s="43">
        <f>J74*K74</f>
        <v>1890000</v>
      </c>
    </row>
    <row r="75" spans="2:12" ht="12.75">
      <c r="B75" s="97" t="s">
        <v>40</v>
      </c>
      <c r="C75" s="97"/>
      <c r="D75" s="41">
        <f>J40</f>
        <v>439</v>
      </c>
      <c r="E75" s="42">
        <f>J10</f>
        <v>300</v>
      </c>
      <c r="F75" s="43">
        <f>D75*E75</f>
        <v>131700</v>
      </c>
      <c r="G75" s="81"/>
      <c r="H75" s="97" t="s">
        <v>40</v>
      </c>
      <c r="I75" s="97"/>
      <c r="J75" s="41">
        <f>J67</f>
        <v>976</v>
      </c>
      <c r="K75" s="42">
        <f>J10</f>
        <v>300</v>
      </c>
      <c r="L75" s="43">
        <f>J75*K75</f>
        <v>292800</v>
      </c>
    </row>
    <row r="76" spans="2:12" ht="13.5" thickBot="1">
      <c r="B76" s="111" t="s">
        <v>41</v>
      </c>
      <c r="C76" s="111"/>
      <c r="D76" s="82">
        <f>K40</f>
        <v>848</v>
      </c>
      <c r="E76" s="44">
        <f>J11</f>
        <v>90</v>
      </c>
      <c r="F76" s="45">
        <f>D76*E76</f>
        <v>76320</v>
      </c>
      <c r="G76" s="2"/>
      <c r="H76" s="111" t="s">
        <v>41</v>
      </c>
      <c r="I76" s="111"/>
      <c r="J76" s="82">
        <f>K67</f>
        <v>1886</v>
      </c>
      <c r="K76" s="44">
        <f>J11</f>
        <v>90</v>
      </c>
      <c r="L76" s="45">
        <f>J76*J11</f>
        <v>169740</v>
      </c>
    </row>
    <row r="77" spans="2:12" ht="12.75">
      <c r="B77" s="2"/>
      <c r="C77" s="2"/>
      <c r="D77" s="2"/>
      <c r="E77" s="63"/>
      <c r="F77" s="83"/>
      <c r="G77" s="2"/>
      <c r="H77" s="2"/>
      <c r="I77" s="2"/>
      <c r="J77" s="2"/>
      <c r="K77" s="63"/>
      <c r="L77" s="83"/>
    </row>
    <row r="78" spans="2:12" ht="13.5" thickBot="1">
      <c r="B78" s="108" t="s">
        <v>42</v>
      </c>
      <c r="C78" s="108"/>
      <c r="D78" s="108"/>
      <c r="E78" s="108"/>
      <c r="F78" s="108"/>
      <c r="G78" s="112"/>
      <c r="H78" s="112"/>
      <c r="I78" s="112"/>
      <c r="J78" s="112"/>
      <c r="K78" s="112"/>
      <c r="L78" s="112"/>
    </row>
    <row r="79" spans="2:12" ht="38.25">
      <c r="B79" s="49"/>
      <c r="C79" s="49"/>
      <c r="D79" s="50" t="s">
        <v>43</v>
      </c>
      <c r="E79" s="50" t="s">
        <v>44</v>
      </c>
      <c r="F79" s="51" t="s">
        <v>45</v>
      </c>
      <c r="G79" s="50" t="s">
        <v>46</v>
      </c>
      <c r="H79" s="50" t="s">
        <v>72</v>
      </c>
      <c r="I79" s="50" t="s">
        <v>48</v>
      </c>
      <c r="J79" s="50" t="s">
        <v>49</v>
      </c>
      <c r="K79" s="50" t="s">
        <v>50</v>
      </c>
      <c r="L79" s="51" t="s">
        <v>51</v>
      </c>
    </row>
    <row r="80" spans="2:12" ht="12.75">
      <c r="B80" s="97" t="s">
        <v>52</v>
      </c>
      <c r="C80" s="97"/>
      <c r="D80" s="52"/>
      <c r="E80" s="52"/>
      <c r="F80" s="53"/>
      <c r="G80" s="54">
        <f>J7/J9</f>
        <v>79365.07936507936</v>
      </c>
      <c r="H80" s="55"/>
      <c r="I80" s="56">
        <f>E6</f>
        <v>750</v>
      </c>
      <c r="J80" s="55"/>
      <c r="K80" s="53">
        <f>J12</f>
        <v>1.4</v>
      </c>
      <c r="L80" s="57">
        <f>G80*I80*K80</f>
        <v>83333333.33333333</v>
      </c>
    </row>
    <row r="81" spans="2:12" ht="13.5" thickBot="1">
      <c r="B81" s="111" t="s">
        <v>53</v>
      </c>
      <c r="C81" s="112"/>
      <c r="D81" s="30">
        <f>L40</f>
        <v>0.0022655470568673096</v>
      </c>
      <c r="E81" s="58">
        <f>L67</f>
        <v>0.002237969676994067</v>
      </c>
      <c r="F81" s="30">
        <f>L40+L67</f>
        <v>0.004503516733861377</v>
      </c>
      <c r="G81" s="59">
        <f>J7/J9</f>
        <v>79365.07936507936</v>
      </c>
      <c r="H81" s="60">
        <f>F81*G81</f>
        <v>357.4219630048712</v>
      </c>
      <c r="I81" s="59">
        <f>E6</f>
        <v>750</v>
      </c>
      <c r="J81" s="60">
        <f>H81*I81</f>
        <v>268066.4722536534</v>
      </c>
      <c r="K81" s="61">
        <f>J12</f>
        <v>1.4</v>
      </c>
      <c r="L81" s="62">
        <f>J81*K81</f>
        <v>375293.06115511473</v>
      </c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63"/>
      <c r="L82" s="83"/>
    </row>
    <row r="83" spans="2:12" ht="13.5" thickBot="1">
      <c r="B83" s="2"/>
      <c r="C83" s="2"/>
      <c r="D83" s="2"/>
      <c r="E83" s="2"/>
      <c r="F83" s="2"/>
      <c r="G83" s="2"/>
      <c r="H83" s="2"/>
      <c r="I83" s="2"/>
      <c r="J83" s="2"/>
      <c r="K83" s="63"/>
      <c r="L83" s="83"/>
    </row>
    <row r="84" spans="4:12" ht="38.25">
      <c r="D84" s="115" t="s">
        <v>54</v>
      </c>
      <c r="E84" s="115"/>
      <c r="F84" s="70" t="s">
        <v>55</v>
      </c>
      <c r="G84" s="71" t="s">
        <v>56</v>
      </c>
      <c r="H84" s="70" t="s">
        <v>57</v>
      </c>
      <c r="I84" s="70" t="s">
        <v>58</v>
      </c>
      <c r="K84" s="63"/>
      <c r="L84" s="64"/>
    </row>
    <row r="85" spans="4:12" ht="12.75">
      <c r="D85" s="114" t="s">
        <v>59</v>
      </c>
      <c r="E85" s="114"/>
      <c r="F85" s="72">
        <f>(F73+F74+L73+L74+L80)/(J7/E5)</f>
        <v>18106666.666666664</v>
      </c>
      <c r="G85" s="72">
        <f>(SUM(F73:F76)+SUM(L73:L76)+SUM(L80:L81))/(J7/E5)</f>
        <v>18315837.278897688</v>
      </c>
      <c r="H85" s="72">
        <f>G85-F85</f>
        <v>209170.6122310236</v>
      </c>
      <c r="I85" s="73">
        <f>(H85/F85)</f>
        <v>0.011552132486985842</v>
      </c>
      <c r="K85" s="63"/>
      <c r="L85" s="64"/>
    </row>
    <row r="86" spans="4:12" ht="12.75">
      <c r="D86" s="114" t="s">
        <v>60</v>
      </c>
      <c r="E86" s="114"/>
      <c r="F86" s="72">
        <f>((F73+F74)/E6)/(J7/E5)</f>
        <v>576</v>
      </c>
      <c r="G86" s="72">
        <f>((F73+F74+F75+F76)/E6)/(J7/E5)</f>
        <v>631.472</v>
      </c>
      <c r="H86" s="72">
        <f>G86-F86</f>
        <v>55.47199999999998</v>
      </c>
      <c r="I86" s="73">
        <f>(H86/F86)</f>
        <v>0.09630555555555552</v>
      </c>
      <c r="K86" s="63"/>
      <c r="L86" s="64"/>
    </row>
    <row r="87" spans="4:12" ht="12.75">
      <c r="D87" s="114" t="s">
        <v>73</v>
      </c>
      <c r="E87" s="114"/>
      <c r="F87" s="72">
        <f>((L73+L74)/(J5+E10))/(J7/(E5*E6/(J5/2)))</f>
        <v>307.2</v>
      </c>
      <c r="G87" s="72">
        <f>((L73+L74+L75+L76)/(J5+E10))/(J7/(E5*E6/(J5/2)))</f>
        <v>335.3929142857143</v>
      </c>
      <c r="H87" s="72">
        <f>G87-F87</f>
        <v>28.192914285714323</v>
      </c>
      <c r="I87" s="73">
        <f>(H87/F87)</f>
        <v>0.09177380952380965</v>
      </c>
      <c r="K87" s="63"/>
      <c r="L87" s="64"/>
    </row>
    <row r="88" spans="4:12" ht="12.75">
      <c r="D88" s="114" t="s">
        <v>62</v>
      </c>
      <c r="E88" s="114"/>
      <c r="F88" s="72">
        <f>L80/(J7/E5)</f>
        <v>16666666.666666666</v>
      </c>
      <c r="G88" s="72">
        <f>(L80+L81)/(J7/E5)</f>
        <v>16741725.278897688</v>
      </c>
      <c r="H88" s="72">
        <f>G88-F88</f>
        <v>75058.61223102175</v>
      </c>
      <c r="I88" s="73">
        <f>(H88/F88)</f>
        <v>0.004503516733861305</v>
      </c>
      <c r="K88" s="63"/>
      <c r="L88" s="64"/>
    </row>
    <row r="89" spans="4:12" ht="13.5" thickBot="1">
      <c r="D89" s="113" t="s">
        <v>74</v>
      </c>
      <c r="E89" s="113"/>
      <c r="F89" s="74">
        <f>F86+F87*3+(F88/E6)</f>
        <v>23719.82222222222</v>
      </c>
      <c r="G89" s="74">
        <f>G86+G87*3+(G88/E6)</f>
        <v>23959.951114720727</v>
      </c>
      <c r="H89" s="74">
        <f>G89-F89</f>
        <v>240.1288924985056</v>
      </c>
      <c r="I89" s="75">
        <f>(H89/F89)</f>
        <v>0.010123553635808356</v>
      </c>
      <c r="K89" s="63"/>
      <c r="L89" s="64"/>
    </row>
    <row r="90" spans="11:12" ht="12.75">
      <c r="K90" s="63"/>
      <c r="L90" s="64"/>
    </row>
  </sheetData>
  <mergeCells count="60">
    <mergeCell ref="D89:E89"/>
    <mergeCell ref="B76:C76"/>
    <mergeCell ref="H76:I76"/>
    <mergeCell ref="B78:L78"/>
    <mergeCell ref="B81:C81"/>
    <mergeCell ref="D88:E88"/>
    <mergeCell ref="D84:E84"/>
    <mergeCell ref="D85:E85"/>
    <mergeCell ref="D86:E86"/>
    <mergeCell ref="D87:E87"/>
    <mergeCell ref="B4:J4"/>
    <mergeCell ref="G12:I12"/>
    <mergeCell ref="B5:D5"/>
    <mergeCell ref="B6:D6"/>
    <mergeCell ref="B7:D7"/>
    <mergeCell ref="B8:D8"/>
    <mergeCell ref="B9:D9"/>
    <mergeCell ref="G5:I5"/>
    <mergeCell ref="G6:I6"/>
    <mergeCell ref="G10:I10"/>
    <mergeCell ref="E43:E44"/>
    <mergeCell ref="F43:F44"/>
    <mergeCell ref="G43:G44"/>
    <mergeCell ref="H43:H44"/>
    <mergeCell ref="B16:B17"/>
    <mergeCell ref="B43:B44"/>
    <mergeCell ref="C43:C44"/>
    <mergeCell ref="D43:D44"/>
    <mergeCell ref="D16:D17"/>
    <mergeCell ref="C16:C17"/>
    <mergeCell ref="L16:L17"/>
    <mergeCell ref="L43:L44"/>
    <mergeCell ref="I43:I44"/>
    <mergeCell ref="K43:K44"/>
    <mergeCell ref="J43:J44"/>
    <mergeCell ref="E16:E17"/>
    <mergeCell ref="H16:H17"/>
    <mergeCell ref="I16:I17"/>
    <mergeCell ref="G16:G17"/>
    <mergeCell ref="F16:F17"/>
    <mergeCell ref="A1:M1"/>
    <mergeCell ref="A2:M2"/>
    <mergeCell ref="K16:K17"/>
    <mergeCell ref="J16:J17"/>
    <mergeCell ref="B10:D10"/>
    <mergeCell ref="G9:I9"/>
    <mergeCell ref="G8:I8"/>
    <mergeCell ref="G7:I7"/>
    <mergeCell ref="B11:D11"/>
    <mergeCell ref="G11:I11"/>
    <mergeCell ref="B80:C80"/>
    <mergeCell ref="A69:M69"/>
    <mergeCell ref="B73:C73"/>
    <mergeCell ref="B74:C74"/>
    <mergeCell ref="B71:F71"/>
    <mergeCell ref="H71:L71"/>
    <mergeCell ref="B75:C75"/>
    <mergeCell ref="H73:I73"/>
    <mergeCell ref="H74:I74"/>
    <mergeCell ref="H75:I75"/>
  </mergeCells>
  <printOptions horizontalCentered="1"/>
  <pageMargins left="1" right="1" top="0.5" bottom="0.5" header="0.22" footer="0.24"/>
  <pageSetup fitToHeight="0" fitToWidth="1" horizontalDpi="600" verticalDpi="600" orientation="portrait" scale="52" r:id="rId2"/>
  <headerFooter alignWithMargins="0">
    <oddFooter>&amp;CPage C-&amp;P of &amp;N</oddFooter>
  </headerFooter>
  <rowBreaks count="1" manualBreakCount="1">
    <brk id="68" min="1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M59"/>
  <sheetViews>
    <sheetView view="pageBreakPreview" zoomScale="60" zoomScaleNormal="70" workbookViewId="0" topLeftCell="A40">
      <selection activeCell="P73" sqref="P73"/>
    </sheetView>
  </sheetViews>
  <sheetFormatPr defaultColWidth="9.140625" defaultRowHeight="12.75"/>
  <cols>
    <col min="1" max="13" width="14.7109375" style="0" customWidth="1"/>
  </cols>
  <sheetData>
    <row r="1" spans="1:13" ht="15.75">
      <c r="A1" s="11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03"/>
    </row>
    <row r="2" spans="1:13" ht="15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03"/>
    </row>
    <row r="3" spans="1:11" ht="16.5" thickBot="1">
      <c r="A3" s="1"/>
      <c r="B3" s="3" t="s">
        <v>1</v>
      </c>
      <c r="C3" s="3"/>
      <c r="D3" s="1"/>
      <c r="E3" s="1"/>
      <c r="F3" s="1"/>
      <c r="G3" s="1"/>
      <c r="J3" s="1"/>
      <c r="K3" s="1"/>
    </row>
    <row r="4" spans="1:11" ht="15.75">
      <c r="A4" s="1"/>
      <c r="B4" s="98" t="s">
        <v>76</v>
      </c>
      <c r="C4" s="99"/>
      <c r="D4" s="99"/>
      <c r="E4" s="99"/>
      <c r="F4" s="99"/>
      <c r="G4" s="99"/>
      <c r="H4" s="99"/>
      <c r="I4" s="99"/>
      <c r="J4" s="99"/>
      <c r="K4" s="2"/>
    </row>
    <row r="5" spans="1:10" ht="15.75">
      <c r="A5" s="1"/>
      <c r="B5" s="103" t="s">
        <v>3</v>
      </c>
      <c r="C5" s="103"/>
      <c r="D5" s="103"/>
      <c r="E5" s="4">
        <v>60000</v>
      </c>
      <c r="F5" s="5"/>
      <c r="G5" s="97" t="s">
        <v>77</v>
      </c>
      <c r="H5" s="97"/>
      <c r="I5" s="97"/>
      <c r="J5" s="7">
        <v>200000</v>
      </c>
    </row>
    <row r="6" spans="1:10" ht="15.75">
      <c r="A6" s="1"/>
      <c r="B6" s="103" t="s">
        <v>78</v>
      </c>
      <c r="C6" s="103"/>
      <c r="D6" s="103"/>
      <c r="E6" s="4">
        <v>200</v>
      </c>
      <c r="F6" s="8"/>
      <c r="G6" s="97" t="s">
        <v>79</v>
      </c>
      <c r="H6" s="97"/>
      <c r="I6" s="97"/>
      <c r="J6" s="7">
        <v>1</v>
      </c>
    </row>
    <row r="7" spans="1:10" ht="15.75">
      <c r="A7" s="1"/>
      <c r="B7" s="103" t="s">
        <v>7</v>
      </c>
      <c r="C7" s="103"/>
      <c r="D7" s="103"/>
      <c r="E7" s="7">
        <f>E6*6</f>
        <v>1200</v>
      </c>
      <c r="F7" s="8"/>
      <c r="G7" s="97" t="s">
        <v>80</v>
      </c>
      <c r="H7" s="97"/>
      <c r="I7" s="97"/>
      <c r="J7" s="9">
        <v>5.9</v>
      </c>
    </row>
    <row r="8" spans="1:10" ht="15.75">
      <c r="A8" s="1"/>
      <c r="B8" s="97" t="s">
        <v>9</v>
      </c>
      <c r="C8" s="103"/>
      <c r="D8" s="103"/>
      <c r="E8" s="7">
        <f>E6*2</f>
        <v>400</v>
      </c>
      <c r="F8" s="8"/>
      <c r="G8" s="97" t="s">
        <v>10</v>
      </c>
      <c r="H8" s="100"/>
      <c r="I8" s="100"/>
      <c r="J8" s="11">
        <v>300</v>
      </c>
    </row>
    <row r="9" spans="1:10" ht="15.75">
      <c r="A9" s="1"/>
      <c r="B9" s="97" t="s">
        <v>11</v>
      </c>
      <c r="C9" s="100"/>
      <c r="D9" s="100"/>
      <c r="E9" s="7">
        <f>E6*4</f>
        <v>800</v>
      </c>
      <c r="F9" s="8"/>
      <c r="G9" s="97" t="s">
        <v>12</v>
      </c>
      <c r="H9" s="100"/>
      <c r="I9" s="100"/>
      <c r="J9" s="11">
        <v>90</v>
      </c>
    </row>
    <row r="10" spans="1:10" ht="15.75">
      <c r="A10" s="1"/>
      <c r="B10" s="6"/>
      <c r="C10" s="10"/>
      <c r="D10" s="10"/>
      <c r="E10" s="7"/>
      <c r="F10" s="8"/>
      <c r="G10" s="97" t="s">
        <v>14</v>
      </c>
      <c r="H10" s="100"/>
      <c r="I10" s="100"/>
      <c r="J10" s="11">
        <v>1.4</v>
      </c>
    </row>
    <row r="11" spans="1:6" ht="15.75">
      <c r="A11" s="1"/>
      <c r="B11" s="84"/>
      <c r="C11" s="84"/>
      <c r="D11" s="84"/>
      <c r="E11" s="84"/>
      <c r="F11" s="12"/>
    </row>
    <row r="12" spans="1:10" ht="16.5" thickBot="1">
      <c r="A12" s="1"/>
      <c r="B12" s="14"/>
      <c r="C12" s="14"/>
      <c r="D12" s="14"/>
      <c r="E12" s="14"/>
      <c r="F12" s="14"/>
      <c r="G12" s="85"/>
      <c r="H12" s="14"/>
      <c r="I12" s="14"/>
      <c r="J12" s="14"/>
    </row>
    <row r="13" spans="1:10" ht="15.75">
      <c r="A13" s="1"/>
      <c r="B13" s="84"/>
      <c r="C13" s="84"/>
      <c r="D13" s="84"/>
      <c r="E13" s="84"/>
      <c r="F13" s="84"/>
      <c r="G13" s="77"/>
      <c r="H13" s="84"/>
      <c r="I13" s="84"/>
      <c r="J13" s="84"/>
    </row>
    <row r="14" spans="1:11" ht="15.75">
      <c r="A14" s="1"/>
      <c r="B14" s="77"/>
      <c r="C14" s="10"/>
      <c r="D14" s="10"/>
      <c r="E14" s="10"/>
      <c r="F14" s="41"/>
      <c r="G14" s="1"/>
      <c r="H14" s="1"/>
      <c r="I14" s="1"/>
      <c r="J14" s="1"/>
      <c r="K14" s="2"/>
    </row>
    <row r="15" spans="1:12" ht="16.5" thickBot="1">
      <c r="A15" s="1"/>
      <c r="B15" s="3" t="s">
        <v>16</v>
      </c>
      <c r="C15" s="1"/>
      <c r="D15" s="1"/>
      <c r="E15" s="1"/>
      <c r="F15" s="1"/>
      <c r="G15" s="1"/>
      <c r="H15" s="1"/>
      <c r="I15" s="1"/>
      <c r="J15" s="1"/>
      <c r="K15" s="2"/>
      <c r="L15" s="2"/>
    </row>
    <row r="16" spans="2:12" ht="13.5" customHeight="1">
      <c r="B16" s="101" t="s">
        <v>17</v>
      </c>
      <c r="C16" s="104" t="s">
        <v>18</v>
      </c>
      <c r="D16" s="104" t="s">
        <v>19</v>
      </c>
      <c r="E16" s="104" t="s">
        <v>20</v>
      </c>
      <c r="F16" s="104" t="s">
        <v>21</v>
      </c>
      <c r="G16" s="104" t="s">
        <v>22</v>
      </c>
      <c r="H16" s="104" t="s">
        <v>23</v>
      </c>
      <c r="I16" s="104" t="s">
        <v>24</v>
      </c>
      <c r="J16" s="104" t="s">
        <v>31</v>
      </c>
      <c r="K16" s="109" t="s">
        <v>32</v>
      </c>
      <c r="L16" s="109" t="s">
        <v>27</v>
      </c>
    </row>
    <row r="17" spans="2:12" ht="12.75">
      <c r="B17" s="102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2:12" ht="12.75">
      <c r="B18" s="18"/>
      <c r="C18" s="19">
        <v>-50</v>
      </c>
      <c r="D18" s="20">
        <v>30</v>
      </c>
      <c r="E18" s="21">
        <v>0.007090522335145356</v>
      </c>
      <c r="F18" s="22">
        <v>0.007090522335145356</v>
      </c>
      <c r="G18" s="23">
        <v>0.5625</v>
      </c>
      <c r="H18" s="23">
        <v>0.6</v>
      </c>
      <c r="I18" s="23">
        <v>0.025</v>
      </c>
      <c r="J18" s="24">
        <f aca="true" t="shared" si="0" ref="J18:J39">(((F18*$E$7)*$J$5)/((1-G18)*$J$5))-($E$7*F18)</f>
        <v>10.939663031367123</v>
      </c>
      <c r="K18" s="24">
        <f aca="true" t="shared" si="1" ref="K18:K39">(($E$7*F18)*$J$5)/((1-H18)*($J$5/$J$6))-($E$7*F18*$J$5/($J$5/$J$6))</f>
        <v>12.76294020326164</v>
      </c>
      <c r="L18" s="25">
        <f aca="true" t="shared" si="2" ref="L18:L39">F18*I18</f>
        <v>0.00017726305837863392</v>
      </c>
    </row>
    <row r="19" spans="2:12" ht="12.75">
      <c r="B19" s="8">
        <v>-50</v>
      </c>
      <c r="C19" s="19">
        <v>-45</v>
      </c>
      <c r="D19" s="20">
        <v>9</v>
      </c>
      <c r="E19" s="21">
        <v>0.009217679035688962</v>
      </c>
      <c r="F19" s="23">
        <v>0.0021271567005436056</v>
      </c>
      <c r="G19" s="23">
        <v>0.535</v>
      </c>
      <c r="H19" s="23">
        <v>0.54</v>
      </c>
      <c r="I19" s="23">
        <v>0.0225</v>
      </c>
      <c r="J19" s="24">
        <f t="shared" si="0"/>
        <v>2.936848605911817</v>
      </c>
      <c r="K19" s="24">
        <f t="shared" si="1"/>
        <v>2.996516395548384</v>
      </c>
      <c r="L19" s="25">
        <f t="shared" si="2"/>
        <v>4.786102576223112E-05</v>
      </c>
    </row>
    <row r="20" spans="2:12" ht="12.75">
      <c r="B20" s="8">
        <v>-45</v>
      </c>
      <c r="C20" s="19">
        <v>-40</v>
      </c>
      <c r="D20" s="20">
        <v>22</v>
      </c>
      <c r="E20" s="21">
        <v>0.014417395414795557</v>
      </c>
      <c r="F20" s="23">
        <v>0.005199716379106595</v>
      </c>
      <c r="G20" s="23">
        <v>0.5</v>
      </c>
      <c r="H20" s="23">
        <v>0.48</v>
      </c>
      <c r="I20" s="23">
        <v>0.02</v>
      </c>
      <c r="J20" s="24">
        <f t="shared" si="0"/>
        <v>6.239659654927914</v>
      </c>
      <c r="K20" s="24">
        <f t="shared" si="1"/>
        <v>5.7596858353180735</v>
      </c>
      <c r="L20" s="25">
        <f t="shared" si="2"/>
        <v>0.0001039943275821319</v>
      </c>
    </row>
    <row r="21" spans="2:12" ht="12.75">
      <c r="B21" s="8">
        <v>-40</v>
      </c>
      <c r="C21" s="19">
        <v>-35</v>
      </c>
      <c r="D21" s="20">
        <v>38</v>
      </c>
      <c r="E21" s="21">
        <v>0.023398723705979674</v>
      </c>
      <c r="F21" s="23">
        <v>0.008981328291184117</v>
      </c>
      <c r="G21" s="23">
        <v>0.46</v>
      </c>
      <c r="H21" s="23">
        <v>0.42</v>
      </c>
      <c r="I21" s="23">
        <v>0.0175</v>
      </c>
      <c r="J21" s="24">
        <f t="shared" si="0"/>
        <v>9.18091336432154</v>
      </c>
      <c r="K21" s="24">
        <f t="shared" si="1"/>
        <v>7.804464584063437</v>
      </c>
      <c r="L21" s="25">
        <f t="shared" si="2"/>
        <v>0.00015717324509572207</v>
      </c>
    </row>
    <row r="22" spans="2:12" ht="12.75">
      <c r="B22" s="8">
        <v>-35</v>
      </c>
      <c r="C22" s="19">
        <v>-30</v>
      </c>
      <c r="D22" s="20">
        <v>62</v>
      </c>
      <c r="E22" s="21">
        <v>0.038052469865280075</v>
      </c>
      <c r="F22" s="26">
        <v>0.014653746159300401</v>
      </c>
      <c r="G22" s="23">
        <v>0.4125</v>
      </c>
      <c r="H22" s="23">
        <v>0.36</v>
      </c>
      <c r="I22" s="23">
        <v>0.015</v>
      </c>
      <c r="J22" s="24">
        <f t="shared" si="0"/>
        <v>12.34656059379353</v>
      </c>
      <c r="K22" s="24">
        <f t="shared" si="1"/>
        <v>9.89127865752777</v>
      </c>
      <c r="L22" s="25">
        <f t="shared" si="2"/>
        <v>0.000219806192389506</v>
      </c>
    </row>
    <row r="23" spans="2:12" ht="12.75">
      <c r="B23" s="8">
        <v>-30</v>
      </c>
      <c r="C23" s="19">
        <v>-25</v>
      </c>
      <c r="D23" s="20">
        <v>126</v>
      </c>
      <c r="E23" s="21">
        <v>0.06783266367289056</v>
      </c>
      <c r="F23" s="23">
        <v>0.02978019380761049</v>
      </c>
      <c r="G23" s="23">
        <v>0.36</v>
      </c>
      <c r="H23" s="23">
        <v>0.3</v>
      </c>
      <c r="I23" s="23">
        <v>0.0125</v>
      </c>
      <c r="J23" s="24">
        <f t="shared" si="0"/>
        <v>20.101630820137082</v>
      </c>
      <c r="K23" s="24">
        <f t="shared" si="1"/>
        <v>15.315528243913967</v>
      </c>
      <c r="L23" s="25">
        <f t="shared" si="2"/>
        <v>0.00037225242259513114</v>
      </c>
    </row>
    <row r="24" spans="2:12" ht="12.75">
      <c r="B24" s="18">
        <v>-25</v>
      </c>
      <c r="C24" s="19">
        <v>-20</v>
      </c>
      <c r="D24" s="20">
        <v>272</v>
      </c>
      <c r="E24" s="21">
        <v>0.13212006617820846</v>
      </c>
      <c r="F24" s="22">
        <v>0.06428740250531789</v>
      </c>
      <c r="G24" s="23">
        <v>0.3</v>
      </c>
      <c r="H24" s="23">
        <v>0.24</v>
      </c>
      <c r="I24" s="23">
        <v>0.01</v>
      </c>
      <c r="J24" s="24">
        <f t="shared" si="0"/>
        <v>33.06209271702063</v>
      </c>
      <c r="K24" s="24">
        <f t="shared" si="1"/>
        <v>24.3615420020152</v>
      </c>
      <c r="L24" s="25">
        <f t="shared" si="2"/>
        <v>0.0006428740250531789</v>
      </c>
    </row>
    <row r="25" spans="2:12" ht="12.75">
      <c r="B25" s="8">
        <v>-20</v>
      </c>
      <c r="C25" s="19">
        <v>-15</v>
      </c>
      <c r="D25" s="20">
        <v>229</v>
      </c>
      <c r="E25" s="21">
        <v>0.18624438666981802</v>
      </c>
      <c r="F25" s="22">
        <v>0.05412432049160956</v>
      </c>
      <c r="G25" s="23">
        <v>0.235</v>
      </c>
      <c r="H25" s="23">
        <v>0.18</v>
      </c>
      <c r="I25" s="23">
        <v>0.0075</v>
      </c>
      <c r="J25" s="24">
        <f t="shared" si="0"/>
        <v>19.951710298867837</v>
      </c>
      <c r="K25" s="24">
        <f t="shared" si="1"/>
        <v>14.257138080716672</v>
      </c>
      <c r="L25" s="25">
        <f t="shared" si="2"/>
        <v>0.0004059324036870717</v>
      </c>
    </row>
    <row r="26" spans="2:12" ht="12.75">
      <c r="B26" s="8">
        <v>-15</v>
      </c>
      <c r="C26" s="19">
        <v>-10</v>
      </c>
      <c r="D26" s="20">
        <v>375</v>
      </c>
      <c r="E26" s="21">
        <v>0.27487591585913496</v>
      </c>
      <c r="F26" s="23">
        <v>0.08863152918931694</v>
      </c>
      <c r="G26" s="23">
        <v>0.1625</v>
      </c>
      <c r="H26" s="23">
        <v>0.12</v>
      </c>
      <c r="I26" s="23">
        <v>0.005</v>
      </c>
      <c r="J26" s="24">
        <f t="shared" si="0"/>
        <v>20.636594856020068</v>
      </c>
      <c r="K26" s="24">
        <f t="shared" si="1"/>
        <v>14.503341140070049</v>
      </c>
      <c r="L26" s="25">
        <f t="shared" si="2"/>
        <v>0.0004431576459465847</v>
      </c>
    </row>
    <row r="27" spans="2:12" ht="12.75">
      <c r="B27" s="8">
        <v>-10</v>
      </c>
      <c r="C27" s="19">
        <v>-5</v>
      </c>
      <c r="D27" s="20">
        <v>522</v>
      </c>
      <c r="E27" s="21">
        <v>0.39825100449066414</v>
      </c>
      <c r="F27" s="23">
        <v>0.12337508863152918</v>
      </c>
      <c r="G27" s="23">
        <v>0.085</v>
      </c>
      <c r="H27" s="23">
        <v>0.06</v>
      </c>
      <c r="I27" s="23">
        <v>0.0025</v>
      </c>
      <c r="J27" s="24">
        <f t="shared" si="0"/>
        <v>13.753288568760638</v>
      </c>
      <c r="K27" s="24">
        <f t="shared" si="1"/>
        <v>9.450006788797964</v>
      </c>
      <c r="L27" s="25">
        <f t="shared" si="2"/>
        <v>0.00030843772157882295</v>
      </c>
    </row>
    <row r="28" spans="2:12" ht="12.75">
      <c r="B28" s="8">
        <v>-5</v>
      </c>
      <c r="C28" s="19">
        <v>0</v>
      </c>
      <c r="D28" s="20">
        <v>1010</v>
      </c>
      <c r="E28" s="21">
        <v>0.6369652564405578</v>
      </c>
      <c r="F28" s="23">
        <v>0.23871425194989365</v>
      </c>
      <c r="G28" s="23">
        <v>0</v>
      </c>
      <c r="H28" s="23">
        <v>0</v>
      </c>
      <c r="I28" s="23">
        <v>0</v>
      </c>
      <c r="J28" s="24">
        <f t="shared" si="0"/>
        <v>0</v>
      </c>
      <c r="K28" s="24">
        <f t="shared" si="1"/>
        <v>0</v>
      </c>
      <c r="L28" s="25">
        <f t="shared" si="2"/>
        <v>0</v>
      </c>
    </row>
    <row r="29" spans="2:12" ht="12.75">
      <c r="B29" s="8">
        <v>0</v>
      </c>
      <c r="C29" s="19">
        <v>5</v>
      </c>
      <c r="D29" s="20">
        <v>757</v>
      </c>
      <c r="E29" s="21">
        <v>0.8158827700307256</v>
      </c>
      <c r="F29" s="23">
        <v>0.17891751359016783</v>
      </c>
      <c r="G29" s="23">
        <v>0</v>
      </c>
      <c r="H29" s="23">
        <v>0.025</v>
      </c>
      <c r="I29" s="23">
        <v>0</v>
      </c>
      <c r="J29" s="24">
        <f t="shared" si="0"/>
        <v>0</v>
      </c>
      <c r="K29" s="24">
        <f t="shared" si="1"/>
        <v>5.505154264312864</v>
      </c>
      <c r="L29" s="25">
        <f t="shared" si="2"/>
        <v>0</v>
      </c>
    </row>
    <row r="30" spans="2:12" ht="12.75">
      <c r="B30" s="8">
        <v>5</v>
      </c>
      <c r="C30" s="19">
        <v>10</v>
      </c>
      <c r="D30" s="20">
        <v>435</v>
      </c>
      <c r="E30" s="21">
        <v>0.9186953438903332</v>
      </c>
      <c r="F30" s="23">
        <v>0.10281257385960763</v>
      </c>
      <c r="G30" s="23">
        <v>0</v>
      </c>
      <c r="H30" s="23">
        <v>0.05</v>
      </c>
      <c r="I30" s="23">
        <v>0</v>
      </c>
      <c r="J30" s="24">
        <f t="shared" si="0"/>
        <v>0</v>
      </c>
      <c r="K30" s="24">
        <f t="shared" si="1"/>
        <v>6.493425717448915</v>
      </c>
      <c r="L30" s="25">
        <f t="shared" si="2"/>
        <v>0</v>
      </c>
    </row>
    <row r="31" spans="2:12" ht="12.75">
      <c r="B31" s="8">
        <v>10</v>
      </c>
      <c r="C31" s="19">
        <v>15</v>
      </c>
      <c r="D31" s="20">
        <v>175</v>
      </c>
      <c r="E31" s="21">
        <v>0.9600567241786812</v>
      </c>
      <c r="F31" s="23">
        <v>0.041361380288347904</v>
      </c>
      <c r="G31" s="23">
        <v>0</v>
      </c>
      <c r="H31" s="23">
        <v>0.075</v>
      </c>
      <c r="I31" s="23">
        <v>0</v>
      </c>
      <c r="J31" s="24">
        <f t="shared" si="0"/>
        <v>0</v>
      </c>
      <c r="K31" s="24">
        <f t="shared" si="1"/>
        <v>4.024350514541958</v>
      </c>
      <c r="L31" s="25">
        <f t="shared" si="2"/>
        <v>0</v>
      </c>
    </row>
    <row r="32" spans="2:12" ht="12.75">
      <c r="B32" s="8">
        <v>15</v>
      </c>
      <c r="C32" s="19">
        <v>20</v>
      </c>
      <c r="D32" s="20">
        <v>131</v>
      </c>
      <c r="E32" s="21">
        <v>0.9910186717088159</v>
      </c>
      <c r="F32" s="23">
        <v>0.030961947530134704</v>
      </c>
      <c r="G32" s="23">
        <v>0</v>
      </c>
      <c r="H32" s="23">
        <v>0.1</v>
      </c>
      <c r="I32" s="23">
        <v>0</v>
      </c>
      <c r="J32" s="24">
        <f t="shared" si="0"/>
        <v>0</v>
      </c>
      <c r="K32" s="24">
        <f t="shared" si="1"/>
        <v>4.128259670684628</v>
      </c>
      <c r="L32" s="25">
        <f t="shared" si="2"/>
        <v>0</v>
      </c>
    </row>
    <row r="33" spans="2:12" ht="12.75">
      <c r="B33" s="8">
        <v>20</v>
      </c>
      <c r="C33" s="19">
        <v>25</v>
      </c>
      <c r="D33" s="20">
        <v>25</v>
      </c>
      <c r="E33" s="21">
        <v>0.996927440321437</v>
      </c>
      <c r="F33" s="23">
        <v>0.005908768612621129</v>
      </c>
      <c r="G33" s="23">
        <v>0</v>
      </c>
      <c r="H33" s="23">
        <v>0.125</v>
      </c>
      <c r="I33" s="23">
        <v>0</v>
      </c>
      <c r="J33" s="24">
        <f t="shared" si="0"/>
        <v>0</v>
      </c>
      <c r="K33" s="24">
        <f t="shared" si="1"/>
        <v>1.0129317621636211</v>
      </c>
      <c r="L33" s="25">
        <f t="shared" si="2"/>
        <v>0</v>
      </c>
    </row>
    <row r="34" spans="2:12" ht="12.75">
      <c r="B34" s="8">
        <v>25</v>
      </c>
      <c r="C34" s="19">
        <v>30</v>
      </c>
      <c r="D34" s="20">
        <v>11</v>
      </c>
      <c r="E34" s="21">
        <v>0.9995272985109903</v>
      </c>
      <c r="F34" s="23">
        <v>0.002599858189553328</v>
      </c>
      <c r="G34" s="23">
        <v>0</v>
      </c>
      <c r="H34" s="23">
        <v>0.15</v>
      </c>
      <c r="I34" s="23">
        <v>0</v>
      </c>
      <c r="J34" s="24">
        <f t="shared" si="0"/>
        <v>0</v>
      </c>
      <c r="K34" s="24">
        <f t="shared" si="1"/>
        <v>0.5505582048465874</v>
      </c>
      <c r="L34" s="25">
        <f t="shared" si="2"/>
        <v>0</v>
      </c>
    </row>
    <row r="35" spans="2:12" ht="12.75">
      <c r="B35" s="8">
        <v>30</v>
      </c>
      <c r="C35" s="19">
        <v>35</v>
      </c>
      <c r="D35" s="20">
        <v>2</v>
      </c>
      <c r="E35" s="21">
        <v>1</v>
      </c>
      <c r="F35" s="23">
        <v>0.0004727014890096859</v>
      </c>
      <c r="G35" s="23">
        <v>0</v>
      </c>
      <c r="H35" s="23">
        <v>0.175</v>
      </c>
      <c r="I35" s="23">
        <v>0</v>
      </c>
      <c r="J35" s="24">
        <f t="shared" si="0"/>
        <v>0</v>
      </c>
      <c r="K35" s="24">
        <f t="shared" si="1"/>
        <v>0.12032401538428372</v>
      </c>
      <c r="L35" s="25">
        <f t="shared" si="2"/>
        <v>0</v>
      </c>
    </row>
    <row r="36" spans="2:12" ht="12.75">
      <c r="B36" s="8">
        <v>35</v>
      </c>
      <c r="C36" s="19">
        <v>40</v>
      </c>
      <c r="D36" s="20">
        <v>0</v>
      </c>
      <c r="E36" s="21">
        <v>1</v>
      </c>
      <c r="F36" s="23">
        <v>0</v>
      </c>
      <c r="G36" s="23">
        <v>0</v>
      </c>
      <c r="H36" s="23">
        <v>0.2</v>
      </c>
      <c r="I36" s="23">
        <v>0</v>
      </c>
      <c r="J36" s="24">
        <f t="shared" si="0"/>
        <v>0</v>
      </c>
      <c r="K36" s="24">
        <f t="shared" si="1"/>
        <v>0</v>
      </c>
      <c r="L36" s="25">
        <f t="shared" si="2"/>
        <v>0</v>
      </c>
    </row>
    <row r="37" spans="2:12" ht="12.75">
      <c r="B37" s="8">
        <v>40</v>
      </c>
      <c r="C37" s="19">
        <v>45</v>
      </c>
      <c r="D37" s="20">
        <v>0</v>
      </c>
      <c r="E37" s="21">
        <v>1</v>
      </c>
      <c r="F37" s="23">
        <v>0</v>
      </c>
      <c r="G37" s="23">
        <v>0</v>
      </c>
      <c r="H37" s="23">
        <v>0.225</v>
      </c>
      <c r="I37" s="23">
        <v>0</v>
      </c>
      <c r="J37" s="24">
        <f t="shared" si="0"/>
        <v>0</v>
      </c>
      <c r="K37" s="24">
        <f t="shared" si="1"/>
        <v>0</v>
      </c>
      <c r="L37" s="25">
        <f t="shared" si="2"/>
        <v>0</v>
      </c>
    </row>
    <row r="38" spans="2:12" ht="12.75">
      <c r="B38" s="8">
        <v>45</v>
      </c>
      <c r="C38" s="19">
        <v>50</v>
      </c>
      <c r="D38" s="20">
        <v>0</v>
      </c>
      <c r="E38" s="21">
        <v>1</v>
      </c>
      <c r="F38" s="23">
        <v>0</v>
      </c>
      <c r="G38" s="23">
        <v>0</v>
      </c>
      <c r="H38" s="23">
        <v>0.25</v>
      </c>
      <c r="I38" s="23">
        <v>0</v>
      </c>
      <c r="J38" s="24">
        <f t="shared" si="0"/>
        <v>0</v>
      </c>
      <c r="K38" s="24">
        <f t="shared" si="1"/>
        <v>0</v>
      </c>
      <c r="L38" s="25">
        <f t="shared" si="2"/>
        <v>0</v>
      </c>
    </row>
    <row r="39" spans="2:12" ht="13.5" thickBot="1">
      <c r="B39" s="27"/>
      <c r="C39" s="27" t="s">
        <v>28</v>
      </c>
      <c r="D39" s="27">
        <v>0</v>
      </c>
      <c r="E39" s="28">
        <v>1</v>
      </c>
      <c r="F39" s="29">
        <v>0</v>
      </c>
      <c r="G39" s="30">
        <v>0</v>
      </c>
      <c r="H39" s="29">
        <v>0.275</v>
      </c>
      <c r="I39" s="29">
        <v>0</v>
      </c>
      <c r="J39" s="31">
        <f t="shared" si="0"/>
        <v>0</v>
      </c>
      <c r="K39" s="31">
        <f t="shared" si="1"/>
        <v>0</v>
      </c>
      <c r="L39" s="32">
        <f t="shared" si="2"/>
        <v>0</v>
      </c>
    </row>
    <row r="40" spans="2:12" ht="13.5" customHeight="1">
      <c r="B40" s="6"/>
      <c r="C40" s="6"/>
      <c r="D40" s="6"/>
      <c r="E40" s="33"/>
      <c r="F40" s="34"/>
      <c r="G40" s="35"/>
      <c r="H40" s="36" t="s">
        <v>29</v>
      </c>
      <c r="I40" s="36"/>
      <c r="J40" s="20">
        <f>ROUND(SUM(J18:J39),0)</f>
        <v>149</v>
      </c>
      <c r="K40" s="20">
        <f>ROUND(SUM(K18:K39),0)</f>
        <v>139</v>
      </c>
      <c r="L40" s="25">
        <f>SUM(L18:L39)</f>
        <v>0.0028787520680690144</v>
      </c>
    </row>
    <row r="41" spans="2:9" ht="12.75">
      <c r="B41" s="6"/>
      <c r="C41" s="6"/>
      <c r="D41" s="6"/>
      <c r="E41" s="33"/>
      <c r="F41" s="34"/>
      <c r="G41" s="35"/>
      <c r="H41" s="78"/>
      <c r="I41" s="78"/>
    </row>
    <row r="42" spans="2:12" ht="13.5" thickBot="1">
      <c r="B42" s="108" t="s">
        <v>81</v>
      </c>
      <c r="C42" s="108"/>
      <c r="D42" s="108"/>
      <c r="E42" s="108"/>
      <c r="F42" s="108"/>
      <c r="H42" s="118"/>
      <c r="I42" s="118"/>
      <c r="J42" s="118"/>
      <c r="K42" s="118"/>
      <c r="L42" s="118"/>
    </row>
    <row r="43" spans="2:12" ht="12.75">
      <c r="B43" s="39"/>
      <c r="C43" s="39"/>
      <c r="D43" s="40" t="s">
        <v>35</v>
      </c>
      <c r="E43" s="40" t="s">
        <v>36</v>
      </c>
      <c r="F43" s="40" t="s">
        <v>37</v>
      </c>
      <c r="H43" s="86"/>
      <c r="I43" s="86"/>
      <c r="J43" s="87"/>
      <c r="K43" s="87"/>
      <c r="L43" s="87"/>
    </row>
    <row r="44" spans="2:12" ht="12.75">
      <c r="B44" s="97" t="s">
        <v>38</v>
      </c>
      <c r="C44" s="97"/>
      <c r="D44" s="41">
        <f>E7</f>
        <v>1200</v>
      </c>
      <c r="E44" s="42">
        <f>J8</f>
        <v>300</v>
      </c>
      <c r="F44" s="43">
        <f>D44*E44</f>
        <v>360000</v>
      </c>
      <c r="H44" s="97"/>
      <c r="I44" s="97"/>
      <c r="J44" s="41"/>
      <c r="K44" s="42"/>
      <c r="L44" s="43"/>
    </row>
    <row r="45" spans="2:12" ht="12.75">
      <c r="B45" s="97" t="s">
        <v>39</v>
      </c>
      <c r="C45" s="97"/>
      <c r="D45" s="41">
        <f>E7*J6</f>
        <v>1200</v>
      </c>
      <c r="E45" s="42">
        <f>J9</f>
        <v>90</v>
      </c>
      <c r="F45" s="43">
        <f>D45*E45</f>
        <v>108000</v>
      </c>
      <c r="H45" s="97"/>
      <c r="I45" s="97"/>
      <c r="J45" s="6"/>
      <c r="K45" s="42"/>
      <c r="L45" s="43"/>
    </row>
    <row r="46" spans="2:12" ht="12.75">
      <c r="B46" s="97" t="s">
        <v>40</v>
      </c>
      <c r="C46" s="97"/>
      <c r="D46" s="6">
        <f>J40</f>
        <v>149</v>
      </c>
      <c r="E46" s="42">
        <f>J8</f>
        <v>300</v>
      </c>
      <c r="F46" s="43">
        <f>D46*E46</f>
        <v>44700</v>
      </c>
      <c r="H46" s="97"/>
      <c r="I46" s="97"/>
      <c r="J46" s="6"/>
      <c r="K46" s="42"/>
      <c r="L46" s="43"/>
    </row>
    <row r="47" spans="2:12" ht="13.5" thickBot="1">
      <c r="B47" s="111" t="s">
        <v>41</v>
      </c>
      <c r="C47" s="111"/>
      <c r="D47" s="16">
        <f>K40</f>
        <v>139</v>
      </c>
      <c r="E47" s="44">
        <f>J9</f>
        <v>90</v>
      </c>
      <c r="F47" s="45">
        <f>D47*E47</f>
        <v>12510</v>
      </c>
      <c r="H47" s="97"/>
      <c r="I47" s="97"/>
      <c r="J47" s="6"/>
      <c r="K47" s="42"/>
      <c r="L47" s="43"/>
    </row>
    <row r="48" spans="2:12" ht="12.75">
      <c r="B48" s="6"/>
      <c r="C48" s="6"/>
      <c r="D48" s="6"/>
      <c r="E48" s="46"/>
      <c r="F48" s="47"/>
      <c r="H48" s="6"/>
      <c r="I48" s="6"/>
      <c r="J48" s="6"/>
      <c r="K48" s="46"/>
      <c r="L48" s="47"/>
    </row>
    <row r="49" spans="2:12" ht="13.5" thickBot="1">
      <c r="B49" s="108" t="s">
        <v>42</v>
      </c>
      <c r="C49" s="108"/>
      <c r="D49" s="108"/>
      <c r="E49" s="108"/>
      <c r="F49" s="108"/>
      <c r="G49" s="112"/>
      <c r="H49" s="112"/>
      <c r="I49" s="112"/>
      <c r="J49" s="112"/>
      <c r="K49" s="112"/>
      <c r="L49" s="112"/>
    </row>
    <row r="50" spans="2:12" ht="25.5">
      <c r="B50" s="49"/>
      <c r="C50" s="49"/>
      <c r="D50" s="50" t="s">
        <v>43</v>
      </c>
      <c r="E50" s="50" t="s">
        <v>44</v>
      </c>
      <c r="F50" s="51" t="s">
        <v>45</v>
      </c>
      <c r="G50" s="50" t="s">
        <v>46</v>
      </c>
      <c r="H50" s="50" t="s">
        <v>47</v>
      </c>
      <c r="I50" s="50" t="s">
        <v>48</v>
      </c>
      <c r="J50" s="50" t="s">
        <v>49</v>
      </c>
      <c r="K50" s="50" t="s">
        <v>50</v>
      </c>
      <c r="L50" s="51" t="s">
        <v>51</v>
      </c>
    </row>
    <row r="51" spans="2:12" ht="12.75">
      <c r="B51" s="97" t="s">
        <v>52</v>
      </c>
      <c r="C51" s="97"/>
      <c r="D51" s="52"/>
      <c r="E51" s="52"/>
      <c r="F51" s="53"/>
      <c r="G51" s="54">
        <f>J5/J7</f>
        <v>33898.30508474576</v>
      </c>
      <c r="H51" s="55"/>
      <c r="I51" s="56">
        <f>E6</f>
        <v>200</v>
      </c>
      <c r="J51" s="55"/>
      <c r="K51" s="53">
        <f>J10</f>
        <v>1.4</v>
      </c>
      <c r="L51" s="57">
        <f>G51*I51*K51</f>
        <v>9491525.423728812</v>
      </c>
    </row>
    <row r="52" spans="2:12" ht="13.5" thickBot="1">
      <c r="B52" s="111" t="s">
        <v>53</v>
      </c>
      <c r="C52" s="112"/>
      <c r="D52" s="30">
        <f>L40</f>
        <v>0.0028787520680690144</v>
      </c>
      <c r="E52" s="58">
        <v>0</v>
      </c>
      <c r="F52" s="30">
        <f>D52+E52</f>
        <v>0.0028787520680690144</v>
      </c>
      <c r="G52" s="59">
        <f>J5/J7</f>
        <v>33898.30508474576</v>
      </c>
      <c r="H52" s="60">
        <f>F52*G52</f>
        <v>97.58481586674625</v>
      </c>
      <c r="I52" s="59">
        <f>E6</f>
        <v>200</v>
      </c>
      <c r="J52" s="60">
        <f>H52*I52</f>
        <v>19516.96317334925</v>
      </c>
      <c r="K52" s="61">
        <f>J10</f>
        <v>1.4</v>
      </c>
      <c r="L52" s="62">
        <f>J52*K52</f>
        <v>27323.74844268895</v>
      </c>
    </row>
    <row r="53" spans="5:12" ht="12.75">
      <c r="E53" s="63"/>
      <c r="F53" s="64"/>
      <c r="K53" s="65"/>
      <c r="L53" s="66"/>
    </row>
    <row r="54" spans="3:12" ht="16.5" thickBot="1">
      <c r="C54" s="67"/>
      <c r="D54" s="68"/>
      <c r="E54" s="68"/>
      <c r="F54" s="68"/>
      <c r="G54" s="69"/>
      <c r="H54" s="12"/>
      <c r="I54" s="12"/>
      <c r="K54" s="65"/>
      <c r="L54" s="2"/>
    </row>
    <row r="55" spans="3:12" ht="38.25">
      <c r="C55" s="67"/>
      <c r="D55" s="115" t="s">
        <v>54</v>
      </c>
      <c r="E55" s="115"/>
      <c r="F55" s="70" t="s">
        <v>55</v>
      </c>
      <c r="G55" s="71" t="s">
        <v>56</v>
      </c>
      <c r="H55" s="70" t="s">
        <v>57</v>
      </c>
      <c r="I55" s="70" t="s">
        <v>58</v>
      </c>
      <c r="K55" s="65"/>
      <c r="L55" s="2"/>
    </row>
    <row r="56" spans="3:12" ht="15.75">
      <c r="C56" s="67"/>
      <c r="D56" s="114" t="s">
        <v>59</v>
      </c>
      <c r="E56" s="114"/>
      <c r="F56" s="72">
        <f>(F44+F45+L51)/(J5/E5)</f>
        <v>2987857.627118644</v>
      </c>
      <c r="G56" s="72">
        <f>(F44+F45+F46+F47+L51+L52)/(J5/E5)</f>
        <v>3013217.7516514505</v>
      </c>
      <c r="H56" s="72">
        <f>G56-F56</f>
        <v>25360.124532806687</v>
      </c>
      <c r="I56" s="73">
        <f>(H56/F56)</f>
        <v>0.008487728565990227</v>
      </c>
      <c r="K56" s="65"/>
      <c r="L56" s="2"/>
    </row>
    <row r="57" spans="3:12" ht="15.75">
      <c r="C57" s="67"/>
      <c r="D57" s="114" t="s">
        <v>82</v>
      </c>
      <c r="E57" s="114"/>
      <c r="F57" s="72">
        <f>((F44+F45)/E6)/(J5/E5)</f>
        <v>702</v>
      </c>
      <c r="G57" s="72">
        <f>((F44+F45+F46+F47)/E6)/(J5/E5)</f>
        <v>787.815</v>
      </c>
      <c r="H57" s="72">
        <f>G57-F57</f>
        <v>85.81500000000005</v>
      </c>
      <c r="I57" s="73">
        <f>(H57/F57)</f>
        <v>0.12224358974358981</v>
      </c>
      <c r="K57" s="65"/>
      <c r="L57" s="2"/>
    </row>
    <row r="58" spans="3:12" ht="15.75">
      <c r="C58" s="67"/>
      <c r="D58" s="114" t="s">
        <v>62</v>
      </c>
      <c r="E58" s="114"/>
      <c r="F58" s="72">
        <f>L51/(J5/E5)</f>
        <v>2847457.627118644</v>
      </c>
      <c r="G58" s="72">
        <f>(L51+L52)/(J5/E5)</f>
        <v>2855654.7516514505</v>
      </c>
      <c r="H58" s="72">
        <f>G58-F58</f>
        <v>8197.124532806687</v>
      </c>
      <c r="I58" s="73">
        <f>(H58/F58)</f>
        <v>0.0028787520680690153</v>
      </c>
      <c r="K58" s="65"/>
      <c r="L58" s="2"/>
    </row>
    <row r="59" spans="3:12" ht="16.5" thickBot="1">
      <c r="C59" s="67"/>
      <c r="D59" s="113" t="s">
        <v>83</v>
      </c>
      <c r="E59" s="113"/>
      <c r="F59" s="74">
        <f>F57+(F58/E6)</f>
        <v>14939.288135593219</v>
      </c>
      <c r="G59" s="74">
        <f>G57+(G58/E6)</f>
        <v>15066.088758257252</v>
      </c>
      <c r="H59" s="74">
        <f>G59-F59</f>
        <v>126.80062266403365</v>
      </c>
      <c r="I59" s="75">
        <f>(H59/F59)</f>
        <v>0.00848772856599024</v>
      </c>
      <c r="K59" s="65"/>
      <c r="L59" s="2"/>
    </row>
  </sheetData>
  <mergeCells count="43">
    <mergeCell ref="B8:D8"/>
    <mergeCell ref="B9:D9"/>
    <mergeCell ref="G8:I8"/>
    <mergeCell ref="G9:I9"/>
    <mergeCell ref="K16:K17"/>
    <mergeCell ref="J16:J17"/>
    <mergeCell ref="E16:E17"/>
    <mergeCell ref="L16:L17"/>
    <mergeCell ref="G16:G17"/>
    <mergeCell ref="H16:H17"/>
    <mergeCell ref="I16:I17"/>
    <mergeCell ref="F16:F17"/>
    <mergeCell ref="A1:M1"/>
    <mergeCell ref="A2:M2"/>
    <mergeCell ref="B4:J4"/>
    <mergeCell ref="G5:I5"/>
    <mergeCell ref="B5:D5"/>
    <mergeCell ref="D55:E55"/>
    <mergeCell ref="B52:C52"/>
    <mergeCell ref="G6:I6"/>
    <mergeCell ref="G7:I7"/>
    <mergeCell ref="B7:D7"/>
    <mergeCell ref="G10:I10"/>
    <mergeCell ref="B6:D6"/>
    <mergeCell ref="D16:D17"/>
    <mergeCell ref="C16:C17"/>
    <mergeCell ref="B16:B17"/>
    <mergeCell ref="B42:F42"/>
    <mergeCell ref="H42:L42"/>
    <mergeCell ref="B44:C44"/>
    <mergeCell ref="H44:I44"/>
    <mergeCell ref="B45:C45"/>
    <mergeCell ref="H45:I45"/>
    <mergeCell ref="B46:C46"/>
    <mergeCell ref="H46:I46"/>
    <mergeCell ref="B47:C47"/>
    <mergeCell ref="H47:I47"/>
    <mergeCell ref="B49:L49"/>
    <mergeCell ref="B51:C51"/>
    <mergeCell ref="D59:E59"/>
    <mergeCell ref="D56:E56"/>
    <mergeCell ref="D57:E57"/>
    <mergeCell ref="D58:E58"/>
  </mergeCells>
  <printOptions horizontalCentered="1"/>
  <pageMargins left="1" right="1" top="0.5" bottom="0.5" header="0.22" footer="0.24"/>
  <pageSetup fitToHeight="1" fitToWidth="1" horizontalDpi="600" verticalDpi="600" orientation="portrait" scale="52" r:id="rId2"/>
  <headerFooter alignWithMargins="0">
    <oddFooter>&amp;CPage C-&amp;P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M60"/>
  <sheetViews>
    <sheetView view="pageBreakPreview" zoomScale="60" zoomScaleNormal="70" workbookViewId="0" topLeftCell="A50">
      <selection activeCell="O7" sqref="O7"/>
    </sheetView>
  </sheetViews>
  <sheetFormatPr defaultColWidth="9.140625" defaultRowHeight="12.75"/>
  <cols>
    <col min="1" max="13" width="14.7109375" style="0" customWidth="1"/>
  </cols>
  <sheetData>
    <row r="1" spans="1:13" ht="15.75">
      <c r="A1" s="11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03"/>
    </row>
    <row r="2" spans="1:13" ht="15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03"/>
    </row>
    <row r="3" spans="1:11" ht="16.5" thickBot="1">
      <c r="A3" s="1"/>
      <c r="B3" s="3" t="s">
        <v>1</v>
      </c>
      <c r="C3" s="3"/>
      <c r="D3" s="1"/>
      <c r="E3" s="1"/>
      <c r="F3" s="1"/>
      <c r="G3" s="1"/>
      <c r="J3" s="1"/>
      <c r="K3" s="1"/>
    </row>
    <row r="4" spans="1:11" ht="15.75">
      <c r="A4" s="1"/>
      <c r="B4" s="98" t="s">
        <v>85</v>
      </c>
      <c r="C4" s="99"/>
      <c r="D4" s="99"/>
      <c r="E4" s="99"/>
      <c r="F4" s="99"/>
      <c r="G4" s="99"/>
      <c r="H4" s="99"/>
      <c r="I4" s="99"/>
      <c r="J4" s="99"/>
      <c r="K4" s="2"/>
    </row>
    <row r="5" spans="1:10" ht="15.75">
      <c r="A5" s="1"/>
      <c r="B5" s="103" t="s">
        <v>3</v>
      </c>
      <c r="C5" s="103"/>
      <c r="D5" s="103"/>
      <c r="E5" s="4">
        <v>150000</v>
      </c>
      <c r="F5" s="5"/>
      <c r="G5" s="97" t="s">
        <v>77</v>
      </c>
      <c r="H5" s="97"/>
      <c r="I5" s="97"/>
      <c r="J5" s="7">
        <v>200000</v>
      </c>
    </row>
    <row r="6" spans="1:10" ht="15.75">
      <c r="A6" s="1"/>
      <c r="B6" s="103" t="s">
        <v>5</v>
      </c>
      <c r="C6" s="103"/>
      <c r="D6" s="103"/>
      <c r="E6" s="4">
        <v>1</v>
      </c>
      <c r="F6" s="8"/>
      <c r="G6" s="97" t="s">
        <v>79</v>
      </c>
      <c r="H6" s="97"/>
      <c r="I6" s="97"/>
      <c r="J6" s="7">
        <v>0</v>
      </c>
    </row>
    <row r="7" spans="1:10" ht="15.75">
      <c r="A7" s="1"/>
      <c r="B7" s="103" t="s">
        <v>7</v>
      </c>
      <c r="C7" s="103"/>
      <c r="D7" s="103"/>
      <c r="E7" s="7">
        <v>10</v>
      </c>
      <c r="F7" s="8"/>
      <c r="G7" s="97" t="s">
        <v>80</v>
      </c>
      <c r="H7" s="97"/>
      <c r="I7" s="97"/>
      <c r="J7" s="9">
        <v>6.1</v>
      </c>
    </row>
    <row r="8" spans="1:10" ht="15.75">
      <c r="A8" s="1"/>
      <c r="B8" s="97" t="s">
        <v>9</v>
      </c>
      <c r="C8" s="103"/>
      <c r="D8" s="103"/>
      <c r="E8" s="7">
        <v>2</v>
      </c>
      <c r="F8" s="8"/>
      <c r="G8" s="97" t="s">
        <v>10</v>
      </c>
      <c r="H8" s="100"/>
      <c r="I8" s="100"/>
      <c r="J8" s="11">
        <v>325</v>
      </c>
    </row>
    <row r="9" spans="1:10" ht="15.75">
      <c r="A9" s="1"/>
      <c r="B9" s="97" t="s">
        <v>11</v>
      </c>
      <c r="C9" s="100"/>
      <c r="D9" s="100"/>
      <c r="E9" s="7">
        <v>8</v>
      </c>
      <c r="F9" s="8"/>
      <c r="G9" s="97" t="s">
        <v>12</v>
      </c>
      <c r="H9" s="100"/>
      <c r="I9" s="100"/>
      <c r="J9" s="11">
        <v>90</v>
      </c>
    </row>
    <row r="10" spans="1:10" ht="15.75">
      <c r="A10" s="1"/>
      <c r="B10" s="6"/>
      <c r="C10" s="10"/>
      <c r="D10" s="10"/>
      <c r="E10" s="7"/>
      <c r="F10" s="8"/>
      <c r="G10" s="97" t="s">
        <v>14</v>
      </c>
      <c r="H10" s="100"/>
      <c r="I10" s="100"/>
      <c r="J10" s="11">
        <v>1.4</v>
      </c>
    </row>
    <row r="11" spans="1:6" ht="15.75">
      <c r="A11" s="1"/>
      <c r="B11" s="84"/>
      <c r="C11" s="84"/>
      <c r="D11" s="84"/>
      <c r="E11" s="84"/>
      <c r="F11" s="12"/>
    </row>
    <row r="12" spans="1:10" ht="16.5" thickBot="1">
      <c r="A12" s="1"/>
      <c r="B12" s="14"/>
      <c r="C12" s="14"/>
      <c r="D12" s="14"/>
      <c r="E12" s="14"/>
      <c r="F12" s="14"/>
      <c r="G12" s="85"/>
      <c r="H12" s="14"/>
      <c r="I12" s="14"/>
      <c r="J12" s="14"/>
    </row>
    <row r="13" spans="1:10" ht="15.75">
      <c r="A13" s="1"/>
      <c r="B13" s="84"/>
      <c r="C13" s="84"/>
      <c r="D13" s="84"/>
      <c r="E13" s="84"/>
      <c r="F13" s="84"/>
      <c r="G13" s="77"/>
      <c r="H13" s="84"/>
      <c r="I13" s="84"/>
      <c r="J13" s="84"/>
    </row>
    <row r="14" spans="1:11" ht="15.75">
      <c r="A14" s="1"/>
      <c r="B14" s="77"/>
      <c r="C14" s="10"/>
      <c r="D14" s="10"/>
      <c r="E14" s="10"/>
      <c r="F14" s="41"/>
      <c r="G14" s="1"/>
      <c r="H14" s="1"/>
      <c r="I14" s="1"/>
      <c r="J14" s="1"/>
      <c r="K14" s="2"/>
    </row>
    <row r="15" spans="1:12" ht="16.5" thickBot="1">
      <c r="A15" s="1"/>
      <c r="B15" s="3" t="s">
        <v>16</v>
      </c>
      <c r="C15" s="1"/>
      <c r="D15" s="1"/>
      <c r="E15" s="1"/>
      <c r="F15" s="1"/>
      <c r="G15" s="1"/>
      <c r="H15" s="1"/>
      <c r="I15" s="1"/>
      <c r="J15" s="1"/>
      <c r="K15" s="2"/>
      <c r="L15" s="2"/>
    </row>
    <row r="16" spans="2:12" ht="13.5" customHeight="1">
      <c r="B16" s="101" t="s">
        <v>17</v>
      </c>
      <c r="C16" s="104" t="s">
        <v>18</v>
      </c>
      <c r="D16" s="104" t="s">
        <v>19</v>
      </c>
      <c r="E16" s="104" t="s">
        <v>20</v>
      </c>
      <c r="F16" s="104" t="s">
        <v>21</v>
      </c>
      <c r="G16" s="104" t="s">
        <v>22</v>
      </c>
      <c r="H16" s="104" t="s">
        <v>23</v>
      </c>
      <c r="I16" s="104" t="s">
        <v>24</v>
      </c>
      <c r="J16" s="104" t="s">
        <v>31</v>
      </c>
      <c r="K16" s="109" t="s">
        <v>32</v>
      </c>
      <c r="L16" s="109" t="s">
        <v>27</v>
      </c>
    </row>
    <row r="17" spans="2:12" ht="12.75">
      <c r="B17" s="102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2:12" ht="12.75">
      <c r="B18" s="18"/>
      <c r="C18" s="19">
        <v>-50</v>
      </c>
      <c r="D18" s="20">
        <v>11</v>
      </c>
      <c r="E18" s="21">
        <v>0.007795889440113395</v>
      </c>
      <c r="F18" s="22">
        <v>0.007795889440113395</v>
      </c>
      <c r="G18" s="23">
        <v>0.5625</v>
      </c>
      <c r="H18" s="23">
        <v>0.6</v>
      </c>
      <c r="I18" s="23">
        <v>0.025</v>
      </c>
      <c r="J18" s="88">
        <f aca="true" t="shared" si="0" ref="J18:J39">(((F18*$E$7)*$J$5)/((1-G18)*$J$5))-($E$7*F18)</f>
        <v>0.10023286423002938</v>
      </c>
      <c r="K18" s="24">
        <v>0</v>
      </c>
      <c r="L18" s="25">
        <f aca="true" t="shared" si="1" ref="L18:L39">F18*I18</f>
        <v>0.00019489723600283487</v>
      </c>
    </row>
    <row r="19" spans="2:12" ht="12.75">
      <c r="B19" s="8">
        <v>-50</v>
      </c>
      <c r="C19" s="19">
        <v>-45</v>
      </c>
      <c r="D19" s="20">
        <v>4</v>
      </c>
      <c r="E19" s="21">
        <v>0.010630758327427357</v>
      </c>
      <c r="F19" s="23">
        <v>0.002834868887313962</v>
      </c>
      <c r="G19" s="23">
        <v>0.535</v>
      </c>
      <c r="H19" s="23">
        <v>0.54</v>
      </c>
      <c r="I19" s="23">
        <v>0.0225</v>
      </c>
      <c r="J19" s="88">
        <f t="shared" si="0"/>
        <v>0.032616233434687524</v>
      </c>
      <c r="K19" s="24">
        <v>0</v>
      </c>
      <c r="L19" s="25">
        <f t="shared" si="1"/>
        <v>6.378454996456414E-05</v>
      </c>
    </row>
    <row r="20" spans="2:12" ht="12.75">
      <c r="B20" s="8">
        <v>-45</v>
      </c>
      <c r="C20" s="19">
        <v>-40</v>
      </c>
      <c r="D20" s="20">
        <v>4</v>
      </c>
      <c r="E20" s="21">
        <v>0.013465627214741318</v>
      </c>
      <c r="F20" s="23">
        <v>0.002834868887313961</v>
      </c>
      <c r="G20" s="23">
        <v>0.5</v>
      </c>
      <c r="H20" s="23">
        <v>0.48</v>
      </c>
      <c r="I20" s="23">
        <v>0.02</v>
      </c>
      <c r="J20" s="88">
        <f t="shared" si="0"/>
        <v>0.02834868887313961</v>
      </c>
      <c r="K20" s="24">
        <v>0</v>
      </c>
      <c r="L20" s="25">
        <f t="shared" si="1"/>
        <v>5.669737774627922E-05</v>
      </c>
    </row>
    <row r="21" spans="2:12" ht="12.75">
      <c r="B21" s="8">
        <v>-40</v>
      </c>
      <c r="C21" s="19">
        <v>-35</v>
      </c>
      <c r="D21" s="20">
        <v>4</v>
      </c>
      <c r="E21" s="21">
        <v>0.01630049610205528</v>
      </c>
      <c r="F21" s="23">
        <v>0.002834868887313961</v>
      </c>
      <c r="G21" s="23">
        <v>0.46</v>
      </c>
      <c r="H21" s="23">
        <v>0.42</v>
      </c>
      <c r="I21" s="23">
        <v>0.0175</v>
      </c>
      <c r="J21" s="88">
        <f t="shared" si="0"/>
        <v>0.024148883114155962</v>
      </c>
      <c r="K21" s="24">
        <v>0</v>
      </c>
      <c r="L21" s="25">
        <f t="shared" si="1"/>
        <v>4.9610205527994324E-05</v>
      </c>
    </row>
    <row r="22" spans="2:12" ht="12.75">
      <c r="B22" s="8">
        <v>-35</v>
      </c>
      <c r="C22" s="19">
        <v>-30</v>
      </c>
      <c r="D22" s="20">
        <v>5</v>
      </c>
      <c r="E22" s="21">
        <v>0.019844082211197732</v>
      </c>
      <c r="F22" s="26">
        <v>0.0035435861091424534</v>
      </c>
      <c r="G22" s="23">
        <v>0.4125</v>
      </c>
      <c r="H22" s="23">
        <v>0.36</v>
      </c>
      <c r="I22" s="23">
        <v>0.015</v>
      </c>
      <c r="J22" s="88">
        <f t="shared" si="0"/>
        <v>0.02488049821312787</v>
      </c>
      <c r="K22" s="24">
        <v>0</v>
      </c>
      <c r="L22" s="25">
        <f t="shared" si="1"/>
        <v>5.31537916371368E-05</v>
      </c>
    </row>
    <row r="23" spans="2:12" ht="12.75">
      <c r="B23" s="8">
        <v>-30</v>
      </c>
      <c r="C23" s="19">
        <v>-25</v>
      </c>
      <c r="D23" s="20">
        <v>12</v>
      </c>
      <c r="E23" s="21">
        <v>0.028348688873139617</v>
      </c>
      <c r="F23" s="23">
        <v>0.008504606661941885</v>
      </c>
      <c r="G23" s="23">
        <v>0.36</v>
      </c>
      <c r="H23" s="23">
        <v>0.3</v>
      </c>
      <c r="I23" s="23">
        <v>0.0125</v>
      </c>
      <c r="J23" s="88">
        <f t="shared" si="0"/>
        <v>0.0478384124734231</v>
      </c>
      <c r="K23" s="24">
        <v>0</v>
      </c>
      <c r="L23" s="25">
        <f t="shared" si="1"/>
        <v>0.00010630758327427356</v>
      </c>
    </row>
    <row r="24" spans="2:12" ht="12.75">
      <c r="B24" s="18">
        <v>-25</v>
      </c>
      <c r="C24" s="19">
        <v>-20</v>
      </c>
      <c r="D24" s="20">
        <v>18</v>
      </c>
      <c r="E24" s="21">
        <v>0.041105598866052445</v>
      </c>
      <c r="F24" s="22">
        <v>0.012756909992912829</v>
      </c>
      <c r="G24" s="23">
        <v>0.3</v>
      </c>
      <c r="H24" s="23">
        <v>0.24</v>
      </c>
      <c r="I24" s="23">
        <v>0.01</v>
      </c>
      <c r="J24" s="88">
        <f t="shared" si="0"/>
        <v>0.054672471398197836</v>
      </c>
      <c r="K24" s="24">
        <v>0</v>
      </c>
      <c r="L24" s="25">
        <f t="shared" si="1"/>
        <v>0.0001275690999291283</v>
      </c>
    </row>
    <row r="25" spans="2:12" ht="12.75">
      <c r="B25" s="8">
        <v>-20</v>
      </c>
      <c r="C25" s="19">
        <v>-15</v>
      </c>
      <c r="D25" s="20">
        <v>49</v>
      </c>
      <c r="E25" s="21">
        <v>0.07583274273564848</v>
      </c>
      <c r="F25" s="22">
        <v>0.034727143869596036</v>
      </c>
      <c r="G25" s="23">
        <v>0.235</v>
      </c>
      <c r="H25" s="23">
        <v>0.18</v>
      </c>
      <c r="I25" s="23">
        <v>0.0075</v>
      </c>
      <c r="J25" s="88">
        <f t="shared" si="0"/>
        <v>0.10667815437065448</v>
      </c>
      <c r="K25" s="24">
        <v>0</v>
      </c>
      <c r="L25" s="25">
        <f t="shared" si="1"/>
        <v>0.00026045357902197024</v>
      </c>
    </row>
    <row r="26" spans="2:12" ht="12.75">
      <c r="B26" s="8">
        <v>-15</v>
      </c>
      <c r="C26" s="19">
        <v>-10</v>
      </c>
      <c r="D26" s="20">
        <v>111</v>
      </c>
      <c r="E26" s="21">
        <v>0.15450035435861093</v>
      </c>
      <c r="F26" s="23">
        <v>0.07866761162296244</v>
      </c>
      <c r="G26" s="23">
        <v>0.1625</v>
      </c>
      <c r="H26" s="23">
        <v>0.12</v>
      </c>
      <c r="I26" s="23">
        <v>0.005</v>
      </c>
      <c r="J26" s="88">
        <f t="shared" si="0"/>
        <v>0.15263864941768834</v>
      </c>
      <c r="K26" s="24">
        <v>0</v>
      </c>
      <c r="L26" s="25">
        <f t="shared" si="1"/>
        <v>0.00039333805811481225</v>
      </c>
    </row>
    <row r="27" spans="2:12" ht="12.75">
      <c r="B27" s="8">
        <v>-10</v>
      </c>
      <c r="C27" s="19">
        <v>-5</v>
      </c>
      <c r="D27" s="20">
        <v>228</v>
      </c>
      <c r="E27" s="21">
        <v>0.3160878809355067</v>
      </c>
      <c r="F27" s="23">
        <v>0.1615875265768958</v>
      </c>
      <c r="G27" s="23">
        <v>0.085</v>
      </c>
      <c r="H27" s="23">
        <v>0.06</v>
      </c>
      <c r="I27" s="23">
        <v>0.0025</v>
      </c>
      <c r="J27" s="88">
        <f t="shared" si="0"/>
        <v>0.1501086312462967</v>
      </c>
      <c r="K27" s="24">
        <v>0</v>
      </c>
      <c r="L27" s="25">
        <f t="shared" si="1"/>
        <v>0.0004039688164422395</v>
      </c>
    </row>
    <row r="28" spans="2:12" ht="12.75">
      <c r="B28" s="8">
        <v>-5</v>
      </c>
      <c r="C28" s="19">
        <v>0</v>
      </c>
      <c r="D28" s="20">
        <v>329</v>
      </c>
      <c r="E28" s="21">
        <v>0.5492558469170801</v>
      </c>
      <c r="F28" s="23">
        <v>0.23316796598157336</v>
      </c>
      <c r="G28" s="23">
        <v>0</v>
      </c>
      <c r="H28" s="23">
        <v>0</v>
      </c>
      <c r="I28" s="23">
        <v>0</v>
      </c>
      <c r="J28" s="88">
        <f t="shared" si="0"/>
        <v>0</v>
      </c>
      <c r="K28" s="24">
        <v>0</v>
      </c>
      <c r="L28" s="25">
        <f t="shared" si="1"/>
        <v>0</v>
      </c>
    </row>
    <row r="29" spans="2:12" ht="12.75">
      <c r="B29" s="8">
        <v>0</v>
      </c>
      <c r="C29" s="19">
        <v>5</v>
      </c>
      <c r="D29" s="20">
        <v>291</v>
      </c>
      <c r="E29" s="21">
        <v>0.7554925584691708</v>
      </c>
      <c r="F29" s="23">
        <v>0.20623671155209078</v>
      </c>
      <c r="G29" s="23">
        <v>0</v>
      </c>
      <c r="H29" s="23">
        <v>0.025</v>
      </c>
      <c r="I29" s="23">
        <v>0</v>
      </c>
      <c r="J29" s="88">
        <f t="shared" si="0"/>
        <v>0</v>
      </c>
      <c r="K29" s="24">
        <v>0</v>
      </c>
      <c r="L29" s="25">
        <f t="shared" si="1"/>
        <v>0</v>
      </c>
    </row>
    <row r="30" spans="2:12" ht="12.75">
      <c r="B30" s="8">
        <v>5</v>
      </c>
      <c r="C30" s="19">
        <v>10</v>
      </c>
      <c r="D30" s="20">
        <v>219</v>
      </c>
      <c r="E30" s="21">
        <v>0.9107016300496102</v>
      </c>
      <c r="F30" s="23">
        <v>0.1552090715804394</v>
      </c>
      <c r="G30" s="23">
        <v>0</v>
      </c>
      <c r="H30" s="23">
        <v>0.05</v>
      </c>
      <c r="I30" s="23">
        <v>0</v>
      </c>
      <c r="J30" s="88">
        <f t="shared" si="0"/>
        <v>0</v>
      </c>
      <c r="K30" s="24">
        <v>0</v>
      </c>
      <c r="L30" s="25">
        <f t="shared" si="1"/>
        <v>0</v>
      </c>
    </row>
    <row r="31" spans="2:12" ht="12.75">
      <c r="B31" s="8">
        <v>10</v>
      </c>
      <c r="C31" s="19">
        <v>15</v>
      </c>
      <c r="D31" s="20">
        <v>87</v>
      </c>
      <c r="E31" s="21">
        <v>0.9723600283486888</v>
      </c>
      <c r="F31" s="23">
        <v>0.0616583982990786</v>
      </c>
      <c r="G31" s="23">
        <v>0</v>
      </c>
      <c r="H31" s="23">
        <v>0.075</v>
      </c>
      <c r="I31" s="23">
        <v>0</v>
      </c>
      <c r="J31" s="88">
        <f t="shared" si="0"/>
        <v>0</v>
      </c>
      <c r="K31" s="24">
        <v>0</v>
      </c>
      <c r="L31" s="25">
        <f t="shared" si="1"/>
        <v>0</v>
      </c>
    </row>
    <row r="32" spans="2:12" ht="12.75">
      <c r="B32" s="8">
        <v>15</v>
      </c>
      <c r="C32" s="19">
        <v>20</v>
      </c>
      <c r="D32" s="20">
        <v>36</v>
      </c>
      <c r="E32" s="21">
        <v>0.9978738483345145</v>
      </c>
      <c r="F32" s="23">
        <v>0.025513819985825692</v>
      </c>
      <c r="G32" s="23">
        <v>0</v>
      </c>
      <c r="H32" s="23">
        <v>0.1</v>
      </c>
      <c r="I32" s="23">
        <v>0</v>
      </c>
      <c r="J32" s="88">
        <f t="shared" si="0"/>
        <v>0</v>
      </c>
      <c r="K32" s="24">
        <v>0</v>
      </c>
      <c r="L32" s="25">
        <f t="shared" si="1"/>
        <v>0</v>
      </c>
    </row>
    <row r="33" spans="2:12" ht="12.75">
      <c r="B33" s="8">
        <v>20</v>
      </c>
      <c r="C33" s="19">
        <v>25</v>
      </c>
      <c r="D33" s="20">
        <v>3</v>
      </c>
      <c r="E33" s="21">
        <v>1</v>
      </c>
      <c r="F33" s="23">
        <v>0.002126151665485465</v>
      </c>
      <c r="G33" s="23">
        <v>0</v>
      </c>
      <c r="H33" s="23">
        <v>0.125</v>
      </c>
      <c r="I33" s="23">
        <v>0</v>
      </c>
      <c r="J33" s="88">
        <f t="shared" si="0"/>
        <v>0</v>
      </c>
      <c r="K33" s="24">
        <v>0</v>
      </c>
      <c r="L33" s="25">
        <f t="shared" si="1"/>
        <v>0</v>
      </c>
    </row>
    <row r="34" spans="2:12" ht="12.75">
      <c r="B34" s="8">
        <v>25</v>
      </c>
      <c r="C34" s="19">
        <v>30</v>
      </c>
      <c r="D34" s="20">
        <v>0</v>
      </c>
      <c r="E34" s="21">
        <v>1</v>
      </c>
      <c r="F34" s="23">
        <v>0</v>
      </c>
      <c r="G34" s="23">
        <v>0</v>
      </c>
      <c r="H34" s="23">
        <v>0.15</v>
      </c>
      <c r="I34" s="23">
        <v>0</v>
      </c>
      <c r="J34" s="88">
        <f t="shared" si="0"/>
        <v>0</v>
      </c>
      <c r="K34" s="24">
        <v>0</v>
      </c>
      <c r="L34" s="25">
        <f t="shared" si="1"/>
        <v>0</v>
      </c>
    </row>
    <row r="35" spans="2:12" ht="12.75">
      <c r="B35" s="8">
        <v>30</v>
      </c>
      <c r="C35" s="19">
        <v>35</v>
      </c>
      <c r="D35" s="20">
        <v>0</v>
      </c>
      <c r="E35" s="21">
        <v>1</v>
      </c>
      <c r="F35" s="23">
        <v>0</v>
      </c>
      <c r="G35" s="23">
        <v>0</v>
      </c>
      <c r="H35" s="23">
        <v>0.175</v>
      </c>
      <c r="I35" s="23">
        <v>0</v>
      </c>
      <c r="J35" s="88">
        <f t="shared" si="0"/>
        <v>0</v>
      </c>
      <c r="K35" s="24">
        <v>0</v>
      </c>
      <c r="L35" s="25">
        <f t="shared" si="1"/>
        <v>0</v>
      </c>
    </row>
    <row r="36" spans="2:12" ht="12.75">
      <c r="B36" s="8">
        <v>35</v>
      </c>
      <c r="C36" s="19">
        <v>40</v>
      </c>
      <c r="D36" s="20">
        <v>0</v>
      </c>
      <c r="E36" s="21">
        <v>1</v>
      </c>
      <c r="F36" s="23">
        <v>0</v>
      </c>
      <c r="G36" s="23">
        <v>0</v>
      </c>
      <c r="H36" s="23">
        <v>0.2</v>
      </c>
      <c r="I36" s="23">
        <v>0</v>
      </c>
      <c r="J36" s="88">
        <f t="shared" si="0"/>
        <v>0</v>
      </c>
      <c r="K36" s="24">
        <v>0</v>
      </c>
      <c r="L36" s="25">
        <f t="shared" si="1"/>
        <v>0</v>
      </c>
    </row>
    <row r="37" spans="2:12" ht="12.75">
      <c r="B37" s="8">
        <v>40</v>
      </c>
      <c r="C37" s="19">
        <v>45</v>
      </c>
      <c r="D37" s="20">
        <v>0</v>
      </c>
      <c r="E37" s="21">
        <v>1</v>
      </c>
      <c r="F37" s="23">
        <v>0</v>
      </c>
      <c r="G37" s="23">
        <v>0</v>
      </c>
      <c r="H37" s="23">
        <v>0.225</v>
      </c>
      <c r="I37" s="23">
        <v>0</v>
      </c>
      <c r="J37" s="88">
        <f t="shared" si="0"/>
        <v>0</v>
      </c>
      <c r="K37" s="24">
        <v>0</v>
      </c>
      <c r="L37" s="25">
        <f t="shared" si="1"/>
        <v>0</v>
      </c>
    </row>
    <row r="38" spans="2:12" ht="12.75">
      <c r="B38" s="8">
        <v>45</v>
      </c>
      <c r="C38" s="19">
        <v>50</v>
      </c>
      <c r="D38" s="20">
        <v>0</v>
      </c>
      <c r="E38" s="21">
        <v>1</v>
      </c>
      <c r="F38" s="23">
        <v>0</v>
      </c>
      <c r="G38" s="23">
        <v>0</v>
      </c>
      <c r="H38" s="23">
        <v>0.25</v>
      </c>
      <c r="I38" s="23">
        <v>0</v>
      </c>
      <c r="J38" s="88">
        <f t="shared" si="0"/>
        <v>0</v>
      </c>
      <c r="K38" s="24">
        <v>0</v>
      </c>
      <c r="L38" s="25">
        <f t="shared" si="1"/>
        <v>0</v>
      </c>
    </row>
    <row r="39" spans="2:12" ht="13.5" thickBot="1">
      <c r="B39" s="27"/>
      <c r="C39" s="27" t="s">
        <v>28</v>
      </c>
      <c r="D39" s="27">
        <v>0</v>
      </c>
      <c r="E39" s="28">
        <v>1</v>
      </c>
      <c r="F39" s="29">
        <v>0</v>
      </c>
      <c r="G39" s="30">
        <v>0</v>
      </c>
      <c r="H39" s="29">
        <v>0.275</v>
      </c>
      <c r="I39" s="29">
        <v>0</v>
      </c>
      <c r="J39" s="89">
        <f t="shared" si="0"/>
        <v>0</v>
      </c>
      <c r="K39" s="31">
        <v>0</v>
      </c>
      <c r="L39" s="32">
        <f t="shared" si="1"/>
        <v>0</v>
      </c>
    </row>
    <row r="40" spans="2:12" ht="12.75">
      <c r="B40" s="6"/>
      <c r="C40" s="6"/>
      <c r="D40" s="6"/>
      <c r="E40" s="33"/>
      <c r="F40" s="34"/>
      <c r="G40" s="35"/>
      <c r="H40" s="36" t="s">
        <v>29</v>
      </c>
      <c r="I40" s="36"/>
      <c r="J40" s="90">
        <f>(SUM(J18:J39))</f>
        <v>0.7221634867714009</v>
      </c>
      <c r="K40" s="20">
        <f>ROUND(SUM(K18:K39),0)</f>
        <v>0</v>
      </c>
      <c r="L40" s="25">
        <f>SUM(L18:L39)</f>
        <v>0.0017097802976612333</v>
      </c>
    </row>
    <row r="41" spans="2:9" ht="12.75">
      <c r="B41" s="6"/>
      <c r="C41" s="6"/>
      <c r="D41" s="6"/>
      <c r="E41" s="33"/>
      <c r="F41" s="34"/>
      <c r="G41" s="35"/>
      <c r="H41" s="78"/>
      <c r="I41" s="78"/>
    </row>
    <row r="42" spans="2:12" ht="13.5" thickBot="1">
      <c r="B42" s="108" t="s">
        <v>33</v>
      </c>
      <c r="C42" s="108"/>
      <c r="D42" s="108"/>
      <c r="E42" s="108"/>
      <c r="F42" s="108"/>
      <c r="H42" s="118"/>
      <c r="I42" s="118"/>
      <c r="J42" s="118"/>
      <c r="K42" s="118"/>
      <c r="L42" s="118"/>
    </row>
    <row r="43" spans="2:12" ht="12.75">
      <c r="B43" s="39"/>
      <c r="C43" s="39"/>
      <c r="D43" s="40" t="s">
        <v>35</v>
      </c>
      <c r="E43" s="40" t="s">
        <v>36</v>
      </c>
      <c r="F43" s="40" t="s">
        <v>37</v>
      </c>
      <c r="H43" s="86"/>
      <c r="I43" s="86"/>
      <c r="J43" s="87"/>
      <c r="K43" s="87"/>
      <c r="L43" s="87"/>
    </row>
    <row r="44" spans="2:12" ht="12.75">
      <c r="B44" s="97" t="s">
        <v>38</v>
      </c>
      <c r="C44" s="97"/>
      <c r="D44" s="41">
        <f>E7</f>
        <v>10</v>
      </c>
      <c r="E44" s="42">
        <f>J8</f>
        <v>325</v>
      </c>
      <c r="F44" s="43">
        <f>D44*E44</f>
        <v>3250</v>
      </c>
      <c r="H44" s="97"/>
      <c r="I44" s="97"/>
      <c r="J44" s="41"/>
      <c r="K44" s="42"/>
      <c r="L44" s="43"/>
    </row>
    <row r="45" spans="2:12" ht="12.75">
      <c r="B45" s="97" t="s">
        <v>39</v>
      </c>
      <c r="C45" s="97"/>
      <c r="D45" s="41">
        <f>E7*J6</f>
        <v>0</v>
      </c>
      <c r="E45" s="42">
        <f>J9</f>
        <v>90</v>
      </c>
      <c r="F45" s="43">
        <f>D45*E45</f>
        <v>0</v>
      </c>
      <c r="H45" s="97"/>
      <c r="I45" s="97"/>
      <c r="J45" s="6"/>
      <c r="K45" s="42"/>
      <c r="L45" s="43"/>
    </row>
    <row r="46" spans="2:12" ht="12.75">
      <c r="B46" s="97" t="s">
        <v>40</v>
      </c>
      <c r="C46" s="97"/>
      <c r="D46" s="91">
        <f>J40</f>
        <v>0.7221634867714009</v>
      </c>
      <c r="E46" s="42">
        <f>J8</f>
        <v>325</v>
      </c>
      <c r="F46" s="43">
        <f>D46*E46</f>
        <v>234.70313320070528</v>
      </c>
      <c r="H46" s="97"/>
      <c r="I46" s="97"/>
      <c r="J46" s="6"/>
      <c r="K46" s="42"/>
      <c r="L46" s="43"/>
    </row>
    <row r="47" spans="2:12" ht="13.5" thickBot="1">
      <c r="B47" s="111" t="s">
        <v>41</v>
      </c>
      <c r="C47" s="111"/>
      <c r="D47" s="16">
        <f>K40</f>
        <v>0</v>
      </c>
      <c r="E47" s="44">
        <f>J9</f>
        <v>90</v>
      </c>
      <c r="F47" s="45">
        <f>D47*E47</f>
        <v>0</v>
      </c>
      <c r="H47" s="97"/>
      <c r="I47" s="97"/>
      <c r="J47" s="6"/>
      <c r="K47" s="42"/>
      <c r="L47" s="43"/>
    </row>
    <row r="48" spans="2:12" ht="12.75">
      <c r="B48" s="6"/>
      <c r="C48" s="6"/>
      <c r="D48" s="6"/>
      <c r="E48" s="46"/>
      <c r="F48" s="47"/>
      <c r="H48" s="6"/>
      <c r="I48" s="6"/>
      <c r="J48" s="6"/>
      <c r="K48" s="46"/>
      <c r="L48" s="47"/>
    </row>
    <row r="49" spans="2:12" ht="13.5" thickBot="1">
      <c r="B49" s="108" t="s">
        <v>42</v>
      </c>
      <c r="C49" s="108"/>
      <c r="D49" s="108"/>
      <c r="E49" s="108"/>
      <c r="F49" s="108"/>
      <c r="G49" s="112"/>
      <c r="H49" s="112"/>
      <c r="I49" s="112"/>
      <c r="J49" s="112"/>
      <c r="K49" s="112"/>
      <c r="L49" s="112"/>
    </row>
    <row r="50" spans="2:12" ht="25.5">
      <c r="B50" s="49"/>
      <c r="C50" s="49"/>
      <c r="D50" s="50" t="s">
        <v>43</v>
      </c>
      <c r="E50" s="50" t="s">
        <v>44</v>
      </c>
      <c r="F50" s="51" t="s">
        <v>45</v>
      </c>
      <c r="G50" s="50" t="s">
        <v>46</v>
      </c>
      <c r="H50" s="50" t="s">
        <v>47</v>
      </c>
      <c r="I50" s="50" t="s">
        <v>48</v>
      </c>
      <c r="J50" s="50" t="s">
        <v>49</v>
      </c>
      <c r="K50" s="50" t="s">
        <v>50</v>
      </c>
      <c r="L50" s="51" t="s">
        <v>51</v>
      </c>
    </row>
    <row r="51" spans="2:12" ht="12.75">
      <c r="B51" s="97" t="s">
        <v>52</v>
      </c>
      <c r="C51" s="97"/>
      <c r="D51" s="52"/>
      <c r="E51" s="52"/>
      <c r="F51" s="53"/>
      <c r="G51" s="54">
        <f>J5/J7</f>
        <v>32786.88524590164</v>
      </c>
      <c r="H51" s="55"/>
      <c r="I51" s="56">
        <f>E6</f>
        <v>1</v>
      </c>
      <c r="J51" s="55"/>
      <c r="K51" s="53">
        <f>J10</f>
        <v>1.4</v>
      </c>
      <c r="L51" s="57">
        <f>G51*I51*K51</f>
        <v>45901.639344262294</v>
      </c>
    </row>
    <row r="52" spans="2:12" ht="13.5" thickBot="1">
      <c r="B52" s="111" t="s">
        <v>53</v>
      </c>
      <c r="C52" s="112"/>
      <c r="D52" s="30">
        <f>L40</f>
        <v>0.0017097802976612333</v>
      </c>
      <c r="E52" s="58">
        <v>0</v>
      </c>
      <c r="F52" s="30">
        <f>D52+E52</f>
        <v>0.0017097802976612333</v>
      </c>
      <c r="G52" s="59">
        <f>J5/J7</f>
        <v>32786.88524590164</v>
      </c>
      <c r="H52" s="60">
        <f>F52*G52</f>
        <v>56.058370415122404</v>
      </c>
      <c r="I52" s="59">
        <f>E6</f>
        <v>1</v>
      </c>
      <c r="J52" s="60">
        <f>H52*I52</f>
        <v>56.058370415122404</v>
      </c>
      <c r="K52" s="61">
        <f>J10</f>
        <v>1.4</v>
      </c>
      <c r="L52" s="62">
        <f>J52*K52</f>
        <v>78.48171858117136</v>
      </c>
    </row>
    <row r="53" spans="5:12" ht="12.75">
      <c r="E53" s="63"/>
      <c r="F53" s="64"/>
      <c r="K53" s="65"/>
      <c r="L53" s="66"/>
    </row>
    <row r="54" spans="3:12" ht="16.5" thickBot="1">
      <c r="C54" s="67"/>
      <c r="D54" s="68"/>
      <c r="E54" s="68"/>
      <c r="F54" s="68"/>
      <c r="G54" s="69"/>
      <c r="H54" s="12"/>
      <c r="I54" s="12"/>
      <c r="K54" s="65"/>
      <c r="L54" s="2"/>
    </row>
    <row r="55" spans="3:12" ht="38.25">
      <c r="C55" s="67"/>
      <c r="D55" s="115" t="s">
        <v>54</v>
      </c>
      <c r="E55" s="115"/>
      <c r="F55" s="70" t="s">
        <v>55</v>
      </c>
      <c r="G55" s="71" t="s">
        <v>56</v>
      </c>
      <c r="H55" s="70" t="s">
        <v>57</v>
      </c>
      <c r="I55" s="70" t="s">
        <v>58</v>
      </c>
      <c r="K55" s="65"/>
      <c r="L55" s="2"/>
    </row>
    <row r="56" spans="3:12" ht="15.75">
      <c r="C56" s="67"/>
      <c r="D56" s="114" t="s">
        <v>59</v>
      </c>
      <c r="E56" s="114"/>
      <c r="F56" s="72">
        <f>(F44+F45+L51)/(J5/E5)</f>
        <v>36863.729508196724</v>
      </c>
      <c r="G56" s="72">
        <f>(F44+F45+F46+F47+L51+L52)/(J5/E5)</f>
        <v>37098.61814703313</v>
      </c>
      <c r="H56" s="72">
        <f>G56-F56</f>
        <v>234.88863883640443</v>
      </c>
      <c r="I56" s="73">
        <f>(H56/F56)</f>
        <v>0.006371808874741675</v>
      </c>
      <c r="K56" s="65"/>
      <c r="L56" s="2"/>
    </row>
    <row r="57" spans="3:12" ht="15.75">
      <c r="C57" s="67"/>
      <c r="D57" s="114" t="s">
        <v>60</v>
      </c>
      <c r="E57" s="114"/>
      <c r="F57" s="72">
        <f>((F44+F45)/E6)/(J5/E5)</f>
        <v>2437.5</v>
      </c>
      <c r="G57" s="72">
        <f>((F44+F45+F46+F47)/E6)/(J5/E5)</f>
        <v>2613.5273499005293</v>
      </c>
      <c r="H57" s="72">
        <f>G57-F57</f>
        <v>176.02734990052932</v>
      </c>
      <c r="I57" s="73">
        <f>(H57/F57)</f>
        <v>0.07221634867714023</v>
      </c>
      <c r="K57" s="65"/>
      <c r="L57" s="2"/>
    </row>
    <row r="58" spans="3:12" ht="15.75">
      <c r="C58" s="67"/>
      <c r="D58" s="114" t="s">
        <v>62</v>
      </c>
      <c r="E58" s="114"/>
      <c r="F58" s="72">
        <f>L51/(J5/E5)</f>
        <v>34426.229508196724</v>
      </c>
      <c r="G58" s="72">
        <f>(L51+L52)/(J5/E5)</f>
        <v>34485.0907971326</v>
      </c>
      <c r="H58" s="72">
        <f>G58-F58</f>
        <v>58.86128893587738</v>
      </c>
      <c r="I58" s="73">
        <f>(H58/F58)</f>
        <v>0.0017097802976612</v>
      </c>
      <c r="K58" s="65"/>
      <c r="L58" s="2"/>
    </row>
    <row r="59" spans="3:12" ht="16.5" thickBot="1">
      <c r="C59" s="67"/>
      <c r="D59" s="113" t="s">
        <v>86</v>
      </c>
      <c r="E59" s="113"/>
      <c r="F59" s="74">
        <f>F57+(F58/E6)</f>
        <v>36863.729508196724</v>
      </c>
      <c r="G59" s="74">
        <f>G57+(G58/E6)</f>
        <v>37098.61814703313</v>
      </c>
      <c r="H59" s="74">
        <f>G59-F59</f>
        <v>234.88863883640443</v>
      </c>
      <c r="I59" s="75">
        <f>(H59/F59)</f>
        <v>0.006371808874741675</v>
      </c>
      <c r="K59" s="65"/>
      <c r="L59" s="2"/>
    </row>
    <row r="60" spans="2:12" ht="12.75">
      <c r="B60" s="6"/>
      <c r="C60" s="6"/>
      <c r="D60" s="6"/>
      <c r="E60" s="33"/>
      <c r="F60" s="34"/>
      <c r="G60" s="35"/>
      <c r="H60" s="36"/>
      <c r="I60" s="36"/>
      <c r="J60" s="90"/>
      <c r="K60" s="20"/>
      <c r="L60" s="25"/>
    </row>
  </sheetData>
  <mergeCells count="43">
    <mergeCell ref="A1:M1"/>
    <mergeCell ref="A2:M2"/>
    <mergeCell ref="K16:K17"/>
    <mergeCell ref="J16:J17"/>
    <mergeCell ref="E16:E17"/>
    <mergeCell ref="L16:L17"/>
    <mergeCell ref="F16:F17"/>
    <mergeCell ref="D16:D17"/>
    <mergeCell ref="C16:C17"/>
    <mergeCell ref="B16:B17"/>
    <mergeCell ref="D55:E55"/>
    <mergeCell ref="D56:E56"/>
    <mergeCell ref="D57:E57"/>
    <mergeCell ref="D58:E58"/>
    <mergeCell ref="G16:G17"/>
    <mergeCell ref="H16:H17"/>
    <mergeCell ref="I16:I17"/>
    <mergeCell ref="B52:C52"/>
    <mergeCell ref="H47:I47"/>
    <mergeCell ref="B49:L49"/>
    <mergeCell ref="B51:C51"/>
    <mergeCell ref="B4:J4"/>
    <mergeCell ref="G5:I5"/>
    <mergeCell ref="G6:I6"/>
    <mergeCell ref="B7:D7"/>
    <mergeCell ref="G7:I7"/>
    <mergeCell ref="B5:D5"/>
    <mergeCell ref="B6:D6"/>
    <mergeCell ref="B8:D8"/>
    <mergeCell ref="B9:D9"/>
    <mergeCell ref="G10:I10"/>
    <mergeCell ref="G8:I8"/>
    <mergeCell ref="G9:I9"/>
    <mergeCell ref="D59:E59"/>
    <mergeCell ref="B42:F42"/>
    <mergeCell ref="H42:L42"/>
    <mergeCell ref="B44:C44"/>
    <mergeCell ref="H44:I44"/>
    <mergeCell ref="B45:C45"/>
    <mergeCell ref="H45:I45"/>
    <mergeCell ref="B46:C46"/>
    <mergeCell ref="H46:I46"/>
    <mergeCell ref="B47:C47"/>
  </mergeCells>
  <printOptions horizontalCentered="1"/>
  <pageMargins left="1" right="1" top="0.5" bottom="0.5" header="0.22" footer="0.24"/>
  <pageSetup fitToHeight="1" fitToWidth="1" horizontalDpi="600" verticalDpi="600" orientation="portrait" scale="52" r:id="rId2"/>
  <headerFooter alignWithMargins="0">
    <oddFooter>&amp;CPage C-&amp;P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M63"/>
  <sheetViews>
    <sheetView view="pageBreakPreview" zoomScale="60" zoomScaleNormal="70" workbookViewId="0" topLeftCell="A43">
      <selection activeCell="A1" sqref="A1:M82"/>
    </sheetView>
  </sheetViews>
  <sheetFormatPr defaultColWidth="9.140625" defaultRowHeight="12.75"/>
  <cols>
    <col min="1" max="13" width="14.7109375" style="0" customWidth="1"/>
  </cols>
  <sheetData>
    <row r="1" spans="1:13" ht="15.75">
      <c r="A1" s="11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9"/>
    </row>
    <row r="2" spans="1:13" ht="15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03"/>
    </row>
    <row r="3" spans="1:11" ht="16.5" thickBot="1">
      <c r="A3" s="1"/>
      <c r="B3" s="3" t="s">
        <v>1</v>
      </c>
      <c r="C3" s="3"/>
      <c r="D3" s="1"/>
      <c r="E3" s="1"/>
      <c r="F3" s="1"/>
      <c r="G3" s="1"/>
      <c r="J3" s="1"/>
      <c r="K3" s="1"/>
    </row>
    <row r="4" spans="1:11" ht="15.75">
      <c r="A4" s="1"/>
      <c r="B4" s="98" t="s">
        <v>88</v>
      </c>
      <c r="C4" s="99"/>
      <c r="D4" s="99"/>
      <c r="E4" s="99"/>
      <c r="F4" s="99"/>
      <c r="G4" s="99"/>
      <c r="H4" s="99"/>
      <c r="I4" s="99"/>
      <c r="J4" s="99"/>
      <c r="K4" s="2"/>
    </row>
    <row r="5" spans="1:10" ht="15.75">
      <c r="A5" s="1"/>
      <c r="B5" s="103" t="s">
        <v>3</v>
      </c>
      <c r="C5" s="103"/>
      <c r="D5" s="103"/>
      <c r="E5" s="4">
        <v>75000</v>
      </c>
      <c r="F5" s="5"/>
      <c r="G5" s="97" t="s">
        <v>77</v>
      </c>
      <c r="H5" s="97"/>
      <c r="I5" s="97"/>
      <c r="J5" s="7">
        <v>75000</v>
      </c>
    </row>
    <row r="6" spans="1:10" ht="15.75">
      <c r="A6" s="1"/>
      <c r="B6" s="103" t="s">
        <v>89</v>
      </c>
      <c r="C6" s="103"/>
      <c r="D6" s="103"/>
      <c r="E6" s="4">
        <v>100</v>
      </c>
      <c r="F6" s="8"/>
      <c r="G6" s="97" t="s">
        <v>79</v>
      </c>
      <c r="H6" s="97"/>
      <c r="I6" s="97"/>
      <c r="J6" s="7">
        <v>0</v>
      </c>
    </row>
    <row r="7" spans="1:10" ht="15.75">
      <c r="A7" s="1"/>
      <c r="B7" s="103" t="s">
        <v>90</v>
      </c>
      <c r="C7" s="103"/>
      <c r="D7" s="103"/>
      <c r="E7" s="7">
        <v>800</v>
      </c>
      <c r="F7" s="8"/>
      <c r="G7" s="97" t="s">
        <v>80</v>
      </c>
      <c r="H7" s="97"/>
      <c r="I7" s="97"/>
      <c r="J7" s="9">
        <v>9</v>
      </c>
    </row>
    <row r="8" spans="1:10" ht="15.75">
      <c r="A8" s="1"/>
      <c r="B8" s="97" t="s">
        <v>9</v>
      </c>
      <c r="C8" s="103"/>
      <c r="D8" s="103"/>
      <c r="E8" s="7">
        <v>200</v>
      </c>
      <c r="F8" s="8"/>
      <c r="G8" s="97" t="s">
        <v>10</v>
      </c>
      <c r="H8" s="100"/>
      <c r="I8" s="100"/>
      <c r="J8" s="11">
        <v>375</v>
      </c>
    </row>
    <row r="9" spans="1:10" ht="15.75">
      <c r="A9" s="1"/>
      <c r="B9" s="97" t="s">
        <v>11</v>
      </c>
      <c r="C9" s="100"/>
      <c r="D9" s="100"/>
      <c r="E9" s="7">
        <v>600</v>
      </c>
      <c r="F9" s="8"/>
      <c r="G9" s="97" t="s">
        <v>12</v>
      </c>
      <c r="H9" s="100"/>
      <c r="I9" s="100"/>
      <c r="J9" s="11">
        <v>90</v>
      </c>
    </row>
    <row r="10" spans="1:10" ht="15.75">
      <c r="A10" s="1"/>
      <c r="B10" s="6"/>
      <c r="C10" s="10"/>
      <c r="D10" s="10"/>
      <c r="E10" s="7"/>
      <c r="F10" s="8"/>
      <c r="G10" s="97" t="s">
        <v>14</v>
      </c>
      <c r="H10" s="100"/>
      <c r="I10" s="100"/>
      <c r="J10" s="11">
        <v>1.4</v>
      </c>
    </row>
    <row r="11" spans="1:6" ht="15.75">
      <c r="A11" s="1"/>
      <c r="B11" s="84"/>
      <c r="C11" s="84"/>
      <c r="D11" s="84"/>
      <c r="E11" s="84"/>
      <c r="F11" s="12"/>
    </row>
    <row r="12" spans="1:10" ht="16.5" thickBot="1">
      <c r="A12" s="1"/>
      <c r="B12" s="14"/>
      <c r="C12" s="14"/>
      <c r="D12" s="14"/>
      <c r="E12" s="14"/>
      <c r="F12" s="14"/>
      <c r="G12" s="85"/>
      <c r="H12" s="14"/>
      <c r="I12" s="14"/>
      <c r="J12" s="14"/>
    </row>
    <row r="13" spans="1:10" ht="15.75">
      <c r="A13" s="1"/>
      <c r="B13" s="84"/>
      <c r="C13" s="84"/>
      <c r="D13" s="84"/>
      <c r="E13" s="84"/>
      <c r="F13" s="84"/>
      <c r="G13" s="77"/>
      <c r="H13" s="84"/>
      <c r="I13" s="84"/>
      <c r="J13" s="84"/>
    </row>
    <row r="14" spans="1:11" ht="15.75">
      <c r="A14" s="1"/>
      <c r="B14" s="77"/>
      <c r="C14" s="10"/>
      <c r="D14" s="10"/>
      <c r="E14" s="10"/>
      <c r="F14" s="41"/>
      <c r="G14" s="1"/>
      <c r="H14" s="1"/>
      <c r="I14" s="1"/>
      <c r="J14" s="1"/>
      <c r="K14" s="2"/>
    </row>
    <row r="15" spans="1:12" ht="16.5" thickBot="1">
      <c r="A15" s="1"/>
      <c r="B15" s="3" t="s">
        <v>91</v>
      </c>
      <c r="C15" s="1"/>
      <c r="D15" s="1"/>
      <c r="E15" s="1"/>
      <c r="F15" s="1"/>
      <c r="G15" s="1"/>
      <c r="H15" s="1"/>
      <c r="I15" s="1"/>
      <c r="J15" s="1"/>
      <c r="K15" s="2"/>
      <c r="L15" s="2"/>
    </row>
    <row r="16" spans="2:12" ht="13.5" customHeight="1">
      <c r="B16" s="101" t="s">
        <v>17</v>
      </c>
      <c r="C16" s="104" t="s">
        <v>18</v>
      </c>
      <c r="D16" s="104" t="s">
        <v>19</v>
      </c>
      <c r="E16" s="104" t="s">
        <v>20</v>
      </c>
      <c r="F16" s="104" t="s">
        <v>21</v>
      </c>
      <c r="G16" s="104" t="s">
        <v>22</v>
      </c>
      <c r="H16" s="104" t="s">
        <v>23</v>
      </c>
      <c r="I16" s="104" t="s">
        <v>24</v>
      </c>
      <c r="J16" s="104" t="s">
        <v>31</v>
      </c>
      <c r="K16" s="109" t="s">
        <v>32</v>
      </c>
      <c r="L16" s="109" t="s">
        <v>27</v>
      </c>
    </row>
    <row r="17" spans="2:12" ht="12.75">
      <c r="B17" s="102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2:12" ht="12.75">
      <c r="B18" s="18"/>
      <c r="C18" s="19">
        <v>-50</v>
      </c>
      <c r="D18" s="20">
        <v>22</v>
      </c>
      <c r="E18" s="21">
        <v>0.00808526277104006</v>
      </c>
      <c r="F18" s="22">
        <v>0.00808526277104006</v>
      </c>
      <c r="G18" s="23">
        <v>0.5625</v>
      </c>
      <c r="H18" s="23">
        <v>0.6</v>
      </c>
      <c r="I18" s="23">
        <v>0.025</v>
      </c>
      <c r="J18" s="24">
        <f aca="true" t="shared" si="0" ref="J18:J39">(((F18*$E$7)*$J$5)/((1-G18)*$J$5))-($E$7*F18)</f>
        <v>8.31627027878406</v>
      </c>
      <c r="K18" s="24">
        <v>0</v>
      </c>
      <c r="L18" s="25">
        <f aca="true" t="shared" si="1" ref="L18:L39">F18*I18</f>
        <v>0.00020213156927600148</v>
      </c>
    </row>
    <row r="19" spans="2:12" ht="12.75">
      <c r="B19" s="8">
        <v>-50</v>
      </c>
      <c r="C19" s="19">
        <v>-45</v>
      </c>
      <c r="D19" s="20">
        <v>10</v>
      </c>
      <c r="E19" s="21">
        <v>0.011760382212421904</v>
      </c>
      <c r="F19" s="23">
        <v>0.0036751194413818453</v>
      </c>
      <c r="G19" s="23">
        <v>0.535</v>
      </c>
      <c r="H19" s="23">
        <v>0.54</v>
      </c>
      <c r="I19" s="23">
        <v>0.0225</v>
      </c>
      <c r="J19" s="24">
        <f t="shared" si="0"/>
        <v>3.3826905826052256</v>
      </c>
      <c r="K19" s="24">
        <v>0</v>
      </c>
      <c r="L19" s="25">
        <f t="shared" si="1"/>
        <v>8.269018743109152E-05</v>
      </c>
    </row>
    <row r="20" spans="2:12" ht="12.75">
      <c r="B20" s="8">
        <v>-45</v>
      </c>
      <c r="C20" s="19">
        <v>-40</v>
      </c>
      <c r="D20" s="20">
        <v>17</v>
      </c>
      <c r="E20" s="21">
        <v>0.01800808526277104</v>
      </c>
      <c r="F20" s="23">
        <v>0.006247703050349137</v>
      </c>
      <c r="G20" s="23">
        <v>0.5</v>
      </c>
      <c r="H20" s="23">
        <v>0.48</v>
      </c>
      <c r="I20" s="23">
        <v>0.02</v>
      </c>
      <c r="J20" s="24">
        <f t="shared" si="0"/>
        <v>4.99816244027931</v>
      </c>
      <c r="K20" s="24">
        <v>0</v>
      </c>
      <c r="L20" s="25">
        <f t="shared" si="1"/>
        <v>0.00012495406100698273</v>
      </c>
    </row>
    <row r="21" spans="2:12" ht="12.75">
      <c r="B21" s="8">
        <v>-40</v>
      </c>
      <c r="C21" s="19">
        <v>-35</v>
      </c>
      <c r="D21" s="20">
        <v>27</v>
      </c>
      <c r="E21" s="21">
        <v>0.02793090775450202</v>
      </c>
      <c r="F21" s="23">
        <v>0.00992282249173098</v>
      </c>
      <c r="G21" s="23">
        <v>0.46</v>
      </c>
      <c r="H21" s="23">
        <v>0.42</v>
      </c>
      <c r="I21" s="23">
        <v>0.0175</v>
      </c>
      <c r="J21" s="24">
        <f t="shared" si="0"/>
        <v>6.762219772142593</v>
      </c>
      <c r="K21" s="24">
        <v>0</v>
      </c>
      <c r="L21" s="25">
        <f t="shared" si="1"/>
        <v>0.00017364939360529216</v>
      </c>
    </row>
    <row r="22" spans="2:12" ht="12.75">
      <c r="B22" s="8">
        <v>-35</v>
      </c>
      <c r="C22" s="19">
        <v>-30</v>
      </c>
      <c r="D22" s="20">
        <v>44</v>
      </c>
      <c r="E22" s="21">
        <v>0.044101433296582136</v>
      </c>
      <c r="F22" s="26">
        <v>0.016170525542080115</v>
      </c>
      <c r="G22" s="23">
        <v>0.4125</v>
      </c>
      <c r="H22" s="23">
        <v>0.36</v>
      </c>
      <c r="I22" s="23">
        <v>0.015</v>
      </c>
      <c r="J22" s="24">
        <f t="shared" si="0"/>
        <v>9.083018602359894</v>
      </c>
      <c r="K22" s="24">
        <v>0</v>
      </c>
      <c r="L22" s="25">
        <f t="shared" si="1"/>
        <v>0.00024255788313120173</v>
      </c>
    </row>
    <row r="23" spans="2:12" ht="12.75">
      <c r="B23" s="8">
        <v>-30</v>
      </c>
      <c r="C23" s="19">
        <v>-25</v>
      </c>
      <c r="D23" s="20">
        <v>52</v>
      </c>
      <c r="E23" s="21">
        <v>0.06321205439176773</v>
      </c>
      <c r="F23" s="23">
        <v>0.019110621095185597</v>
      </c>
      <c r="G23" s="23">
        <v>0.36</v>
      </c>
      <c r="H23" s="23">
        <v>0.3</v>
      </c>
      <c r="I23" s="23">
        <v>0.0125</v>
      </c>
      <c r="J23" s="24">
        <f t="shared" si="0"/>
        <v>8.599779492833518</v>
      </c>
      <c r="K23" s="24">
        <v>0</v>
      </c>
      <c r="L23" s="25">
        <f t="shared" si="1"/>
        <v>0.00023888276368981998</v>
      </c>
    </row>
    <row r="24" spans="2:12" ht="12.75">
      <c r="B24" s="18">
        <v>-25</v>
      </c>
      <c r="C24" s="19">
        <v>-20</v>
      </c>
      <c r="D24" s="20">
        <v>83</v>
      </c>
      <c r="E24" s="21">
        <v>0.09371554575523705</v>
      </c>
      <c r="F24" s="22">
        <v>0.030503491363469318</v>
      </c>
      <c r="G24" s="23">
        <v>0.3</v>
      </c>
      <c r="H24" s="23">
        <v>0.24</v>
      </c>
      <c r="I24" s="23">
        <v>0.01</v>
      </c>
      <c r="J24" s="24">
        <f t="shared" si="0"/>
        <v>10.458339896046624</v>
      </c>
      <c r="K24" s="24">
        <v>0</v>
      </c>
      <c r="L24" s="25">
        <f t="shared" si="1"/>
        <v>0.00030503491363469316</v>
      </c>
    </row>
    <row r="25" spans="2:12" ht="12.75">
      <c r="B25" s="8">
        <v>-20</v>
      </c>
      <c r="C25" s="19">
        <v>-15</v>
      </c>
      <c r="D25" s="20">
        <v>122</v>
      </c>
      <c r="E25" s="21">
        <v>0.13855200294009556</v>
      </c>
      <c r="F25" s="22">
        <v>0.044836457184858514</v>
      </c>
      <c r="G25" s="23">
        <v>0.235</v>
      </c>
      <c r="H25" s="23">
        <v>0.18</v>
      </c>
      <c r="I25" s="23">
        <v>0.0075</v>
      </c>
      <c r="J25" s="24">
        <f t="shared" si="0"/>
        <v>11.01863261536392</v>
      </c>
      <c r="K25" s="24">
        <v>0</v>
      </c>
      <c r="L25" s="25">
        <f t="shared" si="1"/>
        <v>0.00033627342888643884</v>
      </c>
    </row>
    <row r="26" spans="2:12" ht="12.75">
      <c r="B26" s="8">
        <v>-15</v>
      </c>
      <c r="C26" s="19">
        <v>-10</v>
      </c>
      <c r="D26" s="20">
        <v>207</v>
      </c>
      <c r="E26" s="21">
        <v>0.21462697537669975</v>
      </c>
      <c r="F26" s="23">
        <v>0.07607497243660419</v>
      </c>
      <c r="G26" s="23">
        <v>0.1625</v>
      </c>
      <c r="H26" s="23">
        <v>0.12</v>
      </c>
      <c r="I26" s="23">
        <v>0.005</v>
      </c>
      <c r="J26" s="24">
        <f t="shared" si="0"/>
        <v>11.808652437920642</v>
      </c>
      <c r="K26" s="24">
        <v>0</v>
      </c>
      <c r="L26" s="25">
        <f t="shared" si="1"/>
        <v>0.00038037486218302094</v>
      </c>
    </row>
    <row r="27" spans="2:12" ht="12.75">
      <c r="B27" s="8">
        <v>-10</v>
      </c>
      <c r="C27" s="19">
        <v>-5</v>
      </c>
      <c r="D27" s="20">
        <v>329</v>
      </c>
      <c r="E27" s="21">
        <v>0.33553840499816245</v>
      </c>
      <c r="F27" s="23">
        <v>0.1209114296214627</v>
      </c>
      <c r="G27" s="23">
        <v>0.085</v>
      </c>
      <c r="H27" s="23">
        <v>0.06</v>
      </c>
      <c r="I27" s="23">
        <v>0.0025</v>
      </c>
      <c r="J27" s="24">
        <f t="shared" si="0"/>
        <v>8.985767447278093</v>
      </c>
      <c r="K27" s="24">
        <v>0</v>
      </c>
      <c r="L27" s="25">
        <f t="shared" si="1"/>
        <v>0.0003022785740536568</v>
      </c>
    </row>
    <row r="28" spans="2:12" ht="12.75">
      <c r="B28" s="8">
        <v>-5</v>
      </c>
      <c r="C28" s="19">
        <v>0</v>
      </c>
      <c r="D28" s="20">
        <v>524</v>
      </c>
      <c r="E28" s="21">
        <v>0.5281146637265711</v>
      </c>
      <c r="F28" s="23">
        <v>0.19257625872840867</v>
      </c>
      <c r="G28" s="23">
        <v>0</v>
      </c>
      <c r="H28" s="23">
        <v>0</v>
      </c>
      <c r="I28" s="23">
        <v>0</v>
      </c>
      <c r="J28" s="24">
        <f t="shared" si="0"/>
        <v>0</v>
      </c>
      <c r="K28" s="24">
        <v>0</v>
      </c>
      <c r="L28" s="25">
        <f t="shared" si="1"/>
        <v>0</v>
      </c>
    </row>
    <row r="29" spans="2:12" ht="12.75">
      <c r="B29" s="8">
        <v>0</v>
      </c>
      <c r="C29" s="19">
        <v>5</v>
      </c>
      <c r="D29" s="20">
        <v>407</v>
      </c>
      <c r="E29" s="21">
        <v>0.6776920249908122</v>
      </c>
      <c r="F29" s="23">
        <v>0.14957736126424104</v>
      </c>
      <c r="G29" s="23">
        <v>0</v>
      </c>
      <c r="H29" s="23">
        <v>0.025</v>
      </c>
      <c r="I29" s="23">
        <v>0</v>
      </c>
      <c r="J29" s="24">
        <f t="shared" si="0"/>
        <v>0</v>
      </c>
      <c r="K29" s="24">
        <v>0</v>
      </c>
      <c r="L29" s="25">
        <f t="shared" si="1"/>
        <v>0</v>
      </c>
    </row>
    <row r="30" spans="2:12" ht="12.75">
      <c r="B30" s="8">
        <v>5</v>
      </c>
      <c r="C30" s="19">
        <v>10</v>
      </c>
      <c r="D30" s="20">
        <v>381</v>
      </c>
      <c r="E30" s="21">
        <v>0.8177140757074605</v>
      </c>
      <c r="F30" s="23">
        <v>0.1400220507166483</v>
      </c>
      <c r="G30" s="23">
        <v>0</v>
      </c>
      <c r="H30" s="23">
        <v>0.05</v>
      </c>
      <c r="I30" s="23">
        <v>0</v>
      </c>
      <c r="J30" s="24">
        <f t="shared" si="0"/>
        <v>0</v>
      </c>
      <c r="K30" s="24">
        <v>0</v>
      </c>
      <c r="L30" s="25">
        <f t="shared" si="1"/>
        <v>0</v>
      </c>
    </row>
    <row r="31" spans="2:12" ht="12.75">
      <c r="B31" s="8">
        <v>10</v>
      </c>
      <c r="C31" s="19">
        <v>15</v>
      </c>
      <c r="D31" s="20">
        <v>206</v>
      </c>
      <c r="E31" s="21">
        <v>0.8934215361999265</v>
      </c>
      <c r="F31" s="23">
        <v>0.07570746049246602</v>
      </c>
      <c r="G31" s="23">
        <v>0</v>
      </c>
      <c r="H31" s="23">
        <v>0.075</v>
      </c>
      <c r="I31" s="23">
        <v>0</v>
      </c>
      <c r="J31" s="24">
        <f t="shared" si="0"/>
        <v>0</v>
      </c>
      <c r="K31" s="24">
        <v>0</v>
      </c>
      <c r="L31" s="25">
        <f t="shared" si="1"/>
        <v>0</v>
      </c>
    </row>
    <row r="32" spans="2:12" ht="12.75">
      <c r="B32" s="8">
        <v>15</v>
      </c>
      <c r="C32" s="19">
        <v>20</v>
      </c>
      <c r="D32" s="20">
        <v>194</v>
      </c>
      <c r="E32" s="21">
        <v>0.9647188533627343</v>
      </c>
      <c r="F32" s="23">
        <v>0.07129731716280785</v>
      </c>
      <c r="G32" s="23">
        <v>0</v>
      </c>
      <c r="H32" s="23">
        <v>0.1</v>
      </c>
      <c r="I32" s="23">
        <v>0</v>
      </c>
      <c r="J32" s="24">
        <f t="shared" si="0"/>
        <v>0</v>
      </c>
      <c r="K32" s="24">
        <v>0</v>
      </c>
      <c r="L32" s="25">
        <f t="shared" si="1"/>
        <v>0</v>
      </c>
    </row>
    <row r="33" spans="2:12" ht="12.75">
      <c r="B33" s="8">
        <v>20</v>
      </c>
      <c r="C33" s="19">
        <v>25</v>
      </c>
      <c r="D33" s="20">
        <v>67</v>
      </c>
      <c r="E33" s="21">
        <v>0.9893421536199927</v>
      </c>
      <c r="F33" s="23">
        <v>0.02462330025725834</v>
      </c>
      <c r="G33" s="23">
        <v>0</v>
      </c>
      <c r="H33" s="23">
        <v>0.125</v>
      </c>
      <c r="I33" s="23">
        <v>0</v>
      </c>
      <c r="J33" s="24">
        <f t="shared" si="0"/>
        <v>0</v>
      </c>
      <c r="K33" s="24">
        <v>0</v>
      </c>
      <c r="L33" s="25">
        <f t="shared" si="1"/>
        <v>0</v>
      </c>
    </row>
    <row r="34" spans="2:12" ht="12.75">
      <c r="B34" s="8">
        <v>25</v>
      </c>
      <c r="C34" s="19">
        <v>30</v>
      </c>
      <c r="D34" s="20">
        <v>20</v>
      </c>
      <c r="E34" s="21">
        <v>0.9966923925027563</v>
      </c>
      <c r="F34" s="23">
        <v>0.007350238882763649</v>
      </c>
      <c r="G34" s="23">
        <v>0</v>
      </c>
      <c r="H34" s="23">
        <v>0.15</v>
      </c>
      <c r="I34" s="23">
        <v>0</v>
      </c>
      <c r="J34" s="24">
        <f t="shared" si="0"/>
        <v>0</v>
      </c>
      <c r="K34" s="24">
        <v>0</v>
      </c>
      <c r="L34" s="25">
        <f t="shared" si="1"/>
        <v>0</v>
      </c>
    </row>
    <row r="35" spans="2:12" ht="12.75">
      <c r="B35" s="8">
        <v>30</v>
      </c>
      <c r="C35" s="19">
        <v>35</v>
      </c>
      <c r="D35" s="20">
        <v>7</v>
      </c>
      <c r="E35" s="21">
        <v>0.9992649761117236</v>
      </c>
      <c r="F35" s="23">
        <v>0.0025725836089672827</v>
      </c>
      <c r="G35" s="23">
        <v>0</v>
      </c>
      <c r="H35" s="23">
        <v>0.175</v>
      </c>
      <c r="I35" s="23">
        <v>0</v>
      </c>
      <c r="J35" s="24">
        <f t="shared" si="0"/>
        <v>0</v>
      </c>
      <c r="K35" s="24">
        <v>0</v>
      </c>
      <c r="L35" s="25">
        <f t="shared" si="1"/>
        <v>0</v>
      </c>
    </row>
    <row r="36" spans="2:12" ht="12.75">
      <c r="B36" s="8">
        <v>35</v>
      </c>
      <c r="C36" s="19">
        <v>40</v>
      </c>
      <c r="D36" s="20">
        <v>2</v>
      </c>
      <c r="E36" s="21">
        <v>1</v>
      </c>
      <c r="F36" s="23">
        <v>0.0007350238882763982</v>
      </c>
      <c r="G36" s="23">
        <v>0</v>
      </c>
      <c r="H36" s="23">
        <v>0.2</v>
      </c>
      <c r="I36" s="23">
        <v>0</v>
      </c>
      <c r="J36" s="24">
        <f t="shared" si="0"/>
        <v>0</v>
      </c>
      <c r="K36" s="24">
        <v>0</v>
      </c>
      <c r="L36" s="25">
        <f t="shared" si="1"/>
        <v>0</v>
      </c>
    </row>
    <row r="37" spans="2:12" ht="12.75">
      <c r="B37" s="8">
        <v>40</v>
      </c>
      <c r="C37" s="19">
        <v>45</v>
      </c>
      <c r="D37" s="20">
        <v>0</v>
      </c>
      <c r="E37" s="21">
        <v>1</v>
      </c>
      <c r="F37" s="23">
        <v>0</v>
      </c>
      <c r="G37" s="23">
        <v>0</v>
      </c>
      <c r="H37" s="23">
        <v>0.225</v>
      </c>
      <c r="I37" s="23">
        <v>0</v>
      </c>
      <c r="J37" s="24">
        <f t="shared" si="0"/>
        <v>0</v>
      </c>
      <c r="K37" s="24">
        <v>0</v>
      </c>
      <c r="L37" s="25">
        <f t="shared" si="1"/>
        <v>0</v>
      </c>
    </row>
    <row r="38" spans="2:12" ht="12.75">
      <c r="B38" s="8">
        <v>45</v>
      </c>
      <c r="C38" s="19">
        <v>50</v>
      </c>
      <c r="D38" s="20">
        <v>0</v>
      </c>
      <c r="E38" s="21">
        <v>1</v>
      </c>
      <c r="F38" s="23">
        <v>0</v>
      </c>
      <c r="G38" s="23">
        <v>0</v>
      </c>
      <c r="H38" s="23">
        <v>0.25</v>
      </c>
      <c r="I38" s="23">
        <v>0</v>
      </c>
      <c r="J38" s="24">
        <f t="shared" si="0"/>
        <v>0</v>
      </c>
      <c r="K38" s="24">
        <v>0</v>
      </c>
      <c r="L38" s="25">
        <f t="shared" si="1"/>
        <v>0</v>
      </c>
    </row>
    <row r="39" spans="2:12" ht="13.5" thickBot="1">
      <c r="B39" s="27"/>
      <c r="C39" s="27" t="s">
        <v>28</v>
      </c>
      <c r="D39" s="27">
        <v>0</v>
      </c>
      <c r="E39" s="28">
        <v>1</v>
      </c>
      <c r="F39" s="29">
        <v>0</v>
      </c>
      <c r="G39" s="30">
        <v>0</v>
      </c>
      <c r="H39" s="29">
        <v>0.275</v>
      </c>
      <c r="I39" s="29">
        <v>0</v>
      </c>
      <c r="J39" s="31">
        <f t="shared" si="0"/>
        <v>0</v>
      </c>
      <c r="K39" s="31">
        <v>0</v>
      </c>
      <c r="L39" s="32">
        <f t="shared" si="1"/>
        <v>0</v>
      </c>
    </row>
    <row r="40" spans="2:12" ht="12.75">
      <c r="B40" s="6"/>
      <c r="C40" s="6"/>
      <c r="D40" s="6"/>
      <c r="E40" s="33"/>
      <c r="F40" s="34"/>
      <c r="G40" s="35"/>
      <c r="H40" s="36" t="s">
        <v>29</v>
      </c>
      <c r="I40" s="36"/>
      <c r="J40" s="20">
        <f>ROUND(SUM(J18:J39),0)</f>
        <v>83</v>
      </c>
      <c r="K40" s="20">
        <f>ROUND(SUM(K18:K39),0)</f>
        <v>0</v>
      </c>
      <c r="L40" s="25">
        <f>SUM(L18:L39)</f>
        <v>0.002388827636898199</v>
      </c>
    </row>
    <row r="41" spans="2:9" ht="12.75">
      <c r="B41" s="6"/>
      <c r="C41" s="6"/>
      <c r="D41" s="6"/>
      <c r="E41" s="33"/>
      <c r="F41" s="34"/>
      <c r="G41" s="35"/>
      <c r="H41" s="78"/>
      <c r="I41" s="78"/>
    </row>
    <row r="42" spans="2:12" ht="13.5" thickBot="1">
      <c r="B42" s="108" t="s">
        <v>33</v>
      </c>
      <c r="C42" s="108"/>
      <c r="D42" s="108"/>
      <c r="E42" s="108"/>
      <c r="F42" s="108"/>
      <c r="H42" s="118"/>
      <c r="I42" s="118"/>
      <c r="J42" s="118"/>
      <c r="K42" s="118"/>
      <c r="L42" s="118"/>
    </row>
    <row r="43" spans="2:12" ht="12.75">
      <c r="B43" s="39"/>
      <c r="C43" s="39"/>
      <c r="D43" s="40" t="s">
        <v>35</v>
      </c>
      <c r="E43" s="40" t="s">
        <v>36</v>
      </c>
      <c r="F43" s="40" t="s">
        <v>37</v>
      </c>
      <c r="H43" s="86"/>
      <c r="I43" s="86"/>
      <c r="J43" s="87"/>
      <c r="K43" s="87"/>
      <c r="L43" s="87"/>
    </row>
    <row r="44" spans="2:12" ht="12.75">
      <c r="B44" s="97" t="s">
        <v>38</v>
      </c>
      <c r="C44" s="97"/>
      <c r="D44" s="41">
        <f>E7</f>
        <v>800</v>
      </c>
      <c r="E44" s="42">
        <f>J8</f>
        <v>375</v>
      </c>
      <c r="F44" s="43">
        <f>D44*E44</f>
        <v>300000</v>
      </c>
      <c r="H44" s="97"/>
      <c r="I44" s="97"/>
      <c r="J44" s="41"/>
      <c r="K44" s="42"/>
      <c r="L44" s="43"/>
    </row>
    <row r="45" spans="2:12" ht="12.75">
      <c r="B45" s="97" t="s">
        <v>39</v>
      </c>
      <c r="C45" s="97"/>
      <c r="D45" s="41">
        <f>E7*J6</f>
        <v>0</v>
      </c>
      <c r="E45" s="42">
        <f>J9</f>
        <v>90</v>
      </c>
      <c r="F45" s="43">
        <f>D45*E45</f>
        <v>0</v>
      </c>
      <c r="H45" s="97"/>
      <c r="I45" s="97"/>
      <c r="J45" s="6"/>
      <c r="K45" s="42"/>
      <c r="L45" s="43"/>
    </row>
    <row r="46" spans="2:12" ht="12.75">
      <c r="B46" s="97" t="s">
        <v>40</v>
      </c>
      <c r="C46" s="97"/>
      <c r="D46" s="6">
        <f>J40</f>
        <v>83</v>
      </c>
      <c r="E46" s="42">
        <f>J8</f>
        <v>375</v>
      </c>
      <c r="F46" s="43">
        <f>D46*E46</f>
        <v>31125</v>
      </c>
      <c r="H46" s="97"/>
      <c r="I46" s="97"/>
      <c r="J46" s="6"/>
      <c r="K46" s="42"/>
      <c r="L46" s="43"/>
    </row>
    <row r="47" spans="2:12" ht="13.5" thickBot="1">
      <c r="B47" s="111" t="s">
        <v>41</v>
      </c>
      <c r="C47" s="111"/>
      <c r="D47" s="16">
        <f>K40</f>
        <v>0</v>
      </c>
      <c r="E47" s="44">
        <f>J9</f>
        <v>90</v>
      </c>
      <c r="F47" s="45">
        <f>D47*E47</f>
        <v>0</v>
      </c>
      <c r="H47" s="97"/>
      <c r="I47" s="97"/>
      <c r="J47" s="6"/>
      <c r="K47" s="42"/>
      <c r="L47" s="43"/>
    </row>
    <row r="48" spans="2:12" ht="12.75">
      <c r="B48" s="6"/>
      <c r="C48" s="6"/>
      <c r="D48" s="6"/>
      <c r="E48" s="46"/>
      <c r="F48" s="47"/>
      <c r="H48" s="6"/>
      <c r="I48" s="6"/>
      <c r="J48" s="6"/>
      <c r="K48" s="46"/>
      <c r="L48" s="47"/>
    </row>
    <row r="49" spans="2:12" ht="13.5" thickBot="1">
      <c r="B49" s="108" t="s">
        <v>42</v>
      </c>
      <c r="C49" s="108"/>
      <c r="D49" s="108"/>
      <c r="E49" s="108"/>
      <c r="F49" s="108"/>
      <c r="G49" s="112"/>
      <c r="H49" s="112"/>
      <c r="I49" s="112"/>
      <c r="J49" s="112"/>
      <c r="K49" s="112"/>
      <c r="L49" s="112"/>
    </row>
    <row r="50" spans="2:12" ht="25.5">
      <c r="B50" s="49"/>
      <c r="C50" s="49"/>
      <c r="D50" s="50" t="s">
        <v>43</v>
      </c>
      <c r="E50" s="50" t="s">
        <v>44</v>
      </c>
      <c r="F50" s="51" t="s">
        <v>45</v>
      </c>
      <c r="G50" s="50" t="s">
        <v>46</v>
      </c>
      <c r="H50" s="50" t="s">
        <v>47</v>
      </c>
      <c r="I50" s="50" t="s">
        <v>48</v>
      </c>
      <c r="J50" s="50" t="s">
        <v>49</v>
      </c>
      <c r="K50" s="50" t="s">
        <v>50</v>
      </c>
      <c r="L50" s="51" t="s">
        <v>51</v>
      </c>
    </row>
    <row r="51" spans="2:12" ht="12.75">
      <c r="B51" s="97" t="s">
        <v>52</v>
      </c>
      <c r="C51" s="97"/>
      <c r="D51" s="52"/>
      <c r="E51" s="52"/>
      <c r="F51" s="53"/>
      <c r="G51" s="54">
        <f>J5/J7</f>
        <v>8333.333333333334</v>
      </c>
      <c r="H51" s="55"/>
      <c r="I51" s="56">
        <f>E6</f>
        <v>100</v>
      </c>
      <c r="J51" s="55"/>
      <c r="K51" s="53">
        <f>J10</f>
        <v>1.4</v>
      </c>
      <c r="L51" s="57">
        <f>G51*I51*K51</f>
        <v>1166666.6666666667</v>
      </c>
    </row>
    <row r="52" spans="2:12" ht="13.5" thickBot="1">
      <c r="B52" s="111" t="s">
        <v>53</v>
      </c>
      <c r="C52" s="112"/>
      <c r="D52" s="30">
        <f>L40</f>
        <v>0.002388827636898199</v>
      </c>
      <c r="E52" s="58">
        <v>0</v>
      </c>
      <c r="F52" s="30">
        <f>D52+E52</f>
        <v>0.002388827636898199</v>
      </c>
      <c r="G52" s="59">
        <f>J5/J7</f>
        <v>8333.333333333334</v>
      </c>
      <c r="H52" s="60">
        <f>F52*G52</f>
        <v>19.90689697415166</v>
      </c>
      <c r="I52" s="59">
        <f>E6</f>
        <v>100</v>
      </c>
      <c r="J52" s="60">
        <f>H52*I52</f>
        <v>1990.689697415166</v>
      </c>
      <c r="K52" s="61">
        <f>J10</f>
        <v>1.4</v>
      </c>
      <c r="L52" s="62">
        <f>J52*K52</f>
        <v>2786.965576381232</v>
      </c>
    </row>
    <row r="53" spans="5:12" ht="12.75">
      <c r="E53" s="63"/>
      <c r="F53" s="64"/>
      <c r="K53" s="65"/>
      <c r="L53" s="66"/>
    </row>
    <row r="54" spans="3:12" ht="16.5" thickBot="1">
      <c r="C54" s="67"/>
      <c r="D54" s="68"/>
      <c r="E54" s="68"/>
      <c r="F54" s="68"/>
      <c r="G54" s="69"/>
      <c r="H54" s="12"/>
      <c r="I54" s="12"/>
      <c r="K54" s="65"/>
      <c r="L54" s="2"/>
    </row>
    <row r="55" spans="3:12" ht="38.25">
      <c r="C55" s="67"/>
      <c r="D55" s="115" t="s">
        <v>54</v>
      </c>
      <c r="E55" s="115"/>
      <c r="F55" s="70" t="s">
        <v>55</v>
      </c>
      <c r="G55" s="71" t="s">
        <v>56</v>
      </c>
      <c r="H55" s="70" t="s">
        <v>57</v>
      </c>
      <c r="I55" s="70" t="s">
        <v>58</v>
      </c>
      <c r="K55" s="65"/>
      <c r="L55" s="2"/>
    </row>
    <row r="56" spans="3:12" ht="15.75">
      <c r="C56" s="67"/>
      <c r="D56" s="114" t="s">
        <v>59</v>
      </c>
      <c r="E56" s="114"/>
      <c r="F56" s="72">
        <f>(F44+F45+L51)/(J5/E5)</f>
        <v>1466666.6666666667</v>
      </c>
      <c r="G56" s="72">
        <f>(F44+F45+F46+F47+L51+L52)/(J5/E5)</f>
        <v>1500578.632243048</v>
      </c>
      <c r="H56" s="72">
        <f>G56-F56</f>
        <v>33911.96557638119</v>
      </c>
      <c r="I56" s="73">
        <f>(H56/F56)</f>
        <v>0.023121794711168993</v>
      </c>
      <c r="K56" s="65"/>
      <c r="L56" s="2"/>
    </row>
    <row r="57" spans="3:12" ht="15.75">
      <c r="C57" s="67"/>
      <c r="D57" s="114" t="s">
        <v>60</v>
      </c>
      <c r="E57" s="114"/>
      <c r="F57" s="72">
        <f>((F44+F45)/E6)/(J5/E5)</f>
        <v>3000</v>
      </c>
      <c r="G57" s="72">
        <f>((F44+F45+F46+F47)/E6)/(J5/E5)</f>
        <v>3311.25</v>
      </c>
      <c r="H57" s="72">
        <f>G57-F57</f>
        <v>311.25</v>
      </c>
      <c r="I57" s="73">
        <f>(H57/F57)</f>
        <v>0.10375</v>
      </c>
      <c r="K57" s="65"/>
      <c r="L57" s="2"/>
    </row>
    <row r="58" spans="3:12" ht="15.75">
      <c r="C58" s="67"/>
      <c r="D58" s="114" t="s">
        <v>62</v>
      </c>
      <c r="E58" s="114"/>
      <c r="F58" s="72">
        <f>L51/(J5/E5)</f>
        <v>1166666.6666666667</v>
      </c>
      <c r="G58" s="72">
        <f>(L51+L52)/(J5/E5)</f>
        <v>1169453.632243048</v>
      </c>
      <c r="H58" s="72">
        <f>G58-F58</f>
        <v>2786.9655763811897</v>
      </c>
      <c r="I58" s="73">
        <f>(H58/F58)</f>
        <v>0.0023888276368981623</v>
      </c>
      <c r="K58" s="65"/>
      <c r="L58" s="2"/>
    </row>
    <row r="59" spans="3:12" ht="16.5" thickBot="1">
      <c r="C59" s="67"/>
      <c r="D59" s="113" t="s">
        <v>86</v>
      </c>
      <c r="E59" s="113"/>
      <c r="F59" s="74">
        <f>F57+(F58/E6)</f>
        <v>14666.666666666668</v>
      </c>
      <c r="G59" s="74">
        <f>G57+(G58/E6)</f>
        <v>15005.78632243048</v>
      </c>
      <c r="H59" s="74">
        <f>G59-F59</f>
        <v>339.11965576381226</v>
      </c>
      <c r="I59" s="75">
        <f>(H59/F59)</f>
        <v>0.023121794711169017</v>
      </c>
      <c r="K59" s="65"/>
      <c r="L59" s="2"/>
    </row>
    <row r="60" spans="2:12" ht="12.75">
      <c r="B60" s="6"/>
      <c r="C60" s="6"/>
      <c r="D60" s="6"/>
      <c r="E60" s="33"/>
      <c r="F60" s="34"/>
      <c r="G60" s="35"/>
      <c r="H60" s="36"/>
      <c r="I60" s="36"/>
      <c r="J60" s="90"/>
      <c r="K60" s="20"/>
      <c r="L60" s="25"/>
    </row>
    <row r="61" spans="2:12" ht="12.75">
      <c r="B61" s="6"/>
      <c r="C61" s="6"/>
      <c r="D61" s="6"/>
      <c r="E61" s="33"/>
      <c r="F61" s="34"/>
      <c r="G61" s="35"/>
      <c r="H61" s="36"/>
      <c r="I61" s="36"/>
      <c r="J61" s="90"/>
      <c r="K61" s="20"/>
      <c r="L61" s="25"/>
    </row>
    <row r="62" spans="2:12" ht="12.75">
      <c r="B62" s="6"/>
      <c r="C62" s="6"/>
      <c r="D62" s="6"/>
      <c r="E62" s="33"/>
      <c r="F62" s="34"/>
      <c r="G62" s="35"/>
      <c r="H62" s="36"/>
      <c r="I62" s="36"/>
      <c r="J62" s="90"/>
      <c r="K62" s="20"/>
      <c r="L62" s="25"/>
    </row>
    <row r="63" spans="2:12" ht="12.75">
      <c r="B63" s="6"/>
      <c r="C63" s="6"/>
      <c r="D63" s="6"/>
      <c r="E63" s="33"/>
      <c r="F63" s="34"/>
      <c r="G63" s="35"/>
      <c r="H63" s="36"/>
      <c r="I63" s="36"/>
      <c r="J63" s="90"/>
      <c r="K63" s="20"/>
      <c r="L63" s="25"/>
    </row>
  </sheetData>
  <mergeCells count="43">
    <mergeCell ref="D16:D17"/>
    <mergeCell ref="C16:C17"/>
    <mergeCell ref="B16:B17"/>
    <mergeCell ref="G16:G17"/>
    <mergeCell ref="H16:H17"/>
    <mergeCell ref="I16:I17"/>
    <mergeCell ref="A1:M1"/>
    <mergeCell ref="A2:M2"/>
    <mergeCell ref="K16:K17"/>
    <mergeCell ref="J16:J17"/>
    <mergeCell ref="E16:E17"/>
    <mergeCell ref="L16:L17"/>
    <mergeCell ref="F16:F17"/>
    <mergeCell ref="B4:J4"/>
    <mergeCell ref="G5:I5"/>
    <mergeCell ref="G6:I6"/>
    <mergeCell ref="B7:D7"/>
    <mergeCell ref="G7:I7"/>
    <mergeCell ref="B49:L49"/>
    <mergeCell ref="B45:C45"/>
    <mergeCell ref="H45:I45"/>
    <mergeCell ref="B5:D5"/>
    <mergeCell ref="B6:D6"/>
    <mergeCell ref="B8:D8"/>
    <mergeCell ref="B9:D9"/>
    <mergeCell ref="G10:I10"/>
    <mergeCell ref="G8:I8"/>
    <mergeCell ref="G9:I9"/>
    <mergeCell ref="B42:F42"/>
    <mergeCell ref="H42:L42"/>
    <mergeCell ref="B44:C44"/>
    <mergeCell ref="H44:I44"/>
    <mergeCell ref="B46:C46"/>
    <mergeCell ref="H46:I46"/>
    <mergeCell ref="B47:C47"/>
    <mergeCell ref="H47:I47"/>
    <mergeCell ref="D57:E57"/>
    <mergeCell ref="D58:E58"/>
    <mergeCell ref="D59:E59"/>
    <mergeCell ref="B51:C51"/>
    <mergeCell ref="B52:C52"/>
    <mergeCell ref="D55:E55"/>
    <mergeCell ref="D56:E56"/>
  </mergeCells>
  <printOptions horizontalCentered="1"/>
  <pageMargins left="1" right="1" top="0.5" bottom="0.5" header="0.22" footer="0.24"/>
  <pageSetup fitToHeight="1" fitToWidth="1" horizontalDpi="600" verticalDpi="600" orientation="portrait" scale="52" r:id="rId2"/>
  <headerFooter alignWithMargins="0">
    <oddFooter>&amp;CPage C-&amp;P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M63"/>
  <sheetViews>
    <sheetView view="pageBreakPreview" zoomScale="60" zoomScaleNormal="70" workbookViewId="0" topLeftCell="A18">
      <selection activeCell="K63" sqref="K63"/>
    </sheetView>
  </sheetViews>
  <sheetFormatPr defaultColWidth="9.140625" defaultRowHeight="12.75"/>
  <cols>
    <col min="1" max="13" width="14.7109375" style="0" customWidth="1"/>
  </cols>
  <sheetData>
    <row r="1" spans="1:13" ht="15.75">
      <c r="A1" s="11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03"/>
    </row>
    <row r="2" spans="1:13" ht="15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03"/>
    </row>
    <row r="3" spans="1:11" ht="16.5" thickBot="1">
      <c r="A3" s="1"/>
      <c r="B3" s="3" t="s">
        <v>1</v>
      </c>
      <c r="C3" s="3"/>
      <c r="D3" s="1"/>
      <c r="E3" s="1"/>
      <c r="F3" s="1"/>
      <c r="G3" s="1"/>
      <c r="J3" s="1"/>
      <c r="K3" s="1"/>
    </row>
    <row r="4" spans="1:11" ht="15.75">
      <c r="A4" s="1"/>
      <c r="B4" s="98" t="s">
        <v>92</v>
      </c>
      <c r="C4" s="99"/>
      <c r="D4" s="99"/>
      <c r="E4" s="99"/>
      <c r="F4" s="99"/>
      <c r="G4" s="99"/>
      <c r="H4" s="99"/>
      <c r="I4" s="99"/>
      <c r="J4" s="99"/>
      <c r="K4" s="2"/>
    </row>
    <row r="5" spans="1:10" ht="15.75">
      <c r="A5" s="1"/>
      <c r="B5" s="103" t="s">
        <v>3</v>
      </c>
      <c r="C5" s="103"/>
      <c r="D5" s="103"/>
      <c r="E5" s="4">
        <v>40000</v>
      </c>
      <c r="F5" s="5"/>
      <c r="G5" s="97" t="s">
        <v>77</v>
      </c>
      <c r="H5" s="97"/>
      <c r="I5" s="97"/>
      <c r="J5" s="7">
        <v>50000</v>
      </c>
    </row>
    <row r="6" spans="1:10" ht="15.75">
      <c r="A6" s="1"/>
      <c r="B6" s="103" t="s">
        <v>93</v>
      </c>
      <c r="C6" s="103"/>
      <c r="D6" s="103"/>
      <c r="E6" s="4">
        <v>150</v>
      </c>
      <c r="F6" s="8"/>
      <c r="G6" s="97" t="s">
        <v>79</v>
      </c>
      <c r="H6" s="97"/>
      <c r="I6" s="97"/>
      <c r="J6" s="7">
        <v>1</v>
      </c>
    </row>
    <row r="7" spans="1:10" ht="15.75">
      <c r="A7" s="1"/>
      <c r="B7" s="103" t="s">
        <v>90</v>
      </c>
      <c r="C7" s="103"/>
      <c r="D7" s="103"/>
      <c r="E7" s="7">
        <v>900</v>
      </c>
      <c r="F7" s="8"/>
      <c r="G7" s="97" t="s">
        <v>80</v>
      </c>
      <c r="H7" s="97"/>
      <c r="I7" s="97"/>
      <c r="J7" s="9">
        <v>3.5</v>
      </c>
    </row>
    <row r="8" spans="1:10" ht="15.75">
      <c r="A8" s="1"/>
      <c r="B8" s="97" t="s">
        <v>9</v>
      </c>
      <c r="C8" s="103"/>
      <c r="D8" s="103"/>
      <c r="E8" s="7">
        <v>300</v>
      </c>
      <c r="F8" s="8"/>
      <c r="G8" s="97" t="s">
        <v>10</v>
      </c>
      <c r="H8" s="100"/>
      <c r="I8" s="100"/>
      <c r="J8" s="11">
        <v>325</v>
      </c>
    </row>
    <row r="9" spans="1:10" ht="15.75">
      <c r="A9" s="1"/>
      <c r="B9" s="97" t="s">
        <v>11</v>
      </c>
      <c r="C9" s="100"/>
      <c r="D9" s="100"/>
      <c r="E9" s="7">
        <v>600</v>
      </c>
      <c r="F9" s="8"/>
      <c r="G9" s="97" t="s">
        <v>12</v>
      </c>
      <c r="H9" s="100"/>
      <c r="I9" s="100"/>
      <c r="J9" s="11">
        <v>90</v>
      </c>
    </row>
    <row r="10" spans="1:10" ht="15.75">
      <c r="A10" s="1"/>
      <c r="B10" s="6"/>
      <c r="C10" s="10"/>
      <c r="D10" s="10"/>
      <c r="E10" s="7"/>
      <c r="F10" s="8"/>
      <c r="G10" s="97" t="s">
        <v>14</v>
      </c>
      <c r="H10" s="100"/>
      <c r="I10" s="100"/>
      <c r="J10" s="11">
        <v>1.4</v>
      </c>
    </row>
    <row r="11" spans="1:6" ht="15.75">
      <c r="A11" s="1"/>
      <c r="B11" s="84"/>
      <c r="C11" s="84"/>
      <c r="D11" s="84"/>
      <c r="E11" s="84"/>
      <c r="F11" s="12"/>
    </row>
    <row r="12" spans="1:10" ht="16.5" thickBot="1">
      <c r="A12" s="1"/>
      <c r="B12" s="14"/>
      <c r="C12" s="14"/>
      <c r="D12" s="14"/>
      <c r="E12" s="14"/>
      <c r="F12" s="14"/>
      <c r="G12" s="85"/>
      <c r="H12" s="14"/>
      <c r="I12" s="14"/>
      <c r="J12" s="14"/>
    </row>
    <row r="13" spans="1:10" ht="15.75">
      <c r="A13" s="1"/>
      <c r="B13" s="84"/>
      <c r="C13" s="84"/>
      <c r="D13" s="84"/>
      <c r="E13" s="84"/>
      <c r="F13" s="84"/>
      <c r="G13" s="77"/>
      <c r="H13" s="84"/>
      <c r="I13" s="84"/>
      <c r="J13" s="84"/>
    </row>
    <row r="14" spans="1:11" ht="15.75">
      <c r="A14" s="1"/>
      <c r="B14" s="77"/>
      <c r="C14" s="10"/>
      <c r="D14" s="10"/>
      <c r="E14" s="10"/>
      <c r="F14" s="41"/>
      <c r="G14" s="1"/>
      <c r="H14" s="1"/>
      <c r="I14" s="1"/>
      <c r="J14" s="1"/>
      <c r="K14" s="2"/>
    </row>
    <row r="15" spans="1:12" ht="16.5" thickBot="1">
      <c r="A15" s="1"/>
      <c r="B15" s="3" t="s">
        <v>91</v>
      </c>
      <c r="C15" s="1"/>
      <c r="D15" s="1"/>
      <c r="E15" s="1"/>
      <c r="F15" s="1"/>
      <c r="G15" s="1"/>
      <c r="H15" s="1"/>
      <c r="I15" s="1"/>
      <c r="J15" s="1"/>
      <c r="K15" s="2"/>
      <c r="L15" s="2"/>
    </row>
    <row r="16" spans="2:12" ht="13.5" customHeight="1">
      <c r="B16" s="101" t="s">
        <v>17</v>
      </c>
      <c r="C16" s="104" t="s">
        <v>18</v>
      </c>
      <c r="D16" s="104" t="s">
        <v>19</v>
      </c>
      <c r="E16" s="104" t="s">
        <v>20</v>
      </c>
      <c r="F16" s="104" t="s">
        <v>21</v>
      </c>
      <c r="G16" s="104" t="s">
        <v>22</v>
      </c>
      <c r="H16" s="104" t="s">
        <v>23</v>
      </c>
      <c r="I16" s="104" t="s">
        <v>24</v>
      </c>
      <c r="J16" s="104" t="s">
        <v>31</v>
      </c>
      <c r="K16" s="109" t="s">
        <v>32</v>
      </c>
      <c r="L16" s="109" t="s">
        <v>27</v>
      </c>
    </row>
    <row r="17" spans="2:12" ht="12.75">
      <c r="B17" s="102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2:12" ht="12.75">
      <c r="B18" s="18"/>
      <c r="C18" s="19">
        <v>-50</v>
      </c>
      <c r="D18" s="20">
        <v>30</v>
      </c>
      <c r="E18" s="21">
        <v>0.004420866489832007</v>
      </c>
      <c r="F18" s="22">
        <v>0.004420866489832007</v>
      </c>
      <c r="G18" s="23">
        <v>0.5625</v>
      </c>
      <c r="H18" s="23">
        <v>0.6</v>
      </c>
      <c r="I18" s="23">
        <v>0.025</v>
      </c>
      <c r="J18" s="24">
        <f aca="true" t="shared" si="0" ref="J18:J39">(((F18*$E$7)*$J$5)/((1-G18)*$J$5))-($E$7*F18)</f>
        <v>5.115574081091321</v>
      </c>
      <c r="K18" s="24">
        <f aca="true" t="shared" si="1" ref="K18:K39">(($E$7*F18)*$J$5)/((1-H18)*($J$5/$J$6))-($E$7*F18*$J$5/($J$5/$J$6))</f>
        <v>5.96816976127321</v>
      </c>
      <c r="L18" s="25">
        <f aca="true" t="shared" si="2" ref="L18:L39">F18*I18</f>
        <v>0.00011052166224580018</v>
      </c>
    </row>
    <row r="19" spans="2:12" ht="12.75">
      <c r="B19" s="8">
        <v>-50</v>
      </c>
      <c r="C19" s="19">
        <v>-45</v>
      </c>
      <c r="D19" s="20">
        <v>12</v>
      </c>
      <c r="E19" s="21">
        <v>0.00618921308576481</v>
      </c>
      <c r="F19" s="23">
        <v>0.0017683465959328027</v>
      </c>
      <c r="G19" s="23">
        <v>0.535</v>
      </c>
      <c r="H19" s="23">
        <v>0.54</v>
      </c>
      <c r="I19" s="23">
        <v>0.0225</v>
      </c>
      <c r="J19" s="24">
        <f t="shared" si="0"/>
        <v>1.8310943783691278</v>
      </c>
      <c r="K19" s="24">
        <f t="shared" si="1"/>
        <v>1.8682966209203091</v>
      </c>
      <c r="L19" s="25">
        <f t="shared" si="2"/>
        <v>3.978779840848806E-05</v>
      </c>
    </row>
    <row r="20" spans="2:12" ht="12.75">
      <c r="B20" s="8">
        <v>-45</v>
      </c>
      <c r="C20" s="19">
        <v>-40</v>
      </c>
      <c r="D20" s="20">
        <v>11</v>
      </c>
      <c r="E20" s="21">
        <v>0.007810197465369879</v>
      </c>
      <c r="F20" s="23">
        <v>0.0016209843796050694</v>
      </c>
      <c r="G20" s="23">
        <v>0.5</v>
      </c>
      <c r="H20" s="23">
        <v>0.48</v>
      </c>
      <c r="I20" s="23">
        <v>0.02</v>
      </c>
      <c r="J20" s="24">
        <f t="shared" si="0"/>
        <v>1.458885941644562</v>
      </c>
      <c r="K20" s="24">
        <f t="shared" si="1"/>
        <v>1.3466639461334422</v>
      </c>
      <c r="L20" s="25">
        <f t="shared" si="2"/>
        <v>3.241968759210139E-05</v>
      </c>
    </row>
    <row r="21" spans="2:12" ht="12.75">
      <c r="B21" s="8">
        <v>-40</v>
      </c>
      <c r="C21" s="19">
        <v>-35</v>
      </c>
      <c r="D21" s="20">
        <v>2</v>
      </c>
      <c r="E21" s="21">
        <v>0.008104921898025346</v>
      </c>
      <c r="F21" s="23">
        <v>0.0002947244326554667</v>
      </c>
      <c r="G21" s="23">
        <v>0.46</v>
      </c>
      <c r="H21" s="23">
        <v>0.42</v>
      </c>
      <c r="I21" s="23">
        <v>0.0175</v>
      </c>
      <c r="J21" s="24">
        <f t="shared" si="0"/>
        <v>0.22595539836919115</v>
      </c>
      <c r="K21" s="24">
        <f t="shared" si="1"/>
        <v>0.1920790267995972</v>
      </c>
      <c r="L21" s="25">
        <f t="shared" si="2"/>
        <v>5.157677571470667E-06</v>
      </c>
    </row>
    <row r="22" spans="2:12" ht="12.75">
      <c r="B22" s="8">
        <v>-35</v>
      </c>
      <c r="C22" s="19">
        <v>-30</v>
      </c>
      <c r="D22" s="20">
        <v>17</v>
      </c>
      <c r="E22" s="21">
        <v>0.010610079575596816</v>
      </c>
      <c r="F22" s="26">
        <v>0.0025051576775714703</v>
      </c>
      <c r="G22" s="23">
        <v>0.4125</v>
      </c>
      <c r="H22" s="23">
        <v>0.36</v>
      </c>
      <c r="I22" s="23">
        <v>0.015</v>
      </c>
      <c r="J22" s="24">
        <f t="shared" si="0"/>
        <v>1.5830464473164398</v>
      </c>
      <c r="K22" s="24">
        <f t="shared" si="1"/>
        <v>1.2682360742705567</v>
      </c>
      <c r="L22" s="25">
        <f t="shared" si="2"/>
        <v>3.757736516357205E-05</v>
      </c>
    </row>
    <row r="23" spans="2:12" ht="12.75">
      <c r="B23" s="8">
        <v>-30</v>
      </c>
      <c r="C23" s="19">
        <v>-25</v>
      </c>
      <c r="D23" s="20">
        <v>31</v>
      </c>
      <c r="E23" s="21">
        <v>0.015178308281756557</v>
      </c>
      <c r="F23" s="23">
        <v>0.004568228706159741</v>
      </c>
      <c r="G23" s="23">
        <v>0.36</v>
      </c>
      <c r="H23" s="23">
        <v>0.3</v>
      </c>
      <c r="I23" s="23">
        <v>0.0125</v>
      </c>
      <c r="J23" s="24">
        <f t="shared" si="0"/>
        <v>2.3126657824933687</v>
      </c>
      <c r="K23" s="24">
        <f t="shared" si="1"/>
        <v>1.7620310723758994</v>
      </c>
      <c r="L23" s="25">
        <f t="shared" si="2"/>
        <v>5.710285882699676E-05</v>
      </c>
    </row>
    <row r="24" spans="2:12" ht="12.75">
      <c r="B24" s="18">
        <v>-25</v>
      </c>
      <c r="C24" s="19">
        <v>-20</v>
      </c>
      <c r="D24" s="20">
        <v>107</v>
      </c>
      <c r="E24" s="21">
        <v>0.03094606542882405</v>
      </c>
      <c r="F24" s="22">
        <v>0.015767757147067494</v>
      </c>
      <c r="G24" s="23">
        <v>0.3</v>
      </c>
      <c r="H24" s="23">
        <v>0.24</v>
      </c>
      <c r="I24" s="23">
        <v>0.01</v>
      </c>
      <c r="J24" s="24">
        <f t="shared" si="0"/>
        <v>6.081849185297463</v>
      </c>
      <c r="K24" s="24">
        <f t="shared" si="1"/>
        <v>4.4813625575876035</v>
      </c>
      <c r="L24" s="25">
        <f t="shared" si="2"/>
        <v>0.00015767757147067496</v>
      </c>
    </row>
    <row r="25" spans="2:12" ht="12.75">
      <c r="B25" s="8">
        <v>-20</v>
      </c>
      <c r="C25" s="19">
        <v>-15</v>
      </c>
      <c r="D25" s="20">
        <v>345</v>
      </c>
      <c r="E25" s="21">
        <v>0.08178603006189213</v>
      </c>
      <c r="F25" s="22">
        <v>0.05083996463306807</v>
      </c>
      <c r="G25" s="23">
        <v>0.235</v>
      </c>
      <c r="H25" s="23">
        <v>0.18</v>
      </c>
      <c r="I25" s="23">
        <v>0.0075</v>
      </c>
      <c r="J25" s="24">
        <f t="shared" si="0"/>
        <v>14.055754927965872</v>
      </c>
      <c r="K25" s="24">
        <f t="shared" si="1"/>
        <v>10.043993012874424</v>
      </c>
      <c r="L25" s="25">
        <f t="shared" si="2"/>
        <v>0.0003812997347480105</v>
      </c>
    </row>
    <row r="26" spans="2:12" ht="12.75">
      <c r="B26" s="8">
        <v>-15</v>
      </c>
      <c r="C26" s="19">
        <v>-10</v>
      </c>
      <c r="D26" s="20">
        <v>728</v>
      </c>
      <c r="E26" s="21">
        <v>0.18906572354848217</v>
      </c>
      <c r="F26" s="23">
        <v>0.10727969348659004</v>
      </c>
      <c r="G26" s="23">
        <v>0.1625</v>
      </c>
      <c r="H26" s="23">
        <v>0.12</v>
      </c>
      <c r="I26" s="23">
        <v>0.005</v>
      </c>
      <c r="J26" s="24">
        <f t="shared" si="0"/>
        <v>18.733916623777674</v>
      </c>
      <c r="K26" s="24">
        <f t="shared" si="1"/>
        <v>13.16614420062696</v>
      </c>
      <c r="L26" s="25">
        <f t="shared" si="2"/>
        <v>0.0005363984674329502</v>
      </c>
    </row>
    <row r="27" spans="2:12" ht="12.75">
      <c r="B27" s="8">
        <v>-10</v>
      </c>
      <c r="C27" s="19">
        <v>-5</v>
      </c>
      <c r="D27" s="20">
        <v>1403</v>
      </c>
      <c r="E27" s="21">
        <v>0.39581491305629235</v>
      </c>
      <c r="F27" s="23">
        <v>0.20674918950781018</v>
      </c>
      <c r="G27" s="23">
        <v>0.085</v>
      </c>
      <c r="H27" s="23">
        <v>0.06</v>
      </c>
      <c r="I27" s="23">
        <v>0.0025</v>
      </c>
      <c r="J27" s="24">
        <f t="shared" si="0"/>
        <v>17.285587975243146</v>
      </c>
      <c r="K27" s="24">
        <f t="shared" si="1"/>
        <v>11.877081099384839</v>
      </c>
      <c r="L27" s="25">
        <f t="shared" si="2"/>
        <v>0.0005168729737695254</v>
      </c>
    </row>
    <row r="28" spans="2:12" ht="12.75">
      <c r="B28" s="8">
        <v>-5</v>
      </c>
      <c r="C28" s="19">
        <v>0</v>
      </c>
      <c r="D28" s="20">
        <v>2675</v>
      </c>
      <c r="E28" s="21">
        <v>0.7900088417329797</v>
      </c>
      <c r="F28" s="23">
        <v>0.39419392867668734</v>
      </c>
      <c r="G28" s="23">
        <v>0</v>
      </c>
      <c r="H28" s="23">
        <v>0</v>
      </c>
      <c r="I28" s="23">
        <v>0</v>
      </c>
      <c r="J28" s="24">
        <f t="shared" si="0"/>
        <v>0</v>
      </c>
      <c r="K28" s="24">
        <f t="shared" si="1"/>
        <v>0</v>
      </c>
      <c r="L28" s="25">
        <f t="shared" si="2"/>
        <v>0</v>
      </c>
    </row>
    <row r="29" spans="2:12" ht="12.75">
      <c r="B29" s="8">
        <v>0</v>
      </c>
      <c r="C29" s="19">
        <v>5</v>
      </c>
      <c r="D29" s="20">
        <v>710</v>
      </c>
      <c r="E29" s="21">
        <v>0.8946360153256705</v>
      </c>
      <c r="F29" s="23">
        <v>0.1046271735926908</v>
      </c>
      <c r="G29" s="23">
        <v>0</v>
      </c>
      <c r="H29" s="23">
        <v>0.025</v>
      </c>
      <c r="I29" s="23">
        <v>0</v>
      </c>
      <c r="J29" s="24">
        <f t="shared" si="0"/>
        <v>0</v>
      </c>
      <c r="K29" s="24">
        <f t="shared" si="1"/>
        <v>2.4144732367544037</v>
      </c>
      <c r="L29" s="25">
        <f t="shared" si="2"/>
        <v>0</v>
      </c>
    </row>
    <row r="30" spans="2:12" ht="12.75">
      <c r="B30" s="8">
        <v>5</v>
      </c>
      <c r="C30" s="19">
        <v>10</v>
      </c>
      <c r="D30" s="20">
        <v>395</v>
      </c>
      <c r="E30" s="21">
        <v>0.9528440907751252</v>
      </c>
      <c r="F30" s="23">
        <v>0.05820807544945472</v>
      </c>
      <c r="G30" s="23">
        <v>0</v>
      </c>
      <c r="H30" s="23">
        <v>0.05</v>
      </c>
      <c r="I30" s="23">
        <v>0</v>
      </c>
      <c r="J30" s="24">
        <f t="shared" si="0"/>
        <v>0</v>
      </c>
      <c r="K30" s="24">
        <f t="shared" si="1"/>
        <v>2.7572246265531177</v>
      </c>
      <c r="L30" s="25">
        <f t="shared" si="2"/>
        <v>0</v>
      </c>
    </row>
    <row r="31" spans="2:12" ht="12.75">
      <c r="B31" s="8">
        <v>10</v>
      </c>
      <c r="C31" s="19">
        <v>15</v>
      </c>
      <c r="D31" s="20">
        <v>128</v>
      </c>
      <c r="E31" s="21">
        <v>0.9717064544650752</v>
      </c>
      <c r="F31" s="23">
        <v>0.01886236368994998</v>
      </c>
      <c r="G31" s="23">
        <v>0</v>
      </c>
      <c r="H31" s="23">
        <v>0.075</v>
      </c>
      <c r="I31" s="23">
        <v>0</v>
      </c>
      <c r="J31" s="24">
        <f t="shared" si="0"/>
        <v>0</v>
      </c>
      <c r="K31" s="24">
        <f t="shared" si="1"/>
        <v>1.3764427557531071</v>
      </c>
      <c r="L31" s="25">
        <f t="shared" si="2"/>
        <v>0</v>
      </c>
    </row>
    <row r="32" spans="2:12" ht="12.75">
      <c r="B32" s="8">
        <v>15</v>
      </c>
      <c r="C32" s="19">
        <v>20</v>
      </c>
      <c r="D32" s="20">
        <v>105</v>
      </c>
      <c r="E32" s="21">
        <v>0.9871794871794872</v>
      </c>
      <c r="F32" s="23">
        <v>0.015473032714412027</v>
      </c>
      <c r="G32" s="23">
        <v>0</v>
      </c>
      <c r="H32" s="23">
        <v>0.1</v>
      </c>
      <c r="I32" s="23">
        <v>0</v>
      </c>
      <c r="J32" s="24">
        <f t="shared" si="0"/>
        <v>0</v>
      </c>
      <c r="K32" s="24">
        <f t="shared" si="1"/>
        <v>1.5473032714412032</v>
      </c>
      <c r="L32" s="25">
        <f t="shared" si="2"/>
        <v>0</v>
      </c>
    </row>
    <row r="33" spans="2:12" ht="12.75">
      <c r="B33" s="8">
        <v>20</v>
      </c>
      <c r="C33" s="19">
        <v>25</v>
      </c>
      <c r="D33" s="20">
        <v>44</v>
      </c>
      <c r="E33" s="21">
        <v>0.9936634246979075</v>
      </c>
      <c r="F33" s="23">
        <v>0.006483937518420246</v>
      </c>
      <c r="G33" s="23">
        <v>0</v>
      </c>
      <c r="H33" s="23">
        <v>0.125</v>
      </c>
      <c r="I33" s="23">
        <v>0</v>
      </c>
      <c r="J33" s="24">
        <f t="shared" si="0"/>
        <v>0</v>
      </c>
      <c r="K33" s="24">
        <f t="shared" si="1"/>
        <v>0.8336491095111747</v>
      </c>
      <c r="L33" s="25">
        <f t="shared" si="2"/>
        <v>0</v>
      </c>
    </row>
    <row r="34" spans="2:12" ht="12.75">
      <c r="B34" s="8">
        <v>25</v>
      </c>
      <c r="C34" s="19">
        <v>30</v>
      </c>
      <c r="D34" s="20">
        <v>27</v>
      </c>
      <c r="E34" s="21">
        <v>0.9976422045387563</v>
      </c>
      <c r="F34" s="23">
        <v>0.003978779840848823</v>
      </c>
      <c r="G34" s="23">
        <v>0</v>
      </c>
      <c r="H34" s="23">
        <v>0.15</v>
      </c>
      <c r="I34" s="23">
        <v>0</v>
      </c>
      <c r="J34" s="24">
        <f t="shared" si="0"/>
        <v>0</v>
      </c>
      <c r="K34" s="24">
        <f t="shared" si="1"/>
        <v>0.6319238570759897</v>
      </c>
      <c r="L34" s="25">
        <f t="shared" si="2"/>
        <v>0</v>
      </c>
    </row>
    <row r="35" spans="2:12" ht="12.75">
      <c r="B35" s="8">
        <v>30</v>
      </c>
      <c r="C35" s="19">
        <v>35</v>
      </c>
      <c r="D35" s="20">
        <v>10</v>
      </c>
      <c r="E35" s="21">
        <v>0.9991158267020336</v>
      </c>
      <c r="F35" s="23">
        <v>0.0014736221632772883</v>
      </c>
      <c r="G35" s="23">
        <v>0</v>
      </c>
      <c r="H35" s="23">
        <v>0.175</v>
      </c>
      <c r="I35" s="23">
        <v>0</v>
      </c>
      <c r="J35" s="24">
        <f t="shared" si="0"/>
        <v>0</v>
      </c>
      <c r="K35" s="24">
        <f t="shared" si="1"/>
        <v>0.281327867534755</v>
      </c>
      <c r="L35" s="25">
        <f t="shared" si="2"/>
        <v>0</v>
      </c>
    </row>
    <row r="36" spans="2:12" ht="12.75">
      <c r="B36" s="8">
        <v>35</v>
      </c>
      <c r="C36" s="19">
        <v>40</v>
      </c>
      <c r="D36" s="20">
        <v>5</v>
      </c>
      <c r="E36" s="21">
        <v>0.9998526377836723</v>
      </c>
      <c r="F36" s="23">
        <v>0.0007368110816386997</v>
      </c>
      <c r="G36" s="23">
        <v>0</v>
      </c>
      <c r="H36" s="23">
        <v>0.2</v>
      </c>
      <c r="I36" s="23">
        <v>0</v>
      </c>
      <c r="J36" s="24">
        <f t="shared" si="0"/>
        <v>0</v>
      </c>
      <c r="K36" s="24">
        <f t="shared" si="1"/>
        <v>0.16578249336870743</v>
      </c>
      <c r="L36" s="25">
        <f t="shared" si="2"/>
        <v>0</v>
      </c>
    </row>
    <row r="37" spans="2:12" ht="12.75">
      <c r="B37" s="8">
        <v>40</v>
      </c>
      <c r="C37" s="19">
        <v>45</v>
      </c>
      <c r="D37" s="20">
        <v>0</v>
      </c>
      <c r="E37" s="21">
        <v>0.9998526377836723</v>
      </c>
      <c r="F37" s="23">
        <v>0</v>
      </c>
      <c r="G37" s="23">
        <v>0</v>
      </c>
      <c r="H37" s="23">
        <v>0.225</v>
      </c>
      <c r="I37" s="23">
        <v>0</v>
      </c>
      <c r="J37" s="24">
        <f t="shared" si="0"/>
        <v>0</v>
      </c>
      <c r="K37" s="24">
        <f t="shared" si="1"/>
        <v>0</v>
      </c>
      <c r="L37" s="25">
        <f t="shared" si="2"/>
        <v>0</v>
      </c>
    </row>
    <row r="38" spans="2:12" ht="12.75">
      <c r="B38" s="8">
        <v>45</v>
      </c>
      <c r="C38" s="19">
        <v>50</v>
      </c>
      <c r="D38" s="20">
        <v>0</v>
      </c>
      <c r="E38" s="21">
        <v>0.9998526377836723</v>
      </c>
      <c r="F38" s="23">
        <v>0</v>
      </c>
      <c r="G38" s="23">
        <v>0</v>
      </c>
      <c r="H38" s="23">
        <v>0.25</v>
      </c>
      <c r="I38" s="23">
        <v>0</v>
      </c>
      <c r="J38" s="24">
        <f t="shared" si="0"/>
        <v>0</v>
      </c>
      <c r="K38" s="24">
        <f t="shared" si="1"/>
        <v>0</v>
      </c>
      <c r="L38" s="25">
        <f t="shared" si="2"/>
        <v>0</v>
      </c>
    </row>
    <row r="39" spans="2:12" ht="13.5" thickBot="1">
      <c r="B39" s="27"/>
      <c r="C39" s="27" t="s">
        <v>28</v>
      </c>
      <c r="D39" s="27">
        <v>1</v>
      </c>
      <c r="E39" s="28">
        <v>1</v>
      </c>
      <c r="F39" s="29">
        <v>0.00014736221632771773</v>
      </c>
      <c r="G39" s="30">
        <v>0</v>
      </c>
      <c r="H39" s="29">
        <v>0.275</v>
      </c>
      <c r="I39" s="29">
        <v>0</v>
      </c>
      <c r="J39" s="31">
        <f t="shared" si="0"/>
        <v>0</v>
      </c>
      <c r="K39" s="31">
        <f t="shared" si="1"/>
        <v>0.05030641178084158</v>
      </c>
      <c r="L39" s="32">
        <f t="shared" si="2"/>
        <v>0</v>
      </c>
    </row>
    <row r="40" spans="2:12" ht="12.75">
      <c r="B40" s="6"/>
      <c r="C40" s="6"/>
      <c r="D40" s="6"/>
      <c r="E40" s="33"/>
      <c r="F40" s="34"/>
      <c r="G40" s="35"/>
      <c r="H40" s="36" t="s">
        <v>29</v>
      </c>
      <c r="I40" s="36"/>
      <c r="J40" s="20">
        <f>ROUND(SUM(J18:J39),0)</f>
        <v>69</v>
      </c>
      <c r="K40" s="20">
        <f>ROUND(SUM(K18:K39),0)</f>
        <v>62</v>
      </c>
      <c r="L40" s="25">
        <f>SUM(L18:L39)</f>
        <v>0.0018748157972295902</v>
      </c>
    </row>
    <row r="41" spans="2:9" ht="12.75">
      <c r="B41" s="6"/>
      <c r="C41" s="6"/>
      <c r="D41" s="6"/>
      <c r="E41" s="33"/>
      <c r="F41" s="34"/>
      <c r="G41" s="35"/>
      <c r="H41" s="78"/>
      <c r="I41" s="78"/>
    </row>
    <row r="42" spans="2:12" ht="13.5" thickBot="1">
      <c r="B42" s="108" t="s">
        <v>33</v>
      </c>
      <c r="C42" s="108"/>
      <c r="D42" s="108"/>
      <c r="E42" s="108"/>
      <c r="F42" s="108"/>
      <c r="H42" s="118"/>
      <c r="I42" s="118"/>
      <c r="J42" s="118"/>
      <c r="K42" s="118"/>
      <c r="L42" s="118"/>
    </row>
    <row r="43" spans="2:12" ht="12.75">
      <c r="B43" s="39"/>
      <c r="C43" s="39"/>
      <c r="D43" s="40" t="s">
        <v>35</v>
      </c>
      <c r="E43" s="40" t="s">
        <v>36</v>
      </c>
      <c r="F43" s="40" t="s">
        <v>37</v>
      </c>
      <c r="H43" s="86"/>
      <c r="I43" s="86"/>
      <c r="J43" s="87"/>
      <c r="K43" s="87"/>
      <c r="L43" s="87"/>
    </row>
    <row r="44" spans="2:12" ht="12.75">
      <c r="B44" s="97" t="s">
        <v>38</v>
      </c>
      <c r="C44" s="97"/>
      <c r="D44" s="41">
        <f>E7</f>
        <v>900</v>
      </c>
      <c r="E44" s="42">
        <f>J8</f>
        <v>325</v>
      </c>
      <c r="F44" s="43">
        <f>D44*E44</f>
        <v>292500</v>
      </c>
      <c r="H44" s="97"/>
      <c r="I44" s="97"/>
      <c r="J44" s="41"/>
      <c r="K44" s="42"/>
      <c r="L44" s="43"/>
    </row>
    <row r="45" spans="2:12" ht="12.75">
      <c r="B45" s="97" t="s">
        <v>39</v>
      </c>
      <c r="C45" s="97"/>
      <c r="D45" s="41">
        <f>E7*J6</f>
        <v>900</v>
      </c>
      <c r="E45" s="42">
        <f>J9</f>
        <v>90</v>
      </c>
      <c r="F45" s="43">
        <f>D45*E45</f>
        <v>81000</v>
      </c>
      <c r="H45" s="97"/>
      <c r="I45" s="97"/>
      <c r="J45" s="6"/>
      <c r="K45" s="42"/>
      <c r="L45" s="43"/>
    </row>
    <row r="46" spans="2:12" ht="12.75">
      <c r="B46" s="97" t="s">
        <v>40</v>
      </c>
      <c r="C46" s="97"/>
      <c r="D46" s="6">
        <f>J40</f>
        <v>69</v>
      </c>
      <c r="E46" s="42">
        <f>J8</f>
        <v>325</v>
      </c>
      <c r="F46" s="43">
        <f>D46*E46</f>
        <v>22425</v>
      </c>
      <c r="H46" s="97"/>
      <c r="I46" s="97"/>
      <c r="J46" s="6"/>
      <c r="K46" s="42"/>
      <c r="L46" s="43"/>
    </row>
    <row r="47" spans="2:12" ht="13.5" thickBot="1">
      <c r="B47" s="111" t="s">
        <v>41</v>
      </c>
      <c r="C47" s="111"/>
      <c r="D47" s="16">
        <f>K40</f>
        <v>62</v>
      </c>
      <c r="E47" s="44">
        <f>J9</f>
        <v>90</v>
      </c>
      <c r="F47" s="45">
        <f>D47*E47</f>
        <v>5580</v>
      </c>
      <c r="H47" s="97"/>
      <c r="I47" s="97"/>
      <c r="J47" s="6"/>
      <c r="K47" s="42"/>
      <c r="L47" s="43"/>
    </row>
    <row r="48" spans="2:12" ht="12.75">
      <c r="B48" s="6"/>
      <c r="C48" s="6"/>
      <c r="D48" s="6"/>
      <c r="E48" s="46"/>
      <c r="F48" s="47"/>
      <c r="H48" s="6"/>
      <c r="I48" s="6"/>
      <c r="J48" s="6"/>
      <c r="K48" s="46"/>
      <c r="L48" s="47"/>
    </row>
    <row r="49" spans="2:12" ht="13.5" thickBot="1">
      <c r="B49" s="108" t="s">
        <v>42</v>
      </c>
      <c r="C49" s="108"/>
      <c r="D49" s="108"/>
      <c r="E49" s="108"/>
      <c r="F49" s="108"/>
      <c r="G49" s="112"/>
      <c r="H49" s="112"/>
      <c r="I49" s="112"/>
      <c r="J49" s="112"/>
      <c r="K49" s="112"/>
      <c r="L49" s="112"/>
    </row>
    <row r="50" spans="2:12" ht="25.5">
      <c r="B50" s="49"/>
      <c r="C50" s="49"/>
      <c r="D50" s="50" t="s">
        <v>43</v>
      </c>
      <c r="E50" s="50" t="s">
        <v>44</v>
      </c>
      <c r="F50" s="51" t="s">
        <v>45</v>
      </c>
      <c r="G50" s="50" t="s">
        <v>46</v>
      </c>
      <c r="H50" s="50" t="s">
        <v>47</v>
      </c>
      <c r="I50" s="50" t="s">
        <v>48</v>
      </c>
      <c r="J50" s="50" t="s">
        <v>49</v>
      </c>
      <c r="K50" s="50" t="s">
        <v>50</v>
      </c>
      <c r="L50" s="51" t="s">
        <v>51</v>
      </c>
    </row>
    <row r="51" spans="2:12" ht="12.75">
      <c r="B51" s="97" t="s">
        <v>52</v>
      </c>
      <c r="C51" s="97"/>
      <c r="D51" s="52"/>
      <c r="E51" s="52"/>
      <c r="F51" s="53"/>
      <c r="G51" s="54">
        <f>J5/J7</f>
        <v>14285.714285714286</v>
      </c>
      <c r="H51" s="55"/>
      <c r="I51" s="56">
        <f>E6</f>
        <v>150</v>
      </c>
      <c r="J51" s="55"/>
      <c r="K51" s="53">
        <f>J10</f>
        <v>1.4</v>
      </c>
      <c r="L51" s="57">
        <f>G51*I51*K51</f>
        <v>2999999.9999999995</v>
      </c>
    </row>
    <row r="52" spans="2:12" ht="13.5" thickBot="1">
      <c r="B52" s="111" t="s">
        <v>53</v>
      </c>
      <c r="C52" s="112"/>
      <c r="D52" s="30">
        <f>L40</f>
        <v>0.0018748157972295902</v>
      </c>
      <c r="E52" s="58">
        <v>0</v>
      </c>
      <c r="F52" s="30">
        <f>D52+E52</f>
        <v>0.0018748157972295902</v>
      </c>
      <c r="G52" s="59">
        <f>J5/J7</f>
        <v>14285.714285714286</v>
      </c>
      <c r="H52" s="60">
        <f>F52*G52</f>
        <v>26.783082817565575</v>
      </c>
      <c r="I52" s="59">
        <f>E6</f>
        <v>150</v>
      </c>
      <c r="J52" s="60">
        <f>H52*I52</f>
        <v>4017.462422634836</v>
      </c>
      <c r="K52" s="61">
        <f>J10</f>
        <v>1.4</v>
      </c>
      <c r="L52" s="62">
        <f>J52*K52</f>
        <v>5624.44739168877</v>
      </c>
    </row>
    <row r="53" spans="5:12" ht="12.75">
      <c r="E53" s="63"/>
      <c r="F53" s="64"/>
      <c r="K53" s="65"/>
      <c r="L53" s="66"/>
    </row>
    <row r="54" spans="3:12" ht="16.5" thickBot="1">
      <c r="C54" s="67"/>
      <c r="D54" s="68"/>
      <c r="E54" s="68"/>
      <c r="F54" s="68"/>
      <c r="G54" s="69"/>
      <c r="H54" s="12"/>
      <c r="I54" s="12"/>
      <c r="K54" s="65"/>
      <c r="L54" s="2"/>
    </row>
    <row r="55" spans="3:12" ht="38.25">
      <c r="C55" s="67"/>
      <c r="D55" s="115" t="s">
        <v>54</v>
      </c>
      <c r="E55" s="115"/>
      <c r="F55" s="70" t="s">
        <v>55</v>
      </c>
      <c r="G55" s="71" t="s">
        <v>56</v>
      </c>
      <c r="H55" s="70" t="s">
        <v>57</v>
      </c>
      <c r="I55" s="70" t="s">
        <v>58</v>
      </c>
      <c r="K55" s="65"/>
      <c r="L55" s="2"/>
    </row>
    <row r="56" spans="3:12" ht="15.75">
      <c r="C56" s="67"/>
      <c r="D56" s="114" t="s">
        <v>59</v>
      </c>
      <c r="E56" s="114"/>
      <c r="F56" s="72">
        <f>(F44+F45+L51)/(J5/E5)</f>
        <v>2698799.9999999995</v>
      </c>
      <c r="G56" s="72">
        <f>(F44+F45+F46+F47+L51+L52)/(J5/E5)</f>
        <v>2725703.557913351</v>
      </c>
      <c r="H56" s="72">
        <f>G56-F56</f>
        <v>26903.55791335134</v>
      </c>
      <c r="I56" s="73">
        <f>(H56/F56)</f>
        <v>0.009968711246980637</v>
      </c>
      <c r="K56" s="65"/>
      <c r="L56" s="2"/>
    </row>
    <row r="57" spans="3:12" ht="15.75">
      <c r="C57" s="67"/>
      <c r="D57" s="114" t="s">
        <v>60</v>
      </c>
      <c r="E57" s="114"/>
      <c r="F57" s="72">
        <f>((F44+F45)/E6)/(J5/E5)</f>
        <v>1992</v>
      </c>
      <c r="G57" s="72">
        <f>((F44+F45+F46+F47)/E6)/(J5/E5)</f>
        <v>2141.3599999999997</v>
      </c>
      <c r="H57" s="72">
        <f>G57-F57</f>
        <v>149.35999999999967</v>
      </c>
      <c r="I57" s="73">
        <f>(H57/F57)</f>
        <v>0.0749799196787147</v>
      </c>
      <c r="K57" s="65"/>
      <c r="L57" s="2"/>
    </row>
    <row r="58" spans="3:12" ht="15.75">
      <c r="C58" s="67"/>
      <c r="D58" s="114" t="s">
        <v>62</v>
      </c>
      <c r="E58" s="114"/>
      <c r="F58" s="72">
        <f>L51/(J5/E5)</f>
        <v>2399999.9999999995</v>
      </c>
      <c r="G58" s="72">
        <f>(L51+L52)/(J5/E5)</f>
        <v>2404499.557913351</v>
      </c>
      <c r="H58" s="72">
        <f>G58-F58</f>
        <v>4499.557913351338</v>
      </c>
      <c r="I58" s="73">
        <f>(H58/F58)</f>
        <v>0.0018748157972297247</v>
      </c>
      <c r="K58" s="65"/>
      <c r="L58" s="2"/>
    </row>
    <row r="59" spans="3:12" ht="16.5" thickBot="1">
      <c r="C59" s="67"/>
      <c r="D59" s="113" t="s">
        <v>86</v>
      </c>
      <c r="E59" s="113"/>
      <c r="F59" s="74">
        <f>F57+(F58/E6)</f>
        <v>17991.999999999996</v>
      </c>
      <c r="G59" s="74">
        <f>G57+(G58/E6)</f>
        <v>18171.357052755673</v>
      </c>
      <c r="H59" s="74">
        <f>G59-F59</f>
        <v>179.3570527556767</v>
      </c>
      <c r="I59" s="75">
        <f>(H59/F59)</f>
        <v>0.0099687112469807</v>
      </c>
      <c r="K59" s="65"/>
      <c r="L59" s="2"/>
    </row>
    <row r="60" spans="2:12" ht="12.75">
      <c r="B60" s="6"/>
      <c r="C60" s="6"/>
      <c r="D60" s="6"/>
      <c r="E60" s="33"/>
      <c r="F60" s="34"/>
      <c r="G60" s="35"/>
      <c r="H60" s="36"/>
      <c r="I60" s="36"/>
      <c r="J60" s="90"/>
      <c r="K60" s="20"/>
      <c r="L60" s="25"/>
    </row>
    <row r="61" spans="2:12" ht="12.75">
      <c r="B61" s="6"/>
      <c r="C61" s="6"/>
      <c r="D61" s="6"/>
      <c r="E61" s="33"/>
      <c r="F61" s="34"/>
      <c r="G61" s="35"/>
      <c r="H61" s="36"/>
      <c r="I61" s="36"/>
      <c r="J61" s="90"/>
      <c r="K61" s="20"/>
      <c r="L61" s="25"/>
    </row>
    <row r="62" spans="2:12" ht="12.75">
      <c r="B62" s="6"/>
      <c r="C62" s="6"/>
      <c r="D62" s="6"/>
      <c r="E62" s="33"/>
      <c r="F62" s="34"/>
      <c r="G62" s="35"/>
      <c r="H62" s="36"/>
      <c r="I62" s="36"/>
      <c r="J62" s="90"/>
      <c r="K62" s="20"/>
      <c r="L62" s="25"/>
    </row>
    <row r="63" spans="2:12" ht="12.75">
      <c r="B63" s="6"/>
      <c r="C63" s="6"/>
      <c r="D63" s="6"/>
      <c r="E63" s="33"/>
      <c r="F63" s="34"/>
      <c r="G63" s="35"/>
      <c r="H63" s="36"/>
      <c r="I63" s="36"/>
      <c r="J63" s="90"/>
      <c r="K63" s="20"/>
      <c r="L63" s="25"/>
    </row>
  </sheetData>
  <mergeCells count="43">
    <mergeCell ref="D16:D17"/>
    <mergeCell ref="C16:C17"/>
    <mergeCell ref="B16:B17"/>
    <mergeCell ref="G16:G17"/>
    <mergeCell ref="H16:H17"/>
    <mergeCell ref="I16:I17"/>
    <mergeCell ref="A1:M1"/>
    <mergeCell ref="A2:M2"/>
    <mergeCell ref="K16:K17"/>
    <mergeCell ref="J16:J17"/>
    <mergeCell ref="E16:E17"/>
    <mergeCell ref="L16:L17"/>
    <mergeCell ref="F16:F17"/>
    <mergeCell ref="B4:J4"/>
    <mergeCell ref="G5:I5"/>
    <mergeCell ref="G6:I6"/>
    <mergeCell ref="B7:D7"/>
    <mergeCell ref="G7:I7"/>
    <mergeCell ref="B49:L49"/>
    <mergeCell ref="B45:C45"/>
    <mergeCell ref="H45:I45"/>
    <mergeCell ref="B5:D5"/>
    <mergeCell ref="B6:D6"/>
    <mergeCell ref="B8:D8"/>
    <mergeCell ref="B9:D9"/>
    <mergeCell ref="G10:I10"/>
    <mergeCell ref="G8:I8"/>
    <mergeCell ref="G9:I9"/>
    <mergeCell ref="B42:F42"/>
    <mergeCell ref="H42:L42"/>
    <mergeCell ref="B44:C44"/>
    <mergeCell ref="H44:I44"/>
    <mergeCell ref="B46:C46"/>
    <mergeCell ref="H46:I46"/>
    <mergeCell ref="B47:C47"/>
    <mergeCell ref="H47:I47"/>
    <mergeCell ref="D57:E57"/>
    <mergeCell ref="D58:E58"/>
    <mergeCell ref="D59:E59"/>
    <mergeCell ref="B51:C51"/>
    <mergeCell ref="B52:C52"/>
    <mergeCell ref="D55:E55"/>
    <mergeCell ref="D56:E56"/>
  </mergeCells>
  <printOptions horizontalCentered="1"/>
  <pageMargins left="1" right="1" top="0.5" bottom="0.5" header="0.22" footer="0.24"/>
  <pageSetup fitToHeight="1" fitToWidth="1" horizontalDpi="600" verticalDpi="600" orientation="portrait" scale="52" r:id="rId2"/>
  <headerFooter alignWithMargins="0">
    <oddFooter>&amp;CPage C-&amp;P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Booz Allen &amp; Hamilton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BA&amp;H User</dc:creator>
  <cp:keywords/>
  <dc:description/>
  <cp:lastModifiedBy>deborah.freund</cp:lastModifiedBy>
  <cp:lastPrinted>2003-01-07T18:31:18Z</cp:lastPrinted>
  <dcterms:created xsi:type="dcterms:W3CDTF">2002-08-29T15:43:00Z</dcterms:created>
  <dcterms:modified xsi:type="dcterms:W3CDTF">2004-10-06T13:09:34Z</dcterms:modified>
  <cp:category/>
  <cp:version/>
  <cp:contentType/>
  <cp:contentStatus/>
</cp:coreProperties>
</file>