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Calculator" sheetId="1" r:id="rId1"/>
    <sheet name="Inputs-Results" sheetId="2" r:id="rId2"/>
  </sheets>
  <definedNames>
    <definedName name="AdjustedPrice">'Calculator'!$J$12</definedName>
    <definedName name="InflationAdjustment">'Calculator'!$J$16</definedName>
    <definedName name="UnadjustedPar">'Calculator'!$J$14</definedName>
    <definedName name="UnadjustedPrice">'Calculator'!$J$11</definedName>
  </definedNames>
  <calcPr fullCalcOnLoad="1"/>
</workbook>
</file>

<file path=xl/sharedStrings.xml><?xml version="1.0" encoding="utf-8"?>
<sst xmlns="http://schemas.openxmlformats.org/spreadsheetml/2006/main" count="66" uniqueCount="57">
  <si>
    <t>Settlement cost</t>
  </si>
  <si>
    <t>Accrued interest</t>
  </si>
  <si>
    <t xml:space="preserve"> </t>
  </si>
  <si>
    <t>rounded 5</t>
  </si>
  <si>
    <t>adjusted accrued interest per $1000</t>
  </si>
  <si>
    <t>premium(discount)</t>
  </si>
  <si>
    <t>inflation index on settlement day</t>
  </si>
  <si>
    <t>unadjusted accrued interest per $1000</t>
  </si>
  <si>
    <t>Inflation adjustment</t>
  </si>
  <si>
    <t>unrounded</t>
  </si>
  <si>
    <t>semiannual interest</t>
  </si>
  <si>
    <t>par purchased</t>
  </si>
  <si>
    <t>annual interest</t>
  </si>
  <si>
    <t>per</t>
  </si>
  <si>
    <t>coupon</t>
  </si>
  <si>
    <t>adjusted price</t>
  </si>
  <si>
    <t xml:space="preserve">no. of days accrued </t>
  </si>
  <si>
    <t>Settlement date</t>
  </si>
  <si>
    <t>unadjusted price</t>
  </si>
  <si>
    <t>no. of days this six months</t>
  </si>
  <si>
    <t>Next interest payment date</t>
  </si>
  <si>
    <t>Dated date</t>
  </si>
  <si>
    <t>Inputs</t>
  </si>
  <si>
    <t>Results</t>
  </si>
  <si>
    <t>Unadjusted Price</t>
  </si>
  <si>
    <t>example</t>
  </si>
  <si>
    <t>Coupon Interest Rate</t>
  </si>
  <si>
    <t>Par purchased</t>
  </si>
  <si>
    <t>Index-ratio on settlement date</t>
  </si>
  <si>
    <t>Adjusted Price</t>
  </si>
  <si>
    <t>Premium(Discount)</t>
  </si>
  <si>
    <t>Accrued Interest</t>
  </si>
  <si>
    <t>Total Settlement Cost</t>
  </si>
  <si>
    <t>Adjusted Par Holdings</t>
  </si>
  <si>
    <t>Input Values</t>
  </si>
  <si>
    <t>Definitions</t>
  </si>
  <si>
    <t>This is the fixed-interest percentage at an annual rate expressed to 3 decimal places.</t>
  </si>
  <si>
    <t>Gross Amount</t>
  </si>
  <si>
    <t>This is the total amount of face value purchased expressed in $100 increments.</t>
  </si>
  <si>
    <t>This is the next interest payment date to calculate accrued interest expressed as mm/dd/yyyy</t>
  </si>
  <si>
    <t>Settlement Calculator for Coupon Notes and Bonds including TIPS</t>
  </si>
  <si>
    <t>Note: For unoffical use only</t>
  </si>
  <si>
    <t>Red values are your inputs</t>
  </si>
  <si>
    <t>Tax Note:1</t>
  </si>
  <si>
    <t>Tax Note:2</t>
  </si>
  <si>
    <t>Tax Note:3</t>
  </si>
  <si>
    <t>The change in Inflation adjustment is taxable annually.</t>
  </si>
  <si>
    <t>The Premium(Discount) is subject to tax over the life of the security.</t>
  </si>
  <si>
    <t>Accrued Interest is tax deductible.</t>
  </si>
  <si>
    <t>This is the price per $100 before multiplying by the index-ratio, expressed to 6 decimal places.</t>
  </si>
  <si>
    <t>This is the date payment is made expressed as mm/dd/yyyy</t>
  </si>
  <si>
    <t>In versions of Excel prior to Excel 2007, the EOMONTH function is a part of the Analysis Toolpak. If you get an error when you try to use the function, you can make sure the toolpak is loaded in this manner:</t>
  </si>
  <si>
    <r>
      <t xml:space="preserve">1.     </t>
    </r>
    <r>
      <rPr>
        <sz val="12"/>
        <rFont val="Verdana"/>
        <family val="2"/>
      </rPr>
      <t xml:space="preserve">Choose Add-Ins from the Tools menu. Excel displays the Add-Ins dialog box. </t>
    </r>
  </si>
  <si>
    <r>
      <t xml:space="preserve">2.     </t>
    </r>
    <r>
      <rPr>
        <sz val="12"/>
        <rFont val="Verdana"/>
        <family val="2"/>
      </rPr>
      <t xml:space="preserve">Make sure the Analysis Toolpak check box is selected. </t>
    </r>
  </si>
  <si>
    <r>
      <t xml:space="preserve">3.     </t>
    </r>
    <r>
      <rPr>
        <sz val="12"/>
        <rFont val="Verdana"/>
        <family val="2"/>
      </rPr>
      <t xml:space="preserve">Click on OK. </t>
    </r>
  </si>
  <si>
    <t>This is the inflation adjustment, above one is inflation and below one is deflation, expressed to 5 decimal places.***</t>
  </si>
  <si>
    <t>***To find the index ratios, go to http://www.treasurydirect.gov/instit/annceresult/tipscpi/tipscpi_hiscpi.htm.   Note:  for non-TIPS, use 1.00000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</si>
</sst>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  <numFmt numFmtId="166" formatCode="0.0000000000"/>
    <numFmt numFmtId="167" formatCode="0.00000000000000"/>
    <numFmt numFmtId="168" formatCode="0.000000"/>
    <numFmt numFmtId="169" formatCode="0.000%"/>
    <numFmt numFmtId="170" formatCode="&quot;$&quot;#,##0"/>
    <numFmt numFmtId="171" formatCode="&quot;$&quot;#,##0.00"/>
    <numFmt numFmtId="172" formatCode="#,##0.0000000"/>
    <numFmt numFmtId="173" formatCode="#,##0.00000000_);\(#,##0.0000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168" fontId="2" fillId="0" borderId="0" xfId="0" applyNumberFormat="1" applyFont="1" applyAlignment="1" applyProtection="1">
      <alignment/>
      <protection locked="0"/>
    </xf>
    <xf numFmtId="169" fontId="2" fillId="0" borderId="0" xfId="0" applyNumberFormat="1" applyFont="1" applyAlignment="1" applyProtection="1">
      <alignment/>
      <protection locked="0"/>
    </xf>
    <xf numFmtId="170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L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.1484375" style="0" customWidth="1"/>
    <col min="2" max="2" width="1.8515625" style="0" customWidth="1"/>
    <col min="3" max="3" width="33.140625" style="0" customWidth="1"/>
    <col min="4" max="4" width="10.140625" style="0" bestFit="1" customWidth="1"/>
    <col min="5" max="5" width="18.00390625" style="0" customWidth="1"/>
    <col min="6" max="6" width="9.57421875" style="0" bestFit="1" customWidth="1"/>
    <col min="8" max="8" width="6.57421875" style="0" customWidth="1"/>
    <col min="9" max="9" width="17.28125" style="0" bestFit="1" customWidth="1"/>
    <col min="10" max="10" width="16.7109375" style="0" bestFit="1" customWidth="1"/>
    <col min="12" max="12" width="13.8515625" style="0" bestFit="1" customWidth="1"/>
  </cols>
  <sheetData>
    <row r="10" spans="3:4" ht="12.75">
      <c r="C10" t="s">
        <v>21</v>
      </c>
      <c r="D10" s="12">
        <f>IF(DAY(D11)=15,DATE(YEAR(D11),MONTH(D11)-6,DAY(D11)),DATE(YEAR(D11),MONTH(D11)-6,DAY(EOMONTH(D11,-6))))</f>
        <v>39828</v>
      </c>
    </row>
    <row r="11" spans="3:10" ht="12.75">
      <c r="C11" t="s">
        <v>20</v>
      </c>
      <c r="D11" s="10">
        <f>'Inputs-Results'!D9</f>
        <v>40009</v>
      </c>
      <c r="E11" s="7">
        <f>D11-D10</f>
        <v>181</v>
      </c>
      <c r="F11" t="s">
        <v>19</v>
      </c>
      <c r="I11" t="s">
        <v>18</v>
      </c>
      <c r="J11" s="11">
        <f>'Inputs-Results'!D4</f>
        <v>100.359375</v>
      </c>
    </row>
    <row r="12" spans="3:10" ht="12.75">
      <c r="C12" t="s">
        <v>17</v>
      </c>
      <c r="D12" s="10">
        <f>'Inputs-Results'!D8</f>
        <v>39983</v>
      </c>
      <c r="E12" s="7">
        <f>IF(D12=D11,0,D12-D10)</f>
        <v>155</v>
      </c>
      <c r="F12" t="s">
        <v>16</v>
      </c>
      <c r="I12" t="s">
        <v>15</v>
      </c>
      <c r="J12" s="9">
        <f>ROUND(J11*F18,6)</f>
        <v>99.577575</v>
      </c>
    </row>
    <row r="13" spans="3:4" ht="12.75">
      <c r="C13" t="s">
        <v>14</v>
      </c>
      <c r="D13" s="8">
        <f>'Inputs-Results'!D5</f>
        <v>0.025</v>
      </c>
    </row>
    <row r="14" spans="3:12" ht="12.75">
      <c r="C14" t="s">
        <v>13</v>
      </c>
      <c r="D14" s="7">
        <v>1000</v>
      </c>
      <c r="E14">
        <f>D14*D13</f>
        <v>25</v>
      </c>
      <c r="F14" t="s">
        <v>12</v>
      </c>
      <c r="I14" t="s">
        <v>11</v>
      </c>
      <c r="J14" s="6">
        <f>'Inputs-Results'!D6</f>
        <v>1000000</v>
      </c>
      <c r="L14" s="1">
        <f>(UnadjustedPar/100)*UnadjustedPrice</f>
        <v>1003593.75</v>
      </c>
    </row>
    <row r="15" spans="5:12" ht="12.75">
      <c r="E15">
        <f>E14/2</f>
        <v>12.5</v>
      </c>
      <c r="F15" t="s">
        <v>10</v>
      </c>
      <c r="L15" s="1"/>
    </row>
    <row r="16" spans="4:12" ht="12.75">
      <c r="D16" t="s">
        <v>9</v>
      </c>
      <c r="E16" s="5">
        <f>E15/E11</f>
        <v>0.06906077348066299</v>
      </c>
      <c r="H16" s="4" t="s">
        <v>2</v>
      </c>
      <c r="I16" t="s">
        <v>8</v>
      </c>
      <c r="J16" s="41">
        <f>(J14*F18)-J14</f>
        <v>-7790</v>
      </c>
      <c r="L16" s="1"/>
    </row>
    <row r="17" spans="3:12" ht="12.75">
      <c r="C17" t="s">
        <v>7</v>
      </c>
      <c r="D17" t="s">
        <v>3</v>
      </c>
      <c r="E17" s="2">
        <f>ROUND(E16*E12,5)</f>
        <v>10.70442</v>
      </c>
      <c r="F17" s="2" t="s">
        <v>2</v>
      </c>
      <c r="H17" t="s">
        <v>2</v>
      </c>
      <c r="L17" s="1"/>
    </row>
    <row r="18" spans="3:12" ht="12.75">
      <c r="C18" t="s">
        <v>6</v>
      </c>
      <c r="F18" s="3">
        <f>'Inputs-Results'!D7</f>
        <v>0.99221</v>
      </c>
      <c r="I18" t="s">
        <v>5</v>
      </c>
      <c r="J18" s="42">
        <f>J20-InflationAdjustment-UnadjustedPar</f>
        <v>3565.75</v>
      </c>
      <c r="L18" s="1">
        <f>UnadjustedPar+InflationAdjustment-L14</f>
        <v>-11383.75</v>
      </c>
    </row>
    <row r="19" spans="3:12" ht="12.75">
      <c r="C19" t="s">
        <v>4</v>
      </c>
      <c r="D19" t="s">
        <v>3</v>
      </c>
      <c r="E19" s="2">
        <f>ROUND(E17*F18,5)</f>
        <v>10.62103</v>
      </c>
      <c r="F19" s="2" t="s">
        <v>2</v>
      </c>
      <c r="L19" s="1"/>
    </row>
    <row r="20" spans="10:12" ht="12.75">
      <c r="J20" s="41">
        <f>ROUND(AdjustedPrice*(UnadjustedPar/100),2)</f>
        <v>995775.75</v>
      </c>
      <c r="L20" s="1">
        <f>UnadjustedPar+InflationAdjustment</f>
        <v>992210</v>
      </c>
    </row>
    <row r="21" ht="12.75">
      <c r="L21" s="1">
        <f>L20/100</f>
        <v>9922.1</v>
      </c>
    </row>
    <row r="22" spans="9:12" ht="12.75">
      <c r="I22" t="s">
        <v>1</v>
      </c>
      <c r="J22" s="1">
        <f>E19*(J14/1000)</f>
        <v>10621.029999999999</v>
      </c>
      <c r="L22" s="1">
        <f>L21*UnadjustedPrice</f>
        <v>995775.7546875001</v>
      </c>
    </row>
    <row r="23" ht="12.75">
      <c r="L23" s="1">
        <f>L22-L20</f>
        <v>3565.75468750007</v>
      </c>
    </row>
    <row r="24" spans="9:10" ht="12.75">
      <c r="I24" t="s">
        <v>0</v>
      </c>
      <c r="J24" s="1">
        <f>J20+J22</f>
        <v>1006396.78</v>
      </c>
    </row>
    <row r="27" ht="12.75">
      <c r="J27" s="1">
        <v>1006396.78</v>
      </c>
    </row>
    <row r="29" ht="12.75">
      <c r="J29" s="1">
        <f>J27-J24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31.7109375" style="0" customWidth="1"/>
    <col min="2" max="2" width="17.8515625" style="0" customWidth="1"/>
    <col min="3" max="3" width="4.00390625" style="0" customWidth="1"/>
    <col min="4" max="4" width="18.421875" style="0" customWidth="1"/>
    <col min="5" max="5" width="10.7109375" style="0" customWidth="1"/>
    <col min="7" max="7" width="11.140625" style="0" customWidth="1"/>
    <col min="9" max="9" width="12.7109375" style="0" bestFit="1" customWidth="1"/>
    <col min="13" max="13" width="69.00390625" style="0" customWidth="1"/>
  </cols>
  <sheetData>
    <row r="1" spans="1:4" ht="12.75">
      <c r="A1" s="49" t="s">
        <v>40</v>
      </c>
      <c r="B1" s="49"/>
      <c r="C1" s="49"/>
      <c r="D1" s="49"/>
    </row>
    <row r="2" spans="1:4" ht="12.75">
      <c r="A2" s="44" t="s">
        <v>42</v>
      </c>
      <c r="B2" s="13"/>
      <c r="C2" s="13"/>
      <c r="D2" s="13"/>
    </row>
    <row r="3" spans="1:6" ht="12.75">
      <c r="A3" s="43" t="s">
        <v>22</v>
      </c>
      <c r="B3" s="51" t="s">
        <v>25</v>
      </c>
      <c r="C3" s="43"/>
      <c r="D3" s="43" t="s">
        <v>34</v>
      </c>
      <c r="E3" s="52"/>
      <c r="F3" s="43" t="s">
        <v>35</v>
      </c>
    </row>
    <row r="4" spans="1:6" ht="12.75">
      <c r="A4" t="s">
        <v>24</v>
      </c>
      <c r="B4" s="26">
        <v>100.359375</v>
      </c>
      <c r="D4" s="36">
        <v>100.359375</v>
      </c>
      <c r="F4" s="15" t="s">
        <v>49</v>
      </c>
    </row>
    <row r="5" spans="1:6" ht="12.75">
      <c r="A5" t="s">
        <v>26</v>
      </c>
      <c r="B5" s="27">
        <v>0.025</v>
      </c>
      <c r="C5" s="14"/>
      <c r="D5" s="37">
        <v>0.025</v>
      </c>
      <c r="F5" t="s">
        <v>36</v>
      </c>
    </row>
    <row r="6" spans="1:6" ht="12.75">
      <c r="A6" s="15" t="s">
        <v>27</v>
      </c>
      <c r="B6" s="28">
        <v>1000000</v>
      </c>
      <c r="C6" s="16"/>
      <c r="D6" s="38">
        <v>1000000</v>
      </c>
      <c r="F6" s="15" t="s">
        <v>38</v>
      </c>
    </row>
    <row r="7" spans="1:14" ht="12.75" customHeight="1">
      <c r="A7" s="15" t="s">
        <v>28</v>
      </c>
      <c r="B7" s="29">
        <v>0.99221</v>
      </c>
      <c r="C7" s="2"/>
      <c r="D7" s="39">
        <v>0.99221</v>
      </c>
      <c r="F7" s="53" t="s">
        <v>55</v>
      </c>
      <c r="G7" s="50"/>
      <c r="H7" s="50"/>
      <c r="I7" s="50"/>
      <c r="J7" s="50"/>
      <c r="K7" s="50"/>
      <c r="L7" s="50"/>
      <c r="M7" s="50"/>
      <c r="N7" s="50"/>
    </row>
    <row r="8" spans="1:6" ht="12.75">
      <c r="A8" s="15" t="s">
        <v>17</v>
      </c>
      <c r="B8" s="30">
        <v>39983</v>
      </c>
      <c r="C8" s="17"/>
      <c r="D8" s="40">
        <v>39983</v>
      </c>
      <c r="F8" s="25" t="s">
        <v>50</v>
      </c>
    </row>
    <row r="9" spans="1:6" ht="12.75">
      <c r="A9" s="15" t="s">
        <v>20</v>
      </c>
      <c r="B9" s="30">
        <v>40009</v>
      </c>
      <c r="C9" s="17"/>
      <c r="D9" s="40">
        <v>40009</v>
      </c>
      <c r="F9" s="25" t="s">
        <v>39</v>
      </c>
    </row>
    <row r="11" ht="12.75">
      <c r="A11" s="13" t="s">
        <v>23</v>
      </c>
    </row>
    <row r="12" spans="1:4" ht="12.75">
      <c r="A12" s="15" t="s">
        <v>29</v>
      </c>
      <c r="B12" s="31">
        <v>99.577575</v>
      </c>
      <c r="C12" s="19"/>
      <c r="D12" s="23">
        <f>AdjustedPrice</f>
        <v>99.577575</v>
      </c>
    </row>
    <row r="13" spans="1:4" ht="12.75">
      <c r="A13" s="15" t="s">
        <v>27</v>
      </c>
      <c r="B13" s="32">
        <v>1000000</v>
      </c>
      <c r="C13" s="18"/>
      <c r="D13" s="18">
        <f>D6</f>
        <v>1000000</v>
      </c>
    </row>
    <row r="14" spans="1:6" ht="12.75">
      <c r="A14" s="15" t="s">
        <v>8</v>
      </c>
      <c r="B14" s="32">
        <v>-7790</v>
      </c>
      <c r="C14" s="18"/>
      <c r="D14" s="18">
        <f>InflationAdjustment</f>
        <v>-7790</v>
      </c>
      <c r="E14" t="s">
        <v>43</v>
      </c>
      <c r="F14" t="s">
        <v>46</v>
      </c>
    </row>
    <row r="15" spans="1:6" ht="12.75">
      <c r="A15" s="15" t="s">
        <v>30</v>
      </c>
      <c r="B15" s="33">
        <v>3565.7546874999534</v>
      </c>
      <c r="C15" s="20"/>
      <c r="D15" s="20">
        <f>Calculator!J18</f>
        <v>3565.75</v>
      </c>
      <c r="E15" t="s">
        <v>44</v>
      </c>
      <c r="F15" t="s">
        <v>47</v>
      </c>
    </row>
    <row r="16" spans="1:9" ht="12.75">
      <c r="A16" s="15" t="s">
        <v>37</v>
      </c>
      <c r="B16" s="32">
        <v>995775.75</v>
      </c>
      <c r="C16" s="18"/>
      <c r="D16" s="18">
        <f>SUM(D13:D15)</f>
        <v>995775.75</v>
      </c>
      <c r="I16" s="24" t="s">
        <v>2</v>
      </c>
    </row>
    <row r="17" spans="1:6" ht="12.75">
      <c r="A17" s="15" t="s">
        <v>31</v>
      </c>
      <c r="B17" s="34">
        <v>10621.03</v>
      </c>
      <c r="C17" s="21"/>
      <c r="D17" s="21">
        <f>Calculator!J22</f>
        <v>10621.029999999999</v>
      </c>
      <c r="E17" t="s">
        <v>45</v>
      </c>
      <c r="F17" t="s">
        <v>48</v>
      </c>
    </row>
    <row r="18" spans="1:4" ht="13.5" thickBot="1">
      <c r="A18" s="15" t="s">
        <v>32</v>
      </c>
      <c r="B18" s="35">
        <v>1006396.78</v>
      </c>
      <c r="C18" s="22"/>
      <c r="D18" s="22">
        <f>D16+D17</f>
        <v>1006396.78</v>
      </c>
    </row>
    <row r="19" ht="13.5" thickTop="1"/>
    <row r="20" spans="1:15" ht="12.75">
      <c r="A20" s="15" t="s">
        <v>33</v>
      </c>
      <c r="B20" s="32">
        <f>B13+B14</f>
        <v>992210</v>
      </c>
      <c r="D20" s="18">
        <f>D13+D14</f>
        <v>992210</v>
      </c>
      <c r="F20" s="50" t="s">
        <v>56</v>
      </c>
      <c r="G20" s="50"/>
      <c r="H20" s="50"/>
      <c r="I20" s="50"/>
      <c r="J20" s="50"/>
      <c r="K20" s="50"/>
      <c r="L20" s="50"/>
      <c r="M20" s="50"/>
      <c r="N20" s="50"/>
      <c r="O20" s="50"/>
    </row>
    <row r="22" ht="12.75">
      <c r="A22" t="s">
        <v>41</v>
      </c>
    </row>
    <row r="24" ht="135">
      <c r="A24" s="46" t="s">
        <v>51</v>
      </c>
    </row>
    <row r="25" ht="12.75">
      <c r="A25" s="45"/>
    </row>
    <row r="26" ht="60">
      <c r="A26" s="47" t="s">
        <v>52</v>
      </c>
    </row>
    <row r="27" spans="1:5" ht="45">
      <c r="A27" s="47" t="s">
        <v>53</v>
      </c>
      <c r="D27" s="18"/>
      <c r="E27" s="18"/>
    </row>
    <row r="28" spans="1:5" ht="15">
      <c r="A28" s="47" t="s">
        <v>54</v>
      </c>
      <c r="D28" s="18"/>
      <c r="E28" s="18"/>
    </row>
    <row r="29" spans="1:5" ht="12.75">
      <c r="A29" s="48"/>
      <c r="D29" s="18"/>
      <c r="E29" s="18"/>
    </row>
  </sheetData>
  <sheetProtection/>
  <mergeCells count="3">
    <mergeCell ref="A1:D1"/>
    <mergeCell ref="F20:O20"/>
    <mergeCell ref="F7:N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Morris</dc:creator>
  <cp:keywords/>
  <dc:description/>
  <cp:lastModifiedBy>lburke</cp:lastModifiedBy>
  <cp:lastPrinted>2009-06-25T13:13:46Z</cp:lastPrinted>
  <dcterms:created xsi:type="dcterms:W3CDTF">2009-06-23T11:56:42Z</dcterms:created>
  <dcterms:modified xsi:type="dcterms:W3CDTF">2009-09-28T23:07:57Z</dcterms:modified>
  <cp:category/>
  <cp:version/>
  <cp:contentType/>
  <cp:contentStatus/>
</cp:coreProperties>
</file>