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360" windowHeight="9000"/>
  </bookViews>
  <sheets>
    <sheet name="Sealed Bid" sheetId="4" r:id="rId1"/>
    <sheet name="MATOC (price only)" sheetId="10" r:id="rId2"/>
    <sheet name="MATOC (evaluation factors)" sheetId="11" r:id="rId3"/>
    <sheet name="Negotiated" sheetId="13" r:id="rId4"/>
    <sheet name="8(a)" sheetId="12" r:id="rId5"/>
  </sheets>
  <definedNames>
    <definedName name="Arrives" comment="Arrival date in PS&amp;E" localSheetId="4">'8(a)'!$D$27</definedName>
    <definedName name="Arrives" comment="Arrival date in PS&amp;E" localSheetId="2">'MATOC (evaluation factors)'!$D$27</definedName>
    <definedName name="Arrives" comment="Arrival date in PS&amp;E" localSheetId="1">'MATOC (price only)'!$D$24</definedName>
    <definedName name="Arrives" comment="Arrival date in PS&amp;E" localSheetId="3">Negotiated!$D$30</definedName>
    <definedName name="Arrives" comment="Arrival date in PS&amp;E" localSheetId="0">'Sealed Bid'!$D$24</definedName>
    <definedName name="Christmas" comment="Days to add near Christmas">'Sealed Bid'!$H$36:$J$42</definedName>
    <definedName name="Holidays" comment="Holiday Listing for current and next years" localSheetId="4">'8(a)'!$B$39:$B$60</definedName>
    <definedName name="Holidays" comment="Holiday Listing for current and next years" localSheetId="2">'MATOC (evaluation factors)'!$B$39:$B$60</definedName>
    <definedName name="Holidays" comment="Holiday Listing for current and next years" localSheetId="1">'MATOC (price only)'!$B$36:$B$57</definedName>
    <definedName name="Holidays" comment="Holiday Listing for current and next years" localSheetId="3">Negotiated!$B$40:$B$61</definedName>
    <definedName name="Holidays" comment="Holiday Listing for current and next years" localSheetId="0">'Sealed Bid'!$B$35:$B$56</definedName>
    <definedName name="Montana" comment="Toggle for Montana projects" localSheetId="0">'Sealed Bid'!$D$25</definedName>
    <definedName name="_xlnm.Print_Area" localSheetId="4">'8(a)'!$B$2:$G$37</definedName>
    <definedName name="_xlnm.Print_Area" localSheetId="2">'MATOC (evaluation factors)'!$B$2:$G$37</definedName>
    <definedName name="_xlnm.Print_Area" localSheetId="1">'MATOC (price only)'!$B$2:$G$34</definedName>
    <definedName name="_xlnm.Print_Area" localSheetId="3">Negotiated!$B$2:$G$38</definedName>
    <definedName name="_xlnm.Print_Area" localSheetId="0">'Sealed Bid'!$B$2:$G$33</definedName>
    <definedName name="Year" comment="Year for calculating holidays" localSheetId="4">'8(a)'!$B$38</definedName>
    <definedName name="Year" comment="Year for calculating holidays" localSheetId="2">'MATOC (evaluation factors)'!$B$38</definedName>
    <definedName name="Year" comment="Year for calculating holidays" localSheetId="1">'MATOC (price only)'!$B$35</definedName>
    <definedName name="Year" comment="Year for calculating holidays" localSheetId="3">Negotiated!$B$39</definedName>
    <definedName name="Year" comment="Year for calculating holidays" localSheetId="0">'Sealed Bid'!$B$34</definedName>
  </definedNames>
  <calcPr calcId="145621"/>
</workbook>
</file>

<file path=xl/calcChain.xml><?xml version="1.0" encoding="utf-8"?>
<calcChain xmlns="http://schemas.openxmlformats.org/spreadsheetml/2006/main">
  <c r="F9" i="13" l="1"/>
  <c r="B38" i="12"/>
  <c r="B60" i="12" s="1"/>
  <c r="B39" i="13"/>
  <c r="B61" i="13" s="1"/>
  <c r="B38" i="11"/>
  <c r="B60" i="11" s="1"/>
  <c r="B35" i="10"/>
  <c r="B57" i="10" s="1"/>
  <c r="F9" i="12"/>
  <c r="H9" i="12"/>
  <c r="H9" i="13"/>
  <c r="F9" i="11"/>
  <c r="H9" i="11"/>
  <c r="H9" i="10"/>
  <c r="F9" i="10"/>
  <c r="B40" i="12" l="1"/>
  <c r="B42" i="12"/>
  <c r="B44" i="12"/>
  <c r="B46" i="12"/>
  <c r="B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B39" i="12"/>
  <c r="B41" i="12"/>
  <c r="B43" i="12"/>
  <c r="B45" i="12"/>
  <c r="B47" i="12"/>
  <c r="B49" i="12"/>
  <c r="B50" i="12"/>
  <c r="B51" i="12"/>
  <c r="B52" i="12"/>
  <c r="B53" i="12"/>
  <c r="B54" i="12"/>
  <c r="B55" i="12"/>
  <c r="B56" i="12"/>
  <c r="B57" i="12"/>
  <c r="B58" i="12"/>
  <c r="B59" i="12"/>
  <c r="B41" i="13"/>
  <c r="B43" i="13"/>
  <c r="B45" i="13"/>
  <c r="B47" i="13"/>
  <c r="B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B40" i="13"/>
  <c r="B42" i="13"/>
  <c r="B44" i="13"/>
  <c r="B46" i="13"/>
  <c r="B48" i="13"/>
  <c r="B50" i="13"/>
  <c r="B51" i="13"/>
  <c r="B52" i="13"/>
  <c r="B53" i="13"/>
  <c r="B54" i="13"/>
  <c r="B55" i="13"/>
  <c r="B56" i="13"/>
  <c r="B57" i="13"/>
  <c r="B58" i="13"/>
  <c r="B59" i="13"/>
  <c r="B60" i="13"/>
  <c r="B40" i="11"/>
  <c r="B42" i="11"/>
  <c r="B44" i="11"/>
  <c r="B46" i="11"/>
  <c r="B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B39" i="11"/>
  <c r="B41" i="11"/>
  <c r="B43" i="11"/>
  <c r="B45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37" i="10"/>
  <c r="B39" i="10"/>
  <c r="B41" i="10"/>
  <c r="B43" i="10"/>
  <c r="B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B36" i="10"/>
  <c r="B38" i="10"/>
  <c r="B40" i="10"/>
  <c r="B42" i="10"/>
  <c r="B44" i="10"/>
  <c r="B46" i="10"/>
  <c r="B47" i="10"/>
  <c r="B48" i="10"/>
  <c r="B49" i="10"/>
  <c r="B50" i="10"/>
  <c r="B51" i="10"/>
  <c r="B52" i="10"/>
  <c r="B53" i="10"/>
  <c r="B54" i="10"/>
  <c r="B55" i="10"/>
  <c r="B56" i="10"/>
  <c r="F15" i="4" l="1"/>
  <c r="G15" i="4"/>
  <c r="F9" i="4"/>
  <c r="H15" i="4"/>
  <c r="H9" i="4"/>
  <c r="F24" i="12"/>
  <c r="H24" i="12"/>
  <c r="C27" i="12"/>
  <c r="F24" i="11"/>
  <c r="H24" i="11"/>
  <c r="H15" i="11"/>
  <c r="C27" i="11"/>
  <c r="F21" i="10"/>
  <c r="H21" i="10"/>
  <c r="C24" i="10"/>
  <c r="F27" i="13"/>
  <c r="H18" i="13"/>
  <c r="H24" i="13"/>
  <c r="H27" i="13"/>
  <c r="C30" i="13"/>
  <c r="B34" i="4"/>
  <c r="B35" i="4" s="1"/>
  <c r="B50" i="4"/>
  <c r="F21" i="4"/>
  <c r="F18" i="4"/>
  <c r="H18" i="4"/>
  <c r="H21" i="4"/>
  <c r="C55" i="4"/>
  <c r="C24" i="4"/>
  <c r="C46" i="4"/>
  <c r="C50" i="4"/>
  <c r="B42" i="4" l="1"/>
  <c r="B54" i="4"/>
  <c r="B46" i="4"/>
  <c r="B38" i="4"/>
  <c r="C52" i="4"/>
  <c r="C48" i="4"/>
  <c r="B56" i="4"/>
  <c r="B52" i="4"/>
  <c r="B48" i="4"/>
  <c r="B44" i="4"/>
  <c r="B40" i="4"/>
  <c r="B36" i="4"/>
  <c r="D27" i="13"/>
  <c r="F28" i="13" s="1"/>
  <c r="C53" i="4"/>
  <c r="C51" i="4"/>
  <c r="C49" i="4"/>
  <c r="C47" i="4"/>
  <c r="C45" i="4"/>
  <c r="C54" i="4"/>
  <c r="C56" i="4"/>
  <c r="B55" i="4"/>
  <c r="B53" i="4"/>
  <c r="B51" i="4"/>
  <c r="B49" i="4"/>
  <c r="B47" i="4"/>
  <c r="B45" i="4"/>
  <c r="B43" i="4"/>
  <c r="B41" i="4"/>
  <c r="B39" i="4"/>
  <c r="D21" i="4" s="1"/>
  <c r="F22" i="4" s="1"/>
  <c r="B37" i="4"/>
  <c r="D24" i="11"/>
  <c r="D24" i="12"/>
  <c r="D24" i="13" l="1"/>
  <c r="I21" i="13" s="1"/>
  <c r="J21" i="13" s="1"/>
  <c r="D21" i="13" s="1"/>
  <c r="D21" i="11"/>
  <c r="I18" i="11" s="1"/>
  <c r="J18" i="11" s="1"/>
  <c r="D18" i="11" s="1"/>
  <c r="F25" i="11"/>
  <c r="D21" i="10"/>
  <c r="D18" i="4"/>
  <c r="I15" i="4" s="1"/>
  <c r="J15" i="4" s="1"/>
  <c r="D15" i="4" s="1"/>
  <c r="D21" i="12"/>
  <c r="F25" i="12"/>
  <c r="F22" i="11" l="1"/>
  <c r="F25" i="13"/>
  <c r="F22" i="10"/>
  <c r="D18" i="10"/>
  <c r="F19" i="4"/>
  <c r="D18" i="13"/>
  <c r="I20" i="13"/>
  <c r="J20" i="13"/>
  <c r="F22" i="13"/>
  <c r="B37" i="13"/>
  <c r="I18" i="12"/>
  <c r="J18" i="12" s="1"/>
  <c r="D18" i="12" s="1"/>
  <c r="F22" i="12"/>
  <c r="I14" i="4"/>
  <c r="F16" i="4"/>
  <c r="D12" i="4"/>
  <c r="B32" i="4"/>
  <c r="J14" i="4"/>
  <c r="D15" i="11"/>
  <c r="B36" i="11"/>
  <c r="I17" i="11"/>
  <c r="F19" i="11"/>
  <c r="J17" i="11"/>
  <c r="F19" i="10" l="1"/>
  <c r="I15" i="10"/>
  <c r="J15" i="10" s="1"/>
  <c r="D15" i="10" s="1"/>
  <c r="F13" i="4"/>
  <c r="D9" i="4"/>
  <c r="E6" i="4" s="1"/>
  <c r="F19" i="12"/>
  <c r="D15" i="12"/>
  <c r="J17" i="12"/>
  <c r="I17" i="12"/>
  <c r="B36" i="12"/>
  <c r="D12" i="11"/>
  <c r="F16" i="11"/>
  <c r="F19" i="13"/>
  <c r="D15" i="13"/>
  <c r="F16" i="10" l="1"/>
  <c r="D12" i="10"/>
  <c r="I14" i="10"/>
  <c r="J14" i="10"/>
  <c r="B33" i="10"/>
  <c r="D12" i="13"/>
  <c r="F16" i="13"/>
  <c r="F13" i="11"/>
  <c r="D9" i="11"/>
  <c r="F16" i="12"/>
  <c r="D12" i="12"/>
  <c r="G8" i="4"/>
  <c r="F10" i="4"/>
  <c r="F10" i="11" l="1"/>
  <c r="E6" i="11"/>
  <c r="D9" i="10"/>
  <c r="F13" i="10"/>
  <c r="D9" i="13"/>
  <c r="F13" i="13"/>
  <c r="F13" i="12"/>
  <c r="D9" i="12"/>
  <c r="G8" i="11"/>
  <c r="F10" i="12" l="1"/>
  <c r="E6" i="12"/>
  <c r="F10" i="10"/>
  <c r="E6" i="10"/>
  <c r="F10" i="13"/>
  <c r="E6" i="13"/>
  <c r="G8" i="10"/>
  <c r="G8" i="13"/>
  <c r="G8" i="12"/>
</calcChain>
</file>

<file path=xl/sharedStrings.xml><?xml version="1.0" encoding="utf-8"?>
<sst xmlns="http://schemas.openxmlformats.org/spreadsheetml/2006/main" count="210" uniqueCount="77">
  <si>
    <t>Award Date</t>
  </si>
  <si>
    <t>Bid Opening Date</t>
  </si>
  <si>
    <t>Ad Date</t>
  </si>
  <si>
    <t>Arrives in PS&amp;E</t>
  </si>
  <si>
    <t>Notice to Proceed Date</t>
  </si>
  <si>
    <t>Arrives in Contracts Date</t>
  </si>
  <si>
    <t>Proposal Receipt Date</t>
  </si>
  <si>
    <t>Sealed Bid</t>
  </si>
  <si>
    <t>PS&amp;E to Notice to Proceed Calculation</t>
  </si>
  <si>
    <t>End of Negotiation Period Date</t>
  </si>
  <si>
    <t>End of Evaluation Period Date</t>
  </si>
  <si>
    <t>8(a) Sole Source</t>
  </si>
  <si>
    <t>Negotiated (Best Value or IDIQ)</t>
  </si>
  <si>
    <t>Calendar days between Bid opening and award</t>
  </si>
  <si>
    <t>Calendar days between Arrives in contracts and on ad</t>
  </si>
  <si>
    <t>Calendar days between PS&amp;E and contracts</t>
  </si>
  <si>
    <t>Please Note:</t>
  </si>
  <si>
    <t xml:space="preserve">1. The ad date must be Mon through Fri. </t>
  </si>
  <si>
    <t>3. The award date must be Mon through Fri.</t>
  </si>
  <si>
    <t>Calendar days between negotiation and award</t>
  </si>
  <si>
    <t>Calendar days between Ad date and Proposal Receipt</t>
  </si>
  <si>
    <t>MATOC Task Order with no evaluation factors (price only)</t>
  </si>
  <si>
    <t xml:space="preserve">    (could be less depending on size/complexity of project)</t>
  </si>
  <si>
    <t>MATOC Task Order with evaluation factors</t>
  </si>
  <si>
    <t>Calendar days between evaluation and award</t>
  </si>
  <si>
    <t>Provide a set of plans and specifications for each contract holder to Contracts at PIH stage.  See Contracts for clarification.</t>
  </si>
  <si>
    <t>Provide a set of plans and specifications to Contracts at PIH stage.  See Contracts for clarification.</t>
  </si>
  <si>
    <t xml:space="preserve">   (Assumes no price negotiations are required)</t>
  </si>
  <si>
    <t>New Years Day</t>
  </si>
  <si>
    <t>Martin Luther King Day</t>
  </si>
  <si>
    <t>President's Day</t>
  </si>
  <si>
    <t>Memorial Day</t>
  </si>
  <si>
    <t>Independence Day</t>
  </si>
  <si>
    <t>Labor Day</t>
  </si>
  <si>
    <t>Columbus Day</t>
  </si>
  <si>
    <t>Veteran's Day</t>
  </si>
  <si>
    <t>Thanksgiving</t>
  </si>
  <si>
    <t>Christmas</t>
  </si>
  <si>
    <t>Sun</t>
  </si>
  <si>
    <t>Mon</t>
  </si>
  <si>
    <t>Christmas on</t>
  </si>
  <si>
    <t>Days Added</t>
  </si>
  <si>
    <t>Tues</t>
  </si>
  <si>
    <t>Holiday period</t>
  </si>
  <si>
    <t>Wed</t>
  </si>
  <si>
    <t>Thur</t>
  </si>
  <si>
    <t>Wed 12/24 to Sun 1/4</t>
  </si>
  <si>
    <t>Fri</t>
  </si>
  <si>
    <t>Thur 12/24 to Sun 1/3</t>
  </si>
  <si>
    <t>Sat</t>
  </si>
  <si>
    <t>Fri 12/24 to Sun 1/2</t>
  </si>
  <si>
    <t>Sat 12/21 to Wed 1/1</t>
  </si>
  <si>
    <t>Sat 12/22 to Tues 1/1</t>
  </si>
  <si>
    <t>Sat 12/23 to Mon 1/1</t>
  </si>
  <si>
    <t>Sat 12/24 to Mon 1/2</t>
  </si>
  <si>
    <t xml:space="preserve">It is also preferred to not have a bid opening date between Thanksgiving and the first week of January.  </t>
  </si>
  <si>
    <t xml:space="preserve">2. The bid opening date must be Tue through Fri and cannot be a holiday or the day after a holiday.  </t>
  </si>
  <si>
    <t xml:space="preserve"> &lt;-- Enter Date here</t>
  </si>
  <si>
    <t>^- Adds days</t>
  </si>
  <si>
    <t>^- Weekends/Holiday/Monday check</t>
  </si>
  <si>
    <t>Code</t>
  </si>
  <si>
    <t>Thanksgiving - first week Jan</t>
  </si>
  <si>
    <t>Assumed dates excluded</t>
  </si>
  <si>
    <t xml:space="preserve">2. The proposal receipt date must be Tue through Fri and cannot be a holiday or the day after a holiday.  </t>
  </si>
  <si>
    <t xml:space="preserve">It is also preferred to not have a proposal receipt date between Thanksgiving and the first week of January.  </t>
  </si>
  <si>
    <t>Calendar days between proposal reciept and award</t>
  </si>
  <si>
    <t>Calendar days between proposal receipt and evaluation end</t>
  </si>
  <si>
    <t>Calendar days between proposal receipt and negotiation</t>
  </si>
  <si>
    <t>Calendar days between receipt of proposals and evaluation</t>
  </si>
  <si>
    <t>Calendar days between evaluation and negotiation end</t>
  </si>
  <si>
    <t xml:space="preserve"> &lt;-- Enter Yes or No here</t>
  </si>
  <si>
    <t>Is this project in Montana?</t>
  </si>
  <si>
    <t>No</t>
  </si>
  <si>
    <t>&lt;&lt;Project number&gt;&gt;</t>
  </si>
  <si>
    <t>Default Dates</t>
  </si>
  <si>
    <t>Calendar days between award and NTP</t>
  </si>
  <si>
    <t>Requested Notice to Proceed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</si>
</sst>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"/>
    <numFmt numFmtId="165" formatCode="\(ddd\)"/>
    <numFmt numFmtId="166" formatCode="General\ &quot;Holidays&quot;"/>
    <numFmt numFmtId="167" formatCode="ddd\ m/d/yyyy"/>
    <numFmt numFmtId="168" formatCode="&quot;for &quot;@"/>
  </numFmts>
  <fonts count="14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Comic Sans MS"/>
      <family val="4"/>
    </font>
    <font>
      <i/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333333"/>
      <name val="Arial"/>
      <family val="2"/>
    </font>
    <font>
      <b/>
      <sz val="10"/>
      <color rgb="FFFFFFFF"/>
      <name val="Comic Sans MS"/>
      <family val="4"/>
    </font>
    <font>
      <sz val="10"/>
      <color rgb="FFFFFFFF"/>
      <name val="Comic Sans MS"/>
      <family val="4"/>
    </font>
    <font>
      <sz val="10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9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rgb="FF333333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2" borderId="0"/>
  </cellStyleXfs>
  <cellXfs count="76">
    <xf numFmtId="0" fontId="0" fillId="2" borderId="0" xfId="0"/>
    <xf numFmtId="0" fontId="0" fillId="2" borderId="0" xfId="0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center"/>
    </xf>
    <xf numFmtId="0" fontId="0" fillId="2" borderId="0" xfId="0" applyProtection="1"/>
    <xf numFmtId="0" fontId="1" fillId="2" borderId="0" xfId="0" applyFont="1" applyProtection="1"/>
    <xf numFmtId="165" fontId="2" fillId="0" borderId="0" xfId="0" applyNumberFormat="1" applyFont="1" applyFill="1" applyBorder="1" applyAlignment="1" applyProtection="1">
      <alignment horizontal="left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164" fontId="0" fillId="0" borderId="1" xfId="0" applyNumberForma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 indent="1"/>
    </xf>
    <xf numFmtId="164" fontId="0" fillId="0" borderId="0" xfId="0" applyNumberFormat="1" applyFill="1" applyBorder="1" applyProtection="1"/>
    <xf numFmtId="0" fontId="0" fillId="0" borderId="0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left" indent="3"/>
    </xf>
    <xf numFmtId="0" fontId="4" fillId="0" borderId="0" xfId="0" applyFont="1" applyFill="1" applyBorder="1" applyAlignment="1" applyProtection="1">
      <alignment horizontal="left" indent="1"/>
    </xf>
    <xf numFmtId="0" fontId="2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left" indent="1"/>
    </xf>
    <xf numFmtId="0" fontId="0" fillId="0" borderId="0" xfId="0" applyFill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7" fillId="0" borderId="0" xfId="0" applyFont="1" applyFill="1" applyBorder="1" applyProtection="1"/>
    <xf numFmtId="14" fontId="0" fillId="2" borderId="0" xfId="0" applyNumberFormat="1" applyProtection="1"/>
    <xf numFmtId="167" fontId="0" fillId="4" borderId="3" xfId="0" applyNumberFormat="1" applyFill="1" applyBorder="1" applyAlignment="1" applyProtection="1">
      <alignment horizontal="center"/>
    </xf>
    <xf numFmtId="167" fontId="0" fillId="2" borderId="0" xfId="0" quotePrefix="1" applyNumberFormat="1" applyProtection="1"/>
    <xf numFmtId="167" fontId="0" fillId="0" borderId="0" xfId="0" applyNumberFormat="1" applyFill="1" applyAlignment="1" applyProtection="1">
      <alignment horizontal="center"/>
    </xf>
    <xf numFmtId="167" fontId="0" fillId="2" borderId="0" xfId="0" applyNumberFormat="1" applyProtection="1"/>
    <xf numFmtId="167" fontId="0" fillId="0" borderId="0" xfId="0" quotePrefix="1" applyNumberFormat="1" applyFill="1" applyAlignment="1" applyProtection="1">
      <alignment horizontal="center"/>
    </xf>
    <xf numFmtId="0" fontId="0" fillId="2" borderId="0" xfId="0" quotePrefix="1" applyProtection="1"/>
    <xf numFmtId="16" fontId="0" fillId="2" borderId="0" xfId="0" applyNumberFormat="1" applyProtection="1"/>
    <xf numFmtId="0" fontId="9" fillId="2" borderId="0" xfId="0" applyFont="1" applyAlignment="1" applyProtection="1">
      <alignment horizontal="right"/>
    </xf>
    <xf numFmtId="0" fontId="9" fillId="2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2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left" indent="3"/>
    </xf>
    <xf numFmtId="14" fontId="0" fillId="0" borderId="1" xfId="0" applyNumberFormat="1" applyFill="1" applyBorder="1" applyProtection="1"/>
    <xf numFmtId="167" fontId="0" fillId="4" borderId="7" xfId="0" applyNumberForma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2" borderId="0" xfId="0" applyNumberFormat="1"/>
    <xf numFmtId="0" fontId="10" fillId="5" borderId="0" xfId="0" applyFont="1" applyFill="1" applyAlignment="1" applyProtection="1">
      <alignment horizontal="center"/>
    </xf>
    <xf numFmtId="167" fontId="10" fillId="5" borderId="4" xfId="0" applyNumberFormat="1" applyFont="1" applyFill="1" applyBorder="1" applyAlignment="1" applyProtection="1">
      <alignment horizontal="center"/>
    </xf>
    <xf numFmtId="167" fontId="10" fillId="5" borderId="5" xfId="0" applyNumberFormat="1" applyFont="1" applyFill="1" applyBorder="1" applyAlignment="1" applyProtection="1">
      <alignment horizontal="center"/>
    </xf>
    <xf numFmtId="0" fontId="10" fillId="5" borderId="6" xfId="0" applyFont="1" applyFill="1" applyBorder="1" applyProtection="1"/>
    <xf numFmtId="167" fontId="10" fillId="5" borderId="0" xfId="0" applyNumberFormat="1" applyFont="1" applyFill="1" applyAlignment="1" applyProtection="1">
      <alignment horizontal="center"/>
    </xf>
    <xf numFmtId="167" fontId="10" fillId="5" borderId="0" xfId="0" quotePrefix="1" applyNumberFormat="1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left" indent="2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0" fillId="5" borderId="0" xfId="0" applyFont="1" applyFill="1" applyProtection="1"/>
    <xf numFmtId="14" fontId="6" fillId="6" borderId="9" xfId="0" applyNumberFormat="1" applyFont="1" applyFill="1" applyBorder="1" applyAlignment="1" applyProtection="1">
      <alignment horizontal="center"/>
    </xf>
    <xf numFmtId="0" fontId="6" fillId="6" borderId="10" xfId="0" applyFont="1" applyFill="1" applyBorder="1" applyProtection="1"/>
    <xf numFmtId="0" fontId="6" fillId="6" borderId="11" xfId="0" applyFont="1" applyFill="1" applyBorder="1" applyProtection="1"/>
    <xf numFmtId="14" fontId="6" fillId="6" borderId="12" xfId="0" applyNumberFormat="1" applyFont="1" applyFill="1" applyBorder="1" applyAlignment="1" applyProtection="1">
      <alignment horizontal="center"/>
    </xf>
    <xf numFmtId="0" fontId="6" fillId="6" borderId="13" xfId="0" applyFont="1" applyFill="1" applyBorder="1" applyProtection="1"/>
    <xf numFmtId="0" fontId="6" fillId="6" borderId="14" xfId="0" applyFont="1" applyFill="1" applyBorder="1" applyProtection="1"/>
    <xf numFmtId="14" fontId="6" fillId="6" borderId="15" xfId="0" applyNumberFormat="1" applyFont="1" applyFill="1" applyBorder="1" applyAlignment="1" applyProtection="1">
      <alignment horizontal="center"/>
    </xf>
    <xf numFmtId="0" fontId="6" fillId="6" borderId="16" xfId="0" applyFont="1" applyFill="1" applyBorder="1" applyProtection="1"/>
    <xf numFmtId="0" fontId="6" fillId="6" borderId="17" xfId="0" applyFont="1" applyFill="1" applyBorder="1" applyProtection="1"/>
    <xf numFmtId="166" fontId="11" fillId="7" borderId="18" xfId="0" applyNumberFormat="1" applyFont="1" applyFill="1" applyBorder="1" applyAlignment="1" applyProtection="1">
      <alignment horizontal="centerContinuous"/>
    </xf>
    <xf numFmtId="0" fontId="12" fillId="8" borderId="18" xfId="0" applyFont="1" applyFill="1" applyBorder="1" applyAlignment="1" applyProtection="1">
      <alignment horizontal="centerContinuous"/>
    </xf>
    <xf numFmtId="0" fontId="11" fillId="7" borderId="18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>
      <alignment horizontal="left" wrapText="1" indent="1"/>
    </xf>
    <xf numFmtId="0" fontId="2" fillId="0" borderId="0" xfId="0" applyFont="1" applyFill="1" applyAlignment="1" applyProtection="1">
      <alignment horizontal="left" vertical="top" wrapText="1" indent="1"/>
    </xf>
    <xf numFmtId="0" fontId="0" fillId="0" borderId="0" xfId="0" applyFill="1" applyAlignment="1" applyProtection="1">
      <alignment horizontal="left" vertical="top" wrapText="1" indent="1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indent="1"/>
    </xf>
    <xf numFmtId="168" fontId="1" fillId="0" borderId="0" xfId="0" applyNumberFormat="1" applyFont="1" applyFill="1" applyAlignment="1" applyProtection="1">
      <alignment horizontal="center"/>
      <protection locked="0"/>
    </xf>
    <xf numFmtId="167" fontId="2" fillId="9" borderId="1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/>
  </cellXfs>
  <cellStyles count="1">
    <cellStyle name="Normal" xfId="0" builtinId="0"/>
  </cellStyles>
  <dxfs count="88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C00000"/>
      </font>
      <fill>
        <patternFill>
          <bgColor theme="5" tint="0.59996337778862885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9" defaultPivotStyle="PivotStyleLight16"/>
  <colors>
    <mruColors>
      <color rgb="FF3366FF"/>
      <color rgb="FFFFFF99"/>
      <color rgb="FFFFFFFF"/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"/>
  <sheetViews>
    <sheetView showGridLines="0" tabSelected="1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6384" width="9.7109375" style="3"/>
  </cols>
  <sheetData>
    <row r="2" spans="2:11" ht="23.25" x14ac:dyDescent="0.35">
      <c r="B2" s="71" t="s">
        <v>7</v>
      </c>
      <c r="C2" s="71"/>
      <c r="D2" s="71"/>
      <c r="E2" s="71"/>
      <c r="F2" s="71"/>
      <c r="G2" s="71"/>
    </row>
    <row r="3" spans="2:11" ht="23.25" x14ac:dyDescent="0.35">
      <c r="B3" s="71" t="s">
        <v>8</v>
      </c>
      <c r="C3" s="71"/>
      <c r="D3" s="71"/>
      <c r="E3" s="71"/>
      <c r="F3" s="71"/>
      <c r="G3" s="71"/>
      <c r="H3" s="4"/>
    </row>
    <row r="4" spans="2:11" ht="23.25" customHeight="1" x14ac:dyDescent="0.35">
      <c r="B4" s="73" t="s">
        <v>73</v>
      </c>
      <c r="C4" s="73"/>
      <c r="D4" s="73"/>
      <c r="E4" s="73"/>
      <c r="F4" s="73"/>
      <c r="G4" s="73"/>
      <c r="H4" s="53" t="s">
        <v>74</v>
      </c>
      <c r="I4"/>
      <c r="J4"/>
      <c r="K4"/>
    </row>
    <row r="5" spans="2:11" ht="12.75" customHeight="1" x14ac:dyDescent="0.2">
      <c r="B5" s="12"/>
      <c r="C5" s="12"/>
      <c r="D5" s="25"/>
      <c r="E5" s="13"/>
      <c r="F5" s="13"/>
      <c r="G5" s="21"/>
      <c r="H5" s="53"/>
      <c r="I5"/>
      <c r="J5"/>
      <c r="K5"/>
    </row>
    <row r="6" spans="2:11" ht="16.5" customHeight="1" thickBot="1" x14ac:dyDescent="0.25">
      <c r="B6" s="14" t="s">
        <v>76</v>
      </c>
      <c r="C6" s="12"/>
      <c r="D6" s="74"/>
      <c r="E6" s="75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  <c r="I6"/>
      <c r="J6"/>
      <c r="K6"/>
    </row>
    <row r="7" spans="2:11" ht="12.75" customHeight="1" x14ac:dyDescent="0.2">
      <c r="B7" s="8"/>
      <c r="C7" s="8"/>
      <c r="D7" s="26"/>
      <c r="E7" s="10"/>
      <c r="F7" s="10"/>
      <c r="G7" s="10"/>
      <c r="H7" s="53"/>
      <c r="I7"/>
      <c r="J7"/>
      <c r="K7"/>
    </row>
    <row r="8" spans="2:11" x14ac:dyDescent="0.2">
      <c r="B8" s="12"/>
      <c r="C8" s="12"/>
      <c r="D8" s="13"/>
      <c r="E8" s="13"/>
      <c r="F8" s="13"/>
      <c r="G8" s="27" t="str">
        <f>IF(D9&gt;MAX(Holidays),"Warning! Last date beyond last calculated holiday.","")</f>
        <v/>
      </c>
      <c r="H8" s="52"/>
      <c r="I8"/>
      <c r="J8"/>
      <c r="K8"/>
    </row>
    <row r="9" spans="2:11" ht="13.5" thickBot="1" x14ac:dyDescent="0.25">
      <c r="B9" s="14" t="s">
        <v>4</v>
      </c>
      <c r="C9" s="23"/>
      <c r="D9" s="29">
        <f>WORKDAY(D12+F9,IF(OR(WEEKDAY(D12+F9,2)&gt;5,ISNUMBER(MATCH(D12+F9,Holidays,0))),1,0),Holidays)</f>
        <v>41296</v>
      </c>
      <c r="E9" s="13"/>
      <c r="F9" s="16">
        <f>3*7</f>
        <v>21</v>
      </c>
      <c r="G9" s="43" t="s">
        <v>75</v>
      </c>
      <c r="H9" s="52">
        <f>3*7</f>
        <v>21</v>
      </c>
      <c r="I9"/>
      <c r="J9"/>
      <c r="K9"/>
    </row>
    <row r="10" spans="2:11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>(22 days used)</v>
      </c>
      <c r="G10" s="10"/>
      <c r="H10" s="54"/>
      <c r="I10"/>
      <c r="J10"/>
      <c r="K10"/>
    </row>
    <row r="11" spans="2:11" x14ac:dyDescent="0.2">
      <c r="B11" s="12"/>
      <c r="C11" s="12"/>
      <c r="D11" s="25"/>
      <c r="E11" s="13"/>
      <c r="F11" s="13"/>
      <c r="G11" s="21"/>
      <c r="H11" s="52"/>
      <c r="I11"/>
      <c r="J11"/>
      <c r="K11"/>
    </row>
    <row r="12" spans="2:11" x14ac:dyDescent="0.2">
      <c r="B12" s="14" t="s">
        <v>0</v>
      </c>
      <c r="C12" s="12"/>
      <c r="D12" s="31">
        <f>WORKDAY(D15+F12,IF(OR(WEEKDAY(D15+F12,2)&gt;5,ISNUMBER(MATCH(D15+F12,Holidays,0))),1,0),Holidays)</f>
        <v>41274</v>
      </c>
      <c r="E12" s="15"/>
      <c r="F12" s="16">
        <v>30</v>
      </c>
      <c r="G12" s="13" t="s">
        <v>13</v>
      </c>
      <c r="H12" s="52">
        <v>30</v>
      </c>
      <c r="I12"/>
      <c r="J12"/>
      <c r="K12"/>
    </row>
    <row r="13" spans="2:11" x14ac:dyDescent="0.2">
      <c r="B13" s="8"/>
      <c r="C13" s="8"/>
      <c r="D13" s="26"/>
      <c r="E13" s="10"/>
      <c r="F13" s="17" t="str">
        <f>IF(F12&lt;&gt;H12,"Standard "&amp;H12&amp;" days has been changed.  ","")&amp;IF(D12-D15&lt;&gt;F12,"("&amp;D12-D15&amp;" days used)","")</f>
        <v>(32 days used)</v>
      </c>
      <c r="G13" s="10"/>
      <c r="H13" s="54"/>
      <c r="I13"/>
      <c r="J13"/>
      <c r="K13"/>
    </row>
    <row r="14" spans="2:11" x14ac:dyDescent="0.2">
      <c r="B14" s="12"/>
      <c r="C14" s="12"/>
      <c r="D14" s="25"/>
      <c r="E14" s="13"/>
      <c r="F14" s="13"/>
      <c r="G14" s="21"/>
      <c r="H14" s="52"/>
      <c r="I14" s="46">
        <f>INDEX(Holidays,MATCH(DATE(YEAR(D15),12,1),Holidays))</f>
        <v>41235</v>
      </c>
      <c r="J14" s="47">
        <f>WORKDAY(DATE(YEAR(D15),12,31),VLOOKUP(WEEKDAY(DATE(YEAR(D15),12,25)),Christmas,3,0),Holidays)-1</f>
        <v>41275</v>
      </c>
      <c r="K14" s="48" t="s">
        <v>61</v>
      </c>
    </row>
    <row r="15" spans="2:11" x14ac:dyDescent="0.2">
      <c r="B15" s="14" t="s">
        <v>1</v>
      </c>
      <c r="C15" s="12"/>
      <c r="D15" s="33">
        <f>WORKDAY(J15,IF(J15-INDEX(Holidays,MATCH(J15,Holidays))&lt;2,1,0),Holidays)</f>
        <v>41242</v>
      </c>
      <c r="E15" s="15"/>
      <c r="F15" s="16">
        <f>30+IF(Montana="Yes",7,0)</f>
        <v>30</v>
      </c>
      <c r="G15" s="13" t="str">
        <f>"Calendar days between Ad date and bid opening"&amp;IF(Montana="Yes"," (Montana)","")</f>
        <v>Calendar days between Ad date and bid opening</v>
      </c>
      <c r="H15" s="52">
        <f>30+IF(Montana="Yes",7,0)</f>
        <v>30</v>
      </c>
      <c r="I15" s="49">
        <f>D18+F15+IF(WORKDAY(DATE(YEAR(D18),12,24),-1,Holidays)-D18&lt;F15,VLOOKUP(WEEKDAY(DATE(YEAR(D18),12,25)),Christmas,2,0),0)</f>
        <v>41242</v>
      </c>
      <c r="J15" s="50">
        <f>WORKDAY(I15,IF(AND(WEEKDAY(I15,2)=4,ISNUMBER(MATCH(I15,Holidays,0))),3,IF(OR(AND(WEEKDAY(I15,2)=5,ISNUMBER(MATCH(I15,Holidays,0))),WEEKDAY(I15,2)&gt;5),2,IF(OR(WEEKDAY(I15,2)=1,ISNUMBER(MATCH(I15,Holidays,0))),1,0))),Holidays)</f>
        <v>41242</v>
      </c>
      <c r="K15" s="55"/>
    </row>
    <row r="16" spans="2:11" x14ac:dyDescent="0.2">
      <c r="B16" s="8"/>
      <c r="C16" s="8"/>
      <c r="D16" s="26"/>
      <c r="E16" s="11"/>
      <c r="F16" s="17" t="str">
        <f>IF(F15&lt;&gt;H15,"Standard "&amp;H15&amp;" days"&amp;IF(Montana="Yes"," for Montana","")&amp;" has been changed.  ","")&amp;IF(D15-D18&lt;&gt;F15,"("&amp;D15-D18&amp;" days used)","")</f>
        <v/>
      </c>
      <c r="G16" s="10"/>
      <c r="H16" s="54"/>
      <c r="I16" s="45" t="s">
        <v>58</v>
      </c>
      <c r="J16" s="51" t="s">
        <v>59</v>
      </c>
      <c r="K16" s="55"/>
    </row>
    <row r="17" spans="2:11" x14ac:dyDescent="0.2">
      <c r="B17" s="12"/>
      <c r="C17" s="12"/>
      <c r="D17" s="25"/>
      <c r="E17" s="13"/>
      <c r="F17" s="13"/>
      <c r="G17" s="21"/>
      <c r="H17" s="52"/>
      <c r="I17"/>
      <c r="J17"/>
      <c r="K17"/>
    </row>
    <row r="18" spans="2:11" x14ac:dyDescent="0.2">
      <c r="B18" s="14" t="s">
        <v>2</v>
      </c>
      <c r="C18" s="12"/>
      <c r="D18" s="31">
        <f>WORKDAY(D21+F18,IF(OR(WEEKDAY(D21+F18,2)&gt;5,ISNUMBER(MATCH(D21+F18,Holidays,0))),1,0),Holidays)</f>
        <v>41212</v>
      </c>
      <c r="E18" s="15"/>
      <c r="F18" s="16">
        <f>2*7</f>
        <v>14</v>
      </c>
      <c r="G18" s="13" t="s">
        <v>14</v>
      </c>
      <c r="H18" s="52">
        <f>2*7</f>
        <v>14</v>
      </c>
      <c r="I18"/>
      <c r="J18"/>
      <c r="K18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I19"/>
      <c r="J19"/>
      <c r="K19"/>
    </row>
    <row r="20" spans="2:11" x14ac:dyDescent="0.2">
      <c r="B20" s="12"/>
      <c r="C20" s="12"/>
      <c r="D20" s="25"/>
      <c r="E20" s="15"/>
      <c r="F20" s="15"/>
      <c r="G20" s="21"/>
      <c r="H20" s="52"/>
      <c r="I20"/>
      <c r="J20"/>
      <c r="K20"/>
    </row>
    <row r="21" spans="2:11" x14ac:dyDescent="0.2">
      <c r="B21" s="14" t="s">
        <v>5</v>
      </c>
      <c r="C21" s="12"/>
      <c r="D21" s="31">
        <f>WORKDAY(Arrives+F21,IF(OR(WEEKDAY(Arrives+F21,2)&gt;5,ISNUMBER(MATCH(Arrives+F21,Holidays,0))),1,0),Holidays)</f>
        <v>41198</v>
      </c>
      <c r="E21" s="15"/>
      <c r="F21" s="16">
        <f>2*7</f>
        <v>14</v>
      </c>
      <c r="G21" s="13" t="s">
        <v>15</v>
      </c>
      <c r="H21" s="52">
        <f>2*7</f>
        <v>14</v>
      </c>
      <c r="I21"/>
      <c r="J21"/>
      <c r="K21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  <c r="I22"/>
      <c r="J22"/>
      <c r="K22"/>
    </row>
    <row r="23" spans="2:11" x14ac:dyDescent="0.2">
      <c r="B23" s="12"/>
      <c r="C23" s="12"/>
      <c r="D23" s="25"/>
      <c r="E23" s="15"/>
      <c r="F23" s="15"/>
      <c r="G23" s="21"/>
    </row>
    <row r="24" spans="2:11" ht="16.5" thickBot="1" x14ac:dyDescent="0.3">
      <c r="B24" s="14" t="s">
        <v>3</v>
      </c>
      <c r="C24" s="7">
        <f>Arrives</f>
        <v>41184</v>
      </c>
      <c r="D24" s="6">
        <v>41184</v>
      </c>
      <c r="E24" s="22" t="s">
        <v>57</v>
      </c>
      <c r="F24" s="5"/>
      <c r="G24" s="5"/>
      <c r="I24" s="44"/>
      <c r="J24"/>
    </row>
    <row r="25" spans="2:11" ht="16.5" thickBot="1" x14ac:dyDescent="0.3">
      <c r="B25" s="14" t="s">
        <v>71</v>
      </c>
      <c r="C25" s="7"/>
      <c r="D25" s="6" t="s">
        <v>72</v>
      </c>
      <c r="E25" s="22" t="s">
        <v>70</v>
      </c>
      <c r="F25" s="5"/>
      <c r="G25" s="5"/>
    </row>
    <row r="26" spans="2:11" x14ac:dyDescent="0.2">
      <c r="B26" s="8"/>
      <c r="C26" s="9"/>
      <c r="D26" s="10"/>
      <c r="E26" s="11"/>
      <c r="F26" s="11"/>
      <c r="G26" s="10"/>
    </row>
    <row r="27" spans="2:11" x14ac:dyDescent="0.2">
      <c r="B27" s="14"/>
      <c r="C27" s="12"/>
      <c r="D27" s="13"/>
      <c r="E27" s="13"/>
      <c r="F27" s="40"/>
      <c r="G27" s="13"/>
    </row>
    <row r="28" spans="2:11" ht="15.75" x14ac:dyDescent="0.25">
      <c r="B28" s="18" t="s">
        <v>16</v>
      </c>
      <c r="C28" s="13"/>
      <c r="D28" s="13"/>
      <c r="E28" s="13"/>
      <c r="F28" s="13"/>
      <c r="G28" s="13"/>
    </row>
    <row r="29" spans="2:11" ht="12.75" customHeight="1" x14ac:dyDescent="0.2">
      <c r="B29" s="72" t="s">
        <v>17</v>
      </c>
      <c r="C29" s="72"/>
      <c r="D29" s="72"/>
      <c r="E29" s="72"/>
      <c r="F29" s="72"/>
      <c r="G29" s="72"/>
    </row>
    <row r="30" spans="2:11" x14ac:dyDescent="0.2">
      <c r="B30" s="68" t="s">
        <v>56</v>
      </c>
      <c r="C30" s="72"/>
      <c r="D30" s="72"/>
      <c r="E30" s="72"/>
      <c r="F30" s="72"/>
      <c r="G30" s="72"/>
    </row>
    <row r="31" spans="2:11" ht="12.75" customHeight="1" x14ac:dyDescent="0.2">
      <c r="B31" s="68" t="s">
        <v>55</v>
      </c>
      <c r="C31" s="68"/>
      <c r="D31" s="68"/>
      <c r="E31" s="68"/>
      <c r="F31" s="68"/>
      <c r="G31" s="68"/>
      <c r="I31" s="35"/>
    </row>
    <row r="32" spans="2:11" ht="25.5" customHeight="1" x14ac:dyDescent="0.2">
      <c r="B32" s="69" t="str">
        <f>"If the advertisement period includes the Christmas/New Year Holiday period, 7 to 14 days will need to be added to the advertisement period"&amp;IF(YEAR(D15)&lt;&gt;YEAR(D18)," ("&amp;D15-D18-F15&amp;" days were added for holiday period)","")&amp;"."</f>
        <v>If the advertisement period includes the Christmas/New Year Holiday period, 7 to 14 days will need to be added to the advertisement period.</v>
      </c>
      <c r="C32" s="70"/>
      <c r="D32" s="70"/>
      <c r="E32" s="70"/>
      <c r="F32" s="70"/>
      <c r="G32" s="70"/>
      <c r="I32" s="35"/>
    </row>
    <row r="33" spans="2:11" x14ac:dyDescent="0.2">
      <c r="B33" s="19" t="s">
        <v>18</v>
      </c>
      <c r="C33" s="20"/>
      <c r="D33" s="20"/>
      <c r="E33" s="20"/>
      <c r="F33" s="20"/>
      <c r="G33" s="20"/>
    </row>
    <row r="34" spans="2:11" ht="16.5" hidden="1" x14ac:dyDescent="0.35">
      <c r="B34" s="65">
        <f>YEAR(Arrives)</f>
        <v>2012</v>
      </c>
      <c r="C34" s="66"/>
      <c r="D34" s="67"/>
    </row>
    <row r="35" spans="2:11" ht="15" hidden="1" x14ac:dyDescent="0.3">
      <c r="B35" s="56">
        <f>DATE(Year,1,1)+IF(WEEKDAY(DATE(Year,1,1),2)&lt;6,0,IF(WEEKDAY(DATE(Year,1,1),2)=6,-1,1))</f>
        <v>40910</v>
      </c>
      <c r="C35" s="57" t="s">
        <v>28</v>
      </c>
      <c r="D35" s="58"/>
      <c r="G35" s="36" t="s">
        <v>40</v>
      </c>
      <c r="H35" s="37" t="s">
        <v>60</v>
      </c>
      <c r="I35" s="37" t="s">
        <v>41</v>
      </c>
      <c r="J35" s="37" t="s">
        <v>43</v>
      </c>
      <c r="K35" s="39" t="s">
        <v>62</v>
      </c>
    </row>
    <row r="36" spans="2:11" ht="15" hidden="1" x14ac:dyDescent="0.3">
      <c r="B36" s="59">
        <f>DATE(Year,1,21)-WEEKDAY(DATE(Year,1,21),3)</f>
        <v>40924</v>
      </c>
      <c r="C36" s="60" t="s">
        <v>29</v>
      </c>
      <c r="D36" s="61"/>
      <c r="G36" s="1" t="s">
        <v>38</v>
      </c>
      <c r="H36" s="38">
        <v>1</v>
      </c>
      <c r="I36" s="38">
        <v>10</v>
      </c>
      <c r="J36" s="38">
        <v>1</v>
      </c>
      <c r="K36" s="3" t="s">
        <v>54</v>
      </c>
    </row>
    <row r="37" spans="2:11" ht="15" hidden="1" x14ac:dyDescent="0.3">
      <c r="B37" s="59">
        <f>DATE(Year,2,21)-WEEKDAY(DATE(Year,2,21),3)</f>
        <v>40959</v>
      </c>
      <c r="C37" s="60" t="s">
        <v>30</v>
      </c>
      <c r="D37" s="61"/>
      <c r="G37" s="1" t="s">
        <v>39</v>
      </c>
      <c r="H37" s="38">
        <v>2</v>
      </c>
      <c r="I37" s="38">
        <v>10</v>
      </c>
      <c r="J37" s="38">
        <v>1</v>
      </c>
      <c r="K37" s="3" t="s">
        <v>53</v>
      </c>
    </row>
    <row r="38" spans="2:11" ht="15" hidden="1" x14ac:dyDescent="0.3">
      <c r="B38" s="59">
        <f>DATE(Year,5,31)-WEEKDAY(DATE(Year,5,31),3)</f>
        <v>41057</v>
      </c>
      <c r="C38" s="60" t="s">
        <v>31</v>
      </c>
      <c r="D38" s="61"/>
      <c r="G38" s="1" t="s">
        <v>42</v>
      </c>
      <c r="H38" s="38">
        <v>3</v>
      </c>
      <c r="I38" s="38">
        <v>11</v>
      </c>
      <c r="J38" s="38">
        <v>1</v>
      </c>
      <c r="K38" s="3" t="s">
        <v>52</v>
      </c>
    </row>
    <row r="39" spans="2:11" ht="15" hidden="1" x14ac:dyDescent="0.3">
      <c r="B39" s="59">
        <f>DATE(Year,7,4)+IF(WEEKDAY(DATE(Year,7,4),2)&lt;6,0,IF(WEEKDAY(DATE(Year,7,4),2)=6,-1,1))</f>
        <v>41094</v>
      </c>
      <c r="C39" s="60" t="s">
        <v>32</v>
      </c>
      <c r="D39" s="61"/>
      <c r="G39" s="1" t="s">
        <v>44</v>
      </c>
      <c r="H39" s="38">
        <v>4</v>
      </c>
      <c r="I39" s="38">
        <v>12</v>
      </c>
      <c r="J39" s="38">
        <v>3</v>
      </c>
      <c r="K39" s="3" t="s">
        <v>51</v>
      </c>
    </row>
    <row r="40" spans="2:11" ht="15" hidden="1" x14ac:dyDescent="0.3">
      <c r="B40" s="59">
        <f>DATE(Year,9,7)-WEEKDAY(DATE(Year,9,7),3)</f>
        <v>41155</v>
      </c>
      <c r="C40" s="60" t="s">
        <v>33</v>
      </c>
      <c r="D40" s="61"/>
      <c r="G40" s="1" t="s">
        <v>45</v>
      </c>
      <c r="H40" s="38">
        <v>5</v>
      </c>
      <c r="I40" s="38">
        <v>12</v>
      </c>
      <c r="J40" s="38">
        <v>2</v>
      </c>
      <c r="K40" s="3" t="s">
        <v>46</v>
      </c>
    </row>
    <row r="41" spans="2:11" ht="15" hidden="1" x14ac:dyDescent="0.3">
      <c r="B41" s="59">
        <f>DATE(Year,10,14)-WEEKDAY(DATE(Year,10,14),3)</f>
        <v>41190</v>
      </c>
      <c r="C41" s="60" t="s">
        <v>34</v>
      </c>
      <c r="D41" s="61"/>
      <c r="G41" s="1" t="s">
        <v>47</v>
      </c>
      <c r="H41" s="38">
        <v>6</v>
      </c>
      <c r="I41" s="38">
        <v>11</v>
      </c>
      <c r="J41" s="38">
        <v>1</v>
      </c>
      <c r="K41" s="3" t="s">
        <v>48</v>
      </c>
    </row>
    <row r="42" spans="2:11" ht="15" hidden="1" x14ac:dyDescent="0.3">
      <c r="B42" s="59">
        <f>DATE(Year,11,11)+IF(WEEKDAY(DATE(Year,11,11),2)&lt;6,0,IF(WEEKDAY(DATE(Year,11,11),2)=6,-1,1))</f>
        <v>41225</v>
      </c>
      <c r="C42" s="60" t="s">
        <v>35</v>
      </c>
      <c r="D42" s="61"/>
      <c r="G42" s="1" t="s">
        <v>49</v>
      </c>
      <c r="H42" s="38">
        <v>7</v>
      </c>
      <c r="I42" s="38">
        <v>10</v>
      </c>
      <c r="J42" s="38">
        <v>1</v>
      </c>
      <c r="K42" s="3" t="s">
        <v>50</v>
      </c>
    </row>
    <row r="43" spans="2:11" ht="15" hidden="1" x14ac:dyDescent="0.3">
      <c r="B43" s="59">
        <f>DATE(Year,11,28)-WEEKDAY(DATE(Year,11,25),3)</f>
        <v>41235</v>
      </c>
      <c r="C43" s="60" t="s">
        <v>36</v>
      </c>
      <c r="D43" s="61"/>
    </row>
    <row r="44" spans="2:11" ht="15" hidden="1" x14ac:dyDescent="0.3">
      <c r="B44" s="59">
        <f>DATE(Year,12,25)+IF(WEEKDAY(DATE(Year,12,25),2)&lt;6,0,IF(WEEKDAY(DATE(Year,12,25),2)=6,-1,1))</f>
        <v>41268</v>
      </c>
      <c r="C44" s="60" t="s">
        <v>37</v>
      </c>
      <c r="D44" s="61"/>
    </row>
    <row r="45" spans="2:11" ht="15" hidden="1" x14ac:dyDescent="0.3">
      <c r="B45" s="59">
        <f>DATE(Year+1,1,1)+IF(WEEKDAY(DATE(Year+1,1,1),2)&lt;6,0,IF(WEEKDAY(DATE(Year+1,1,1),2)=6,-1,1))</f>
        <v>41275</v>
      </c>
      <c r="C45" s="60" t="str">
        <f>C35&amp;" "&amp;(Year+1)</f>
        <v>New Years Day 2013</v>
      </c>
      <c r="D45" s="61"/>
    </row>
    <row r="46" spans="2:11" ht="15" hidden="1" x14ac:dyDescent="0.3">
      <c r="B46" s="59">
        <f>DATE(Year+1,1,21)-WEEKDAY(DATE(Year+1,1,21),3)</f>
        <v>41295</v>
      </c>
      <c r="C46" s="60" t="str">
        <f t="shared" ref="C46:C54" si="0">C36&amp;" "&amp;(Year+1)</f>
        <v>Martin Luther King Day 2013</v>
      </c>
      <c r="D46" s="61"/>
    </row>
    <row r="47" spans="2:11" ht="15" hidden="1" x14ac:dyDescent="0.3">
      <c r="B47" s="59">
        <f>DATE(Year+1,2,21)-WEEKDAY(DATE(Year+1,2,21),3)</f>
        <v>41323</v>
      </c>
      <c r="C47" s="60" t="str">
        <f t="shared" si="0"/>
        <v>President's Day 2013</v>
      </c>
      <c r="D47" s="61"/>
    </row>
    <row r="48" spans="2:11" ht="15" hidden="1" x14ac:dyDescent="0.3">
      <c r="B48" s="59">
        <f>DATE(Year+1,5,31)-WEEKDAY(DATE(Year+1,5,31),3)</f>
        <v>41421</v>
      </c>
      <c r="C48" s="60" t="str">
        <f t="shared" si="0"/>
        <v>Memorial Day 2013</v>
      </c>
      <c r="D48" s="61"/>
    </row>
    <row r="49" spans="2:4" ht="15" hidden="1" x14ac:dyDescent="0.3">
      <c r="B49" s="59">
        <f>DATE(Year+1,7,4)+IF(WEEKDAY(DATE(Year+1,7,4),2)&lt;6,0,IF(WEEKDAY(DATE(Year+1,7,4),2)=6,-1,1))</f>
        <v>41459</v>
      </c>
      <c r="C49" s="60" t="str">
        <f t="shared" si="0"/>
        <v>Independence Day 2013</v>
      </c>
      <c r="D49" s="61"/>
    </row>
    <row r="50" spans="2:4" ht="15" hidden="1" x14ac:dyDescent="0.3">
      <c r="B50" s="59">
        <f>DATE(Year+1,9,7)-WEEKDAY(DATE(Year+1,9,7),3)</f>
        <v>41519</v>
      </c>
      <c r="C50" s="60" t="str">
        <f t="shared" si="0"/>
        <v>Labor Day 2013</v>
      </c>
      <c r="D50" s="61"/>
    </row>
    <row r="51" spans="2:4" ht="15" hidden="1" x14ac:dyDescent="0.3">
      <c r="B51" s="59">
        <f>DATE(Year+1,10,14)-WEEKDAY(DATE(Year+1,10,14),3)</f>
        <v>41561</v>
      </c>
      <c r="C51" s="60" t="str">
        <f t="shared" si="0"/>
        <v>Columbus Day 2013</v>
      </c>
      <c r="D51" s="61"/>
    </row>
    <row r="52" spans="2:4" ht="15" hidden="1" x14ac:dyDescent="0.3">
      <c r="B52" s="59">
        <f>DATE(Year+1,11,11)+IF(WEEKDAY(DATE(Year+1,11,11),2)&lt;6,0,IF(WEEKDAY(DATE(Year+1,11,11),2)=6,-1,1))</f>
        <v>41589</v>
      </c>
      <c r="C52" s="60" t="str">
        <f t="shared" si="0"/>
        <v>Veteran's Day 2013</v>
      </c>
      <c r="D52" s="61"/>
    </row>
    <row r="53" spans="2:4" ht="15" hidden="1" x14ac:dyDescent="0.3">
      <c r="B53" s="59">
        <f>DATE(Year+1,11,28)-WEEKDAY(DATE(Year+1,11,25),3)</f>
        <v>41606</v>
      </c>
      <c r="C53" s="60" t="str">
        <f t="shared" si="0"/>
        <v>Thanksgiving 2013</v>
      </c>
      <c r="D53" s="61"/>
    </row>
    <row r="54" spans="2:4" ht="15" hidden="1" x14ac:dyDescent="0.3">
      <c r="B54" s="59">
        <f>DATE(Year+1,12,25)+IF(WEEKDAY(DATE(Year+1,12,25),2)&lt;6,0,IF(WEEKDAY(DATE(Year+1,12,25),2)=6,-1,1))</f>
        <v>41633</v>
      </c>
      <c r="C54" s="60" t="str">
        <f t="shared" si="0"/>
        <v>Christmas 2013</v>
      </c>
      <c r="D54" s="61"/>
    </row>
    <row r="55" spans="2:4" ht="15" hidden="1" x14ac:dyDescent="0.3">
      <c r="B55" s="59">
        <f>DATE(Year+2,1,1)+IF(WEEKDAY(DATE(Year+2,1,1),2)&lt;6,0,IF(WEEKDAY(DATE(Year+2,1,1),2)=6,-1,1))</f>
        <v>41640</v>
      </c>
      <c r="C55" s="60" t="str">
        <f>C35&amp;" "&amp;(Year+2)</f>
        <v>New Years Day 2014</v>
      </c>
      <c r="D55" s="61"/>
    </row>
    <row r="56" spans="2:4" ht="15" hidden="1" x14ac:dyDescent="0.3">
      <c r="B56" s="62">
        <f>DATE(Year+2,1,21)-WEEKDAY(DATE(Year+2,1,21),3)</f>
        <v>41659</v>
      </c>
      <c r="C56" s="63" t="str">
        <f>C36&amp;" "&amp;(Year+2)</f>
        <v>Martin Luther King Day 2014</v>
      </c>
      <c r="D56" s="64"/>
    </row>
  </sheetData>
  <sheetProtection sheet="1" objects="1" scenarios="1" selectLockedCells="1"/>
  <mergeCells count="7">
    <mergeCell ref="B31:G31"/>
    <mergeCell ref="B32:G32"/>
    <mergeCell ref="B3:G3"/>
    <mergeCell ref="B2:G2"/>
    <mergeCell ref="B29:G29"/>
    <mergeCell ref="B30:G30"/>
    <mergeCell ref="B4:G4"/>
  </mergeCells>
  <phoneticPr fontId="0" type="noConversion"/>
  <conditionalFormatting sqref="B35:B56">
    <cfRule type="cellIs" dxfId="13" priority="7" stopIfTrue="1" operator="lessThan">
      <formula>TODAY()</formula>
    </cfRule>
  </conditionalFormatting>
  <conditionalFormatting sqref="C35:C56">
    <cfRule type="expression" dxfId="12" priority="8" stopIfTrue="1">
      <formula>B35&lt;TODAY()</formula>
    </cfRule>
  </conditionalFormatting>
  <conditionalFormatting sqref="D15">
    <cfRule type="cellIs" dxfId="11" priority="9" stopIfTrue="1" operator="between">
      <formula>$I$14</formula>
      <formula>$J$14</formula>
    </cfRule>
  </conditionalFormatting>
  <conditionalFormatting sqref="F13 F16 F19 F22 F10">
    <cfRule type="expression" dxfId="10" priority="10" stopIfTrue="1">
      <formula>F9&lt;&gt;H9</formula>
    </cfRule>
    <cfRule type="expression" dxfId="9" priority="11" stopIfTrue="1">
      <formula>D9-D12&lt;&gt;F9</formula>
    </cfRule>
  </conditionalFormatting>
  <conditionalFormatting sqref="F27">
    <cfRule type="expression" dxfId="8" priority="12" stopIfTrue="1">
      <formula>F26&lt;&gt;H26</formula>
    </cfRule>
    <cfRule type="expression" dxfId="7" priority="13" stopIfTrue="1">
      <formula>D22-D26&lt;&gt;F26</formula>
    </cfRule>
  </conditionalFormatting>
  <conditionalFormatting sqref="B31:G31">
    <cfRule type="expression" dxfId="6" priority="14" stopIfTrue="1">
      <formula>AND($D$15&gt;=$I$14,$D$15&lt;=$J$14)</formula>
    </cfRule>
  </conditionalFormatting>
  <conditionalFormatting sqref="E6">
    <cfRule type="expression" dxfId="5" priority="2">
      <formula>AND($D$6&gt;0,$D$9&gt;$D$6)</formula>
    </cfRule>
  </conditionalFormatting>
  <conditionalFormatting sqref="D6">
    <cfRule type="expression" dxfId="4" priority="1">
      <formula>AND($D$6&gt;0,$D$9&gt;$D$6)</formula>
    </cfRule>
  </conditionalFormatting>
  <dataValidations count="1">
    <dataValidation type="list" allowBlank="1" showInputMessage="1" showErrorMessage="1" sqref="D25">
      <formula1>"Yes, No"</formula1>
    </dataValidation>
  </dataValidations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1" ht="23.25" x14ac:dyDescent="0.35">
      <c r="B2" s="71" t="s">
        <v>21</v>
      </c>
      <c r="C2" s="71"/>
      <c r="D2" s="71"/>
      <c r="E2" s="71"/>
      <c r="F2" s="71"/>
      <c r="G2" s="71"/>
    </row>
    <row r="3" spans="2:11" ht="23.25" x14ac:dyDescent="0.35">
      <c r="B3" s="71" t="s">
        <v>8</v>
      </c>
      <c r="C3" s="71"/>
      <c r="D3" s="71"/>
      <c r="E3" s="71"/>
      <c r="F3" s="71"/>
      <c r="G3" s="71"/>
      <c r="H3" s="4"/>
    </row>
    <row r="4" spans="2:11" ht="23.25" customHeight="1" x14ac:dyDescent="0.35">
      <c r="B4" s="73" t="s">
        <v>73</v>
      </c>
      <c r="C4" s="73"/>
      <c r="D4" s="73"/>
      <c r="E4" s="73"/>
      <c r="F4" s="73"/>
      <c r="G4" s="73"/>
      <c r="H4" s="53" t="s">
        <v>74</v>
      </c>
      <c r="I4"/>
      <c r="J4"/>
      <c r="K4"/>
    </row>
    <row r="5" spans="2:11" ht="12.75" customHeight="1" x14ac:dyDescent="0.2">
      <c r="B5" s="12"/>
      <c r="C5" s="12"/>
      <c r="D5" s="25"/>
      <c r="E5" s="13"/>
      <c r="F5" s="13"/>
      <c r="G5" s="13"/>
      <c r="H5" s="53"/>
      <c r="I5"/>
      <c r="J5"/>
      <c r="K5"/>
    </row>
    <row r="6" spans="2:11" ht="16.5" customHeight="1" thickBot="1" x14ac:dyDescent="0.25">
      <c r="B6" s="14" t="s">
        <v>76</v>
      </c>
      <c r="C6" s="12"/>
      <c r="D6" s="74"/>
      <c r="E6" s="75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  <c r="I6"/>
      <c r="J6"/>
      <c r="K6"/>
    </row>
    <row r="7" spans="2:11" ht="12.75" customHeight="1" x14ac:dyDescent="0.2">
      <c r="B7" s="8"/>
      <c r="C7" s="8"/>
      <c r="D7" s="26"/>
      <c r="E7" s="10"/>
      <c r="F7" s="10"/>
      <c r="G7" s="10"/>
      <c r="H7" s="53"/>
      <c r="I7"/>
      <c r="J7"/>
      <c r="K7"/>
    </row>
    <row r="8" spans="2:11" x14ac:dyDescent="0.2">
      <c r="B8" s="12"/>
      <c r="C8" s="12"/>
      <c r="D8" s="12"/>
      <c r="E8" s="13"/>
      <c r="F8" s="13"/>
      <c r="G8" s="27" t="str">
        <f>IF(D9&gt;MAX(Holidays),"Warning! Last date beyond last calculated holiday.","")</f>
        <v/>
      </c>
      <c r="H8" s="52"/>
      <c r="I8"/>
      <c r="J8"/>
      <c r="K8"/>
    </row>
    <row r="9" spans="2:11" ht="13.5" thickBot="1" x14ac:dyDescent="0.25">
      <c r="B9" s="14" t="s">
        <v>4</v>
      </c>
      <c r="C9" s="23"/>
      <c r="D9" s="29">
        <f>WORKDAY(D12+F9,IF(OR(WEEKDAY(D12+F9,2)&gt;5,ISNUMBER(MATCH(D12+F9,Holidays,0))),1,0),Holidays)</f>
        <v>41281</v>
      </c>
      <c r="E9" s="13"/>
      <c r="F9" s="16">
        <f>3*7</f>
        <v>21</v>
      </c>
      <c r="G9" s="13" t="s">
        <v>75</v>
      </c>
      <c r="H9" s="52">
        <f>3*7</f>
        <v>21</v>
      </c>
      <c r="I9"/>
      <c r="J9"/>
      <c r="K9"/>
    </row>
    <row r="10" spans="2:11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  <c r="I10"/>
      <c r="J10"/>
      <c r="K10"/>
    </row>
    <row r="11" spans="2:11" x14ac:dyDescent="0.2">
      <c r="B11" s="12"/>
      <c r="C11" s="12"/>
      <c r="D11" s="25"/>
      <c r="E11" s="13"/>
      <c r="F11" s="16">
        <v>18</v>
      </c>
      <c r="G11" s="13" t="s">
        <v>65</v>
      </c>
      <c r="H11" s="52"/>
      <c r="I11"/>
      <c r="J11"/>
      <c r="K11"/>
    </row>
    <row r="12" spans="2:11" x14ac:dyDescent="0.2">
      <c r="B12" s="14" t="s">
        <v>0</v>
      </c>
      <c r="C12" s="12"/>
      <c r="D12" s="31">
        <f>WORKDAY(D15+F11,IF(OR(WEEKDAY(D15+F11,2)&gt;5,ISNUMBER(MATCH(D15+F11,Holidays,0))),1,0),Holidays)</f>
        <v>41260</v>
      </c>
      <c r="E12" s="15"/>
      <c r="F12" s="13"/>
      <c r="G12" s="13" t="s">
        <v>27</v>
      </c>
      <c r="H12" s="52">
        <v>18</v>
      </c>
      <c r="I12"/>
      <c r="J12"/>
      <c r="K12"/>
    </row>
    <row r="13" spans="2:11" x14ac:dyDescent="0.2">
      <c r="B13" s="8"/>
      <c r="C13" s="8"/>
      <c r="D13" s="26"/>
      <c r="E13" s="10"/>
      <c r="F13" s="17" t="str">
        <f>IF(F11&lt;&gt;H12,"Standard "&amp;H12&amp;" days has been changed.  ","")&amp;IF(D12-D15&lt;&gt;F11,"("&amp;D12-D15&amp;" days used)","")</f>
        <v>(20 days used)</v>
      </c>
      <c r="G13" s="10"/>
      <c r="H13" s="54"/>
      <c r="I13"/>
      <c r="J13"/>
      <c r="K13"/>
    </row>
    <row r="14" spans="2:11" x14ac:dyDescent="0.2">
      <c r="B14" s="12"/>
      <c r="C14" s="12"/>
      <c r="D14" s="25"/>
      <c r="E14" s="13"/>
      <c r="F14" s="16">
        <v>30</v>
      </c>
      <c r="G14" s="13" t="s">
        <v>20</v>
      </c>
      <c r="H14" s="52"/>
      <c r="I14" s="46">
        <f>INDEX(Holidays,MATCH(DATE(YEAR(D15),12,1),Holidays))</f>
        <v>41235</v>
      </c>
      <c r="J14" s="47">
        <f>WORKDAY(DATE(YEAR(D15),12,31),VLOOKUP(WEEKDAY(DATE(YEAR(D15),12,25)),Christmas,3,0),Holidays)-1</f>
        <v>41275</v>
      </c>
      <c r="K14" s="48" t="s">
        <v>61</v>
      </c>
    </row>
    <row r="15" spans="2:11" x14ac:dyDescent="0.2">
      <c r="B15" s="14" t="s">
        <v>6</v>
      </c>
      <c r="C15" s="12"/>
      <c r="D15" s="33">
        <f>WORKDAY(J15,IF(J15-INDEX(Holidays,MATCH(J15,Holidays))&lt;2,1,0),Holidays)</f>
        <v>41240</v>
      </c>
      <c r="E15" s="15"/>
      <c r="F15" s="13"/>
      <c r="G15" s="13" t="s">
        <v>22</v>
      </c>
      <c r="H15" s="52">
        <v>30</v>
      </c>
      <c r="I15" s="49">
        <f>D18+F14+IF(WORKDAY(DATE(YEAR(D18),12,24),-1,Holidays)-D18&lt;F14,VLOOKUP(WEEKDAY(DATE(YEAR(D18),12,25)),Christmas,2,0),0)</f>
        <v>41238</v>
      </c>
      <c r="J15" s="50">
        <f>WORKDAY(I15,IF(AND(WEEKDAY(I15,2)=4,ISNUMBER(MATCH(I15,Holidays,0))),3,IF(OR(AND(WEEKDAY(I15,2)=5,ISNUMBER(MATCH(I15,Holidays,0))),WEEKDAY(I15,2)&gt;5),2,IF(OR(WEEKDAY(I15,2)=1,ISNUMBER(MATCH(I15,Holidays,0))),1,0))),Holidays)</f>
        <v>41240</v>
      </c>
      <c r="K15" s="55"/>
    </row>
    <row r="16" spans="2:11" x14ac:dyDescent="0.2">
      <c r="B16" s="8"/>
      <c r="C16" s="8"/>
      <c r="D16" s="26"/>
      <c r="E16" s="11"/>
      <c r="F16" s="17" t="str">
        <f>IF(F14&lt;&gt;H15,"Standard "&amp;H15&amp;" days has been changed.  ","")&amp;IF(D15-D18&lt;&gt;F14,"("&amp;D15-D18&amp;" days used)","")</f>
        <v>(32 days used)</v>
      </c>
      <c r="G16" s="10"/>
      <c r="H16" s="54"/>
      <c r="I16" s="45" t="s">
        <v>58</v>
      </c>
      <c r="J16" s="51" t="s">
        <v>59</v>
      </c>
      <c r="K16" s="55"/>
    </row>
    <row r="17" spans="2:11" x14ac:dyDescent="0.2">
      <c r="B17" s="12"/>
      <c r="C17" s="12"/>
      <c r="D17" s="25"/>
      <c r="E17" s="13"/>
      <c r="F17" s="13"/>
      <c r="G17" s="21"/>
      <c r="H17" s="52"/>
      <c r="I17"/>
      <c r="J17"/>
      <c r="K17"/>
    </row>
    <row r="18" spans="2:11" x14ac:dyDescent="0.2">
      <c r="B18" s="14" t="s">
        <v>2</v>
      </c>
      <c r="C18" s="12"/>
      <c r="D18" s="31">
        <f>WORKDAY(D21+F18,IF(OR(WEEKDAY(D21+F18,2)&gt;5,ISNUMBER(MATCH(D21+F18,Holidays,0))),1,0),Holidays)</f>
        <v>41208</v>
      </c>
      <c r="E18" s="15"/>
      <c r="F18" s="16">
        <v>10</v>
      </c>
      <c r="G18" s="13" t="s">
        <v>14</v>
      </c>
      <c r="H18" s="52">
        <v>10</v>
      </c>
      <c r="I18"/>
      <c r="J18"/>
      <c r="K18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I19"/>
      <c r="J19"/>
      <c r="K19"/>
    </row>
    <row r="20" spans="2:11" x14ac:dyDescent="0.2">
      <c r="B20" s="12"/>
      <c r="C20" s="12"/>
      <c r="D20" s="25"/>
      <c r="E20" s="15"/>
      <c r="F20" s="15"/>
      <c r="G20" s="21"/>
      <c r="H20" s="52"/>
      <c r="I20"/>
      <c r="J20"/>
      <c r="K20"/>
    </row>
    <row r="21" spans="2:11" x14ac:dyDescent="0.2">
      <c r="B21" s="14" t="s">
        <v>5</v>
      </c>
      <c r="C21" s="12"/>
      <c r="D21" s="31">
        <f>WORKDAY(Arrives+F21,IF(OR(WEEKDAY(Arrives+F21,2)&gt;5,ISNUMBER(MATCH(Arrives+F21,Holidays,0))),1,0),Holidays)</f>
        <v>41198</v>
      </c>
      <c r="E21" s="15"/>
      <c r="F21" s="16">
        <f>2*7</f>
        <v>14</v>
      </c>
      <c r="G21" s="13" t="s">
        <v>15</v>
      </c>
      <c r="H21" s="52">
        <f>2*7</f>
        <v>14</v>
      </c>
      <c r="I21"/>
      <c r="J21"/>
      <c r="K21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  <c r="I22"/>
      <c r="J22"/>
      <c r="K22"/>
    </row>
    <row r="23" spans="2:11" x14ac:dyDescent="0.2">
      <c r="B23" s="12"/>
      <c r="C23" s="12"/>
      <c r="D23" s="25"/>
      <c r="E23" s="15"/>
      <c r="F23" s="15"/>
      <c r="G23" s="21"/>
    </row>
    <row r="24" spans="2:11" ht="16.5" thickBot="1" x14ac:dyDescent="0.3">
      <c r="B24" s="14" t="s">
        <v>3</v>
      </c>
      <c r="C24" s="7">
        <f>Arrives</f>
        <v>41184</v>
      </c>
      <c r="D24" s="6">
        <v>41184</v>
      </c>
      <c r="E24" s="22" t="s">
        <v>57</v>
      </c>
      <c r="F24" s="5"/>
      <c r="G24" s="5"/>
    </row>
    <row r="25" spans="2:11" x14ac:dyDescent="0.2">
      <c r="B25" s="8"/>
      <c r="C25" s="9"/>
      <c r="D25" s="10"/>
      <c r="E25" s="11"/>
      <c r="F25" s="11"/>
      <c r="G25" s="10"/>
    </row>
    <row r="26" spans="2:11" x14ac:dyDescent="0.2">
      <c r="B26" s="13"/>
      <c r="C26" s="13"/>
      <c r="D26" s="13"/>
      <c r="E26" s="15"/>
      <c r="F26" s="15"/>
      <c r="G26" s="13"/>
    </row>
    <row r="27" spans="2:11" x14ac:dyDescent="0.2">
      <c r="B27" s="14" t="s">
        <v>25</v>
      </c>
      <c r="C27" s="13"/>
      <c r="D27" s="13"/>
      <c r="E27" s="15"/>
      <c r="F27" s="15"/>
      <c r="G27" s="13"/>
    </row>
    <row r="28" spans="2:11" x14ac:dyDescent="0.2">
      <c r="B28" s="14"/>
      <c r="C28" s="13"/>
      <c r="D28" s="13"/>
      <c r="E28" s="15"/>
      <c r="F28" s="15"/>
      <c r="G28" s="13"/>
    </row>
    <row r="29" spans="2:11" ht="15.75" x14ac:dyDescent="0.25">
      <c r="B29" s="18" t="s">
        <v>16</v>
      </c>
      <c r="C29" s="13"/>
      <c r="D29" s="13"/>
      <c r="E29" s="13"/>
      <c r="F29" s="13"/>
      <c r="G29" s="13"/>
    </row>
    <row r="30" spans="2:11" ht="12.75" customHeight="1" x14ac:dyDescent="0.2">
      <c r="B30" s="72" t="s">
        <v>17</v>
      </c>
      <c r="C30" s="72"/>
      <c r="D30" s="72"/>
      <c r="E30" s="72"/>
      <c r="F30" s="72"/>
      <c r="G30" s="72"/>
    </row>
    <row r="31" spans="2:11" x14ac:dyDescent="0.2">
      <c r="B31" s="68" t="s">
        <v>63</v>
      </c>
      <c r="C31" s="72"/>
      <c r="D31" s="72"/>
      <c r="E31" s="72"/>
      <c r="F31" s="72"/>
      <c r="G31" s="72"/>
    </row>
    <row r="32" spans="2:11" ht="12.75" customHeight="1" x14ac:dyDescent="0.2">
      <c r="B32" s="68" t="s">
        <v>64</v>
      </c>
      <c r="C32" s="68"/>
      <c r="D32" s="68"/>
      <c r="E32" s="68"/>
      <c r="F32" s="68"/>
      <c r="G32" s="68"/>
      <c r="I32" s="35"/>
    </row>
    <row r="33" spans="2:11" ht="25.5" customHeight="1" x14ac:dyDescent="0.2">
      <c r="B33" s="69" t="str">
        <f>"If the advertisement period includes the Christmas/New Year Holiday period, 7 to 14 days will need to be added to the advertisement period"&amp;IF(YEAR(D15)&lt;&gt;YEAR(D18)," ("&amp;D15-D18-F14&amp;" days were added for holiday period)","")&amp;"."</f>
        <v>If the advertisement period includes the Christmas/New Year Holiday period, 7 to 14 days will need to be added to the advertisement period.</v>
      </c>
      <c r="C33" s="70"/>
      <c r="D33" s="70"/>
      <c r="E33" s="70"/>
      <c r="F33" s="70"/>
      <c r="G33" s="70"/>
      <c r="I33" s="35"/>
    </row>
    <row r="34" spans="2:11" x14ac:dyDescent="0.2">
      <c r="B34" s="19" t="s">
        <v>18</v>
      </c>
      <c r="C34" s="20"/>
      <c r="D34" s="20"/>
      <c r="E34" s="20"/>
      <c r="F34" s="20"/>
      <c r="G34" s="20"/>
    </row>
    <row r="35" spans="2:11" ht="16.5" hidden="1" x14ac:dyDescent="0.35">
      <c r="B35" s="65">
        <f>YEAR(Arrives)</f>
        <v>2012</v>
      </c>
      <c r="C35" s="66"/>
      <c r="D35" s="67"/>
    </row>
    <row r="36" spans="2:11" ht="15" hidden="1" x14ac:dyDescent="0.3">
      <c r="B36" s="56">
        <f>DATE(Year,1,1)+IF(WEEKDAY(DATE(Year,1,1),2)&lt;6,0,IF(WEEKDAY(DATE(Year,1,1),2)=6,-1,1))</f>
        <v>40910</v>
      </c>
      <c r="C36" s="57" t="s">
        <v>28</v>
      </c>
      <c r="D36" s="58"/>
      <c r="G36"/>
      <c r="H36"/>
      <c r="I36"/>
      <c r="J36"/>
      <c r="K36"/>
    </row>
    <row r="37" spans="2:11" ht="15" hidden="1" x14ac:dyDescent="0.3">
      <c r="B37" s="59">
        <f>DATE(Year,1,21)-WEEKDAY(DATE(Year,1,21),3)</f>
        <v>40924</v>
      </c>
      <c r="C37" s="60" t="s">
        <v>29</v>
      </c>
      <c r="D37" s="61"/>
      <c r="G37"/>
      <c r="H37"/>
      <c r="I37"/>
      <c r="J37"/>
      <c r="K37"/>
    </row>
    <row r="38" spans="2:11" ht="15" hidden="1" x14ac:dyDescent="0.3">
      <c r="B38" s="59">
        <f>DATE(Year,2,21)-WEEKDAY(DATE(Year,2,21),3)</f>
        <v>40959</v>
      </c>
      <c r="C38" s="60" t="s">
        <v>30</v>
      </c>
      <c r="D38" s="61"/>
      <c r="G38"/>
      <c r="H38"/>
      <c r="I38"/>
      <c r="J38"/>
      <c r="K38"/>
    </row>
    <row r="39" spans="2:11" ht="15" hidden="1" x14ac:dyDescent="0.3">
      <c r="B39" s="59">
        <f>DATE(Year,5,31)-WEEKDAY(DATE(Year,5,31),3)</f>
        <v>41057</v>
      </c>
      <c r="C39" s="60" t="s">
        <v>31</v>
      </c>
      <c r="D39" s="61"/>
      <c r="G39"/>
      <c r="H39"/>
      <c r="I39"/>
      <c r="J39"/>
      <c r="K39"/>
    </row>
    <row r="40" spans="2:11" ht="15" hidden="1" x14ac:dyDescent="0.3">
      <c r="B40" s="59">
        <f>DATE(Year,7,4)+IF(WEEKDAY(DATE(Year,7,4),2)&lt;6,0,IF(WEEKDAY(DATE(Year,7,4),2)=6,-1,1))</f>
        <v>41094</v>
      </c>
      <c r="C40" s="60" t="s">
        <v>32</v>
      </c>
      <c r="D40" s="61"/>
      <c r="G40"/>
      <c r="H40"/>
      <c r="I40"/>
      <c r="J40"/>
      <c r="K40"/>
    </row>
    <row r="41" spans="2:11" ht="15" hidden="1" x14ac:dyDescent="0.3">
      <c r="B41" s="59">
        <f>DATE(Year,9,7)-WEEKDAY(DATE(Year,9,7),3)</f>
        <v>41155</v>
      </c>
      <c r="C41" s="60" t="s">
        <v>33</v>
      </c>
      <c r="D41" s="61"/>
      <c r="G41"/>
      <c r="H41"/>
      <c r="I41"/>
      <c r="J41"/>
      <c r="K41"/>
    </row>
    <row r="42" spans="2:11" ht="15" hidden="1" x14ac:dyDescent="0.3">
      <c r="B42" s="59">
        <f>DATE(Year,10,14)-WEEKDAY(DATE(Year,10,14),3)</f>
        <v>41190</v>
      </c>
      <c r="C42" s="60" t="s">
        <v>34</v>
      </c>
      <c r="D42" s="61"/>
      <c r="G42"/>
      <c r="H42"/>
      <c r="I42"/>
      <c r="J42"/>
      <c r="K42"/>
    </row>
    <row r="43" spans="2:11" ht="15" hidden="1" x14ac:dyDescent="0.3">
      <c r="B43" s="59">
        <f>DATE(Year,11,11)+IF(WEEKDAY(DATE(Year,11,11),2)&lt;6,0,IF(WEEKDAY(DATE(Year,11,11),2)=6,-1,1))</f>
        <v>41225</v>
      </c>
      <c r="C43" s="60" t="s">
        <v>35</v>
      </c>
      <c r="D43" s="61"/>
      <c r="G43"/>
      <c r="H43"/>
      <c r="I43"/>
      <c r="J43"/>
      <c r="K43"/>
    </row>
    <row r="44" spans="2:11" ht="15" hidden="1" x14ac:dyDescent="0.3">
      <c r="B44" s="59">
        <f>DATE(Year,11,28)-WEEKDAY(DATE(Year,11,25),3)</f>
        <v>41235</v>
      </c>
      <c r="C44" s="60" t="s">
        <v>36</v>
      </c>
      <c r="D44" s="61"/>
      <c r="G44"/>
      <c r="H44"/>
      <c r="I44"/>
      <c r="J44"/>
      <c r="K44"/>
    </row>
    <row r="45" spans="2:11" ht="15" hidden="1" x14ac:dyDescent="0.3">
      <c r="B45" s="59">
        <f>DATE(Year,12,25)+IF(WEEKDAY(DATE(Year,12,25),2)&lt;6,0,IF(WEEKDAY(DATE(Year,12,25),2)=6,-1,1))</f>
        <v>41268</v>
      </c>
      <c r="C45" s="60" t="s">
        <v>37</v>
      </c>
      <c r="D45" s="61"/>
    </row>
    <row r="46" spans="2:11" ht="15" hidden="1" x14ac:dyDescent="0.3">
      <c r="B46" s="59">
        <f>DATE(Year+1,1,1)+IF(WEEKDAY(DATE(Year+1,1,1),2)&lt;6,0,IF(WEEKDAY(DATE(Year+1,1,1),2)=6,-1,1))</f>
        <v>41275</v>
      </c>
      <c r="C46" s="60" t="str">
        <f>C36&amp;" "&amp;(Year+1)</f>
        <v>New Years Day 2013</v>
      </c>
      <c r="D46" s="61"/>
    </row>
    <row r="47" spans="2:11" ht="15" hidden="1" x14ac:dyDescent="0.3">
      <c r="B47" s="59">
        <f>DATE(Year+1,1,21)-WEEKDAY(DATE(Year+1,1,21),3)</f>
        <v>41295</v>
      </c>
      <c r="C47" s="60" t="str">
        <f t="shared" ref="C47:C55" si="0">C37&amp;" "&amp;(Year+1)</f>
        <v>Martin Luther King Day 2013</v>
      </c>
      <c r="D47" s="61"/>
    </row>
    <row r="48" spans="2:11" ht="15" hidden="1" x14ac:dyDescent="0.3">
      <c r="B48" s="59">
        <f>DATE(Year+1,2,21)-WEEKDAY(DATE(Year+1,2,21),3)</f>
        <v>41323</v>
      </c>
      <c r="C48" s="60" t="str">
        <f t="shared" si="0"/>
        <v>President's Day 2013</v>
      </c>
      <c r="D48" s="61"/>
    </row>
    <row r="49" spans="2:4" ht="15" hidden="1" x14ac:dyDescent="0.3">
      <c r="B49" s="59">
        <f>DATE(Year+1,5,31)-WEEKDAY(DATE(Year+1,5,31),3)</f>
        <v>41421</v>
      </c>
      <c r="C49" s="60" t="str">
        <f t="shared" si="0"/>
        <v>Memorial Day 2013</v>
      </c>
      <c r="D49" s="61"/>
    </row>
    <row r="50" spans="2:4" ht="15" hidden="1" x14ac:dyDescent="0.3">
      <c r="B50" s="59">
        <f>DATE(Year+1,7,4)+IF(WEEKDAY(DATE(Year+1,7,4),2)&lt;6,0,IF(WEEKDAY(DATE(Year+1,7,4),2)=6,-1,1))</f>
        <v>41459</v>
      </c>
      <c r="C50" s="60" t="str">
        <f t="shared" si="0"/>
        <v>Independence Day 2013</v>
      </c>
      <c r="D50" s="61"/>
    </row>
    <row r="51" spans="2:4" ht="15" hidden="1" x14ac:dyDescent="0.3">
      <c r="B51" s="59">
        <f>DATE(Year+1,9,7)-WEEKDAY(DATE(Year+1,9,7),3)</f>
        <v>41519</v>
      </c>
      <c r="C51" s="60" t="str">
        <f t="shared" si="0"/>
        <v>Labor Day 2013</v>
      </c>
      <c r="D51" s="61"/>
    </row>
    <row r="52" spans="2:4" ht="15" hidden="1" x14ac:dyDescent="0.3">
      <c r="B52" s="59">
        <f>DATE(Year+1,10,14)-WEEKDAY(DATE(Year+1,10,14),3)</f>
        <v>41561</v>
      </c>
      <c r="C52" s="60" t="str">
        <f t="shared" si="0"/>
        <v>Columbus Day 2013</v>
      </c>
      <c r="D52" s="61"/>
    </row>
    <row r="53" spans="2:4" ht="15" hidden="1" x14ac:dyDescent="0.3">
      <c r="B53" s="59">
        <f>DATE(Year+1,11,11)+IF(WEEKDAY(DATE(Year+1,11,11),2)&lt;6,0,IF(WEEKDAY(DATE(Year+1,11,11),2)=6,-1,1))</f>
        <v>41589</v>
      </c>
      <c r="C53" s="60" t="str">
        <f t="shared" si="0"/>
        <v>Veteran's Day 2013</v>
      </c>
      <c r="D53" s="61"/>
    </row>
    <row r="54" spans="2:4" ht="15" hidden="1" x14ac:dyDescent="0.3">
      <c r="B54" s="59">
        <f>DATE(Year+1,11,28)-WEEKDAY(DATE(Year+1,11,25),3)</f>
        <v>41606</v>
      </c>
      <c r="C54" s="60" t="str">
        <f t="shared" si="0"/>
        <v>Thanksgiving 2013</v>
      </c>
      <c r="D54" s="61"/>
    </row>
    <row r="55" spans="2:4" ht="15" hidden="1" x14ac:dyDescent="0.3">
      <c r="B55" s="59">
        <f>DATE(Year+1,12,25)+IF(WEEKDAY(DATE(Year+1,12,25),2)&lt;6,0,IF(WEEKDAY(DATE(Year+1,12,25),2)=6,-1,1))</f>
        <v>41633</v>
      </c>
      <c r="C55" s="60" t="str">
        <f t="shared" si="0"/>
        <v>Christmas 2013</v>
      </c>
      <c r="D55" s="61"/>
    </row>
    <row r="56" spans="2:4" ht="15" hidden="1" x14ac:dyDescent="0.3">
      <c r="B56" s="59">
        <f>DATE(Year+2,1,1)+IF(WEEKDAY(DATE(Year+2,1,1),2)&lt;6,0,IF(WEEKDAY(DATE(Year+2,1,1),2)=6,-1,1))</f>
        <v>41640</v>
      </c>
      <c r="C56" s="60" t="str">
        <f>C36&amp;" "&amp;(Year+2)</f>
        <v>New Years Day 2014</v>
      </c>
      <c r="D56" s="61"/>
    </row>
    <row r="57" spans="2:4" ht="15" hidden="1" x14ac:dyDescent="0.3">
      <c r="B57" s="62">
        <f>DATE(Year+2,1,21)-WEEKDAY(DATE(Year+2,1,21),3)</f>
        <v>41659</v>
      </c>
      <c r="C57" s="63" t="str">
        <f>C37&amp;" "&amp;(Year+2)</f>
        <v>Martin Luther King Day 2014</v>
      </c>
      <c r="D57" s="64"/>
    </row>
  </sheetData>
  <sheetProtection sheet="1" objects="1" scenarios="1" selectLockedCells="1"/>
  <mergeCells count="7">
    <mergeCell ref="B32:G32"/>
    <mergeCell ref="B33:G33"/>
    <mergeCell ref="B3:G3"/>
    <mergeCell ref="B2:G2"/>
    <mergeCell ref="B30:G30"/>
    <mergeCell ref="B31:G31"/>
    <mergeCell ref="B4:G4"/>
  </mergeCells>
  <phoneticPr fontId="0" type="noConversion"/>
  <conditionalFormatting sqref="B36:B57">
    <cfRule type="cellIs" dxfId="87" priority="10" stopIfTrue="1" operator="lessThan">
      <formula>TODAY()</formula>
    </cfRule>
  </conditionalFormatting>
  <conditionalFormatting sqref="C36:C57">
    <cfRule type="expression" dxfId="86" priority="11" stopIfTrue="1">
      <formula>B36&lt;TODAY()</formula>
    </cfRule>
  </conditionalFormatting>
  <conditionalFormatting sqref="D15">
    <cfRule type="cellIs" dxfId="85" priority="12" stopIfTrue="1" operator="between">
      <formula>$I$14</formula>
      <formula>$J$14</formula>
    </cfRule>
  </conditionalFormatting>
  <conditionalFormatting sqref="F22 F19 F10">
    <cfRule type="expression" dxfId="84" priority="13" stopIfTrue="1">
      <formula>F9&lt;&gt;H9</formula>
    </cfRule>
    <cfRule type="expression" dxfId="83" priority="14" stopIfTrue="1">
      <formula>D9-D12&lt;&gt;F9</formula>
    </cfRule>
  </conditionalFormatting>
  <conditionalFormatting sqref="B32:G32">
    <cfRule type="expression" dxfId="82" priority="15" stopIfTrue="1">
      <formula>AND($D$15&gt;=$I$14,$D$15&lt;=$J$14)</formula>
    </cfRule>
  </conditionalFormatting>
  <conditionalFormatting sqref="F16 F13">
    <cfRule type="expression" dxfId="81" priority="16" stopIfTrue="1">
      <formula>F11&lt;&gt;H12</formula>
    </cfRule>
    <cfRule type="expression" dxfId="80" priority="17" stopIfTrue="1">
      <formula>D12-D15&lt;&gt;F11</formula>
    </cfRule>
  </conditionalFormatting>
  <conditionalFormatting sqref="B36:B57">
    <cfRule type="cellIs" dxfId="79" priority="9" stopIfTrue="1" operator="lessThan">
      <formula>TODAY()</formula>
    </cfRule>
  </conditionalFormatting>
  <conditionalFormatting sqref="C36:C57">
    <cfRule type="expression" dxfId="78" priority="8" stopIfTrue="1">
      <formula>B36&lt;TODAY()</formula>
    </cfRule>
  </conditionalFormatting>
  <conditionalFormatting sqref="E6">
    <cfRule type="expression" dxfId="15" priority="3">
      <formula>AND($D$6&gt;0,$D$9&gt;$D$6)</formula>
    </cfRule>
  </conditionalFormatting>
  <conditionalFormatting sqref="D6">
    <cfRule type="expression" dxfId="3" priority="1">
      <formula>AND($D$6&gt;0,$D$9&gt;$D$6)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0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0" ht="23.25" x14ac:dyDescent="0.35">
      <c r="B2" s="71" t="s">
        <v>23</v>
      </c>
      <c r="C2" s="71"/>
      <c r="D2" s="71"/>
      <c r="E2" s="71"/>
      <c r="F2" s="71"/>
      <c r="G2" s="71"/>
    </row>
    <row r="3" spans="2:10" ht="23.25" x14ac:dyDescent="0.35">
      <c r="B3" s="71" t="s">
        <v>8</v>
      </c>
      <c r="C3" s="71"/>
      <c r="D3" s="71"/>
      <c r="E3" s="71"/>
      <c r="F3" s="71"/>
      <c r="G3" s="71"/>
      <c r="H3" s="4"/>
    </row>
    <row r="4" spans="2:10" ht="23.25" customHeight="1" x14ac:dyDescent="0.35">
      <c r="B4" s="73" t="s">
        <v>73</v>
      </c>
      <c r="C4" s="73"/>
      <c r="D4" s="73"/>
      <c r="E4" s="73"/>
      <c r="F4" s="73"/>
      <c r="G4" s="73"/>
      <c r="H4" s="53" t="s">
        <v>74</v>
      </c>
    </row>
    <row r="5" spans="2:10" ht="12.75" customHeight="1" x14ac:dyDescent="0.2">
      <c r="B5" s="12"/>
      <c r="C5" s="12"/>
      <c r="D5" s="25"/>
      <c r="E5" s="13"/>
      <c r="F5" s="13"/>
      <c r="G5" s="13"/>
      <c r="H5" s="53"/>
    </row>
    <row r="6" spans="2:10" ht="16.5" customHeight="1" thickBot="1" x14ac:dyDescent="0.25">
      <c r="B6" s="14" t="s">
        <v>76</v>
      </c>
      <c r="C6" s="12"/>
      <c r="D6" s="74"/>
      <c r="E6" s="75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</row>
    <row r="7" spans="2:10" ht="12.75" customHeight="1" x14ac:dyDescent="0.2">
      <c r="B7" s="8"/>
      <c r="C7" s="8"/>
      <c r="D7" s="26"/>
      <c r="E7" s="10"/>
      <c r="F7" s="10"/>
      <c r="G7" s="10"/>
      <c r="H7" s="53"/>
    </row>
    <row r="8" spans="2:10" x14ac:dyDescent="0.2">
      <c r="B8" s="12"/>
      <c r="C8" s="13"/>
      <c r="D8" s="13"/>
      <c r="E8" s="13"/>
      <c r="F8" s="13"/>
      <c r="G8" s="27" t="str">
        <f>IF(D9&gt;MAX(Holidays),"Warning! Last date beyond last calculated holiday.","")</f>
        <v/>
      </c>
      <c r="H8" s="52"/>
      <c r="J8" s="28"/>
    </row>
    <row r="9" spans="2:10" ht="13.5" thickBot="1" x14ac:dyDescent="0.25">
      <c r="B9" s="14" t="s">
        <v>4</v>
      </c>
      <c r="C9" s="23"/>
      <c r="D9" s="29">
        <f>WORKDAY(D12+F9,IF(OR(WEEKDAY(D12+F9,2)&gt;5,ISNUMBER(MATCH(D12+F9,Holidays,0))),1,0),Holidays)</f>
        <v>41302</v>
      </c>
      <c r="E9" s="13"/>
      <c r="F9" s="16">
        <f>3*7</f>
        <v>21</v>
      </c>
      <c r="G9" s="13" t="s">
        <v>75</v>
      </c>
      <c r="H9" s="52">
        <f>3*7</f>
        <v>21</v>
      </c>
    </row>
    <row r="10" spans="2:10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</row>
    <row r="11" spans="2:10" x14ac:dyDescent="0.2">
      <c r="B11" s="12"/>
      <c r="C11" s="12"/>
      <c r="D11" s="25"/>
      <c r="E11" s="13"/>
      <c r="F11" s="16">
        <v>18</v>
      </c>
      <c r="G11" s="13" t="s">
        <v>24</v>
      </c>
      <c r="H11" s="52"/>
      <c r="J11" s="30"/>
    </row>
    <row r="12" spans="2:10" x14ac:dyDescent="0.2">
      <c r="B12" s="14" t="s">
        <v>0</v>
      </c>
      <c r="C12" s="12"/>
      <c r="D12" s="31">
        <f>WORKDAY(D15+F11,IF(OR(WEEKDAY(D15+F11,2)&gt;5,ISNUMBER(MATCH(D15+F11,Holidays,0))),1,0),Holidays)</f>
        <v>41281</v>
      </c>
      <c r="E12" s="15"/>
      <c r="F12" s="21"/>
      <c r="G12" s="13" t="s">
        <v>27</v>
      </c>
      <c r="H12" s="52">
        <v>18</v>
      </c>
    </row>
    <row r="13" spans="2:10" x14ac:dyDescent="0.2">
      <c r="B13" s="8"/>
      <c r="C13" s="8"/>
      <c r="D13" s="26"/>
      <c r="E13" s="10"/>
      <c r="F13" s="17" t="str">
        <f>IF(F11&lt;&gt;H12,"Standard "&amp;H12&amp;" days has been changed.  ","")&amp;IF(D12-D15&lt;&gt;F11,"("&amp;D12-D15&amp;" days used)","")</f>
        <v>(20 days used)</v>
      </c>
      <c r="G13" s="10"/>
      <c r="H13" s="54"/>
      <c r="J13" s="32"/>
    </row>
    <row r="14" spans="2:10" x14ac:dyDescent="0.2">
      <c r="B14" s="12"/>
      <c r="C14" s="12"/>
      <c r="D14" s="25"/>
      <c r="E14" s="13"/>
      <c r="F14" s="40"/>
      <c r="G14" s="13"/>
      <c r="H14" s="52"/>
      <c r="J14" s="32"/>
    </row>
    <row r="15" spans="2:10" x14ac:dyDescent="0.2">
      <c r="B15" s="14" t="s">
        <v>10</v>
      </c>
      <c r="C15" s="12"/>
      <c r="D15" s="31">
        <f>WORKDAY(D18+F15,IF(OR(WEEKDAY(D18+F15,2)&gt;5,ISNUMBER(MATCH(D18+F15,Holidays,0))),1,0),Holidays)</f>
        <v>41261</v>
      </c>
      <c r="E15" s="13"/>
      <c r="F15" s="16">
        <v>21</v>
      </c>
      <c r="G15" s="13" t="s">
        <v>66</v>
      </c>
      <c r="H15" s="52">
        <f>3*7</f>
        <v>21</v>
      </c>
      <c r="J15" s="32"/>
    </row>
    <row r="16" spans="2:10" x14ac:dyDescent="0.2">
      <c r="B16" s="8"/>
      <c r="C16" s="8"/>
      <c r="D16" s="26"/>
      <c r="E16" s="11"/>
      <c r="F16" s="17" t="str">
        <f>IF(F15&lt;&gt;H15,"Standard "&amp;H15&amp;" days has been changed.  ","")&amp;IF(D15-D18&lt;&gt;F15,"("&amp;D15-D18&amp;" days used)","")</f>
        <v/>
      </c>
      <c r="G16" s="10"/>
      <c r="H16" s="54"/>
      <c r="J16" s="32"/>
    </row>
    <row r="17" spans="2:11" x14ac:dyDescent="0.2">
      <c r="B17" s="12"/>
      <c r="C17" s="12"/>
      <c r="D17" s="25"/>
      <c r="E17" s="13"/>
      <c r="F17" s="40"/>
      <c r="G17" s="13"/>
      <c r="H17" s="52"/>
      <c r="I17" s="46">
        <f>INDEX(Holidays,MATCH(DATE(YEAR(D18),12,1),Holidays))</f>
        <v>41235</v>
      </c>
      <c r="J17" s="47">
        <f>WORKDAY(DATE(YEAR(D18),12,31),VLOOKUP(WEEKDAY(DATE(YEAR(D18),12,25)),Christmas,3,0),Holidays)-1</f>
        <v>41275</v>
      </c>
      <c r="K17" s="48" t="s">
        <v>61</v>
      </c>
    </row>
    <row r="18" spans="2:11" x14ac:dyDescent="0.2">
      <c r="B18" s="14" t="s">
        <v>6</v>
      </c>
      <c r="C18" s="12"/>
      <c r="D18" s="33">
        <f>WORKDAY(J18,IF(J18-INDEX(Holidays,MATCH(J18,Holidays))&lt;2,1,0),Holidays)</f>
        <v>41240</v>
      </c>
      <c r="E18" s="15"/>
      <c r="F18" s="16">
        <v>30</v>
      </c>
      <c r="G18" s="13" t="s">
        <v>20</v>
      </c>
      <c r="H18" s="52">
        <v>30</v>
      </c>
      <c r="I18" s="49">
        <f>D21+F18+IF(WORKDAY(DATE(YEAR(D21),12,24),-1,Holidays)-D21&lt;F18,VLOOKUP(WEEKDAY(DATE(YEAR(D21),12,25)),Christmas,2,0),0)</f>
        <v>41238</v>
      </c>
      <c r="J18" s="50">
        <f>WORKDAY(I18,IF(AND(WEEKDAY(I18,2)=4,ISNUMBER(MATCH(I18,Holidays,0))),3,IF(OR(AND(WEEKDAY(I18,2)=5,ISNUMBER(MATCH(I18,Holidays,0))),WEEKDAY(I18,2)&gt;5),2,IF(OR(WEEKDAY(I18,2)=1,ISNUMBER(MATCH(I18,Holidays,0))),1,0))),Holidays)</f>
        <v>41240</v>
      </c>
      <c r="K18" s="55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>(32 days used)</v>
      </c>
      <c r="G19" s="10"/>
      <c r="H19" s="54"/>
      <c r="I19" s="45" t="s">
        <v>58</v>
      </c>
      <c r="J19" s="51" t="s">
        <v>59</v>
      </c>
      <c r="K19" s="55"/>
    </row>
    <row r="20" spans="2:11" x14ac:dyDescent="0.2">
      <c r="B20" s="12"/>
      <c r="C20" s="12"/>
      <c r="D20" s="25"/>
      <c r="E20" s="13"/>
      <c r="F20" s="13"/>
      <c r="G20" s="21"/>
      <c r="H20" s="52"/>
    </row>
    <row r="21" spans="2:11" x14ac:dyDescent="0.2">
      <c r="B21" s="14" t="s">
        <v>2</v>
      </c>
      <c r="C21" s="12"/>
      <c r="D21" s="31">
        <f>WORKDAY(D24+F21,IF(OR(WEEKDAY(D24+F21,2)&gt;5,ISNUMBER(MATCH(D24+F21,Holidays,0))),1,0),Holidays)</f>
        <v>41208</v>
      </c>
      <c r="E21" s="15"/>
      <c r="F21" s="16">
        <v>10</v>
      </c>
      <c r="G21" s="13" t="s">
        <v>14</v>
      </c>
      <c r="H21" s="52">
        <v>10</v>
      </c>
      <c r="J21" s="34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</row>
    <row r="23" spans="2:11" x14ac:dyDescent="0.2">
      <c r="B23" s="12"/>
      <c r="C23" s="12"/>
      <c r="D23" s="25"/>
      <c r="E23" s="15"/>
      <c r="F23" s="15"/>
      <c r="G23" s="21"/>
      <c r="H23" s="52"/>
    </row>
    <row r="24" spans="2:11" x14ac:dyDescent="0.2">
      <c r="B24" s="14" t="s">
        <v>5</v>
      </c>
      <c r="C24" s="12"/>
      <c r="D24" s="31">
        <f>WORKDAY(Arrives+F24,IF(OR(WEEKDAY(Arrives+F24,2)&gt;5,ISNUMBER(MATCH(Arrives+F24,Holidays,0))),1,0),Holidays)</f>
        <v>41198</v>
      </c>
      <c r="E24" s="15"/>
      <c r="F24" s="16">
        <f>2*7</f>
        <v>14</v>
      </c>
      <c r="G24" s="13" t="s">
        <v>15</v>
      </c>
      <c r="H24" s="52">
        <f>2*7</f>
        <v>14</v>
      </c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54"/>
    </row>
    <row r="26" spans="2:11" x14ac:dyDescent="0.2">
      <c r="B26" s="12"/>
      <c r="C26" s="12"/>
      <c r="D26" s="25"/>
      <c r="E26" s="15"/>
      <c r="F26" s="15"/>
      <c r="G26" s="21"/>
    </row>
    <row r="27" spans="2:11" ht="16.5" thickBot="1" x14ac:dyDescent="0.3">
      <c r="B27" s="14" t="s">
        <v>3</v>
      </c>
      <c r="C27" s="7">
        <f>Arrives</f>
        <v>41184</v>
      </c>
      <c r="D27" s="6">
        <v>41184</v>
      </c>
      <c r="E27" s="22" t="s">
        <v>57</v>
      </c>
      <c r="F27" s="5"/>
      <c r="G27" s="5"/>
    </row>
    <row r="28" spans="2:11" x14ac:dyDescent="0.2">
      <c r="B28" s="8"/>
      <c r="C28" s="9"/>
      <c r="D28" s="10"/>
      <c r="E28" s="11"/>
      <c r="F28" s="11"/>
      <c r="G28" s="10"/>
    </row>
    <row r="29" spans="2:11" x14ac:dyDescent="0.2">
      <c r="B29" s="13"/>
      <c r="C29" s="13"/>
      <c r="D29" s="13"/>
      <c r="E29" s="15"/>
      <c r="F29" s="15"/>
      <c r="G29" s="13"/>
    </row>
    <row r="30" spans="2:11" x14ac:dyDescent="0.2">
      <c r="B30" s="14" t="s">
        <v>25</v>
      </c>
      <c r="C30" s="13"/>
      <c r="D30" s="13"/>
      <c r="E30" s="15"/>
      <c r="F30" s="15"/>
      <c r="G30" s="13"/>
    </row>
    <row r="31" spans="2:11" x14ac:dyDescent="0.2">
      <c r="B31" s="13"/>
      <c r="C31" s="13"/>
      <c r="D31" s="13"/>
      <c r="E31" s="15"/>
      <c r="F31" s="15"/>
      <c r="G31" s="13"/>
    </row>
    <row r="32" spans="2:11" ht="15.75" x14ac:dyDescent="0.25">
      <c r="B32" s="18" t="s">
        <v>16</v>
      </c>
      <c r="C32" s="13"/>
      <c r="D32" s="13"/>
      <c r="E32" s="13"/>
      <c r="F32" s="13"/>
      <c r="G32" s="13"/>
    </row>
    <row r="33" spans="2:11" ht="12.75" customHeight="1" x14ac:dyDescent="0.2">
      <c r="B33" s="72" t="s">
        <v>17</v>
      </c>
      <c r="C33" s="72"/>
      <c r="D33" s="72"/>
      <c r="E33" s="72"/>
      <c r="F33" s="72"/>
      <c r="G33" s="72"/>
    </row>
    <row r="34" spans="2:11" x14ac:dyDescent="0.2">
      <c r="B34" s="68" t="s">
        <v>63</v>
      </c>
      <c r="C34" s="72"/>
      <c r="D34" s="72"/>
      <c r="E34" s="72"/>
      <c r="F34" s="72"/>
      <c r="G34" s="72"/>
    </row>
    <row r="35" spans="2:11" ht="12.75" customHeight="1" x14ac:dyDescent="0.2">
      <c r="B35" s="68" t="s">
        <v>64</v>
      </c>
      <c r="C35" s="68"/>
      <c r="D35" s="68"/>
      <c r="E35" s="68"/>
      <c r="F35" s="68"/>
      <c r="G35" s="68"/>
      <c r="I35" s="35"/>
    </row>
    <row r="36" spans="2:11" ht="25.5" customHeight="1" x14ac:dyDescent="0.2">
      <c r="B36" s="69" t="str">
        <f>"If the advertisement period includes the Christmas/New Year Holiday period, 7 to 14 days will need to be added to the advertisement period"&amp;IF(YEAR(D18)&lt;&gt;YEAR(D21)," ("&amp;D18-D21-F18&amp;" days were added for holiday period)","")&amp;"."</f>
        <v>If the advertisement period includes the Christmas/New Year Holiday period, 7 to 14 days will need to be added to the advertisement period.</v>
      </c>
      <c r="C36" s="70"/>
      <c r="D36" s="70"/>
      <c r="E36" s="70"/>
      <c r="F36" s="70"/>
      <c r="G36" s="70"/>
      <c r="I36" s="35"/>
    </row>
    <row r="37" spans="2:11" x14ac:dyDescent="0.2">
      <c r="B37" s="19" t="s">
        <v>18</v>
      </c>
      <c r="C37" s="20"/>
      <c r="D37" s="20"/>
      <c r="E37" s="20"/>
      <c r="F37" s="20"/>
      <c r="G37" s="20"/>
    </row>
    <row r="38" spans="2:11" ht="16.5" hidden="1" x14ac:dyDescent="0.35">
      <c r="B38" s="65">
        <f>YEAR(Arrives)</f>
        <v>2012</v>
      </c>
      <c r="C38" s="66"/>
      <c r="D38" s="67"/>
    </row>
    <row r="39" spans="2:11" ht="15" hidden="1" x14ac:dyDescent="0.3">
      <c r="B39" s="56">
        <f>DATE(Year,1,1)+IF(WEEKDAY(DATE(Year,1,1),2)&lt;6,0,IF(WEEKDAY(DATE(Year,1,1),2)=6,-1,1))</f>
        <v>40910</v>
      </c>
      <c r="C39" s="57" t="s">
        <v>28</v>
      </c>
      <c r="D39" s="58"/>
      <c r="G39"/>
      <c r="H39"/>
      <c r="I39"/>
      <c r="J39"/>
      <c r="K39"/>
    </row>
    <row r="40" spans="2:11" ht="15" hidden="1" x14ac:dyDescent="0.3">
      <c r="B40" s="59">
        <f>DATE(Year,1,21)-WEEKDAY(DATE(Year,1,21),3)</f>
        <v>40924</v>
      </c>
      <c r="C40" s="60" t="s">
        <v>29</v>
      </c>
      <c r="D40" s="61"/>
      <c r="G40"/>
      <c r="H40"/>
      <c r="I40"/>
      <c r="J40"/>
      <c r="K40"/>
    </row>
    <row r="41" spans="2:11" ht="15" hidden="1" x14ac:dyDescent="0.3">
      <c r="B41" s="59">
        <f>DATE(Year,2,21)-WEEKDAY(DATE(Year,2,21),3)</f>
        <v>40959</v>
      </c>
      <c r="C41" s="60" t="s">
        <v>30</v>
      </c>
      <c r="D41" s="61"/>
      <c r="G41"/>
      <c r="H41"/>
      <c r="I41"/>
      <c r="J41"/>
      <c r="K41"/>
    </row>
    <row r="42" spans="2:11" ht="15" hidden="1" x14ac:dyDescent="0.3">
      <c r="B42" s="59">
        <f>DATE(Year,5,31)-WEEKDAY(DATE(Year,5,31),3)</f>
        <v>41057</v>
      </c>
      <c r="C42" s="60" t="s">
        <v>31</v>
      </c>
      <c r="D42" s="61"/>
      <c r="G42"/>
      <c r="H42"/>
      <c r="I42"/>
      <c r="J42"/>
      <c r="K42"/>
    </row>
    <row r="43" spans="2:11" ht="15" hidden="1" x14ac:dyDescent="0.3">
      <c r="B43" s="59">
        <f>DATE(Year,7,4)+IF(WEEKDAY(DATE(Year,7,4),2)&lt;6,0,IF(WEEKDAY(DATE(Year,7,4),2)=6,-1,1))</f>
        <v>41094</v>
      </c>
      <c r="C43" s="60" t="s">
        <v>32</v>
      </c>
      <c r="D43" s="61"/>
      <c r="G43"/>
      <c r="H43"/>
      <c r="I43"/>
      <c r="J43"/>
      <c r="K43"/>
    </row>
    <row r="44" spans="2:11" ht="15" hidden="1" x14ac:dyDescent="0.3">
      <c r="B44" s="59">
        <f>DATE(Year,9,7)-WEEKDAY(DATE(Year,9,7),3)</f>
        <v>41155</v>
      </c>
      <c r="C44" s="60" t="s">
        <v>33</v>
      </c>
      <c r="D44" s="61"/>
      <c r="G44"/>
      <c r="H44"/>
      <c r="I44"/>
      <c r="J44"/>
      <c r="K44"/>
    </row>
    <row r="45" spans="2:11" ht="15" hidden="1" x14ac:dyDescent="0.3">
      <c r="B45" s="59">
        <f>DATE(Year,10,14)-WEEKDAY(DATE(Year,10,14),3)</f>
        <v>41190</v>
      </c>
      <c r="C45" s="60" t="s">
        <v>34</v>
      </c>
      <c r="D45" s="61"/>
      <c r="G45"/>
      <c r="H45"/>
      <c r="I45"/>
      <c r="J45"/>
      <c r="K45"/>
    </row>
    <row r="46" spans="2:11" ht="15" hidden="1" x14ac:dyDescent="0.3">
      <c r="B46" s="59">
        <f>DATE(Year,11,11)+IF(WEEKDAY(DATE(Year,11,11),2)&lt;6,0,IF(WEEKDAY(DATE(Year,11,11),2)=6,-1,1))</f>
        <v>41225</v>
      </c>
      <c r="C46" s="60" t="s">
        <v>35</v>
      </c>
      <c r="D46" s="61"/>
      <c r="G46"/>
      <c r="H46"/>
      <c r="I46"/>
      <c r="J46"/>
      <c r="K46"/>
    </row>
    <row r="47" spans="2:11" ht="15" hidden="1" x14ac:dyDescent="0.3">
      <c r="B47" s="59">
        <f>DATE(Year,11,28)-WEEKDAY(DATE(Year,11,25),3)</f>
        <v>41235</v>
      </c>
      <c r="C47" s="60" t="s">
        <v>36</v>
      </c>
      <c r="D47" s="61"/>
      <c r="G47"/>
      <c r="H47"/>
      <c r="I47"/>
      <c r="J47"/>
      <c r="K47"/>
    </row>
    <row r="48" spans="2:11" ht="15" hidden="1" x14ac:dyDescent="0.3">
      <c r="B48" s="59">
        <f>DATE(Year,12,25)+IF(WEEKDAY(DATE(Year,12,25),2)&lt;6,0,IF(WEEKDAY(DATE(Year,12,25),2)=6,-1,1))</f>
        <v>41268</v>
      </c>
      <c r="C48" s="60" t="s">
        <v>37</v>
      </c>
      <c r="D48" s="61"/>
    </row>
    <row r="49" spans="2:4" ht="15" hidden="1" x14ac:dyDescent="0.3">
      <c r="B49" s="59">
        <f>DATE(Year+1,1,1)+IF(WEEKDAY(DATE(Year+1,1,1),2)&lt;6,0,IF(WEEKDAY(DATE(Year+1,1,1),2)=6,-1,1))</f>
        <v>41275</v>
      </c>
      <c r="C49" s="60" t="str">
        <f>C39&amp;" "&amp;(Year+1)</f>
        <v>New Years Day 2013</v>
      </c>
      <c r="D49" s="61"/>
    </row>
    <row r="50" spans="2:4" ht="15" hidden="1" x14ac:dyDescent="0.3">
      <c r="B50" s="59">
        <f>DATE(Year+1,1,21)-WEEKDAY(DATE(Year+1,1,21),3)</f>
        <v>41295</v>
      </c>
      <c r="C50" s="60" t="str">
        <f t="shared" ref="C50:C58" si="0">C40&amp;" "&amp;(Year+1)</f>
        <v>Martin Luther King Day 2013</v>
      </c>
      <c r="D50" s="61"/>
    </row>
    <row r="51" spans="2:4" ht="15" hidden="1" x14ac:dyDescent="0.3">
      <c r="B51" s="59">
        <f>DATE(Year+1,2,21)-WEEKDAY(DATE(Year+1,2,21),3)</f>
        <v>41323</v>
      </c>
      <c r="C51" s="60" t="str">
        <f t="shared" si="0"/>
        <v>President's Day 2013</v>
      </c>
      <c r="D51" s="61"/>
    </row>
    <row r="52" spans="2:4" ht="15" hidden="1" x14ac:dyDescent="0.3">
      <c r="B52" s="59">
        <f>DATE(Year+1,5,31)-WEEKDAY(DATE(Year+1,5,31),3)</f>
        <v>41421</v>
      </c>
      <c r="C52" s="60" t="str">
        <f t="shared" si="0"/>
        <v>Memorial Day 2013</v>
      </c>
      <c r="D52" s="61"/>
    </row>
    <row r="53" spans="2:4" ht="15" hidden="1" x14ac:dyDescent="0.3">
      <c r="B53" s="59">
        <f>DATE(Year+1,7,4)+IF(WEEKDAY(DATE(Year+1,7,4),2)&lt;6,0,IF(WEEKDAY(DATE(Year+1,7,4),2)=6,-1,1))</f>
        <v>41459</v>
      </c>
      <c r="C53" s="60" t="str">
        <f t="shared" si="0"/>
        <v>Independence Day 2013</v>
      </c>
      <c r="D53" s="61"/>
    </row>
    <row r="54" spans="2:4" ht="15" hidden="1" x14ac:dyDescent="0.3">
      <c r="B54" s="59">
        <f>DATE(Year+1,9,7)-WEEKDAY(DATE(Year+1,9,7),3)</f>
        <v>41519</v>
      </c>
      <c r="C54" s="60" t="str">
        <f t="shared" si="0"/>
        <v>Labor Day 2013</v>
      </c>
      <c r="D54" s="61"/>
    </row>
    <row r="55" spans="2:4" ht="15" hidden="1" x14ac:dyDescent="0.3">
      <c r="B55" s="59">
        <f>DATE(Year+1,10,14)-WEEKDAY(DATE(Year+1,10,14),3)</f>
        <v>41561</v>
      </c>
      <c r="C55" s="60" t="str">
        <f t="shared" si="0"/>
        <v>Columbus Day 2013</v>
      </c>
      <c r="D55" s="61"/>
    </row>
    <row r="56" spans="2:4" ht="15" hidden="1" x14ac:dyDescent="0.3">
      <c r="B56" s="59">
        <f>DATE(Year+1,11,11)+IF(WEEKDAY(DATE(Year+1,11,11),2)&lt;6,0,IF(WEEKDAY(DATE(Year+1,11,11),2)=6,-1,1))</f>
        <v>41589</v>
      </c>
      <c r="C56" s="60" t="str">
        <f t="shared" si="0"/>
        <v>Veteran's Day 2013</v>
      </c>
      <c r="D56" s="61"/>
    </row>
    <row r="57" spans="2:4" ht="15" hidden="1" x14ac:dyDescent="0.3">
      <c r="B57" s="59">
        <f>DATE(Year+1,11,28)-WEEKDAY(DATE(Year+1,11,25),3)</f>
        <v>41606</v>
      </c>
      <c r="C57" s="60" t="str">
        <f t="shared" si="0"/>
        <v>Thanksgiving 2013</v>
      </c>
      <c r="D57" s="61"/>
    </row>
    <row r="58" spans="2:4" ht="15" hidden="1" x14ac:dyDescent="0.3">
      <c r="B58" s="59">
        <f>DATE(Year+1,12,25)+IF(WEEKDAY(DATE(Year+1,12,25),2)&lt;6,0,IF(WEEKDAY(DATE(Year+1,12,25),2)=6,-1,1))</f>
        <v>41633</v>
      </c>
      <c r="C58" s="60" t="str">
        <f t="shared" si="0"/>
        <v>Christmas 2013</v>
      </c>
      <c r="D58" s="61"/>
    </row>
    <row r="59" spans="2:4" ht="15" hidden="1" x14ac:dyDescent="0.3">
      <c r="B59" s="59">
        <f>DATE(Year+2,1,1)+IF(WEEKDAY(DATE(Year+2,1,1),2)&lt;6,0,IF(WEEKDAY(DATE(Year+2,1,1),2)=6,-1,1))</f>
        <v>41640</v>
      </c>
      <c r="C59" s="60" t="str">
        <f>C39&amp;" "&amp;(Year+2)</f>
        <v>New Years Day 2014</v>
      </c>
      <c r="D59" s="61"/>
    </row>
    <row r="60" spans="2:4" ht="15" hidden="1" x14ac:dyDescent="0.3">
      <c r="B60" s="62">
        <f>DATE(Year+2,1,21)-WEEKDAY(DATE(Year+2,1,21),3)</f>
        <v>41659</v>
      </c>
      <c r="C60" s="63" t="str">
        <f>C40&amp;" "&amp;(Year+2)</f>
        <v>Martin Luther King Day 2014</v>
      </c>
      <c r="D60" s="64"/>
    </row>
  </sheetData>
  <sheetProtection sheet="1" objects="1" scenarios="1" selectLockedCells="1"/>
  <mergeCells count="7">
    <mergeCell ref="B35:G35"/>
    <mergeCell ref="B36:G36"/>
    <mergeCell ref="B3:G3"/>
    <mergeCell ref="B2:G2"/>
    <mergeCell ref="B33:G33"/>
    <mergeCell ref="B34:G34"/>
    <mergeCell ref="B4:G4"/>
  </mergeCells>
  <phoneticPr fontId="0" type="noConversion"/>
  <conditionalFormatting sqref="B39:B60">
    <cfRule type="cellIs" dxfId="77" priority="10" stopIfTrue="1" operator="lessThan">
      <formula>TODAY()</formula>
    </cfRule>
  </conditionalFormatting>
  <conditionalFormatting sqref="C39:C60">
    <cfRule type="expression" dxfId="76" priority="11" stopIfTrue="1">
      <formula>B39&lt;TODAY()</formula>
    </cfRule>
  </conditionalFormatting>
  <conditionalFormatting sqref="D18 J11">
    <cfRule type="cellIs" dxfId="75" priority="12" stopIfTrue="1" operator="between">
      <formula>$I$17</formula>
      <formula>$J$17</formula>
    </cfRule>
  </conditionalFormatting>
  <conditionalFormatting sqref="F19 F22 F16 F25 F10">
    <cfRule type="expression" dxfId="74" priority="13" stopIfTrue="1">
      <formula>F9&lt;&gt;H9</formula>
    </cfRule>
    <cfRule type="expression" dxfId="73" priority="14" stopIfTrue="1">
      <formula>D9-D12&lt;&gt;F9</formula>
    </cfRule>
  </conditionalFormatting>
  <conditionalFormatting sqref="B35:G35">
    <cfRule type="expression" dxfId="72" priority="15" stopIfTrue="1">
      <formula>AND($D$18&gt;=$I$17,$D$18&lt;=$J$17)</formula>
    </cfRule>
  </conditionalFormatting>
  <conditionalFormatting sqref="F17 F14">
    <cfRule type="expression" dxfId="71" priority="16" stopIfTrue="1">
      <formula>F12&lt;&gt;H13</formula>
    </cfRule>
    <cfRule type="expression" dxfId="70" priority="17" stopIfTrue="1">
      <formula>D13-D19&lt;&gt;F12</formula>
    </cfRule>
  </conditionalFormatting>
  <conditionalFormatting sqref="F13">
    <cfRule type="expression" dxfId="69" priority="18" stopIfTrue="1">
      <formula>F11&lt;&gt;H12</formula>
    </cfRule>
    <cfRule type="expression" dxfId="68" priority="19" stopIfTrue="1">
      <formula>D12-D15&lt;&gt;F11</formula>
    </cfRule>
  </conditionalFormatting>
  <conditionalFormatting sqref="B39:B60">
    <cfRule type="cellIs" dxfId="67" priority="9" stopIfTrue="1" operator="lessThan">
      <formula>TODAY()</formula>
    </cfRule>
  </conditionalFormatting>
  <conditionalFormatting sqref="C39:C60">
    <cfRule type="expression" dxfId="66" priority="8" stopIfTrue="1">
      <formula>B39&lt;TODAY()</formula>
    </cfRule>
  </conditionalFormatting>
  <conditionalFormatting sqref="E6">
    <cfRule type="expression" dxfId="17" priority="3">
      <formula>AND($D$6&gt;0,$D$9&gt;$D$6)</formula>
    </cfRule>
  </conditionalFormatting>
  <conditionalFormatting sqref="D6">
    <cfRule type="expression" dxfId="0" priority="1">
      <formula>AND($D$6&gt;0,$D$9&gt;$D$6)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0" ht="23.25" x14ac:dyDescent="0.35">
      <c r="B2" s="71" t="s">
        <v>12</v>
      </c>
      <c r="C2" s="71"/>
      <c r="D2" s="71"/>
      <c r="E2" s="71"/>
      <c r="F2" s="71"/>
      <c r="G2" s="71"/>
    </row>
    <row r="3" spans="2:10" ht="23.25" x14ac:dyDescent="0.35">
      <c r="B3" s="71" t="s">
        <v>8</v>
      </c>
      <c r="C3" s="71"/>
      <c r="D3" s="71"/>
      <c r="E3" s="71"/>
      <c r="F3" s="71"/>
      <c r="G3" s="71"/>
      <c r="H3" s="4"/>
    </row>
    <row r="4" spans="2:10" ht="23.25" customHeight="1" x14ac:dyDescent="0.35">
      <c r="B4" s="73" t="s">
        <v>73</v>
      </c>
      <c r="C4" s="73"/>
      <c r="D4" s="73"/>
      <c r="E4" s="73"/>
      <c r="F4" s="73"/>
      <c r="G4" s="73"/>
      <c r="H4" s="53" t="s">
        <v>74</v>
      </c>
    </row>
    <row r="5" spans="2:10" ht="12.75" customHeight="1" x14ac:dyDescent="0.2">
      <c r="B5" s="12"/>
      <c r="C5" s="12"/>
      <c r="D5" s="25"/>
      <c r="E5" s="13"/>
      <c r="F5" s="40"/>
      <c r="G5" s="13"/>
      <c r="H5" s="53"/>
    </row>
    <row r="6" spans="2:10" ht="16.5" customHeight="1" thickBot="1" x14ac:dyDescent="0.25">
      <c r="B6" s="14" t="s">
        <v>76</v>
      </c>
      <c r="C6" s="12"/>
      <c r="D6" s="74"/>
      <c r="E6" s="75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</row>
    <row r="7" spans="2:10" ht="12.75" customHeight="1" x14ac:dyDescent="0.2">
      <c r="B7" s="8"/>
      <c r="C7" s="8"/>
      <c r="D7" s="26"/>
      <c r="E7" s="10"/>
      <c r="F7" s="10"/>
      <c r="G7" s="10"/>
      <c r="H7" s="53"/>
    </row>
    <row r="8" spans="2:10" ht="13.5" thickBot="1" x14ac:dyDescent="0.25">
      <c r="B8" s="12"/>
      <c r="C8" s="13"/>
      <c r="D8" s="13"/>
      <c r="E8" s="13"/>
      <c r="F8" s="13"/>
      <c r="G8" s="27" t="str">
        <f>IF(D9&gt;MAX(Holidays),"Warning! Last date beyond last calculated holiday.","")</f>
        <v/>
      </c>
      <c r="H8" s="52"/>
      <c r="J8" s="28"/>
    </row>
    <row r="9" spans="2:10" ht="13.5" thickBot="1" x14ac:dyDescent="0.25">
      <c r="B9" s="14" t="s">
        <v>4</v>
      </c>
      <c r="C9" s="23"/>
      <c r="D9" s="42">
        <f>WORKDAY(D12+F9,IF(OR(WEEKDAY(D12+F9,2)&gt;5,ISNUMBER(MATCH(D12+F9,Holidays,0))),1,0),Holidays)</f>
        <v>41347</v>
      </c>
      <c r="E9" s="13"/>
      <c r="F9" s="16">
        <f>3*7</f>
        <v>21</v>
      </c>
      <c r="G9" s="43" t="s">
        <v>75</v>
      </c>
      <c r="H9" s="52">
        <f>3*7</f>
        <v>21</v>
      </c>
    </row>
    <row r="10" spans="2:10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</row>
    <row r="11" spans="2:10" x14ac:dyDescent="0.2">
      <c r="B11" s="12"/>
      <c r="C11" s="12"/>
      <c r="D11" s="25"/>
      <c r="E11" s="13"/>
      <c r="F11" s="40"/>
      <c r="G11" s="13"/>
      <c r="H11" s="52"/>
      <c r="J11" s="30"/>
    </row>
    <row r="12" spans="2:10" x14ac:dyDescent="0.2">
      <c r="B12" s="14" t="s">
        <v>0</v>
      </c>
      <c r="C12" s="12"/>
      <c r="D12" s="31">
        <f>WORKDAY(D15+F12,IF(OR(WEEKDAY(D15+F12,2)&gt;5,ISNUMBER(MATCH(D15+F12,Holidays,0))),1,0),Holidays)</f>
        <v>41326</v>
      </c>
      <c r="E12" s="15"/>
      <c r="F12" s="16">
        <v>30</v>
      </c>
      <c r="G12" s="13" t="s">
        <v>19</v>
      </c>
      <c r="H12" s="52">
        <v>30</v>
      </c>
    </row>
    <row r="13" spans="2:10" x14ac:dyDescent="0.2">
      <c r="B13" s="8"/>
      <c r="C13" s="8"/>
      <c r="D13" s="26"/>
      <c r="E13" s="10"/>
      <c r="F13" s="17" t="str">
        <f>IF(F12&lt;&gt;H12,"Standard "&amp;H12&amp;" days has been changed.  ","")&amp;IF(D12-D15&lt;&gt;F12,"("&amp;D12-D15&amp;" days used)","")</f>
        <v/>
      </c>
      <c r="G13" s="10"/>
      <c r="H13" s="54"/>
      <c r="J13" s="32"/>
    </row>
    <row r="14" spans="2:10" x14ac:dyDescent="0.2">
      <c r="B14" s="12"/>
      <c r="C14" s="12"/>
      <c r="D14" s="25"/>
      <c r="E14" s="13"/>
      <c r="F14" s="40"/>
      <c r="G14" s="13"/>
      <c r="H14" s="52"/>
      <c r="J14" s="32"/>
    </row>
    <row r="15" spans="2:10" x14ac:dyDescent="0.2">
      <c r="B15" s="14" t="s">
        <v>9</v>
      </c>
      <c r="C15" s="12"/>
      <c r="D15" s="31">
        <f>WORKDAY(D18+F15,IF(OR(WEEKDAY(D18+F15,2)&gt;5,ISNUMBER(MATCH(D18+F15,Holidays,0))),1,0),Holidays)</f>
        <v>41296</v>
      </c>
      <c r="E15" s="13"/>
      <c r="F15" s="16">
        <v>30</v>
      </c>
      <c r="G15" s="13" t="s">
        <v>69</v>
      </c>
      <c r="H15" s="52">
        <v>30</v>
      </c>
      <c r="J15" s="32"/>
    </row>
    <row r="16" spans="2:10" x14ac:dyDescent="0.2">
      <c r="B16" s="8"/>
      <c r="C16" s="8"/>
      <c r="D16" s="26"/>
      <c r="E16" s="11"/>
      <c r="F16" s="17" t="str">
        <f>IF(F15&lt;&gt;H15,"Standard "&amp;H15&amp;" days has been changed.  ","")&amp;IF(D15-D18&lt;&gt;F15,"("&amp;D15-D18&amp;" days used)","")</f>
        <v>(33 days used)</v>
      </c>
      <c r="G16" s="10"/>
      <c r="H16" s="54"/>
      <c r="J16" s="32"/>
    </row>
    <row r="17" spans="2:11" x14ac:dyDescent="0.2">
      <c r="B17" s="12"/>
      <c r="C17" s="12"/>
      <c r="D17" s="25"/>
      <c r="E17" s="15"/>
      <c r="F17" s="40"/>
      <c r="G17" s="13"/>
      <c r="H17" s="52"/>
      <c r="J17" s="32"/>
    </row>
    <row r="18" spans="2:11" x14ac:dyDescent="0.2">
      <c r="B18" s="14" t="s">
        <v>10</v>
      </c>
      <c r="C18" s="12"/>
      <c r="D18" s="31">
        <f>WORKDAY(D21+F18,IF(OR(WEEKDAY(D21+F18,2)&gt;5,ISNUMBER(MATCH(D21+F18,Holidays,0))),1,0),Holidays)</f>
        <v>41263</v>
      </c>
      <c r="E18" s="15"/>
      <c r="F18" s="16">
        <v>21</v>
      </c>
      <c r="G18" s="13" t="s">
        <v>68</v>
      </c>
      <c r="H18" s="52">
        <f>3*7</f>
        <v>21</v>
      </c>
      <c r="J18" s="32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J19" s="32"/>
    </row>
    <row r="20" spans="2:11" x14ac:dyDescent="0.2">
      <c r="B20" s="12"/>
      <c r="C20" s="12"/>
      <c r="D20" s="25"/>
      <c r="E20" s="13"/>
      <c r="F20" s="40"/>
      <c r="G20" s="13"/>
      <c r="H20" s="52"/>
      <c r="I20" s="46">
        <f>INDEX(Holidays,MATCH(DATE(YEAR(D21),12,1),Holidays))</f>
        <v>41235</v>
      </c>
      <c r="J20" s="47">
        <f>WORKDAY(DATE(YEAR(D21),12,31),VLOOKUP(WEEKDAY(DATE(YEAR(D21),12,25)),Christmas,3,0),Holidays)-1</f>
        <v>41275</v>
      </c>
      <c r="K20" s="48" t="s">
        <v>61</v>
      </c>
    </row>
    <row r="21" spans="2:11" x14ac:dyDescent="0.2">
      <c r="B21" s="14" t="s">
        <v>6</v>
      </c>
      <c r="C21" s="12"/>
      <c r="D21" s="33">
        <f>WORKDAY(J21,IF(J21-INDEX(Holidays,MATCH(J21,Holidays))&lt;2,1,0),Holidays)</f>
        <v>41242</v>
      </c>
      <c r="E21" s="15"/>
      <c r="F21" s="16">
        <v>30</v>
      </c>
      <c r="G21" s="13" t="s">
        <v>20</v>
      </c>
      <c r="H21" s="52">
        <v>30</v>
      </c>
      <c r="I21" s="49">
        <f>D24+F21+IF(WORKDAY(DATE(YEAR(D24),12,24),-1,Holidays)-D24&lt;F21,VLOOKUP(WEEKDAY(DATE(YEAR(D24),12,25)),Christmas,2,0),0)</f>
        <v>41242</v>
      </c>
      <c r="J21" s="50">
        <f>WORKDAY(I21,IF(AND(WEEKDAY(I21,2)=4,ISNUMBER(MATCH(I21,Holidays,0))),3,IF(OR(AND(WEEKDAY(I21,2)=5,ISNUMBER(MATCH(I21,Holidays,0))),WEEKDAY(I21,2)&gt;5),2,IF(OR(WEEKDAY(I21,2)=1,ISNUMBER(MATCH(I21,Holidays,0))),1,0))),Holidays)</f>
        <v>41242</v>
      </c>
      <c r="K21" s="55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  <c r="I22" s="45" t="s">
        <v>58</v>
      </c>
      <c r="J22" s="51" t="s">
        <v>59</v>
      </c>
      <c r="K22" s="55"/>
    </row>
    <row r="23" spans="2:11" x14ac:dyDescent="0.2">
      <c r="B23" s="12"/>
      <c r="C23" s="12"/>
      <c r="D23" s="25"/>
      <c r="E23" s="13"/>
      <c r="F23" s="13"/>
      <c r="G23" s="21"/>
      <c r="H23" s="52"/>
    </row>
    <row r="24" spans="2:11" x14ac:dyDescent="0.2">
      <c r="B24" s="14" t="s">
        <v>2</v>
      </c>
      <c r="C24" s="12"/>
      <c r="D24" s="31">
        <f>WORKDAY(D27+F24,IF(OR(WEEKDAY(D27+F24,2)&gt;5,ISNUMBER(MATCH(D27+F24,Holidays,0))),1,0),Holidays)</f>
        <v>41212</v>
      </c>
      <c r="E24" s="15"/>
      <c r="F24" s="16">
        <v>14</v>
      </c>
      <c r="G24" s="13" t="s">
        <v>14</v>
      </c>
      <c r="H24" s="52">
        <f>2*7</f>
        <v>14</v>
      </c>
      <c r="J24" s="34"/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54"/>
    </row>
    <row r="26" spans="2:11" x14ac:dyDescent="0.2">
      <c r="B26" s="12"/>
      <c r="C26" s="12"/>
      <c r="D26" s="25"/>
      <c r="E26" s="15"/>
      <c r="F26" s="15"/>
      <c r="G26" s="21"/>
      <c r="H26" s="52"/>
    </row>
    <row r="27" spans="2:11" x14ac:dyDescent="0.2">
      <c r="B27" s="14" t="s">
        <v>5</v>
      </c>
      <c r="C27" s="12"/>
      <c r="D27" s="31">
        <f>WORKDAY(Arrives+F27,IF(OR(WEEKDAY(Arrives+F27,2)&gt;5,ISNUMBER(MATCH(Arrives+F27,Holidays,0))),1,0),Holidays)</f>
        <v>41198</v>
      </c>
      <c r="E27" s="15"/>
      <c r="F27" s="16">
        <f>2*7</f>
        <v>14</v>
      </c>
      <c r="G27" s="13" t="s">
        <v>15</v>
      </c>
      <c r="H27" s="52">
        <f>2*7</f>
        <v>14</v>
      </c>
    </row>
    <row r="28" spans="2:11" x14ac:dyDescent="0.2">
      <c r="B28" s="8"/>
      <c r="C28" s="8"/>
      <c r="D28" s="26"/>
      <c r="E28" s="11"/>
      <c r="F28" s="17" t="str">
        <f>IF(F27&lt;&gt;H27,"Standard "&amp;H27&amp;" days has been changed.  ","")&amp;IF(D27-D30&lt;&gt;F27,"("&amp;D27-D30&amp;" days used)","")</f>
        <v/>
      </c>
      <c r="G28" s="10"/>
      <c r="H28" s="54"/>
    </row>
    <row r="29" spans="2:11" x14ac:dyDescent="0.2">
      <c r="B29" s="12"/>
      <c r="C29" s="12"/>
      <c r="D29" s="25"/>
      <c r="E29" s="15"/>
      <c r="F29" s="15"/>
      <c r="G29" s="21"/>
    </row>
    <row r="30" spans="2:11" ht="16.5" thickBot="1" x14ac:dyDescent="0.3">
      <c r="B30" s="14" t="s">
        <v>3</v>
      </c>
      <c r="C30" s="7">
        <f>Arrives</f>
        <v>41184</v>
      </c>
      <c r="D30" s="6">
        <v>41184</v>
      </c>
      <c r="E30" s="22" t="s">
        <v>57</v>
      </c>
      <c r="F30" s="5"/>
      <c r="G30" s="5"/>
    </row>
    <row r="31" spans="2:11" x14ac:dyDescent="0.2">
      <c r="B31" s="8"/>
      <c r="C31" s="9"/>
      <c r="D31" s="10"/>
      <c r="E31" s="11"/>
      <c r="F31" s="11"/>
      <c r="G31" s="10"/>
    </row>
    <row r="32" spans="2:11" x14ac:dyDescent="0.2">
      <c r="B32" s="13"/>
      <c r="C32" s="13"/>
      <c r="D32" s="13"/>
      <c r="E32" s="15"/>
      <c r="F32" s="15"/>
      <c r="G32" s="13"/>
    </row>
    <row r="33" spans="2:11" ht="15.75" x14ac:dyDescent="0.25">
      <c r="B33" s="18" t="s">
        <v>16</v>
      </c>
      <c r="C33" s="13"/>
      <c r="D33" s="13"/>
      <c r="E33" s="13"/>
      <c r="F33" s="13"/>
      <c r="G33" s="13"/>
    </row>
    <row r="34" spans="2:11" ht="12.75" customHeight="1" x14ac:dyDescent="0.2">
      <c r="B34" s="72" t="s">
        <v>17</v>
      </c>
      <c r="C34" s="72"/>
      <c r="D34" s="72"/>
      <c r="E34" s="72"/>
      <c r="F34" s="72"/>
      <c r="G34" s="72"/>
    </row>
    <row r="35" spans="2:11" x14ac:dyDescent="0.2">
      <c r="B35" s="68" t="s">
        <v>63</v>
      </c>
      <c r="C35" s="72"/>
      <c r="D35" s="72"/>
      <c r="E35" s="72"/>
      <c r="F35" s="72"/>
      <c r="G35" s="72"/>
    </row>
    <row r="36" spans="2:11" ht="12.75" customHeight="1" x14ac:dyDescent="0.2">
      <c r="B36" s="68" t="s">
        <v>64</v>
      </c>
      <c r="C36" s="68"/>
      <c r="D36" s="68"/>
      <c r="E36" s="68"/>
      <c r="F36" s="68"/>
      <c r="G36" s="68"/>
      <c r="I36" s="35"/>
    </row>
    <row r="37" spans="2:11" ht="25.5" customHeight="1" x14ac:dyDescent="0.2">
      <c r="B37" s="69" t="str">
        <f>"If the advertisement period includes the Christmas/New Year Holiday period, 7 to 14 days will need to be added to the advertisement period"&amp;IF(YEAR(D21)&lt;&gt;YEAR(D24)," ("&amp;D21-D24-F21&amp;" days were added for holiday period)","")&amp;"."</f>
        <v>If the advertisement period includes the Christmas/New Year Holiday period, 7 to 14 days will need to be added to the advertisement period.</v>
      </c>
      <c r="C37" s="70"/>
      <c r="D37" s="70"/>
      <c r="E37" s="70"/>
      <c r="F37" s="70"/>
      <c r="G37" s="70"/>
      <c r="I37" s="35"/>
    </row>
    <row r="38" spans="2:11" x14ac:dyDescent="0.2">
      <c r="B38" s="19" t="s">
        <v>18</v>
      </c>
      <c r="C38" s="20"/>
      <c r="D38" s="20"/>
      <c r="E38" s="20"/>
      <c r="F38" s="20"/>
      <c r="G38" s="20"/>
    </row>
    <row r="39" spans="2:11" ht="16.5" hidden="1" x14ac:dyDescent="0.35">
      <c r="B39" s="65">
        <f>YEAR(Arrives)</f>
        <v>2012</v>
      </c>
      <c r="C39" s="66"/>
      <c r="D39" s="67"/>
    </row>
    <row r="40" spans="2:11" ht="15" hidden="1" x14ac:dyDescent="0.3">
      <c r="B40" s="56">
        <f>DATE(Year,1,1)+IF(WEEKDAY(DATE(Year,1,1),2)&lt;6,0,IF(WEEKDAY(DATE(Year,1,1),2)=6,-1,1))</f>
        <v>40910</v>
      </c>
      <c r="C40" s="57" t="s">
        <v>28</v>
      </c>
      <c r="D40" s="58"/>
      <c r="G40"/>
      <c r="H40"/>
      <c r="I40"/>
      <c r="J40"/>
      <c r="K40"/>
    </row>
    <row r="41" spans="2:11" ht="15" hidden="1" x14ac:dyDescent="0.3">
      <c r="B41" s="59">
        <f>DATE(Year,1,21)-WEEKDAY(DATE(Year,1,21),3)</f>
        <v>40924</v>
      </c>
      <c r="C41" s="60" t="s">
        <v>29</v>
      </c>
      <c r="D41" s="61"/>
      <c r="G41"/>
      <c r="H41"/>
      <c r="I41"/>
      <c r="J41"/>
      <c r="K41"/>
    </row>
    <row r="42" spans="2:11" ht="15" hidden="1" x14ac:dyDescent="0.3">
      <c r="B42" s="59">
        <f>DATE(Year,2,21)-WEEKDAY(DATE(Year,2,21),3)</f>
        <v>40959</v>
      </c>
      <c r="C42" s="60" t="s">
        <v>30</v>
      </c>
      <c r="D42" s="61"/>
      <c r="G42"/>
      <c r="H42"/>
      <c r="I42"/>
      <c r="J42"/>
      <c r="K42"/>
    </row>
    <row r="43" spans="2:11" ht="15" hidden="1" x14ac:dyDescent="0.3">
      <c r="B43" s="59">
        <f>DATE(Year,5,31)-WEEKDAY(DATE(Year,5,31),3)</f>
        <v>41057</v>
      </c>
      <c r="C43" s="60" t="s">
        <v>31</v>
      </c>
      <c r="D43" s="61"/>
      <c r="G43"/>
      <c r="H43"/>
      <c r="I43"/>
      <c r="J43"/>
      <c r="K43"/>
    </row>
    <row r="44" spans="2:11" ht="15" hidden="1" x14ac:dyDescent="0.3">
      <c r="B44" s="59">
        <f>DATE(Year,7,4)+IF(WEEKDAY(DATE(Year,7,4),2)&lt;6,0,IF(WEEKDAY(DATE(Year,7,4),2)=6,-1,1))</f>
        <v>41094</v>
      </c>
      <c r="C44" s="60" t="s">
        <v>32</v>
      </c>
      <c r="D44" s="61"/>
      <c r="G44"/>
      <c r="H44"/>
      <c r="I44"/>
      <c r="J44"/>
      <c r="K44"/>
    </row>
    <row r="45" spans="2:11" ht="15" hidden="1" x14ac:dyDescent="0.3">
      <c r="B45" s="59">
        <f>DATE(Year,9,7)-WEEKDAY(DATE(Year,9,7),3)</f>
        <v>41155</v>
      </c>
      <c r="C45" s="60" t="s">
        <v>33</v>
      </c>
      <c r="D45" s="61"/>
      <c r="G45"/>
      <c r="H45"/>
      <c r="I45"/>
      <c r="J45"/>
      <c r="K45"/>
    </row>
    <row r="46" spans="2:11" ht="15" hidden="1" x14ac:dyDescent="0.3">
      <c r="B46" s="59">
        <f>DATE(Year,10,14)-WEEKDAY(DATE(Year,10,14),3)</f>
        <v>41190</v>
      </c>
      <c r="C46" s="60" t="s">
        <v>34</v>
      </c>
      <c r="D46" s="61"/>
      <c r="G46"/>
      <c r="H46"/>
      <c r="I46"/>
      <c r="J46"/>
      <c r="K46"/>
    </row>
    <row r="47" spans="2:11" ht="15" hidden="1" x14ac:dyDescent="0.3">
      <c r="B47" s="59">
        <f>DATE(Year,11,11)+IF(WEEKDAY(DATE(Year,11,11),2)&lt;6,0,IF(WEEKDAY(DATE(Year,11,11),2)=6,-1,1))</f>
        <v>41225</v>
      </c>
      <c r="C47" s="60" t="s">
        <v>35</v>
      </c>
      <c r="D47" s="61"/>
      <c r="G47"/>
      <c r="H47"/>
      <c r="I47"/>
      <c r="J47"/>
      <c r="K47"/>
    </row>
    <row r="48" spans="2:11" ht="15" hidden="1" x14ac:dyDescent="0.3">
      <c r="B48" s="59">
        <f>DATE(Year,11,28)-WEEKDAY(DATE(Year,11,25),3)</f>
        <v>41235</v>
      </c>
      <c r="C48" s="60" t="s">
        <v>36</v>
      </c>
      <c r="D48" s="61"/>
      <c r="G48"/>
      <c r="H48"/>
      <c r="I48"/>
      <c r="J48"/>
      <c r="K48"/>
    </row>
    <row r="49" spans="2:4" ht="15" hidden="1" x14ac:dyDescent="0.3">
      <c r="B49" s="59">
        <f>DATE(Year,12,25)+IF(WEEKDAY(DATE(Year,12,25),2)&lt;6,0,IF(WEEKDAY(DATE(Year,12,25),2)=6,-1,1))</f>
        <v>41268</v>
      </c>
      <c r="C49" s="60" t="s">
        <v>37</v>
      </c>
      <c r="D49" s="61"/>
    </row>
    <row r="50" spans="2:4" ht="15" hidden="1" x14ac:dyDescent="0.3">
      <c r="B50" s="59">
        <f>DATE(Year+1,1,1)+IF(WEEKDAY(DATE(Year+1,1,1),2)&lt;6,0,IF(WEEKDAY(DATE(Year+1,1,1),2)=6,-1,1))</f>
        <v>41275</v>
      </c>
      <c r="C50" s="60" t="str">
        <f>C40&amp;" "&amp;(Year+1)</f>
        <v>New Years Day 2013</v>
      </c>
      <c r="D50" s="61"/>
    </row>
    <row r="51" spans="2:4" ht="15" hidden="1" x14ac:dyDescent="0.3">
      <c r="B51" s="59">
        <f>DATE(Year+1,1,21)-WEEKDAY(DATE(Year+1,1,21),3)</f>
        <v>41295</v>
      </c>
      <c r="C51" s="60" t="str">
        <f t="shared" ref="C51:C59" si="0">C41&amp;" "&amp;(Year+1)</f>
        <v>Martin Luther King Day 2013</v>
      </c>
      <c r="D51" s="61"/>
    </row>
    <row r="52" spans="2:4" ht="15" hidden="1" x14ac:dyDescent="0.3">
      <c r="B52" s="59">
        <f>DATE(Year+1,2,21)-WEEKDAY(DATE(Year+1,2,21),3)</f>
        <v>41323</v>
      </c>
      <c r="C52" s="60" t="str">
        <f t="shared" si="0"/>
        <v>President's Day 2013</v>
      </c>
      <c r="D52" s="61"/>
    </row>
    <row r="53" spans="2:4" ht="15" hidden="1" x14ac:dyDescent="0.3">
      <c r="B53" s="59">
        <f>DATE(Year+1,5,31)-WEEKDAY(DATE(Year+1,5,31),3)</f>
        <v>41421</v>
      </c>
      <c r="C53" s="60" t="str">
        <f t="shared" si="0"/>
        <v>Memorial Day 2013</v>
      </c>
      <c r="D53" s="61"/>
    </row>
    <row r="54" spans="2:4" ht="15" hidden="1" x14ac:dyDescent="0.3">
      <c r="B54" s="59">
        <f>DATE(Year+1,7,4)+IF(WEEKDAY(DATE(Year+1,7,4),2)&lt;6,0,IF(WEEKDAY(DATE(Year+1,7,4),2)=6,-1,1))</f>
        <v>41459</v>
      </c>
      <c r="C54" s="60" t="str">
        <f t="shared" si="0"/>
        <v>Independence Day 2013</v>
      </c>
      <c r="D54" s="61"/>
    </row>
    <row r="55" spans="2:4" ht="15" hidden="1" x14ac:dyDescent="0.3">
      <c r="B55" s="59">
        <f>DATE(Year+1,9,7)-WEEKDAY(DATE(Year+1,9,7),3)</f>
        <v>41519</v>
      </c>
      <c r="C55" s="60" t="str">
        <f t="shared" si="0"/>
        <v>Labor Day 2013</v>
      </c>
      <c r="D55" s="61"/>
    </row>
    <row r="56" spans="2:4" ht="15" hidden="1" x14ac:dyDescent="0.3">
      <c r="B56" s="59">
        <f>DATE(Year+1,10,14)-WEEKDAY(DATE(Year+1,10,14),3)</f>
        <v>41561</v>
      </c>
      <c r="C56" s="60" t="str">
        <f t="shared" si="0"/>
        <v>Columbus Day 2013</v>
      </c>
      <c r="D56" s="61"/>
    </row>
    <row r="57" spans="2:4" ht="15" hidden="1" x14ac:dyDescent="0.3">
      <c r="B57" s="59">
        <f>DATE(Year+1,11,11)+IF(WEEKDAY(DATE(Year+1,11,11),2)&lt;6,0,IF(WEEKDAY(DATE(Year+1,11,11),2)=6,-1,1))</f>
        <v>41589</v>
      </c>
      <c r="C57" s="60" t="str">
        <f t="shared" si="0"/>
        <v>Veteran's Day 2013</v>
      </c>
      <c r="D57" s="61"/>
    </row>
    <row r="58" spans="2:4" ht="15" hidden="1" x14ac:dyDescent="0.3">
      <c r="B58" s="59">
        <f>DATE(Year+1,11,28)-WEEKDAY(DATE(Year+1,11,25),3)</f>
        <v>41606</v>
      </c>
      <c r="C58" s="60" t="str">
        <f t="shared" si="0"/>
        <v>Thanksgiving 2013</v>
      </c>
      <c r="D58" s="61"/>
    </row>
    <row r="59" spans="2:4" ht="15" hidden="1" x14ac:dyDescent="0.3">
      <c r="B59" s="59">
        <f>DATE(Year+1,12,25)+IF(WEEKDAY(DATE(Year+1,12,25),2)&lt;6,0,IF(WEEKDAY(DATE(Year+1,12,25),2)=6,-1,1))</f>
        <v>41633</v>
      </c>
      <c r="C59" s="60" t="str">
        <f t="shared" si="0"/>
        <v>Christmas 2013</v>
      </c>
      <c r="D59" s="61"/>
    </row>
    <row r="60" spans="2:4" ht="15" hidden="1" x14ac:dyDescent="0.3">
      <c r="B60" s="59">
        <f>DATE(Year+2,1,1)+IF(WEEKDAY(DATE(Year+2,1,1),2)&lt;6,0,IF(WEEKDAY(DATE(Year+2,1,1),2)=6,-1,1))</f>
        <v>41640</v>
      </c>
      <c r="C60" s="60" t="str">
        <f>C40&amp;" "&amp;(Year+2)</f>
        <v>New Years Day 2014</v>
      </c>
      <c r="D60" s="61"/>
    </row>
    <row r="61" spans="2:4" ht="15" hidden="1" x14ac:dyDescent="0.3">
      <c r="B61" s="62">
        <f>DATE(Year+2,1,21)-WEEKDAY(DATE(Year+2,1,21),3)</f>
        <v>41659</v>
      </c>
      <c r="C61" s="63" t="str">
        <f>C41&amp;" "&amp;(Year+2)</f>
        <v>Martin Luther King Day 2014</v>
      </c>
      <c r="D61" s="64"/>
    </row>
  </sheetData>
  <sheetProtection sheet="1" objects="1" scenarios="1" selectLockedCells="1"/>
  <mergeCells count="7">
    <mergeCell ref="B36:G36"/>
    <mergeCell ref="B37:G37"/>
    <mergeCell ref="B3:G3"/>
    <mergeCell ref="B2:G2"/>
    <mergeCell ref="B34:G34"/>
    <mergeCell ref="B35:G35"/>
    <mergeCell ref="B4:G4"/>
  </mergeCells>
  <phoneticPr fontId="0" type="noConversion"/>
  <conditionalFormatting sqref="B40:B61">
    <cfRule type="cellIs" dxfId="65" priority="14" stopIfTrue="1" operator="lessThan">
      <formula>TODAY()</formula>
    </cfRule>
  </conditionalFormatting>
  <conditionalFormatting sqref="C40:C61">
    <cfRule type="expression" dxfId="64" priority="15" stopIfTrue="1">
      <formula>B40&lt;TODAY()</formula>
    </cfRule>
  </conditionalFormatting>
  <conditionalFormatting sqref="D21 J11">
    <cfRule type="cellIs" dxfId="63" priority="16" stopIfTrue="1" operator="between">
      <formula>$I$20</formula>
      <formula>$J$20</formula>
    </cfRule>
  </conditionalFormatting>
  <conditionalFormatting sqref="F22 F25 F28 F13 F16 F19 F10">
    <cfRule type="expression" dxfId="62" priority="17" stopIfTrue="1">
      <formula>F9&lt;&gt;H9</formula>
    </cfRule>
    <cfRule type="expression" dxfId="61" priority="18" stopIfTrue="1">
      <formula>D9-D12&lt;&gt;F9</formula>
    </cfRule>
  </conditionalFormatting>
  <conditionalFormatting sqref="B36:G36">
    <cfRule type="expression" dxfId="60" priority="19" stopIfTrue="1">
      <formula>AND($D$21&gt;=$I$20,$D$21&lt;=$J$20)</formula>
    </cfRule>
  </conditionalFormatting>
  <conditionalFormatting sqref="F11">
    <cfRule type="expression" dxfId="59" priority="20" stopIfTrue="1">
      <formula>F9&lt;&gt;H10</formula>
    </cfRule>
    <cfRule type="expression" dxfId="58" priority="21" stopIfTrue="1">
      <formula>D10-D16&lt;&gt;F9</formula>
    </cfRule>
  </conditionalFormatting>
  <conditionalFormatting sqref="F17">
    <cfRule type="expression" dxfId="57" priority="22" stopIfTrue="1">
      <formula>F16&lt;&gt;H16</formula>
    </cfRule>
    <cfRule type="expression" dxfId="56" priority="23" stopIfTrue="1">
      <formula>D16-D22&lt;&gt;F16</formula>
    </cfRule>
  </conditionalFormatting>
  <conditionalFormatting sqref="F14">
    <cfRule type="expression" dxfId="55" priority="24" stopIfTrue="1">
      <formula>F12&lt;&gt;H13</formula>
    </cfRule>
    <cfRule type="expression" dxfId="54" priority="25" stopIfTrue="1">
      <formula>D13-D22&lt;&gt;F12</formula>
    </cfRule>
  </conditionalFormatting>
  <conditionalFormatting sqref="F20">
    <cfRule type="expression" dxfId="53" priority="26" stopIfTrue="1">
      <formula>F15&lt;&gt;H16</formula>
    </cfRule>
    <cfRule type="expression" dxfId="52" priority="27" stopIfTrue="1">
      <formula>D16-D25&lt;&gt;F15</formula>
    </cfRule>
  </conditionalFormatting>
  <conditionalFormatting sqref="B40:B61">
    <cfRule type="cellIs" dxfId="51" priority="13" stopIfTrue="1" operator="lessThan">
      <formula>TODAY()</formula>
    </cfRule>
  </conditionalFormatting>
  <conditionalFormatting sqref="C40:C61">
    <cfRule type="expression" dxfId="50" priority="12" stopIfTrue="1">
      <formula>B40&lt;TODAY()</formula>
    </cfRule>
  </conditionalFormatting>
  <conditionalFormatting sqref="F5">
    <cfRule type="expression" dxfId="39" priority="6" stopIfTrue="1">
      <formula>F3&lt;&gt;H4</formula>
    </cfRule>
    <cfRule type="expression" dxfId="38" priority="7" stopIfTrue="1">
      <formula>D4-D10&lt;&gt;F3</formula>
    </cfRule>
  </conditionalFormatting>
  <conditionalFormatting sqref="E6">
    <cfRule type="expression" dxfId="19" priority="3">
      <formula>AND($D$6&gt;0,$D$9&gt;$D$6)</formula>
    </cfRule>
  </conditionalFormatting>
  <conditionalFormatting sqref="D6">
    <cfRule type="expression" dxfId="1" priority="1">
      <formula>AND($D$6&gt;0,$D$9&gt;$D$6)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0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0" ht="23.25" x14ac:dyDescent="0.35">
      <c r="B2" s="71" t="s">
        <v>11</v>
      </c>
      <c r="C2" s="71"/>
      <c r="D2" s="71"/>
      <c r="E2" s="71"/>
      <c r="F2" s="71"/>
      <c r="G2" s="71"/>
    </row>
    <row r="3" spans="2:10" ht="23.25" x14ac:dyDescent="0.35">
      <c r="B3" s="71" t="s">
        <v>8</v>
      </c>
      <c r="C3" s="71"/>
      <c r="D3" s="71"/>
      <c r="E3" s="71"/>
      <c r="F3" s="71"/>
      <c r="G3" s="71"/>
      <c r="H3" s="4"/>
    </row>
    <row r="4" spans="2:10" ht="23.25" customHeight="1" x14ac:dyDescent="0.35">
      <c r="B4" s="73" t="s">
        <v>73</v>
      </c>
      <c r="C4" s="73"/>
      <c r="D4" s="73"/>
      <c r="E4" s="73"/>
      <c r="F4" s="73"/>
      <c r="G4" s="73"/>
      <c r="H4" s="53" t="s">
        <v>74</v>
      </c>
    </row>
    <row r="5" spans="2:10" ht="12.75" customHeight="1" x14ac:dyDescent="0.2">
      <c r="B5" s="12"/>
      <c r="C5" s="12"/>
      <c r="D5" s="25"/>
      <c r="E5" s="13"/>
      <c r="F5" s="40"/>
      <c r="G5" s="13"/>
      <c r="H5" s="53"/>
    </row>
    <row r="6" spans="2:10" ht="16.5" customHeight="1" thickBot="1" x14ac:dyDescent="0.25">
      <c r="B6" s="14" t="s">
        <v>76</v>
      </c>
      <c r="C6" s="12"/>
      <c r="D6" s="74"/>
      <c r="E6" s="75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</row>
    <row r="7" spans="2:10" ht="12.75" customHeight="1" x14ac:dyDescent="0.2">
      <c r="B7" s="8"/>
      <c r="C7" s="8"/>
      <c r="D7" s="26"/>
      <c r="E7" s="10"/>
      <c r="F7" s="10"/>
      <c r="G7" s="10"/>
      <c r="H7" s="53"/>
    </row>
    <row r="8" spans="2:10" x14ac:dyDescent="0.2">
      <c r="B8" s="43"/>
      <c r="C8" s="43"/>
      <c r="D8" s="43"/>
      <c r="E8" s="43"/>
      <c r="F8" s="43"/>
      <c r="G8" s="27" t="str">
        <f>IF(D9&gt;MAX(Holidays),"Warning! Last date beyond last calculated holiday.","")</f>
        <v/>
      </c>
      <c r="H8" s="52"/>
      <c r="J8" s="28"/>
    </row>
    <row r="9" spans="2:10" ht="13.5" thickBot="1" x14ac:dyDescent="0.25">
      <c r="B9" s="14" t="s">
        <v>4</v>
      </c>
      <c r="C9" s="23"/>
      <c r="D9" s="29">
        <f>WORKDAY(D12+F9,IF(OR(WEEKDAY(D12+F9,2)&gt;5,ISNUMBER(MATCH(D12+F9,Holidays,0))),1,0),Holidays)</f>
        <v>41309</v>
      </c>
      <c r="E9" s="13"/>
      <c r="F9" s="16">
        <f>3*7</f>
        <v>21</v>
      </c>
      <c r="G9" s="43" t="s">
        <v>75</v>
      </c>
      <c r="H9" s="52">
        <f>3*7</f>
        <v>21</v>
      </c>
    </row>
    <row r="10" spans="2:10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</row>
    <row r="11" spans="2:10" x14ac:dyDescent="0.2">
      <c r="B11" s="12"/>
      <c r="C11" s="12"/>
      <c r="D11" s="25"/>
      <c r="E11" s="13"/>
      <c r="F11" s="40"/>
      <c r="G11" s="13"/>
      <c r="H11" s="52"/>
      <c r="J11" s="30"/>
    </row>
    <row r="12" spans="2:10" x14ac:dyDescent="0.2">
      <c r="B12" s="14" t="s">
        <v>0</v>
      </c>
      <c r="C12" s="12"/>
      <c r="D12" s="31">
        <f>WORKDAY(D15+F12,IF(OR(WEEKDAY(D15+F12,2)&gt;5,ISNUMBER(MATCH(D15+F12,Holidays,0))),1,0),Holidays)</f>
        <v>41288</v>
      </c>
      <c r="E12" s="15"/>
      <c r="F12" s="16">
        <v>14</v>
      </c>
      <c r="G12" s="13" t="s">
        <v>19</v>
      </c>
      <c r="H12" s="52">
        <v>14</v>
      </c>
    </row>
    <row r="13" spans="2:10" x14ac:dyDescent="0.2">
      <c r="B13" s="8"/>
      <c r="C13" s="8"/>
      <c r="D13" s="26"/>
      <c r="E13" s="10"/>
      <c r="F13" s="17" t="str">
        <f>IF(F12&lt;&gt;H12,"Standard "&amp;H12&amp;" days has been changed.  ","")&amp;IF(D12-D15&lt;&gt;F12,"("&amp;D12-D15&amp;" days used)","")</f>
        <v/>
      </c>
      <c r="G13" s="10"/>
      <c r="H13" s="54"/>
      <c r="J13" s="32"/>
    </row>
    <row r="14" spans="2:10" x14ac:dyDescent="0.2">
      <c r="B14" s="12"/>
      <c r="C14" s="12"/>
      <c r="D14" s="25"/>
      <c r="E14" s="13"/>
      <c r="F14" s="40"/>
      <c r="G14" s="13"/>
      <c r="H14" s="52"/>
      <c r="J14" s="32"/>
    </row>
    <row r="15" spans="2:10" x14ac:dyDescent="0.2">
      <c r="B15" s="14" t="s">
        <v>9</v>
      </c>
      <c r="C15" s="12"/>
      <c r="D15" s="31">
        <f>WORKDAY(D18+F15,IF(OR(WEEKDAY(D18+F15,2)&gt;5,ISNUMBER(MATCH(D18+F15,Holidays,0))),1,0),Holidays)</f>
        <v>41274</v>
      </c>
      <c r="E15" s="13"/>
      <c r="F15" s="16">
        <v>30</v>
      </c>
      <c r="G15" s="13" t="s">
        <v>67</v>
      </c>
      <c r="H15" s="52">
        <v>30</v>
      </c>
      <c r="J15" s="32"/>
    </row>
    <row r="16" spans="2:10" x14ac:dyDescent="0.2">
      <c r="B16" s="8"/>
      <c r="C16" s="8"/>
      <c r="D16" s="26"/>
      <c r="E16" s="11"/>
      <c r="F16" s="17" t="str">
        <f>IF(F15&lt;&gt;H15,"Standard "&amp;H15&amp;" days has been changed.  ","")&amp;IF(D15-D18&lt;&gt;F15,"("&amp;D15-D18&amp;" days used)","")</f>
        <v>(32 days used)</v>
      </c>
      <c r="G16" s="10"/>
      <c r="H16" s="54"/>
      <c r="J16" s="32"/>
    </row>
    <row r="17" spans="2:11" x14ac:dyDescent="0.2">
      <c r="B17" s="12"/>
      <c r="C17" s="12"/>
      <c r="D17" s="25"/>
      <c r="E17" s="13"/>
      <c r="F17" s="40"/>
      <c r="G17" s="13"/>
      <c r="H17" s="52"/>
      <c r="I17" s="46">
        <f>INDEX(Holidays,MATCH(DATE(YEAR(D18),12,1),Holidays))</f>
        <v>41235</v>
      </c>
      <c r="J17" s="47">
        <f>WORKDAY(DATE(YEAR(D18),12,31),VLOOKUP(WEEKDAY(DATE(YEAR(D18),12,25)),Christmas,3,0),Holidays)-1</f>
        <v>41275</v>
      </c>
      <c r="K17" s="48" t="s">
        <v>61</v>
      </c>
    </row>
    <row r="18" spans="2:11" x14ac:dyDescent="0.2">
      <c r="B18" s="14" t="s">
        <v>6</v>
      </c>
      <c r="C18" s="12"/>
      <c r="D18" s="33">
        <f>WORKDAY(J18,IF(J18-INDEX(Holidays,MATCH(J18,Holidays))&lt;2,1,0),Holidays)</f>
        <v>41242</v>
      </c>
      <c r="E18" s="15"/>
      <c r="F18" s="16">
        <v>30</v>
      </c>
      <c r="G18" s="13" t="s">
        <v>20</v>
      </c>
      <c r="H18" s="52">
        <v>30</v>
      </c>
      <c r="I18" s="49">
        <f>D21+F18+IF(WORKDAY(DATE(YEAR(D21),12,24),-1,Holidays)-D21&lt;F18,VLOOKUP(WEEKDAY(DATE(YEAR(D21),12,25)),Christmas,2,0),0)</f>
        <v>41242</v>
      </c>
      <c r="J18" s="50">
        <f>WORKDAY(I18,IF(AND(WEEKDAY(I18,2)=4,ISNUMBER(MATCH(I18,Holidays,0))),3,IF(OR(AND(WEEKDAY(I18,2)=5,ISNUMBER(MATCH(I18,Holidays,0))),WEEKDAY(I18,2)&gt;5),2,IF(OR(WEEKDAY(I18,2)=1,ISNUMBER(MATCH(I18,Holidays,0))),1,0))),Holidays)</f>
        <v>41242</v>
      </c>
      <c r="K18" s="55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I19" s="45" t="s">
        <v>58</v>
      </c>
      <c r="J19" s="51" t="s">
        <v>59</v>
      </c>
      <c r="K19" s="55"/>
    </row>
    <row r="20" spans="2:11" x14ac:dyDescent="0.2">
      <c r="B20" s="12"/>
      <c r="C20" s="12"/>
      <c r="D20" s="25"/>
      <c r="E20" s="13"/>
      <c r="F20" s="13"/>
      <c r="G20" s="21"/>
      <c r="H20" s="52"/>
    </row>
    <row r="21" spans="2:11" x14ac:dyDescent="0.2">
      <c r="B21" s="14" t="s">
        <v>2</v>
      </c>
      <c r="C21" s="12"/>
      <c r="D21" s="31">
        <f>WORKDAY(D24+F21,IF(OR(WEEKDAY(D24+F21,2)&gt;5,ISNUMBER(MATCH(D24+F21,Holidays,0))),1,0),Holidays)</f>
        <v>41212</v>
      </c>
      <c r="E21" s="15"/>
      <c r="F21" s="16">
        <v>14</v>
      </c>
      <c r="G21" s="13" t="s">
        <v>14</v>
      </c>
      <c r="H21" s="52">
        <v>14</v>
      </c>
      <c r="J21" s="34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</row>
    <row r="23" spans="2:11" x14ac:dyDescent="0.2">
      <c r="B23" s="12"/>
      <c r="C23" s="12"/>
      <c r="D23" s="25"/>
      <c r="E23" s="15"/>
      <c r="F23" s="15"/>
      <c r="G23" s="21"/>
      <c r="H23" s="52"/>
    </row>
    <row r="24" spans="2:11" x14ac:dyDescent="0.2">
      <c r="B24" s="14" t="s">
        <v>5</v>
      </c>
      <c r="C24" s="12"/>
      <c r="D24" s="31">
        <f>WORKDAY(Arrives+F24,IF(OR(WEEKDAY(Arrives+F24,2)&gt;5,ISNUMBER(MATCH(Arrives+F24,Holidays,0))),1,0),Holidays)</f>
        <v>41198</v>
      </c>
      <c r="E24" s="15"/>
      <c r="F24" s="16">
        <f>2*7</f>
        <v>14</v>
      </c>
      <c r="G24" s="13" t="s">
        <v>15</v>
      </c>
      <c r="H24" s="52">
        <f>2*7</f>
        <v>14</v>
      </c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54"/>
    </row>
    <row r="26" spans="2:11" x14ac:dyDescent="0.2">
      <c r="B26" s="12"/>
      <c r="C26" s="12"/>
      <c r="D26" s="25"/>
      <c r="E26" s="15"/>
      <c r="F26" s="15"/>
      <c r="G26" s="21"/>
    </row>
    <row r="27" spans="2:11" ht="16.5" thickBot="1" x14ac:dyDescent="0.3">
      <c r="B27" s="14" t="s">
        <v>3</v>
      </c>
      <c r="C27" s="7">
        <f>Arrives</f>
        <v>41184</v>
      </c>
      <c r="D27" s="6">
        <v>41184</v>
      </c>
      <c r="E27" s="22" t="s">
        <v>57</v>
      </c>
      <c r="F27" s="5"/>
      <c r="G27" s="5"/>
    </row>
    <row r="28" spans="2:11" x14ac:dyDescent="0.2">
      <c r="B28" s="8"/>
      <c r="C28" s="9"/>
      <c r="D28" s="41"/>
      <c r="E28" s="11"/>
      <c r="F28" s="11"/>
      <c r="G28" s="10"/>
    </row>
    <row r="29" spans="2:11" x14ac:dyDescent="0.2">
      <c r="B29" s="13"/>
      <c r="C29" s="13"/>
      <c r="D29" s="13"/>
      <c r="E29" s="15"/>
      <c r="F29" s="15"/>
      <c r="G29" s="13"/>
    </row>
    <row r="30" spans="2:11" x14ac:dyDescent="0.2">
      <c r="B30" s="14" t="s">
        <v>26</v>
      </c>
      <c r="C30" s="13"/>
      <c r="D30" s="13"/>
      <c r="E30" s="15"/>
      <c r="F30" s="15"/>
      <c r="G30" s="13"/>
    </row>
    <row r="31" spans="2:11" x14ac:dyDescent="0.2">
      <c r="B31" s="13"/>
      <c r="C31" s="13"/>
      <c r="D31" s="13"/>
      <c r="E31" s="15"/>
      <c r="F31" s="15"/>
      <c r="G31" s="13"/>
    </row>
    <row r="32" spans="2:11" ht="15.75" x14ac:dyDescent="0.25">
      <c r="B32" s="18" t="s">
        <v>16</v>
      </c>
      <c r="C32" s="13"/>
      <c r="D32" s="13"/>
      <c r="E32" s="13"/>
      <c r="F32" s="13"/>
      <c r="G32" s="13"/>
    </row>
    <row r="33" spans="2:11" ht="12.75" customHeight="1" x14ac:dyDescent="0.2">
      <c r="B33" s="72" t="s">
        <v>17</v>
      </c>
      <c r="C33" s="72"/>
      <c r="D33" s="72"/>
      <c r="E33" s="72"/>
      <c r="F33" s="72"/>
      <c r="G33" s="72"/>
    </row>
    <row r="34" spans="2:11" x14ac:dyDescent="0.2">
      <c r="B34" s="68" t="s">
        <v>63</v>
      </c>
      <c r="C34" s="72"/>
      <c r="D34" s="72"/>
      <c r="E34" s="72"/>
      <c r="F34" s="72"/>
      <c r="G34" s="72"/>
    </row>
    <row r="35" spans="2:11" ht="12.75" customHeight="1" x14ac:dyDescent="0.2">
      <c r="B35" s="68" t="s">
        <v>64</v>
      </c>
      <c r="C35" s="68"/>
      <c r="D35" s="68"/>
      <c r="E35" s="68"/>
      <c r="F35" s="68"/>
      <c r="G35" s="68"/>
      <c r="I35" s="35"/>
    </row>
    <row r="36" spans="2:11" ht="25.5" customHeight="1" x14ac:dyDescent="0.2">
      <c r="B36" s="69" t="str">
        <f>"If the advertisement period includes the Christmas/New Year Holiday period, 7 to 14 days will need to be added to the advertisement period"&amp;IF(YEAR(D18)&lt;&gt;YEAR(D21)," ("&amp;D18-D21-F18&amp;" days were added for holiday period)","")&amp;"."</f>
        <v>If the advertisement period includes the Christmas/New Year Holiday period, 7 to 14 days will need to be added to the advertisement period.</v>
      </c>
      <c r="C36" s="70"/>
      <c r="D36" s="70"/>
      <c r="E36" s="70"/>
      <c r="F36" s="70"/>
      <c r="G36" s="70"/>
      <c r="I36" s="35"/>
    </row>
    <row r="37" spans="2:11" x14ac:dyDescent="0.2">
      <c r="B37" s="19" t="s">
        <v>18</v>
      </c>
      <c r="C37" s="20"/>
      <c r="D37" s="20"/>
      <c r="E37" s="20"/>
      <c r="F37" s="20"/>
      <c r="G37" s="20"/>
    </row>
    <row r="38" spans="2:11" ht="16.5" hidden="1" x14ac:dyDescent="0.35">
      <c r="B38" s="65">
        <f>YEAR(Arrives)</f>
        <v>2012</v>
      </c>
      <c r="C38" s="66"/>
      <c r="D38" s="67"/>
    </row>
    <row r="39" spans="2:11" ht="15" hidden="1" x14ac:dyDescent="0.3">
      <c r="B39" s="56">
        <f>DATE(Year,1,1)+IF(WEEKDAY(DATE(Year,1,1),2)&lt;6,0,IF(WEEKDAY(DATE(Year,1,1),2)=6,-1,1))</f>
        <v>40910</v>
      </c>
      <c r="C39" s="57" t="s">
        <v>28</v>
      </c>
      <c r="D39" s="58"/>
      <c r="G39"/>
      <c r="H39"/>
      <c r="I39"/>
      <c r="J39"/>
      <c r="K39"/>
    </row>
    <row r="40" spans="2:11" ht="15" hidden="1" x14ac:dyDescent="0.3">
      <c r="B40" s="59">
        <f>DATE(Year,1,21)-WEEKDAY(DATE(Year,1,21),3)</f>
        <v>40924</v>
      </c>
      <c r="C40" s="60" t="s">
        <v>29</v>
      </c>
      <c r="D40" s="61"/>
      <c r="G40"/>
      <c r="H40"/>
      <c r="I40"/>
      <c r="J40"/>
      <c r="K40"/>
    </row>
    <row r="41" spans="2:11" ht="15" hidden="1" x14ac:dyDescent="0.3">
      <c r="B41" s="59">
        <f>DATE(Year,2,21)-WEEKDAY(DATE(Year,2,21),3)</f>
        <v>40959</v>
      </c>
      <c r="C41" s="60" t="s">
        <v>30</v>
      </c>
      <c r="D41" s="61"/>
      <c r="G41"/>
      <c r="H41"/>
      <c r="I41"/>
      <c r="J41"/>
      <c r="K41"/>
    </row>
    <row r="42" spans="2:11" ht="15" hidden="1" x14ac:dyDescent="0.3">
      <c r="B42" s="59">
        <f>DATE(Year,5,31)-WEEKDAY(DATE(Year,5,31),3)</f>
        <v>41057</v>
      </c>
      <c r="C42" s="60" t="s">
        <v>31</v>
      </c>
      <c r="D42" s="61"/>
      <c r="G42"/>
      <c r="H42"/>
      <c r="I42"/>
      <c r="J42"/>
      <c r="K42"/>
    </row>
    <row r="43" spans="2:11" ht="15" hidden="1" x14ac:dyDescent="0.3">
      <c r="B43" s="59">
        <f>DATE(Year,7,4)+IF(WEEKDAY(DATE(Year,7,4),2)&lt;6,0,IF(WEEKDAY(DATE(Year,7,4),2)=6,-1,1))</f>
        <v>41094</v>
      </c>
      <c r="C43" s="60" t="s">
        <v>32</v>
      </c>
      <c r="D43" s="61"/>
      <c r="G43"/>
      <c r="H43"/>
      <c r="I43"/>
      <c r="J43"/>
      <c r="K43"/>
    </row>
    <row r="44" spans="2:11" ht="15" hidden="1" x14ac:dyDescent="0.3">
      <c r="B44" s="59">
        <f>DATE(Year,9,7)-WEEKDAY(DATE(Year,9,7),3)</f>
        <v>41155</v>
      </c>
      <c r="C44" s="60" t="s">
        <v>33</v>
      </c>
      <c r="D44" s="61"/>
      <c r="G44"/>
      <c r="H44"/>
      <c r="I44"/>
      <c r="J44"/>
      <c r="K44"/>
    </row>
    <row r="45" spans="2:11" ht="15" hidden="1" x14ac:dyDescent="0.3">
      <c r="B45" s="59">
        <f>DATE(Year,10,14)-WEEKDAY(DATE(Year,10,14),3)</f>
        <v>41190</v>
      </c>
      <c r="C45" s="60" t="s">
        <v>34</v>
      </c>
      <c r="D45" s="61"/>
      <c r="G45"/>
      <c r="H45"/>
      <c r="I45"/>
      <c r="J45"/>
      <c r="K45"/>
    </row>
    <row r="46" spans="2:11" ht="15" hidden="1" x14ac:dyDescent="0.3">
      <c r="B46" s="59">
        <f>DATE(Year,11,11)+IF(WEEKDAY(DATE(Year,11,11),2)&lt;6,0,IF(WEEKDAY(DATE(Year,11,11),2)=6,-1,1))</f>
        <v>41225</v>
      </c>
      <c r="C46" s="60" t="s">
        <v>35</v>
      </c>
      <c r="D46" s="61"/>
      <c r="G46"/>
      <c r="H46"/>
      <c r="I46"/>
      <c r="J46"/>
      <c r="K46"/>
    </row>
    <row r="47" spans="2:11" ht="15" hidden="1" x14ac:dyDescent="0.3">
      <c r="B47" s="59">
        <f>DATE(Year,11,28)-WEEKDAY(DATE(Year,11,25),3)</f>
        <v>41235</v>
      </c>
      <c r="C47" s="60" t="s">
        <v>36</v>
      </c>
      <c r="D47" s="61"/>
      <c r="G47"/>
      <c r="H47"/>
      <c r="I47"/>
      <c r="J47"/>
      <c r="K47"/>
    </row>
    <row r="48" spans="2:11" ht="15" hidden="1" x14ac:dyDescent="0.3">
      <c r="B48" s="59">
        <f>DATE(Year,12,25)+IF(WEEKDAY(DATE(Year,12,25),2)&lt;6,0,IF(WEEKDAY(DATE(Year,12,25),2)=6,-1,1))</f>
        <v>41268</v>
      </c>
      <c r="C48" s="60" t="s">
        <v>37</v>
      </c>
      <c r="D48" s="61"/>
    </row>
    <row r="49" spans="2:4" ht="15" hidden="1" x14ac:dyDescent="0.3">
      <c r="B49" s="59">
        <f>DATE(Year+1,1,1)+IF(WEEKDAY(DATE(Year+1,1,1),2)&lt;6,0,IF(WEEKDAY(DATE(Year+1,1,1),2)=6,-1,1))</f>
        <v>41275</v>
      </c>
      <c r="C49" s="60" t="str">
        <f>C39&amp;" "&amp;(Year+1)</f>
        <v>New Years Day 2013</v>
      </c>
      <c r="D49" s="61"/>
    </row>
    <row r="50" spans="2:4" ht="15" hidden="1" x14ac:dyDescent="0.3">
      <c r="B50" s="59">
        <f>DATE(Year+1,1,21)-WEEKDAY(DATE(Year+1,1,21),3)</f>
        <v>41295</v>
      </c>
      <c r="C50" s="60" t="str">
        <f t="shared" ref="C50:C58" si="0">C40&amp;" "&amp;(Year+1)</f>
        <v>Martin Luther King Day 2013</v>
      </c>
      <c r="D50" s="61"/>
    </row>
    <row r="51" spans="2:4" ht="15" hidden="1" x14ac:dyDescent="0.3">
      <c r="B51" s="59">
        <f>DATE(Year+1,2,21)-WEEKDAY(DATE(Year+1,2,21),3)</f>
        <v>41323</v>
      </c>
      <c r="C51" s="60" t="str">
        <f t="shared" si="0"/>
        <v>President's Day 2013</v>
      </c>
      <c r="D51" s="61"/>
    </row>
    <row r="52" spans="2:4" ht="15" hidden="1" x14ac:dyDescent="0.3">
      <c r="B52" s="59">
        <f>DATE(Year+1,5,31)-WEEKDAY(DATE(Year+1,5,31),3)</f>
        <v>41421</v>
      </c>
      <c r="C52" s="60" t="str">
        <f t="shared" si="0"/>
        <v>Memorial Day 2013</v>
      </c>
      <c r="D52" s="61"/>
    </row>
    <row r="53" spans="2:4" ht="15" hidden="1" x14ac:dyDescent="0.3">
      <c r="B53" s="59">
        <f>DATE(Year+1,7,4)+IF(WEEKDAY(DATE(Year+1,7,4),2)&lt;6,0,IF(WEEKDAY(DATE(Year+1,7,4),2)=6,-1,1))</f>
        <v>41459</v>
      </c>
      <c r="C53" s="60" t="str">
        <f t="shared" si="0"/>
        <v>Independence Day 2013</v>
      </c>
      <c r="D53" s="61"/>
    </row>
    <row r="54" spans="2:4" ht="15" hidden="1" x14ac:dyDescent="0.3">
      <c r="B54" s="59">
        <f>DATE(Year+1,9,7)-WEEKDAY(DATE(Year+1,9,7),3)</f>
        <v>41519</v>
      </c>
      <c r="C54" s="60" t="str">
        <f t="shared" si="0"/>
        <v>Labor Day 2013</v>
      </c>
      <c r="D54" s="61"/>
    </row>
    <row r="55" spans="2:4" ht="15" hidden="1" x14ac:dyDescent="0.3">
      <c r="B55" s="59">
        <f>DATE(Year+1,10,14)-WEEKDAY(DATE(Year+1,10,14),3)</f>
        <v>41561</v>
      </c>
      <c r="C55" s="60" t="str">
        <f t="shared" si="0"/>
        <v>Columbus Day 2013</v>
      </c>
      <c r="D55" s="61"/>
    </row>
    <row r="56" spans="2:4" ht="15" hidden="1" x14ac:dyDescent="0.3">
      <c r="B56" s="59">
        <f>DATE(Year+1,11,11)+IF(WEEKDAY(DATE(Year+1,11,11),2)&lt;6,0,IF(WEEKDAY(DATE(Year+1,11,11),2)=6,-1,1))</f>
        <v>41589</v>
      </c>
      <c r="C56" s="60" t="str">
        <f t="shared" si="0"/>
        <v>Veteran's Day 2013</v>
      </c>
      <c r="D56" s="61"/>
    </row>
    <row r="57" spans="2:4" ht="15" hidden="1" x14ac:dyDescent="0.3">
      <c r="B57" s="59">
        <f>DATE(Year+1,11,28)-WEEKDAY(DATE(Year+1,11,25),3)</f>
        <v>41606</v>
      </c>
      <c r="C57" s="60" t="str">
        <f t="shared" si="0"/>
        <v>Thanksgiving 2013</v>
      </c>
      <c r="D57" s="61"/>
    </row>
    <row r="58" spans="2:4" ht="15" hidden="1" x14ac:dyDescent="0.3">
      <c r="B58" s="59">
        <f>DATE(Year+1,12,25)+IF(WEEKDAY(DATE(Year+1,12,25),2)&lt;6,0,IF(WEEKDAY(DATE(Year+1,12,25),2)=6,-1,1))</f>
        <v>41633</v>
      </c>
      <c r="C58" s="60" t="str">
        <f t="shared" si="0"/>
        <v>Christmas 2013</v>
      </c>
      <c r="D58" s="61"/>
    </row>
    <row r="59" spans="2:4" ht="15" hidden="1" x14ac:dyDescent="0.3">
      <c r="B59" s="59">
        <f>DATE(Year+2,1,1)+IF(WEEKDAY(DATE(Year+2,1,1),2)&lt;6,0,IF(WEEKDAY(DATE(Year+2,1,1),2)=6,-1,1))</f>
        <v>41640</v>
      </c>
      <c r="C59" s="60" t="str">
        <f>C39&amp;" "&amp;(Year+2)</f>
        <v>New Years Day 2014</v>
      </c>
      <c r="D59" s="61"/>
    </row>
    <row r="60" spans="2:4" ht="15" hidden="1" x14ac:dyDescent="0.3">
      <c r="B60" s="62">
        <f>DATE(Year+2,1,21)-WEEKDAY(DATE(Year+2,1,21),3)</f>
        <v>41659</v>
      </c>
      <c r="C60" s="63" t="str">
        <f>C40&amp;" "&amp;(Year+2)</f>
        <v>Martin Luther King Day 2014</v>
      </c>
      <c r="D60" s="64"/>
    </row>
  </sheetData>
  <sheetProtection sheet="1" objects="1" scenarios="1" selectLockedCells="1"/>
  <mergeCells count="7">
    <mergeCell ref="B35:G35"/>
    <mergeCell ref="B36:G36"/>
    <mergeCell ref="B3:G3"/>
    <mergeCell ref="B2:G2"/>
    <mergeCell ref="B33:G33"/>
    <mergeCell ref="B34:G34"/>
    <mergeCell ref="B4:G4"/>
  </mergeCells>
  <phoneticPr fontId="0" type="noConversion"/>
  <conditionalFormatting sqref="B39:B60">
    <cfRule type="cellIs" dxfId="33" priority="15" stopIfTrue="1" operator="lessThan">
      <formula>TODAY()</formula>
    </cfRule>
  </conditionalFormatting>
  <conditionalFormatting sqref="C39:C60">
    <cfRule type="expression" dxfId="32" priority="16" stopIfTrue="1">
      <formula>B39&lt;TODAY()</formula>
    </cfRule>
  </conditionalFormatting>
  <conditionalFormatting sqref="D18 J11">
    <cfRule type="cellIs" dxfId="31" priority="17" stopIfTrue="1" operator="between">
      <formula>$I$17</formula>
      <formula>$J$17</formula>
    </cfRule>
  </conditionalFormatting>
  <conditionalFormatting sqref="F19 F22 F16 F25 F13 F10">
    <cfRule type="expression" dxfId="30" priority="18" stopIfTrue="1">
      <formula>F9&lt;&gt;H9</formula>
    </cfRule>
    <cfRule type="expression" dxfId="29" priority="19" stopIfTrue="1">
      <formula>D9-D12&lt;&gt;F9</formula>
    </cfRule>
  </conditionalFormatting>
  <conditionalFormatting sqref="B35:G35">
    <cfRule type="expression" dxfId="28" priority="20" stopIfTrue="1">
      <formula>AND($D$18&gt;=$I$17,$D$18&lt;=$J$17)</formula>
    </cfRule>
  </conditionalFormatting>
  <conditionalFormatting sqref="F17 F14 F11">
    <cfRule type="expression" dxfId="27" priority="21" stopIfTrue="1">
      <formula>F9&lt;&gt;H10</formula>
    </cfRule>
    <cfRule type="expression" dxfId="26" priority="22" stopIfTrue="1">
      <formula>D10-D16&lt;&gt;F9</formula>
    </cfRule>
  </conditionalFormatting>
  <conditionalFormatting sqref="B39:B60">
    <cfRule type="cellIs" dxfId="25" priority="14" stopIfTrue="1" operator="lessThan">
      <formula>TODAY()</formula>
    </cfRule>
  </conditionalFormatting>
  <conditionalFormatting sqref="C39:C60">
    <cfRule type="expression" dxfId="24" priority="13" stopIfTrue="1">
      <formula>B39&lt;TODAY()</formula>
    </cfRule>
  </conditionalFormatting>
  <conditionalFormatting sqref="F5">
    <cfRule type="expression" dxfId="23" priority="7" stopIfTrue="1">
      <formula>F3&lt;&gt;H4</formula>
    </cfRule>
    <cfRule type="expression" dxfId="22" priority="8" stopIfTrue="1">
      <formula>D4-D10&lt;&gt;F3</formula>
    </cfRule>
  </conditionalFormatting>
  <conditionalFormatting sqref="E6">
    <cfRule type="expression" dxfId="20" priority="3">
      <formula>AND($D$6&gt;0,$D$9&gt;$D$6)</formula>
    </cfRule>
  </conditionalFormatting>
  <conditionalFormatting sqref="D6">
    <cfRule type="expression" dxfId="2" priority="1">
      <formula>AND($D$6&gt;0,$D$9&gt;$D$6)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</vt:i4>
      </vt:variant>
    </vt:vector>
  </HeadingPairs>
  <TitlesOfParts>
    <vt:vector size="27" baseType="lpstr">
      <vt:lpstr>Sealed Bid</vt:lpstr>
      <vt:lpstr>MATOC (price only)</vt:lpstr>
      <vt:lpstr>MATOC (evaluation factors)</vt:lpstr>
      <vt:lpstr>Negotiated</vt:lpstr>
      <vt:lpstr>8(a)</vt:lpstr>
      <vt:lpstr>'8(a)'!Arrives</vt:lpstr>
      <vt:lpstr>'MATOC (evaluation factors)'!Arrives</vt:lpstr>
      <vt:lpstr>'MATOC (price only)'!Arrives</vt:lpstr>
      <vt:lpstr>Negotiated!Arrives</vt:lpstr>
      <vt:lpstr>'Sealed Bid'!Arrives</vt:lpstr>
      <vt:lpstr>Christmas</vt:lpstr>
      <vt:lpstr>'8(a)'!Holidays</vt:lpstr>
      <vt:lpstr>'MATOC (evaluation factors)'!Holidays</vt:lpstr>
      <vt:lpstr>'MATOC (price only)'!Holidays</vt:lpstr>
      <vt:lpstr>Negotiated!Holidays</vt:lpstr>
      <vt:lpstr>'Sealed Bid'!Holidays</vt:lpstr>
      <vt:lpstr>'Sealed Bid'!Montana</vt:lpstr>
      <vt:lpstr>'8(a)'!Print_Area</vt:lpstr>
      <vt:lpstr>'MATOC (evaluation factors)'!Print_Area</vt:lpstr>
      <vt:lpstr>'MATOC (price only)'!Print_Area</vt:lpstr>
      <vt:lpstr>Negotiated!Print_Area</vt:lpstr>
      <vt:lpstr>'Sealed Bid'!Print_Area</vt:lpstr>
      <vt:lpstr>'8(a)'!Year</vt:lpstr>
      <vt:lpstr>'MATOC (evaluation factors)'!Year</vt:lpstr>
      <vt:lpstr>'MATOC (price only)'!Year</vt:lpstr>
      <vt:lpstr>Negotiated!Year</vt:lpstr>
      <vt:lpstr>'Sealed Bid'!Year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PS&amp;E to NTP Calculator</dc:title>
  <dc:subject>Scheduling tools</dc:subject>
  <dc:creator>Elizabeth Firestone</dc:creator>
  <cp:lastModifiedBy>Stephen Chapman</cp:lastModifiedBy>
  <cp:lastPrinted>2012-10-02T17:34:11Z</cp:lastPrinted>
  <dcterms:created xsi:type="dcterms:W3CDTF">2005-07-08T14:02:10Z</dcterms:created>
  <dcterms:modified xsi:type="dcterms:W3CDTF">2012-10-02T17:37:59Z</dcterms:modified>
</cp:coreProperties>
</file>