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90" windowWidth="19080" windowHeight="12345" tabRatio="693" activeTab="0"/>
  </bookViews>
  <sheets>
    <sheet name="Combined Gradation" sheetId="1" r:id="rId1"/>
    <sheet name="Weigh Up" sheetId="2" r:id="rId2"/>
    <sheet name="Bulk Gravity" sheetId="3" r:id="rId3"/>
    <sheet name="Summary" sheetId="4" r:id="rId4"/>
    <sheet name="Matl Properties" sheetId="5" r:id="rId5"/>
    <sheet name="Aggregate Values, Blends" sheetId="6" r:id="rId6"/>
    <sheet name="Power 45 Curve" sheetId="7" r:id="rId7"/>
    <sheet name="Help" sheetId="8" r:id="rId8"/>
    <sheet name="Charts" sheetId="9" r:id="rId9"/>
    <sheet name="Std Spec GRADATIONS" sheetId="10" r:id="rId10"/>
  </sheets>
  <externalReferences>
    <externalReference r:id="rId13"/>
  </externalReferences>
  <definedNames>
    <definedName name="ACSource">'Combined Gradation'!$F$39</definedName>
    <definedName name="AggrWt">'Weigh Up'!$G$18</definedName>
    <definedName name="areaengineer" localSheetId="5">'Combined Gradation'!$G$15</definedName>
    <definedName name="areaengineer">'Combined Gradation'!$F$15</definedName>
    <definedName name="AuthorizedDate">'Combined Gradation'!$H$63</definedName>
    <definedName name="Authorizeperson">'Combined Gradation'!$B$63</definedName>
    <definedName name="Bin1Aggr" localSheetId="5">'Combined Gradation'!$E$22</definedName>
    <definedName name="Bin1Aggr">'Combined Gradation'!$E$22</definedName>
    <definedName name="Bin1Frac" localSheetId="5">'Combined Gradation'!$E$26</definedName>
    <definedName name="Bin1Frac">'Combined Gradation'!$E$26</definedName>
    <definedName name="Bin1RAP">'Combined Gradation'!$E$24</definedName>
    <definedName name="BIN1rapac">'Combined Gradation'!$F$24</definedName>
    <definedName name="Bin1samp">'Combined Gradation'!$E$23</definedName>
    <definedName name="Bin1Source" localSheetId="5">'Combined Gradation'!$E$21</definedName>
    <definedName name="Bin1Source">'Combined Gradation'!$E$21</definedName>
    <definedName name="Bin2Aggr" localSheetId="5">'Combined Gradation'!$G$22</definedName>
    <definedName name="Bin2Aggr">'Combined Gradation'!$G$22</definedName>
    <definedName name="Bin2Frac" localSheetId="5">'Combined Gradation'!$G$26</definedName>
    <definedName name="Bin2Frac">'Combined Gradation'!$G$26</definedName>
    <definedName name="Bin2RAP">'Combined Gradation'!$G$24</definedName>
    <definedName name="BIN2Rapac">'Combined Gradation'!$H$24</definedName>
    <definedName name="Bin2Samp">'Combined Gradation'!$G$23</definedName>
    <definedName name="Bin2Source" localSheetId="5">'Combined Gradation'!$G$21</definedName>
    <definedName name="Bin2Source">'Combined Gradation'!$G$21</definedName>
    <definedName name="Bin3Aggr" localSheetId="5">'Combined Gradation'!$I$22</definedName>
    <definedName name="Bin3Aggr">'Combined Gradation'!$I$22</definedName>
    <definedName name="Bin3Frac" localSheetId="5">'Combined Gradation'!$I$26</definedName>
    <definedName name="Bin3Frac">'Combined Gradation'!$I$26</definedName>
    <definedName name="Bin3RAP">'Combined Gradation'!$I$24</definedName>
    <definedName name="Bin3Rapac">'Combined Gradation'!$J$24</definedName>
    <definedName name="Bin3Samp">'Combined Gradation'!$I$23</definedName>
    <definedName name="Bin3Source" localSheetId="5">'Combined Gradation'!$I$21</definedName>
    <definedName name="Bin3Source">'Combined Gradation'!$I$21</definedName>
    <definedName name="Bin4Aggr" localSheetId="5">'Combined Gradation'!$K$22</definedName>
    <definedName name="Bin4Aggr">'Combined Gradation'!$K$22</definedName>
    <definedName name="Bin4Frac" localSheetId="5">'Combined Gradation'!$K$26</definedName>
    <definedName name="Bin4Frac">'Combined Gradation'!$K$26</definedName>
    <definedName name="Bin4RAP">'Combined Gradation'!$K$24</definedName>
    <definedName name="Bin4Rapac">'Combined Gradation'!$L$24</definedName>
    <definedName name="Bin4Samp">'Combined Gradation'!$K$23</definedName>
    <definedName name="Bin4Source" localSheetId="5">'Combined Gradation'!$K$21</definedName>
    <definedName name="Bin4Source">'Combined Gradation'!$K$21</definedName>
    <definedName name="Bin5Aggr" localSheetId="5">'Combined Gradation'!$M$22</definedName>
    <definedName name="Bin5Aggr">'Combined Gradation'!$M$22</definedName>
    <definedName name="Bin5Frac" localSheetId="5">'Combined Gradation'!$M$26</definedName>
    <definedName name="Bin5Frac">'Combined Gradation'!$M$26</definedName>
    <definedName name="Bin5RAP">'Combined Gradation'!$M$24</definedName>
    <definedName name="Bin5Rapac">'Combined Gradation'!$N$24</definedName>
    <definedName name="Bin5Samp">'Combined Gradation'!$M$23</definedName>
    <definedName name="Bin5Source" localSheetId="5">'Combined Gradation'!$M$21</definedName>
    <definedName name="Bin5Source">'Combined Gradation'!$M$21</definedName>
    <definedName name="Bin6Aggr" localSheetId="5">'Combined Gradation'!$O$22</definedName>
    <definedName name="Bin6Aggr">'Combined Gradation'!$O$22</definedName>
    <definedName name="Bin6Frac" localSheetId="5">'Combined Gradation'!$O$26</definedName>
    <definedName name="Bin6Frac">'Combined Gradation'!$O$26</definedName>
    <definedName name="Bin6RAP">'Combined Gradation'!$O$24</definedName>
    <definedName name="Bin6Rapac">'Combined Gradation'!$P$24</definedName>
    <definedName name="Bin6Samp">'Combined Gradation'!$O$23</definedName>
    <definedName name="Bin6Source" localSheetId="5">'Combined Gradation'!$O$21</definedName>
    <definedName name="Bin6Source">'Combined Gradation'!$O$21</definedName>
    <definedName name="Bin7Aggr" localSheetId="5">'Combined Gradation'!$Q$22</definedName>
    <definedName name="Bin7Aggr">'Combined Gradation'!$Q$22</definedName>
    <definedName name="Bin7Frac" localSheetId="5">'Combined Gradation'!$Q$26</definedName>
    <definedName name="Bin7Frac">'Combined Gradation'!$Q$26</definedName>
    <definedName name="Bin7RAP">'Combined Gradation'!$Q$24</definedName>
    <definedName name="Bin7Rapac">'Combined Gradation'!$R$24</definedName>
    <definedName name="Bin7Samp">'Combined Gradation'!$Q$23</definedName>
    <definedName name="Bin7Source" localSheetId="5">'Combined Gradation'!$Q$21</definedName>
    <definedName name="Bin7Source">'Combined Gradation'!$Q$21</definedName>
    <definedName name="Binder">'Combined Gradation'!$O$39</definedName>
    <definedName name="ccsj" localSheetId="5">'Combined Gradation'!$N$9</definedName>
    <definedName name="ccsj">'Combined Gradation'!$N$9</definedName>
    <definedName name="CombGrad">'Combined Gradation'!$S$29:$V$37</definedName>
    <definedName name="county" localSheetId="5">'Combined Gradation'!$G$10</definedName>
    <definedName name="county">'Combined Gradation'!$F$10</definedName>
    <definedName name="courselift" localSheetId="5">'Combined Gradation'!$E$17</definedName>
    <definedName name="courselift">'Combined Gradation'!$E$17</definedName>
    <definedName name="datesters1">#REF!</definedName>
    <definedName name="DD_creep">'Combined Gradation'!$40:$40</definedName>
    <definedName name="distfromcl" localSheetId="5">'Combined Gradation'!$Q$17</definedName>
    <definedName name="distfromcl">'Combined Gradation'!$P$17</definedName>
    <definedName name="DLT">'Combined Gradation'!$S$3</definedName>
    <definedName name="EffSG">'Summary'!$F$29</definedName>
    <definedName name="EXTRACT" localSheetId="9">'Std Spec GRADATIONS'!#REF!</definedName>
    <definedName name="field1">'Combined Gradation'!$B$42</definedName>
    <definedName name="Field10">'Combined Gradation'!$K$21</definedName>
    <definedName name="Field100">'Combined Gradation'!$I$36</definedName>
    <definedName name="Field101">'Combined Gradation'!$K$36</definedName>
    <definedName name="Field102">'Combined Gradation'!$M$36</definedName>
    <definedName name="Field103">'Combined Gradation'!$O$36</definedName>
    <definedName name="Field104">'Combined Gradation'!$Q$36</definedName>
    <definedName name="Field105">'Combined Gradation'!$E$37</definedName>
    <definedName name="Field106">'Combined Gradation'!$G$37</definedName>
    <definedName name="Field107">'Combined Gradation'!$I$37</definedName>
    <definedName name="Field108">'Combined Gradation'!$K$37</definedName>
    <definedName name="Field109">'Combined Gradation'!$M$37</definedName>
    <definedName name="Field11">'Combined Gradation'!$M$21</definedName>
    <definedName name="Field110">'Combined Gradation'!$O$37</definedName>
    <definedName name="Field111">'Combined Gradation'!$Q$37</definedName>
    <definedName name="Field112">'Combined Gradation'!$F$39</definedName>
    <definedName name="Field113">'Combined Gradation'!$O$39</definedName>
    <definedName name="Field114">'Combined Gradation'!$S$39</definedName>
    <definedName name="Field115">'Combined Gradation'!$D$45</definedName>
    <definedName name="Field116">'Combined Gradation'!$J$45</definedName>
    <definedName name="Field117">'Combined Gradation'!$D$47</definedName>
    <definedName name="Field118">'Combined Gradation'!$J$47</definedName>
    <definedName name="Field119">'Combined Gradation'!$D$49</definedName>
    <definedName name="Field12">'Combined Gradation'!$O$21</definedName>
    <definedName name="Field120">'Combined Gradation'!$J$49</definedName>
    <definedName name="Field121">'Combined Gradation'!$D$51</definedName>
    <definedName name="Field122">'Combined Gradation'!$J$51</definedName>
    <definedName name="Field123">'Combined Gradation'!$D$53</definedName>
    <definedName name="Field124">'Combined Gradation'!$J$53</definedName>
    <definedName name="Field125">'Combined Gradation'!$D$55</definedName>
    <definedName name="Field126">'Combined Gradation'!$J$55</definedName>
    <definedName name="Field127">'Combined Gradation'!$D$57</definedName>
    <definedName name="Field128">'Combined Gradation'!$J$57</definedName>
    <definedName name="Field129">'Combined Gradation'!$D$59</definedName>
    <definedName name="Field13">'Combined Gradation'!$Q$21</definedName>
    <definedName name="Field130">'Combined Gradation'!$J$59</definedName>
    <definedName name="Field131">'Combined Gradation'!$B$61</definedName>
    <definedName name="Field132">'Weigh Up'!$G$18</definedName>
    <definedName name="Field133">'Weigh Up'!$E$41</definedName>
    <definedName name="Field134">'Weigh Up'!$B$60</definedName>
    <definedName name="Field135">'Bulk Gravity'!$F$25</definedName>
    <definedName name="Field136">'Bulk Gravity'!$J$25</definedName>
    <definedName name="Field137">'Bulk Gravity'!$N$25</definedName>
    <definedName name="Field138">'Bulk Gravity'!$R$25</definedName>
    <definedName name="Field139">'Bulk Gravity'!$V$25</definedName>
    <definedName name="Field14">'Combined Gradation'!$E$22</definedName>
    <definedName name="Field140">'Bulk Gravity'!$Z$25</definedName>
    <definedName name="Field141">'Bulk Gravity'!$AD$25</definedName>
    <definedName name="Field142">'Bulk Gravity'!$F$26</definedName>
    <definedName name="Field143">'Bulk Gravity'!$J$26</definedName>
    <definedName name="Field144">'Bulk Gravity'!$N$26</definedName>
    <definedName name="Field145">'Bulk Gravity'!$R$26</definedName>
    <definedName name="Field146">'Bulk Gravity'!$V$26</definedName>
    <definedName name="Field147">'Bulk Gravity'!$Z$26</definedName>
    <definedName name="Field148">'Bulk Gravity'!$AD$26</definedName>
    <definedName name="Field149">'Bulk Gravity'!$F$27</definedName>
    <definedName name="Field15">'Combined Gradation'!$G$22</definedName>
    <definedName name="Field150">'Bulk Gravity'!$J$27</definedName>
    <definedName name="Field151">'Bulk Gravity'!$N$27</definedName>
    <definedName name="Field152">'Bulk Gravity'!$R$27</definedName>
    <definedName name="Field153">'Bulk Gravity'!$V$27</definedName>
    <definedName name="Field154">'Bulk Gravity'!$Z$27</definedName>
    <definedName name="Field155">'Bulk Gravity'!$AD$27</definedName>
    <definedName name="Field156">'Bulk Gravity'!$F$28</definedName>
    <definedName name="Field157">'Bulk Gravity'!$J$28</definedName>
    <definedName name="Field158">'Bulk Gravity'!$N$28</definedName>
    <definedName name="Field159">'Bulk Gravity'!$R$28</definedName>
    <definedName name="Field16">'Combined Gradation'!$I$22</definedName>
    <definedName name="Field160">'Bulk Gravity'!$V$28</definedName>
    <definedName name="Field161">'Bulk Gravity'!$Z$28</definedName>
    <definedName name="Field162">'Bulk Gravity'!$AD$28</definedName>
    <definedName name="Field163">'Bulk Gravity'!$F$29</definedName>
    <definedName name="Field164">'Bulk Gravity'!$J$29</definedName>
    <definedName name="Field165">'Bulk Gravity'!$N$29</definedName>
    <definedName name="Field166">'Bulk Gravity'!$R$29</definedName>
    <definedName name="Field167">'Bulk Gravity'!$V$29</definedName>
    <definedName name="Field168">'Bulk Gravity'!$Z$29</definedName>
    <definedName name="Field169">'Bulk Gravity'!$AD$29</definedName>
    <definedName name="Field17">'Combined Gradation'!$K$22</definedName>
    <definedName name="Field170">'Bulk Gravity'!$F$30</definedName>
    <definedName name="Field171">'Bulk Gravity'!$J$30</definedName>
    <definedName name="Field172">'Bulk Gravity'!$N$30</definedName>
    <definedName name="Field173">'Bulk Gravity'!$R$30</definedName>
    <definedName name="Field174">'Bulk Gravity'!$V$30</definedName>
    <definedName name="Field175">'Bulk Gravity'!$Z$30</definedName>
    <definedName name="Field176">'Bulk Gravity'!$AD$30</definedName>
    <definedName name="Field177">'Bulk Gravity'!$F$31</definedName>
    <definedName name="Field178">'Bulk Gravity'!$J$31</definedName>
    <definedName name="Field179">'Bulk Gravity'!$N$31</definedName>
    <definedName name="Field18">'Combined Gradation'!$M$22</definedName>
    <definedName name="Field180">'Bulk Gravity'!$R$31</definedName>
    <definedName name="Field181">'Bulk Gravity'!$V$31</definedName>
    <definedName name="Field182">'Bulk Gravity'!$Z$31</definedName>
    <definedName name="Field183">'Bulk Gravity'!$AD$31</definedName>
    <definedName name="Field184">'Bulk Gravity'!$F$32</definedName>
    <definedName name="Field185">'Bulk Gravity'!$J$32</definedName>
    <definedName name="Field186">'Bulk Gravity'!$N$32</definedName>
    <definedName name="Field187">'Bulk Gravity'!$R$32</definedName>
    <definedName name="Field188">'Bulk Gravity'!$V$32</definedName>
    <definedName name="Field189">'Bulk Gravity'!$Z$32</definedName>
    <definedName name="Field19">'Combined Gradation'!$O$22</definedName>
    <definedName name="Field190">'Bulk Gravity'!$AD$32</definedName>
    <definedName name="Field191">'Bulk Gravity'!$F$33</definedName>
    <definedName name="Field192">'Bulk Gravity'!$J$33</definedName>
    <definedName name="Field193">'Bulk Gravity'!$N$33</definedName>
    <definedName name="Field194">'Bulk Gravity'!$R$33</definedName>
    <definedName name="Field195">'Bulk Gravity'!$V$33</definedName>
    <definedName name="Field196">'Bulk Gravity'!$Z$33</definedName>
    <definedName name="Field197">'Bulk Gravity'!$AD$33</definedName>
    <definedName name="Field198">'Bulk Gravity'!$F$34</definedName>
    <definedName name="Field199">'Bulk Gravity'!$J$34</definedName>
    <definedName name="Field2">'Combined Gradation'!$N$10</definedName>
    <definedName name="Field20">'Combined Gradation'!$Q$22</definedName>
    <definedName name="Field200">'Bulk Gravity'!$N$34</definedName>
    <definedName name="Field201">'Bulk Gravity'!$R$34</definedName>
    <definedName name="Field202">'Bulk Gravity'!$V$34</definedName>
    <definedName name="Field203">'Bulk Gravity'!$Z$34</definedName>
    <definedName name="Field204">'Bulk Gravity'!$AD$34</definedName>
    <definedName name="Field205">'Bulk Gravity'!$B$42</definedName>
    <definedName name="Field206">'Bulk Gravity'!$AE$42</definedName>
    <definedName name="Field207">'Bulk Gravity'!$AF$42</definedName>
    <definedName name="Field208">'Bulk Gravity'!$AE$43</definedName>
    <definedName name="Field209">'Bulk Gravity'!$AF$43</definedName>
    <definedName name="Field21">'Combined Gradation'!$E$23</definedName>
    <definedName name="Field210">'Summary'!$E$18</definedName>
    <definedName name="Field211">'Summary'!$B$23</definedName>
    <definedName name="Field212">'Summary'!$D$23</definedName>
    <definedName name="Field213">'Summary'!$F$23</definedName>
    <definedName name="Field214">'Summary'!$W$23</definedName>
    <definedName name="Field215">'Summary'!$Y$23</definedName>
    <definedName name="Field216">'Summary'!$AA$23</definedName>
    <definedName name="Field217">'Summary'!#REF!</definedName>
    <definedName name="Field218">'Summary'!$B$24</definedName>
    <definedName name="Field219">'Summary'!$D$24</definedName>
    <definedName name="Field22">'Combined Gradation'!$G$23</definedName>
    <definedName name="Field220">'Summary'!$F$24</definedName>
    <definedName name="Field221">'Summary'!$W$24</definedName>
    <definedName name="Field222">'Summary'!$Y$24</definedName>
    <definedName name="Field223">'Summary'!$AA$24</definedName>
    <definedName name="Field224">'Summary'!#REF!</definedName>
    <definedName name="Field225">'Summary'!$B$25</definedName>
    <definedName name="Field226">'Summary'!$D$25</definedName>
    <definedName name="Field227">'Summary'!$F$25</definedName>
    <definedName name="Field228">'Summary'!$W$25</definedName>
    <definedName name="Field229">'Summary'!$Y$25</definedName>
    <definedName name="Field23">'Combined Gradation'!$I$23</definedName>
    <definedName name="Field230">'Summary'!$AA$25</definedName>
    <definedName name="Field231">'Summary'!#REF!</definedName>
    <definedName name="Field232">'Summary'!$B$26</definedName>
    <definedName name="Field233">'Summary'!$D$26</definedName>
    <definedName name="Field234">'Summary'!$F$26</definedName>
    <definedName name="Field235">'Summary'!$W$26</definedName>
    <definedName name="Field236">'Summary'!$Y$26</definedName>
    <definedName name="Field237">'Summary'!$AA$26</definedName>
    <definedName name="Field238">'Summary'!#REF!</definedName>
    <definedName name="Field239">'Summary'!$B$27</definedName>
    <definedName name="Field24">'Combined Gradation'!$K$23</definedName>
    <definedName name="Field240">'Summary'!$D$27</definedName>
    <definedName name="Field241">'Summary'!$F$27</definedName>
    <definedName name="Field242">'Summary'!$W$27</definedName>
    <definedName name="Field243">'Summary'!$Y$27</definedName>
    <definedName name="Field244">'Summary'!$AA$27</definedName>
    <definedName name="Field245">'Summary'!#REF!</definedName>
    <definedName name="Field246">'Summary'!$B$40</definedName>
    <definedName name="Field247">'Matl Properties'!$J$25</definedName>
    <definedName name="Field248">'Matl Properties'!$L$25</definedName>
    <definedName name="Field249">'Matl Properties'!$M$25</definedName>
    <definedName name="Field25">'Combined Gradation'!$M$23</definedName>
    <definedName name="Field250">'Matl Properties'!$O$25</definedName>
    <definedName name="Field251">'Matl Properties'!$P$25</definedName>
    <definedName name="Field252">'Matl Properties'!$R$25</definedName>
    <definedName name="Field253">'Matl Properties'!$S$25</definedName>
    <definedName name="Field254">'Matl Properties'!$U$25</definedName>
    <definedName name="Field255">'Matl Properties'!$V$25</definedName>
    <definedName name="Field256">'Matl Properties'!$X$25</definedName>
    <definedName name="Field257">'Matl Properties'!$Y$25</definedName>
    <definedName name="Field258">'Matl Properties'!$AA$25</definedName>
    <definedName name="Field259">'Matl Properties'!$AB$25</definedName>
    <definedName name="Field26">'Combined Gradation'!$O$23</definedName>
    <definedName name="Field260">'Matl Properties'!$AD$25</definedName>
    <definedName name="Field261">'Matl Properties'!$AE$25</definedName>
    <definedName name="Field262">'Matl Properties'!$J$26</definedName>
    <definedName name="Field263">'Matl Properties'!$L$26</definedName>
    <definedName name="Field264">'Matl Properties'!$M$26</definedName>
    <definedName name="Field265">'Matl Properties'!$O$26</definedName>
    <definedName name="Field266">'Matl Properties'!$P$26</definedName>
    <definedName name="Field267">'Matl Properties'!$R$26</definedName>
    <definedName name="Field268">'Matl Properties'!$S$26</definedName>
    <definedName name="Field269">'Matl Properties'!$U$26</definedName>
    <definedName name="Field27">'Combined Gradation'!$Q$23</definedName>
    <definedName name="Field270">'Matl Properties'!$V$26</definedName>
    <definedName name="Field271">'Matl Properties'!$X$26</definedName>
    <definedName name="Field272">'Matl Properties'!$Y$26</definedName>
    <definedName name="Field273">'Matl Properties'!$AA$26</definedName>
    <definedName name="Field274">'Matl Properties'!$AB$26</definedName>
    <definedName name="Field275">'Matl Properties'!$AD$26</definedName>
    <definedName name="Field276">'Matl Properties'!$AE$26</definedName>
    <definedName name="Field277">'Matl Properties'!$J$27</definedName>
    <definedName name="Field278">'Matl Properties'!$L$27</definedName>
    <definedName name="Field279">'Matl Properties'!$M$27</definedName>
    <definedName name="Field28">'Combined Gradation'!$E$24</definedName>
    <definedName name="Field280">'Matl Properties'!$O$27</definedName>
    <definedName name="Field281">'Matl Properties'!$P$27</definedName>
    <definedName name="Field282">'Matl Properties'!$R$27</definedName>
    <definedName name="Field283">'Matl Properties'!$S$27</definedName>
    <definedName name="Field284">'Matl Properties'!$U$27</definedName>
    <definedName name="Field285">'Matl Properties'!$V$27</definedName>
    <definedName name="Field286">'Matl Properties'!$X$27</definedName>
    <definedName name="Field287">'Matl Properties'!$Y$27</definedName>
    <definedName name="Field288">'Matl Properties'!$AA$27</definedName>
    <definedName name="Field289">'Matl Properties'!$AB$27</definedName>
    <definedName name="Field29">'Combined Gradation'!$F$24</definedName>
    <definedName name="Field290">'Matl Properties'!$AD$27</definedName>
    <definedName name="Field291">'Matl Properties'!$AE$27</definedName>
    <definedName name="Field292">'Matl Properties'!$J$28</definedName>
    <definedName name="Field293">'Matl Properties'!$L$28</definedName>
    <definedName name="Field294">'Matl Properties'!$M$28</definedName>
    <definedName name="Field295">'Matl Properties'!$O$28</definedName>
    <definedName name="Field296">'Matl Properties'!$P$28</definedName>
    <definedName name="Field297">'Matl Properties'!$R$28</definedName>
    <definedName name="Field298">'Matl Properties'!$S$28</definedName>
    <definedName name="Field299">'Matl Properties'!$U$28</definedName>
    <definedName name="Field3">'Combined Gradation'!$N$12</definedName>
    <definedName name="Field30">'Combined Gradation'!$G$24</definedName>
    <definedName name="Field300">'Matl Properties'!$V$28</definedName>
    <definedName name="Field301">'Matl Properties'!$X$28</definedName>
    <definedName name="Field302">'Matl Properties'!$Y$28</definedName>
    <definedName name="Field303">'Matl Properties'!$AA$28</definedName>
    <definedName name="Field304">'Matl Properties'!$AB$28</definedName>
    <definedName name="Field305">'Matl Properties'!$AD$28</definedName>
    <definedName name="Field306">'Matl Properties'!$AE$28</definedName>
    <definedName name="Field307">'Matl Properties'!$J$29</definedName>
    <definedName name="Field308">'Matl Properties'!$L$29</definedName>
    <definedName name="Field309">'Matl Properties'!$M$29</definedName>
    <definedName name="Field31">'Combined Gradation'!$H$24</definedName>
    <definedName name="Field310">'Matl Properties'!$O$29</definedName>
    <definedName name="Field311">'Matl Properties'!$P$29</definedName>
    <definedName name="Field312">'Matl Properties'!$R$29</definedName>
    <definedName name="Field313">'Matl Properties'!$S$29</definedName>
    <definedName name="Field314">'Matl Properties'!$U$29</definedName>
    <definedName name="Field315">'Matl Properties'!$V$29</definedName>
    <definedName name="Field316">'Matl Properties'!$X$29</definedName>
    <definedName name="Field317">'Matl Properties'!$Y$29</definedName>
    <definedName name="Field318">'Matl Properties'!$AA$29</definedName>
    <definedName name="Field319">'Matl Properties'!$AB$29</definedName>
    <definedName name="Field32">'Combined Gradation'!$I$24</definedName>
    <definedName name="Field320">'Matl Properties'!$AD$29</definedName>
    <definedName name="Field321">'Matl Properties'!$AE$29</definedName>
    <definedName name="Field322">'Matl Properties'!$J$30</definedName>
    <definedName name="Field323">'Matl Properties'!$L$30</definedName>
    <definedName name="Field324">'Matl Properties'!$M$30</definedName>
    <definedName name="Field325">'Matl Properties'!$O$30</definedName>
    <definedName name="Field326">'Matl Properties'!$P$30</definedName>
    <definedName name="Field327">'Matl Properties'!$R$30</definedName>
    <definedName name="Field328">'Matl Properties'!$S$30</definedName>
    <definedName name="Field329">'Matl Properties'!$U$30</definedName>
    <definedName name="Field33">'Combined Gradation'!$J$24</definedName>
    <definedName name="Field330">'Matl Properties'!$V$30</definedName>
    <definedName name="Field331">'Matl Properties'!$X$30</definedName>
    <definedName name="Field332">'Matl Properties'!$Y$30</definedName>
    <definedName name="Field333">'Matl Properties'!$AA$30</definedName>
    <definedName name="Field334">'Matl Properties'!$AB$30</definedName>
    <definedName name="Field335">'Matl Properties'!$AD$30</definedName>
    <definedName name="Field336">'Matl Properties'!$AE$30</definedName>
    <definedName name="Field337">'Matl Properties'!$J$31</definedName>
    <definedName name="Field338">'Matl Properties'!$L$31</definedName>
    <definedName name="Field339">'Matl Properties'!$M$31</definedName>
    <definedName name="Field34">'Combined Gradation'!$K$24</definedName>
    <definedName name="Field340">'Matl Properties'!$O$31</definedName>
    <definedName name="Field341">'Matl Properties'!$P$31</definedName>
    <definedName name="Field342">'Matl Properties'!$R$31</definedName>
    <definedName name="Field343">'Matl Properties'!$S$31</definedName>
    <definedName name="Field344">'Matl Properties'!$U$31</definedName>
    <definedName name="Field345">'Matl Properties'!$V$31</definedName>
    <definedName name="Field346">'Matl Properties'!$X$31</definedName>
    <definedName name="Field347">'Matl Properties'!$Y$31</definedName>
    <definedName name="Field348">'Matl Properties'!$AA$31</definedName>
    <definedName name="Field349">'Matl Properties'!$AB$31</definedName>
    <definedName name="Field35">'Combined Gradation'!$L$24</definedName>
    <definedName name="Field350">'Matl Properties'!$AD$31</definedName>
    <definedName name="Field351">'Matl Properties'!$AE$31</definedName>
    <definedName name="Field352">'Matl Properties'!$J$33</definedName>
    <definedName name="Field353">'Matl Properties'!$L$33</definedName>
    <definedName name="Field354">'Matl Properties'!$M$33</definedName>
    <definedName name="Field355">'Matl Properties'!$O$33</definedName>
    <definedName name="Field356">'Matl Properties'!$P$33</definedName>
    <definedName name="Field357">'Matl Properties'!$R$33</definedName>
    <definedName name="Field358">'Matl Properties'!$S$33</definedName>
    <definedName name="Field359">'Matl Properties'!$U$33</definedName>
    <definedName name="Field36">'Combined Gradation'!$M$24</definedName>
    <definedName name="Field360">'Matl Properties'!$V$33</definedName>
    <definedName name="Field361">'Matl Properties'!$X$33</definedName>
    <definedName name="Field362">'Matl Properties'!$Y$33</definedName>
    <definedName name="Field363">'Matl Properties'!$AA$33</definedName>
    <definedName name="Field364">'Matl Properties'!$AB$33</definedName>
    <definedName name="Field365">'Matl Properties'!$AD$33</definedName>
    <definedName name="Field366">'Matl Properties'!$AE$33</definedName>
    <definedName name="Field367">'Matl Properties'!$J$35</definedName>
    <definedName name="Field368">'Matl Properties'!$L$35</definedName>
    <definedName name="Field369">'Matl Properties'!$M$35</definedName>
    <definedName name="Field37">'Combined Gradation'!$N$24</definedName>
    <definedName name="Field370">'Matl Properties'!$O$35</definedName>
    <definedName name="Field371">'Matl Properties'!$P$35</definedName>
    <definedName name="Field372">'Matl Properties'!$R$35</definedName>
    <definedName name="Field373">'Matl Properties'!$S$35</definedName>
    <definedName name="Field374">'Matl Properties'!$U$35</definedName>
    <definedName name="Field375">'Matl Properties'!$V$35</definedName>
    <definedName name="Field376">'Matl Properties'!$X$35</definedName>
    <definedName name="Field377">'Matl Properties'!$Y$35</definedName>
    <definedName name="Field378">'Matl Properties'!$AA$35</definedName>
    <definedName name="Field379">'Matl Properties'!$AB$35</definedName>
    <definedName name="Field38">'Combined Gradation'!$O$24</definedName>
    <definedName name="Field380">'Matl Properties'!$AD$35</definedName>
    <definedName name="Field381">'Matl Properties'!$AE$35</definedName>
    <definedName name="Field382">'Matl Properties'!$J$37</definedName>
    <definedName name="Field383">'Matl Properties'!$L$37</definedName>
    <definedName name="Field384">'Matl Properties'!$M$37</definedName>
    <definedName name="Field385">'Matl Properties'!$O$37</definedName>
    <definedName name="Field386">'Matl Properties'!$P$37</definedName>
    <definedName name="Field387">'Matl Properties'!$R$37</definedName>
    <definedName name="Field388">'Matl Properties'!$S$37</definedName>
    <definedName name="Field389">'Matl Properties'!$U$37</definedName>
    <definedName name="Field39">'Combined Gradation'!$P$24</definedName>
    <definedName name="Field390">'Matl Properties'!$V$37</definedName>
    <definedName name="Field391">'Matl Properties'!$X$37</definedName>
    <definedName name="Field392">'Matl Properties'!$Y$37</definedName>
    <definedName name="Field393">'Matl Properties'!$AA$37</definedName>
    <definedName name="Field394">'Matl Properties'!$AB$37</definedName>
    <definedName name="Field395">'Matl Properties'!$AD$37</definedName>
    <definedName name="Field396">'Matl Properties'!$AE$37</definedName>
    <definedName name="Field397">'Matl Properties'!$J$38</definedName>
    <definedName name="Field398">'Matl Properties'!$L$38</definedName>
    <definedName name="Field399">'Matl Properties'!$M$38</definedName>
    <definedName name="Field4">'Combined Gradation'!$N$13</definedName>
    <definedName name="Field40">'Combined Gradation'!$Q$24</definedName>
    <definedName name="Field400">'Matl Properties'!$O$38</definedName>
    <definedName name="Field401">'Matl Properties'!$P$38</definedName>
    <definedName name="Field402">'Matl Properties'!$R$38</definedName>
    <definedName name="Field403">'Matl Properties'!$S$38</definedName>
    <definedName name="Field404">'Matl Properties'!$U$38</definedName>
    <definedName name="Field405">'Matl Properties'!$V$38</definedName>
    <definedName name="Field406">'Matl Properties'!$X$38</definedName>
    <definedName name="Field407">'Matl Properties'!$Y$38</definedName>
    <definedName name="Field408">'Matl Properties'!$AA$38</definedName>
    <definedName name="Field409">'Matl Properties'!$AB$38</definedName>
    <definedName name="Field41">'Combined Gradation'!$R$24</definedName>
    <definedName name="Field410">'Matl Properties'!$AD$38</definedName>
    <definedName name="Field411">'Matl Properties'!$AE$38</definedName>
    <definedName name="Field412">'Matl Properties'!$J$39</definedName>
    <definedName name="Field413">'Matl Properties'!$L$39</definedName>
    <definedName name="Field414">'Matl Properties'!$M$39</definedName>
    <definedName name="Field415">'Matl Properties'!$O$39</definedName>
    <definedName name="Field416">'Matl Properties'!$P$39</definedName>
    <definedName name="Field417">'Matl Properties'!$R$39</definedName>
    <definedName name="Field418">'Matl Properties'!$S$39</definedName>
    <definedName name="Field419">'Matl Properties'!$U$39</definedName>
    <definedName name="Field42">'Combined Gradation'!$E$26</definedName>
    <definedName name="Field420">'Matl Properties'!$V$39</definedName>
    <definedName name="Field421">'Matl Properties'!$X$39</definedName>
    <definedName name="Field422">'Matl Properties'!$Y$39</definedName>
    <definedName name="Field423">'Matl Properties'!$AA$39</definedName>
    <definedName name="Field424">'Matl Properties'!$AB$39</definedName>
    <definedName name="Field425">'Matl Properties'!$AD$39</definedName>
    <definedName name="Field426">'Matl Properties'!$AE$39</definedName>
    <definedName name="Field427">'Matl Properties'!$H$42</definedName>
    <definedName name="Field428">'Matl Properties'!$J$42</definedName>
    <definedName name="Field429">'Matl Properties'!$K$42</definedName>
    <definedName name="Field43">'Combined Gradation'!$G$26</definedName>
    <definedName name="Field430">'Matl Properties'!$L$42</definedName>
    <definedName name="Field431">'Matl Properties'!$M$42</definedName>
    <definedName name="Field432">'Matl Properties'!$O$42</definedName>
    <definedName name="Field433">'Matl Properties'!$P$42</definedName>
    <definedName name="Field434">'Matl Properties'!$R$42</definedName>
    <definedName name="Field435">'Matl Properties'!$S$42</definedName>
    <definedName name="Field436">'Matl Properties'!$U$42</definedName>
    <definedName name="Field437">'Matl Properties'!$V$42</definedName>
    <definedName name="Field438">'Matl Properties'!$X$42</definedName>
    <definedName name="Field439">'Matl Properties'!$Y$42</definedName>
    <definedName name="Field44">'Combined Gradation'!$I$26</definedName>
    <definedName name="Field440">'Matl Properties'!$AA$42</definedName>
    <definedName name="Field441">'Matl Properties'!$AB$42</definedName>
    <definedName name="Field442">'Matl Properties'!$AD$42</definedName>
    <definedName name="Field443">'Matl Properties'!$AE$42</definedName>
    <definedName name="Field444">'Matl Properties'!$H$43</definedName>
    <definedName name="Field445">'Matl Properties'!$J$43</definedName>
    <definedName name="Field446">'Matl Properties'!$K$43</definedName>
    <definedName name="Field447">'Matl Properties'!$L$43</definedName>
    <definedName name="Field448">'Matl Properties'!$M$43</definedName>
    <definedName name="Field449">'Matl Properties'!$O$43</definedName>
    <definedName name="Field45">'Combined Gradation'!$K$26</definedName>
    <definedName name="Field450">'Matl Properties'!$P$43</definedName>
    <definedName name="Field451">'Matl Properties'!$R$43</definedName>
    <definedName name="Field452">'Matl Properties'!$S$43</definedName>
    <definedName name="Field453">'Matl Properties'!$U$43</definedName>
    <definedName name="Field454">'Matl Properties'!$V$43</definedName>
    <definedName name="Field455">'Matl Properties'!$X$43</definedName>
    <definedName name="Field456">'Matl Properties'!$Y$43</definedName>
    <definedName name="Field457">'Matl Properties'!$AA$43</definedName>
    <definedName name="Field458">'Matl Properties'!$AB$43</definedName>
    <definedName name="Field459">'Matl Properties'!$AD$43</definedName>
    <definedName name="Field46">'Combined Gradation'!$M$26</definedName>
    <definedName name="Field460">'Matl Properties'!$AE$43</definedName>
    <definedName name="Field461">'Matl Properties'!$H$44</definedName>
    <definedName name="Field462">'Matl Properties'!$J$44</definedName>
    <definedName name="Field463">'Matl Properties'!$K$44</definedName>
    <definedName name="Field464">'Matl Properties'!$L$44</definedName>
    <definedName name="Field465">'Matl Properties'!$M$44</definedName>
    <definedName name="Field466">'Matl Properties'!$O$44</definedName>
    <definedName name="Field467">'Matl Properties'!$P$44</definedName>
    <definedName name="Field468">'Matl Properties'!$R$44</definedName>
    <definedName name="Field469">'Matl Properties'!$S$44</definedName>
    <definedName name="Field47">'Combined Gradation'!$O$26</definedName>
    <definedName name="Field470">'Matl Properties'!$U$44</definedName>
    <definedName name="Field471">'Matl Properties'!$V$44</definedName>
    <definedName name="Field472">'Matl Properties'!$X$44</definedName>
    <definedName name="Field473">'Matl Properties'!$Y$44</definedName>
    <definedName name="Field474">'Matl Properties'!$AA$44</definedName>
    <definedName name="Field475">'Matl Properties'!$AB$44</definedName>
    <definedName name="Field476">'Matl Properties'!$AD$44</definedName>
    <definedName name="Field477">'Matl Properties'!$AE$44</definedName>
    <definedName name="Field478">'Matl Properties'!$H$45</definedName>
    <definedName name="Field479">'Matl Properties'!$J$45</definedName>
    <definedName name="Field48">'Combined Gradation'!$Q$26</definedName>
    <definedName name="Field480">'Matl Properties'!$K$45</definedName>
    <definedName name="Field481">'Matl Properties'!$L$45</definedName>
    <definedName name="Field482">'Matl Properties'!$M$45</definedName>
    <definedName name="Field483">'Matl Properties'!$O$45</definedName>
    <definedName name="Field484">'Matl Properties'!$P$45</definedName>
    <definedName name="Field485">'Matl Properties'!$R$45</definedName>
    <definedName name="Field486">'Matl Properties'!$S$45</definedName>
    <definedName name="Field487">'Matl Properties'!$U$45</definedName>
    <definedName name="Field488">'Matl Properties'!$V$45</definedName>
    <definedName name="Field489">'Matl Properties'!$X$45</definedName>
    <definedName name="Field49">'Combined Gradation'!$E$29</definedName>
    <definedName name="Field490">'Matl Properties'!$Y$45</definedName>
    <definedName name="Field491">'Matl Properties'!$AA$45</definedName>
    <definedName name="Field492">'Matl Properties'!$AB$45</definedName>
    <definedName name="Field493">'Matl Properties'!$AD$45</definedName>
    <definedName name="Field494">'Matl Properties'!$AE$45</definedName>
    <definedName name="Field495">'Matl Properties'!$H$46</definedName>
    <definedName name="Field496">'Matl Properties'!$J$46</definedName>
    <definedName name="Field497">'Matl Properties'!$K$46</definedName>
    <definedName name="Field498">'Matl Properties'!$L$46</definedName>
    <definedName name="Field499">'Matl Properties'!$M$46</definedName>
    <definedName name="Field5">'Combined Gradation'!$F$14</definedName>
    <definedName name="Field50">'Combined Gradation'!$G$29</definedName>
    <definedName name="Field500">'Matl Properties'!$O$46</definedName>
    <definedName name="Field501">'Matl Properties'!$P$46</definedName>
    <definedName name="Field502">'Matl Properties'!$R$46</definedName>
    <definedName name="Field503">'Matl Properties'!$S$46</definedName>
    <definedName name="Field504">'Matl Properties'!$U$46</definedName>
    <definedName name="Field505">'Matl Properties'!$V$46</definedName>
    <definedName name="Field506">'Matl Properties'!$X$46</definedName>
    <definedName name="Field507">'Matl Properties'!$Y$46</definedName>
    <definedName name="Field508">'Matl Properties'!$AA$46</definedName>
    <definedName name="Field509">'Matl Properties'!$AB$46</definedName>
    <definedName name="Field51">'Combined Gradation'!$I$29</definedName>
    <definedName name="Field510">'Matl Properties'!$AD$46</definedName>
    <definedName name="Field511">'Matl Properties'!$AE$46</definedName>
    <definedName name="Field512">'Matl Properties'!$B$50</definedName>
    <definedName name="Field513">'Aggregate Values, Blends'!$E$21</definedName>
    <definedName name="Field514">'Aggregate Values, Blends'!$I$21</definedName>
    <definedName name="Field515">'Aggregate Values, Blends'!$M$21</definedName>
    <definedName name="Field516">'Aggregate Values, Blends'!$Q$21</definedName>
    <definedName name="Field517">'Aggregate Values, Blends'!$U$21</definedName>
    <definedName name="Field518">'Aggregate Values, Blends'!$Y$21</definedName>
    <definedName name="Field519">'Aggregate Values, Blends'!$AC$21</definedName>
    <definedName name="Field52">'Combined Gradation'!$K$29</definedName>
    <definedName name="Field520">'Aggregate Values, Blends'!$B$44</definedName>
    <definedName name="Field521">'Std Spec GRADATIONS'!$C$58</definedName>
    <definedName name="Field522">'Std Spec GRADATIONS'!$D$58</definedName>
    <definedName name="Field523">'Std Spec GRADATIONS'!$F$58</definedName>
    <definedName name="Field524">'Std Spec GRADATIONS'!$G$58</definedName>
    <definedName name="Field525">'Std Spec GRADATIONS'!$H$58</definedName>
    <definedName name="Field526">'Std Spec GRADATIONS'!$C$59</definedName>
    <definedName name="Field527">'Std Spec GRADATIONS'!$D$59</definedName>
    <definedName name="Field528">'Std Spec GRADATIONS'!$F$59</definedName>
    <definedName name="Field529">'Std Spec GRADATIONS'!$G$59</definedName>
    <definedName name="Field53">'Combined Gradation'!$M$29</definedName>
    <definedName name="Field530">'Std Spec GRADATIONS'!$C$60</definedName>
    <definedName name="Field531">'Std Spec GRADATIONS'!$D$60</definedName>
    <definedName name="Field532">'Std Spec GRADATIONS'!$F$60</definedName>
    <definedName name="Field533">'Std Spec GRADATIONS'!$G$60</definedName>
    <definedName name="Field534">'Std Spec GRADATIONS'!$C$61</definedName>
    <definedName name="Field535">'Std Spec GRADATIONS'!$D$61</definedName>
    <definedName name="Field536">'Std Spec GRADATIONS'!$F$61</definedName>
    <definedName name="Field537">'Std Spec GRADATIONS'!$G$61</definedName>
    <definedName name="Field538">'Std Spec GRADATIONS'!$C$62</definedName>
    <definedName name="Field539">'Std Spec GRADATIONS'!$D$62</definedName>
    <definedName name="Field54">'Combined Gradation'!$O$29</definedName>
    <definedName name="Field540">'Std Spec GRADATIONS'!$F$62</definedName>
    <definedName name="Field541">'Std Spec GRADATIONS'!$G$62</definedName>
    <definedName name="Field542">'Std Spec GRADATIONS'!$C$63</definedName>
    <definedName name="Field543">'Std Spec GRADATIONS'!$D$63</definedName>
    <definedName name="Field544">'Std Spec GRADATIONS'!$F$63</definedName>
    <definedName name="Field545">'Std Spec GRADATIONS'!$G$63</definedName>
    <definedName name="Field546">'Std Spec GRADATIONS'!$C$64</definedName>
    <definedName name="Field547">'Std Spec GRADATIONS'!$D$64</definedName>
    <definedName name="Field548">'Std Spec GRADATIONS'!$F$64</definedName>
    <definedName name="Field549">'Std Spec GRADATIONS'!$G$64</definedName>
    <definedName name="Field55">'Combined Gradation'!$Q$29</definedName>
    <definedName name="Field550">'Std Spec GRADATIONS'!$C$65</definedName>
    <definedName name="Field551">'Std Spec GRADATIONS'!$D$65</definedName>
    <definedName name="Field552">'Std Spec GRADATIONS'!$F$65</definedName>
    <definedName name="Field553">'Std Spec GRADATIONS'!$G$65</definedName>
    <definedName name="Field554">'Std Spec GRADATIONS'!$C$66</definedName>
    <definedName name="Field555">'Std Spec GRADATIONS'!$D$66</definedName>
    <definedName name="Field556">'Std Spec GRADATIONS'!$F$66</definedName>
    <definedName name="Field557">'Std Spec GRADATIONS'!$G$66</definedName>
    <definedName name="Field56">'Combined Gradation'!$E$30</definedName>
    <definedName name="Field57">'Combined Gradation'!$G$30</definedName>
    <definedName name="Field58">'Combined Gradation'!$I$30</definedName>
    <definedName name="Field59">'Combined Gradation'!$K$30</definedName>
    <definedName name="Field6">'Combined Gradation'!$E$17</definedName>
    <definedName name="Field60">'Combined Gradation'!$M$30</definedName>
    <definedName name="Field61">'Combined Gradation'!$O$30</definedName>
    <definedName name="Field62">'Combined Gradation'!$Q$30</definedName>
    <definedName name="Field63">'Combined Gradation'!$E$31</definedName>
    <definedName name="Field64">'Combined Gradation'!$G$31</definedName>
    <definedName name="Field65">'Combined Gradation'!$I$31</definedName>
    <definedName name="Field66">'Combined Gradation'!$K$31</definedName>
    <definedName name="Field67">'Combined Gradation'!$M$31</definedName>
    <definedName name="Field68">'Combined Gradation'!$O$31</definedName>
    <definedName name="Field69">'Combined Gradation'!$Q$31</definedName>
    <definedName name="Field7">'Combined Gradation'!$E$21</definedName>
    <definedName name="Field70">'Combined Gradation'!$E$32</definedName>
    <definedName name="Field71">'Combined Gradation'!$G$32</definedName>
    <definedName name="Field72">'Combined Gradation'!$I$32</definedName>
    <definedName name="Field73">'Combined Gradation'!$K$32</definedName>
    <definedName name="Field74">'Combined Gradation'!$M$32</definedName>
    <definedName name="Field75">'Combined Gradation'!$O$32</definedName>
    <definedName name="Field76">'Combined Gradation'!$Q$32</definedName>
    <definedName name="Field77">'Combined Gradation'!$E$33</definedName>
    <definedName name="Field78">'Combined Gradation'!$G$33</definedName>
    <definedName name="Field79">'Combined Gradation'!$I$33</definedName>
    <definedName name="Field8">'Combined Gradation'!$G$21</definedName>
    <definedName name="Field80">'Combined Gradation'!$K$33</definedName>
    <definedName name="Field81">'Combined Gradation'!$M$33</definedName>
    <definedName name="Field82">'Combined Gradation'!$O$33</definedName>
    <definedName name="Field83">'Combined Gradation'!$Q$33</definedName>
    <definedName name="Field84">'Combined Gradation'!$E$34</definedName>
    <definedName name="Field85">'Combined Gradation'!$G$34</definedName>
    <definedName name="Field86">'Combined Gradation'!$I$34</definedName>
    <definedName name="Field87">'Combined Gradation'!$K$34</definedName>
    <definedName name="Field88">'Combined Gradation'!$M$34</definedName>
    <definedName name="Field89">'Combined Gradation'!$O$34</definedName>
    <definedName name="Field9">'Combined Gradation'!$I$21</definedName>
    <definedName name="Field90">'Combined Gradation'!$Q$34</definedName>
    <definedName name="Field91">'Combined Gradation'!$E$35</definedName>
    <definedName name="Field92">'Combined Gradation'!$G$35</definedName>
    <definedName name="Field93">'Combined Gradation'!$I$35</definedName>
    <definedName name="Field94">'Combined Gradation'!$K$35</definedName>
    <definedName name="Field95">'Combined Gradation'!$M$35</definedName>
    <definedName name="Field96">'Combined Gradation'!$O$35</definedName>
    <definedName name="Field97">'Combined Gradation'!$Q$35</definedName>
    <definedName name="Field98">'Combined Gradation'!$E$36</definedName>
    <definedName name="Field99">'Combined Gradation'!$G$36</definedName>
    <definedName name="Grade" localSheetId="5">'Combined Gradation'!$N$13</definedName>
    <definedName name="Grade">'Combined Gradation'!$N$13</definedName>
    <definedName name="GradeShown_on_plans">'Std Spec GRADATIONS'!$B$58:$H$66</definedName>
    <definedName name="gtbl">'Std Spec GRADATIONS'!$C$137:$E$162</definedName>
    <definedName name="HD_SMA_.5_inch">'Std Spec GRADATIONS'!$B$93:$H$98</definedName>
    <definedName name="HD_SMA_.75_inch">'Std Spec GRADATIONS'!$B$87:$H$92</definedName>
    <definedName name="HD_SMA_1_inch">'Std Spec GRADATIONS'!$B$79:$H$86</definedName>
    <definedName name="lettingdate" localSheetId="5">'Combined Gradation'!$N$8</definedName>
    <definedName name="lettingdate">'Combined Gradation'!$N$8</definedName>
    <definedName name="location" localSheetId="5">'Combined Gradation'!$B$3</definedName>
    <definedName name="location">'Combined Gradation'!$B$3</definedName>
    <definedName name="LowerLimits45">'Std Spec GRADATIONS'!$P$4:$P$12</definedName>
    <definedName name="LowerSpecLimit">'Combined Gradation'!$T$29:$T$37</definedName>
    <definedName name="material" localSheetId="5">'Combined Gradation'!$G$13</definedName>
    <definedName name="material">'Combined Gradation'!$F$13</definedName>
    <definedName name="MaxDensityLine45a">'Std Spec GRADATIONS'!$L$4:$L$12</definedName>
    <definedName name="MaxDensityLine45b">'Std Spec GRADATIONS'!$M$4:$M$12</definedName>
    <definedName name="MixDes1" localSheetId="5">'Combined Gradation'!$U$29</definedName>
    <definedName name="MixDes1">'Combined Gradation'!$U$29</definedName>
    <definedName name="Mixdes2">'Combined Gradation'!$U$30</definedName>
    <definedName name="MixDes3">'Combined Gradation'!$U$31</definedName>
    <definedName name="Mixdes4">'Combined Gradation'!$U$32</definedName>
    <definedName name="MixDes5">'Combined Gradation'!$U$33</definedName>
    <definedName name="MixDes6">'Combined Gradation'!$U$34</definedName>
    <definedName name="MixDes7">'Combined Gradation'!$U$35</definedName>
    <definedName name="MixDes8">'Combined Gradation'!$U$36</definedName>
    <definedName name="MixDes9">'Combined Gradation'!$U$37</definedName>
    <definedName name="mixtype">'Std Spec GRADATIONS'!$G$136:$G$156</definedName>
    <definedName name="other">'Std Spec GRADATIONS'!$B$58:$H$66</definedName>
    <definedName name="P45Sieve">'Std Spec GRADATIONS'!$M$4:$M$13</definedName>
    <definedName name="PercentPassing45">'Std Spec GRADATIONS'!$N$4:$N$12</definedName>
    <definedName name="PFC">'Std Spec GRADATIONS'!$B$67:$H$72</definedName>
    <definedName name="PFC_AR">'Std Spec GRADATIONS'!$B$73:$H$78</definedName>
    <definedName name="_xlnm.Print_Area" localSheetId="5">'Aggregate Values, Blends'!$A$1:$AF$45</definedName>
    <definedName name="_xlnm.Print_Area" localSheetId="2">'Bulk Gravity'!$A$1:$AD$43</definedName>
    <definedName name="_xlnm.Print_Area" localSheetId="0">'Combined Gradation'!$A$2:$Y$63</definedName>
    <definedName name="_xlnm.Print_Area" localSheetId="4">'Matl Properties'!$A$1:$AF$51</definedName>
    <definedName name="_xlnm.Print_Area" localSheetId="3">'Summary'!$A$1:$AB$41</definedName>
    <definedName name="_xlnm.Print_Area" localSheetId="1">'Weigh Up'!$A$1:$V$61</definedName>
    <definedName name="producer" localSheetId="5">'Combined Gradation'!$F$14</definedName>
    <definedName name="producer">'Combined Gradation'!$F$14</definedName>
    <definedName name="projectmanager" localSheetId="5">'Combined Gradation'!$O$15</definedName>
    <definedName name="projectmanager">'Combined Gradation'!$N$15</definedName>
    <definedName name="Revieweddate">'Combined Gradation'!$H$61</definedName>
    <definedName name="ReviewPerson">'Combined Gradation'!$B$61</definedName>
    <definedName name="RunningT">'Weigh Up'!$E$41</definedName>
    <definedName name="sampledby" localSheetId="5">'Combined Gradation'!$G$11</definedName>
    <definedName name="sampledby">'Combined Gradation'!$F$11</definedName>
    <definedName name="sampleddate" localSheetId="5">'Combined Gradation'!$N$7</definedName>
    <definedName name="sampleddate">'Combined Gradation'!$N$7</definedName>
    <definedName name="sampleid" localSheetId="5">'Combined Gradation'!$G$7</definedName>
    <definedName name="sampleid">'Combined Gradation'!$F$7</definedName>
    <definedName name="samplelocation" localSheetId="5">'Combined Gradation'!$G$12</definedName>
    <definedName name="samplelocation">'Combined Gradation'!$F$12</definedName>
    <definedName name="SF_HMACP_.5_inch">'Std Spec GRADATIONS'!$B$125:$J$132</definedName>
    <definedName name="SF_HMACP_.75_inch">'Std Spec GRADATIONS'!$B$117:$J$124</definedName>
    <definedName name="SF_HMACP_1.5_inch">'Std Spec GRADATIONS'!$B$99:$J$107</definedName>
    <definedName name="SF_HMACP_1_inch">'Std Spec GRADATIONS'!$B$108:$J$116</definedName>
    <definedName name="SGAsph">'Combined Gradation'!$S$39</definedName>
    <definedName name="Shown_on_plans">'Std Spec GRADATIONS'!$B$58:$H$66</definedName>
    <definedName name="sieve1">'Combined Gradation'!$B$29</definedName>
    <definedName name="sieve2">'Combined Gradation'!$B$30</definedName>
    <definedName name="sieve3">'Combined Gradation'!$B$31</definedName>
    <definedName name="sieve4">'Combined Gradation'!$B$32</definedName>
    <definedName name="sieve5">'Combined Gradation'!$B$33</definedName>
    <definedName name="sieve6">'Combined Gradation'!$B$34</definedName>
    <definedName name="sieve7">'Combined Gradation'!$B$35</definedName>
    <definedName name="sieve8">'Combined Gradation'!$B$36</definedName>
    <definedName name="sieve9">'Combined Gradation'!$B$37</definedName>
    <definedName name="sievemeasurement45">'Std Spec GRADATIONS'!$K$4:$K$12</definedName>
    <definedName name="sievesize45">'Std Spec GRADATIONS'!$J$4:$J$12</definedName>
    <definedName name="sievesizes">'Std Spec GRADATIONS'!$B$137:$E$163</definedName>
    <definedName name="sn" localSheetId="5">'Combined Gradation'!$S$5</definedName>
    <definedName name="sn">'Combined Gradation'!$S$5</definedName>
    <definedName name="SP_HMACP_.5_inch">'Std Spec GRADATIONS'!$B$125:$J$132</definedName>
    <definedName name="SP_HMACP_.75_inch">'Std Spec GRADATIONS'!$B$117:$J$124</definedName>
    <definedName name="SP_HMACP_1.5_inch">'Std Spec GRADATIONS'!$B$99:$J$107</definedName>
    <definedName name="SP_HMACP_1_inch">'Std Spec GRADATIONS'!$B$108:$J$116</definedName>
    <definedName name="Spec1">'Combined Gradation'!$T$29:$T$29</definedName>
    <definedName name="Spec2">'Combined Gradation'!$T$30:$T$30</definedName>
    <definedName name="Spec3">'Combined Gradation'!$T$31:$T$31</definedName>
    <definedName name="Spec4">'Combined Gradation'!$T$32:$T$32</definedName>
    <definedName name="Spec5">'Combined Gradation'!$T$33:$T$33</definedName>
    <definedName name="Spec6">'Combined Gradation'!$T$34:$T$34</definedName>
    <definedName name="Spec7">'Combined Gradation'!$T$35:$T$35</definedName>
    <definedName name="Spec8">'Combined Gradation'!$T$36:$T$36</definedName>
    <definedName name="Spec9">'Combined Gradation'!$T$37:$T$37</definedName>
    <definedName name="specialprovision" localSheetId="5">'Combined Gradation'!$N$12</definedName>
    <definedName name="specialprovision">'Combined Gradation'!$N$12</definedName>
    <definedName name="specitem" localSheetId="5">'Combined Gradation'!$N$11</definedName>
    <definedName name="specitem">'Combined Gradation'!$N$11</definedName>
    <definedName name="specyear" localSheetId="5">'Combined Gradation'!$N$10</definedName>
    <definedName name="specyear">'Combined Gradation'!$N$10</definedName>
    <definedName name="SSize1" localSheetId="5">'Combined Gradation'!$D$29</definedName>
    <definedName name="SSize1">'Combined Gradation'!$D$29</definedName>
    <definedName name="SSize2" localSheetId="5">'Combined Gradation'!$D$30</definedName>
    <definedName name="SSize2">'Combined Gradation'!$D$30</definedName>
    <definedName name="SSize3" localSheetId="5">'Combined Gradation'!$D$31</definedName>
    <definedName name="SSize3">'Combined Gradation'!$D$31</definedName>
    <definedName name="SSize4" localSheetId="5">'Combined Gradation'!$D$32</definedName>
    <definedName name="SSize4">'Combined Gradation'!$D$32</definedName>
    <definedName name="SSize5" localSheetId="5">'Combined Gradation'!$D$33</definedName>
    <definedName name="SSize5">'Combined Gradation'!$D$33</definedName>
    <definedName name="SSize6" localSheetId="5">'Combined Gradation'!$D$34</definedName>
    <definedName name="SSize6">'Combined Gradation'!$D$34</definedName>
    <definedName name="SSize7" localSheetId="5">'Combined Gradation'!$D$35</definedName>
    <definedName name="SSize7">'Combined Gradation'!$D$35</definedName>
    <definedName name="SSize8">'Combined Gradation'!$D$36</definedName>
    <definedName name="SSize9">'Combined Gradation'!$D$37</definedName>
    <definedName name="station" localSheetId="5">'Combined Gradation'!$J$17</definedName>
    <definedName name="station">'Combined Gradation'!$J$17</definedName>
    <definedName name="status" localSheetId="5">'Combined Gradation'!$G$9</definedName>
    <definedName name="status">'Combined Gradation'!$F$9</definedName>
    <definedName name="status\">'Combined Gradation'!$G$9</definedName>
    <definedName name="TargDen">'Summary'!$E$18</definedName>
    <definedName name="Test1">'Combined Gradation'!$B$45</definedName>
    <definedName name="Test2">'Combined Gradation'!$B$47</definedName>
    <definedName name="Test3">'Combined Gradation'!$B$49</definedName>
    <definedName name="Test4">'Combined Gradation'!$B$51</definedName>
    <definedName name="Test5">'Combined Gradation'!$B$53</definedName>
    <definedName name="Test6">'Combined Gradation'!$B$55</definedName>
    <definedName name="Test7">'Combined Gradation'!$B$57</definedName>
    <definedName name="Test8">'Combined Gradation'!$B$59</definedName>
    <definedName name="TestDate1">'Combined Gradation'!$J$45</definedName>
    <definedName name="TestDate2">'Combined Gradation'!$J$47</definedName>
    <definedName name="TestDate3">'Combined Gradation'!$J$49</definedName>
    <definedName name="TestDate4">'Combined Gradation'!$J$51</definedName>
    <definedName name="TestDate5">'Combined Gradation'!$J$53</definedName>
    <definedName name="TestDate6">'Combined Gradation'!$J$55</definedName>
    <definedName name="TestDate7">'Combined Gradation'!$J$57</definedName>
    <definedName name="TestDate8">'Combined Gradation'!$J$59</definedName>
    <definedName name="testnumber" localSheetId="5">'Combined Gradation'!$G$8</definedName>
    <definedName name="testnumber">'Combined Gradation'!$F$8</definedName>
    <definedName name="TestPerson1">'Combined Gradation'!$D$45</definedName>
    <definedName name="TestPerson2">'Combined Gradation'!$D$47</definedName>
    <definedName name="TestPerson3">'Combined Gradation'!$D$49</definedName>
    <definedName name="TestPerson4">'Combined Gradation'!$D$51</definedName>
    <definedName name="TestPerson5">'Combined Gradation'!$D$53</definedName>
    <definedName name="TestPerson6">'Combined Gradation'!$D$55</definedName>
    <definedName name="TestPerson7">'Combined Gradation'!$D$57</definedName>
    <definedName name="TestPerson8">'Combined Gradation'!$D$59</definedName>
    <definedName name="TodaysDate">'Combined Gradation'!$E$41</definedName>
    <definedName name="Type_A">'Std Spec GRADATIONS'!$B$4:$H$12</definedName>
    <definedName name="Type_B">'Std Spec GRADATIONS'!$B$13:$H$21</definedName>
    <definedName name="Type_C">'Std Spec GRADATIONS'!$B$22:$H$29</definedName>
    <definedName name="Type_CMHB_C">'Std Spec GRADATIONS'!$B$43:$H$50</definedName>
    <definedName name="Type_CMHB_F">'Std Spec GRADATIONS'!$B$51:$H$57</definedName>
    <definedName name="Type_D">'Std Spec GRADATIONS'!$B$30:$H$36</definedName>
    <definedName name="Type_F">'Std Spec GRADATIONS'!$B$37:$H$42</definedName>
    <definedName name="UPLC">'Combined Gradation'!$S$2</definedName>
    <definedName name="UpperLimits45">'Std Spec GRADATIONS'!$O$4:$O$12</definedName>
    <definedName name="UpperSpecLimit">'Combined Gradation'!$U$29:$U$37</definedName>
  </definedNames>
  <calcPr fullCalcOnLoad="1"/>
</workbook>
</file>

<file path=xl/comments1.xml><?xml version="1.0" encoding="utf-8"?>
<comments xmlns="http://schemas.openxmlformats.org/spreadsheetml/2006/main">
  <authors>
    <author>User Id Unavailable</author>
  </authors>
  <commentList>
    <comment ref="F24" authorId="0">
      <text>
        <r>
          <rPr>
            <sz val="8"/>
            <rFont val="Tahoma"/>
            <family val="0"/>
          </rPr>
          <t xml:space="preserve">Asphalt Content of RAP.
</t>
        </r>
      </text>
    </comment>
    <comment ref="H24" authorId="0">
      <text>
        <r>
          <rPr>
            <sz val="8"/>
            <rFont val="Tahoma"/>
            <family val="0"/>
          </rPr>
          <t xml:space="preserve">Asphalt Content of RAP.
</t>
        </r>
      </text>
    </comment>
    <comment ref="J24" authorId="0">
      <text>
        <r>
          <rPr>
            <sz val="8"/>
            <rFont val="Tahoma"/>
            <family val="0"/>
          </rPr>
          <t xml:space="preserve">Asphalt Content of RAP.
</t>
        </r>
      </text>
    </comment>
    <comment ref="L24" authorId="0">
      <text>
        <r>
          <rPr>
            <sz val="8"/>
            <rFont val="Tahoma"/>
            <family val="0"/>
          </rPr>
          <t xml:space="preserve">Asphalt Content of RAP.
</t>
        </r>
      </text>
    </comment>
    <comment ref="N24" authorId="0">
      <text>
        <r>
          <rPr>
            <sz val="8"/>
            <rFont val="Tahoma"/>
            <family val="0"/>
          </rPr>
          <t xml:space="preserve">Asphalt Content of RAP.
</t>
        </r>
      </text>
    </comment>
    <comment ref="P24" authorId="0">
      <text>
        <r>
          <rPr>
            <sz val="8"/>
            <rFont val="Tahoma"/>
            <family val="0"/>
          </rPr>
          <t xml:space="preserve">Asphalt Content of RAP.
</t>
        </r>
      </text>
    </comment>
    <comment ref="R24" authorId="0">
      <text>
        <r>
          <rPr>
            <sz val="8"/>
            <rFont val="Tahoma"/>
            <family val="0"/>
          </rPr>
          <t xml:space="preserve">Asphalt Content of RAP.
</t>
        </r>
      </text>
    </comment>
  </commentList>
</comments>
</file>

<file path=xl/comments2.xml><?xml version="1.0" encoding="utf-8"?>
<comments xmlns="http://schemas.openxmlformats.org/spreadsheetml/2006/main">
  <authors>
    <author>User Id Unavailable</author>
  </authors>
  <commentList>
    <comment ref="E41" authorId="0">
      <text>
        <r>
          <rPr>
            <sz val="8"/>
            <rFont val="Tahoma"/>
            <family val="2"/>
          </rPr>
          <t xml:space="preserve">Select "Yes" to calculate a running cumulative total across bins. Select "No" to calculate cumulative totals by individual bins only.
</t>
        </r>
      </text>
    </comment>
  </commentList>
</comments>
</file>

<file path=xl/sharedStrings.xml><?xml version="1.0" encoding="utf-8"?>
<sst xmlns="http://schemas.openxmlformats.org/spreadsheetml/2006/main" count="872" uniqueCount="329">
  <si>
    <t>TEXAS DEPARTMENT OF TRANSPORTATION</t>
  </si>
  <si>
    <t>COURSE\LIFT:</t>
  </si>
  <si>
    <t>STATION:</t>
  </si>
  <si>
    <t>DIST. FROM CL:</t>
  </si>
  <si>
    <t>Sieve Size:</t>
  </si>
  <si>
    <t>Remarks:</t>
  </si>
  <si>
    <t>Test Method</t>
  </si>
  <si>
    <t>Tex-229-F</t>
  </si>
  <si>
    <t>Tex-227-F</t>
  </si>
  <si>
    <t>Tex-207-F</t>
  </si>
  <si>
    <t>Tex-208-F</t>
  </si>
  <si>
    <t>Tex-231-F</t>
  </si>
  <si>
    <t>Tex-530-C</t>
  </si>
  <si>
    <t>Washed Sieve</t>
  </si>
  <si>
    <t>VMA:</t>
  </si>
  <si>
    <t>Grade</t>
  </si>
  <si>
    <r>
      <t>1993</t>
    </r>
    <r>
      <rPr>
        <b/>
        <sz val="10"/>
        <rFont val="Arial"/>
        <family val="2"/>
      </rPr>
      <t xml:space="preserve"> Sieve Size</t>
    </r>
  </si>
  <si>
    <r>
      <t>1995</t>
    </r>
    <r>
      <rPr>
        <b/>
        <sz val="10"/>
        <rFont val="Arial"/>
        <family val="2"/>
      </rPr>
      <t xml:space="preserve"> Sieve Size</t>
    </r>
  </si>
  <si>
    <t>Sieve Measurement</t>
  </si>
  <si>
    <t>Min</t>
  </si>
  <si>
    <t>Max</t>
  </si>
  <si>
    <t>Sieve Size</t>
  </si>
  <si>
    <t>TYPE A</t>
  </si>
  <si>
    <t>1-1/2"</t>
  </si>
  <si>
    <t>37.5 mm</t>
  </si>
  <si>
    <t>1-1/4"</t>
  </si>
  <si>
    <t>31.5 mm</t>
  </si>
  <si>
    <t>7/8"</t>
  </si>
  <si>
    <t>22.4 mm</t>
  </si>
  <si>
    <t>1/2"</t>
  </si>
  <si>
    <t>12.5 mm</t>
  </si>
  <si>
    <t>No. 4</t>
  </si>
  <si>
    <t>4.75 mm</t>
  </si>
  <si>
    <t>No. 10</t>
  </si>
  <si>
    <t>2 mm</t>
  </si>
  <si>
    <t>No. 40</t>
  </si>
  <si>
    <t>425 µm</t>
  </si>
  <si>
    <t>No. 80</t>
  </si>
  <si>
    <t>180 µm</t>
  </si>
  <si>
    <t>No. 200</t>
  </si>
  <si>
    <t>75 µm</t>
  </si>
  <si>
    <t>TYPE B</t>
  </si>
  <si>
    <t>1"</t>
  </si>
  <si>
    <t>25 mm</t>
  </si>
  <si>
    <t>5/8"</t>
  </si>
  <si>
    <t>16 mm</t>
  </si>
  <si>
    <t>3/8"</t>
  </si>
  <si>
    <t>9.5 mm</t>
  </si>
  <si>
    <t>TYPE C</t>
  </si>
  <si>
    <t>TYPE D</t>
  </si>
  <si>
    <t>TYPE F</t>
  </si>
  <si>
    <t>1/4"</t>
  </si>
  <si>
    <t>6.3 mm</t>
  </si>
  <si>
    <t>TYPE CMHB-C</t>
  </si>
  <si>
    <t>TYPE CMHB-F</t>
  </si>
  <si>
    <t>TxDOT Manuals &gt;</t>
  </si>
  <si>
    <t>Tex-236-F</t>
  </si>
  <si>
    <t>Tex-228-F</t>
  </si>
  <si>
    <t>*</t>
  </si>
  <si>
    <t xml:space="preserve">  </t>
  </si>
  <si>
    <t>To move from page to page click on the different sheet tabs at the bottom of the page.</t>
  </si>
  <si>
    <t>If you have any questions or comments concerning this program, or would like to obtain an updated version of this program (if it has been updated) call  Richard Izzo of the Construction Division at 512-232-1904 or you may contact one of the representatives of the SiteManager material management system.</t>
  </si>
  <si>
    <t>•</t>
  </si>
  <si>
    <t>Tex-210-F</t>
  </si>
  <si>
    <t>Percent</t>
  </si>
  <si>
    <t>Combined Gradation</t>
  </si>
  <si>
    <t>Asphalt Source &amp; Grade:</t>
  </si>
  <si>
    <t>SAMPLE ID:</t>
  </si>
  <si>
    <t>LOT NUMBER:</t>
  </si>
  <si>
    <t>LETTING DATE:</t>
  </si>
  <si>
    <t>STATUS:</t>
  </si>
  <si>
    <t>CONTROLLING CSJ:</t>
  </si>
  <si>
    <t>COUNTY:</t>
  </si>
  <si>
    <t>SPEC YEAR:</t>
  </si>
  <si>
    <t>SAMPLED BY:</t>
  </si>
  <si>
    <t>SPEC ITEM:</t>
  </si>
  <si>
    <t>SAMPLE LOCATION:</t>
  </si>
  <si>
    <t>SPECIAL PROVISION:</t>
  </si>
  <si>
    <t>MATERIAL:</t>
  </si>
  <si>
    <t>MIX TYPE:</t>
  </si>
  <si>
    <t>PRODUCER:</t>
  </si>
  <si>
    <t>AREA ENGINEER:</t>
  </si>
  <si>
    <t>PROJECT MANAGER:</t>
  </si>
  <si>
    <t>-</t>
  </si>
  <si>
    <t>grams</t>
  </si>
  <si>
    <t>Total Weights</t>
  </si>
  <si>
    <t>Totals</t>
  </si>
  <si>
    <t>INDIVIDUAL</t>
  </si>
  <si>
    <t>CUMULATIVE</t>
  </si>
  <si>
    <t>Asphalt Content (%)</t>
  </si>
  <si>
    <t>VMA (Percent)</t>
  </si>
  <si>
    <t>Density from Gt (Percent)</t>
  </si>
  <si>
    <t>Interpolated Values</t>
  </si>
  <si>
    <t>Stockpile</t>
  </si>
  <si>
    <t>Decantation</t>
  </si>
  <si>
    <t>Tex-217-F</t>
  </si>
  <si>
    <t>Deleterious Mat'l</t>
  </si>
  <si>
    <t>Tx217</t>
  </si>
  <si>
    <t>Tx4AgClas</t>
  </si>
  <si>
    <t>Magnesium Sulfate Soundness</t>
  </si>
  <si>
    <t>Tx411M</t>
  </si>
  <si>
    <t>LA Abrasion</t>
  </si>
  <si>
    <t>Tx410</t>
  </si>
  <si>
    <t>Crushed Faces Count</t>
  </si>
  <si>
    <t>Tx460</t>
  </si>
  <si>
    <t>Flakiness Index</t>
  </si>
  <si>
    <t>Tx224</t>
  </si>
  <si>
    <t>Test Name</t>
  </si>
  <si>
    <t>SiteManager Test Template</t>
  </si>
  <si>
    <t>Tex-438-A              Tex-612-J</t>
  </si>
  <si>
    <t>Tex-411-A</t>
  </si>
  <si>
    <t>Tex-410-A</t>
  </si>
  <si>
    <t>Tex-460-A</t>
  </si>
  <si>
    <t>Tex-224-F</t>
  </si>
  <si>
    <t>Specification Requirement</t>
  </si>
  <si>
    <t>Max.</t>
  </si>
  <si>
    <t>Min.</t>
  </si>
  <si>
    <t>Result</t>
  </si>
  <si>
    <t>Sample ID</t>
  </si>
  <si>
    <t>Fine Aggregate</t>
  </si>
  <si>
    <t>Bar Linear Shrinkage</t>
  </si>
  <si>
    <t>Tx107</t>
  </si>
  <si>
    <t>Tex-107-E</t>
  </si>
  <si>
    <t>Combined Aggregate</t>
  </si>
  <si>
    <t>Sand Equivalent</t>
  </si>
  <si>
    <t>Tx203</t>
  </si>
  <si>
    <t>Tex-203-F</t>
  </si>
  <si>
    <t>Complete Mixture</t>
  </si>
  <si>
    <t>Tensile Strength Ratio</t>
  </si>
  <si>
    <t>Tx531</t>
  </si>
  <si>
    <t>Tex-531-C</t>
  </si>
  <si>
    <t>Boiling Test</t>
  </si>
  <si>
    <t>Tx530</t>
  </si>
  <si>
    <t>Draindown</t>
  </si>
  <si>
    <t>Tex-535-C</t>
  </si>
  <si>
    <t>Surface Aggregate Classification</t>
  </si>
  <si>
    <t>Tx535</t>
  </si>
  <si>
    <r>
      <t>Spec Year</t>
    </r>
    <r>
      <rPr>
        <sz val="10"/>
        <rFont val="SWISS"/>
        <family val="0"/>
      </rPr>
      <t xml:space="preserve">: Select the correct specification year to govern this workbook. Selecting 1993 will use English values and choosing 1995 will use metric values.  </t>
    </r>
  </si>
  <si>
    <r>
      <t>Mix Type</t>
    </r>
    <r>
      <rPr>
        <sz val="10"/>
        <rFont val="SWISS"/>
        <family val="0"/>
      </rPr>
      <t>: Select the correct mix type for this lot. Clicking in the green cell, adjacent to the mix type label, will reveal a small dropdown list. From this list select the mix type that most closely matches your mix. This value will determine what sieve sizes are displayed on the worksheets.</t>
    </r>
  </si>
  <si>
    <r>
      <t>Import Test Data</t>
    </r>
    <r>
      <rPr>
        <sz val="12"/>
        <rFont val="SWISS"/>
        <family val="0"/>
      </rPr>
      <t>: You may import data from another Tx2MixDes workbook that has been previously saved with data. To import, click the menu button</t>
    </r>
    <r>
      <rPr>
        <b/>
        <sz val="12"/>
        <rFont val="SWISS"/>
        <family val="0"/>
      </rPr>
      <t xml:space="preserve"> Import Data</t>
    </r>
    <r>
      <rPr>
        <sz val="12"/>
        <rFont val="SWISS"/>
        <family val="0"/>
      </rPr>
      <t>. A find file window will appear and allow you to search for the Tx2MixDes workbook you wish to copy test data from. Once the file is found, double click the file and follow the message box prompts. You should be asked if you want to import data. If the current Tx2MixDes workbook has test data that the import function will overwrite, you will be asked if you want to overwrite this data. If the answer is yes, the function will overwrite all existing test data and the import function will be complete. If the answer is no, the import function will ask if you want to import data without overwriting existing test data. If the answer is yes, the function will import test data without overwriting existing test data for that group and the import function will be complete. If the answer is no, the function will end without importing any data.</t>
    </r>
  </si>
  <si>
    <r>
      <t>Getting Started</t>
    </r>
    <r>
      <rPr>
        <sz val="12"/>
        <rFont val="SWISS"/>
        <family val="0"/>
      </rPr>
      <t>: Begin with the Combined Gradations or Summary sheet. Here you will select dependent variables such as specification year, mix type, asphalt content, combined aggregate, and others. These variable will affect the calculation of other sheets in the workbook.</t>
    </r>
  </si>
  <si>
    <t>Lower Spec Limit</t>
  </si>
  <si>
    <t>Upper Spec Limit</t>
  </si>
  <si>
    <t>Density</t>
  </si>
  <si>
    <t>VMA</t>
  </si>
  <si>
    <t>Ga</t>
  </si>
  <si>
    <t>SAMPLE DATE:</t>
  </si>
  <si>
    <t>Bin No.1</t>
  </si>
  <si>
    <t>Bin No.2</t>
  </si>
  <si>
    <t>Bin No.3</t>
  </si>
  <si>
    <t>Bin No.4</t>
  </si>
  <si>
    <t>Bin No.5</t>
  </si>
  <si>
    <t xml:space="preserve">Bin No.6 </t>
  </si>
  <si>
    <t xml:space="preserve">Bin No.7 </t>
  </si>
  <si>
    <t>BIN FRACTIONS</t>
  </si>
  <si>
    <r>
      <t>Wtd</t>
    </r>
    <r>
      <rPr>
        <sz val="8"/>
        <rFont val="Arial"/>
        <family val="2"/>
      </rPr>
      <t xml:space="preserve"> Cum. %</t>
    </r>
  </si>
  <si>
    <t>Cum. % Passing</t>
  </si>
  <si>
    <t>Individual % Retained</t>
  </si>
  <si>
    <t>Total Bin</t>
  </si>
  <si>
    <t>Binder Percent, (%):</t>
  </si>
  <si>
    <t>Sample ID:</t>
  </si>
  <si>
    <t>Specific Gravity of Asphalt:</t>
  </si>
  <si>
    <t>Test Method:</t>
  </si>
  <si>
    <t>Tested By:</t>
  </si>
  <si>
    <t>Reviewed By:</t>
  </si>
  <si>
    <t>Authorized By:</t>
  </si>
  <si>
    <t>Pan</t>
  </si>
  <si>
    <t>Total Weight:</t>
  </si>
  <si>
    <t>Aggregate Weight:</t>
  </si>
  <si>
    <t>Passing      -    Retained</t>
  </si>
  <si>
    <t>Individual Ret., %</t>
  </si>
  <si>
    <t>Bulk SG</t>
  </si>
  <si>
    <t>Combined Bulk Specific Gravity:</t>
  </si>
  <si>
    <t>Aggregate Source:</t>
  </si>
  <si>
    <t>Aggregate Number:</t>
  </si>
  <si>
    <t>Total includes asphalt from RAP Aggregate</t>
  </si>
  <si>
    <t>Effective Specific Gravity:</t>
  </si>
  <si>
    <t>Optimum Asphalt Content:</t>
  </si>
  <si>
    <t>VMA @ Optimum AC:</t>
  </si>
  <si>
    <t>Specific Gravity (Ga):</t>
  </si>
  <si>
    <t>Max. Specific Gravity (Gr):</t>
  </si>
  <si>
    <t>Target Density:</t>
  </si>
  <si>
    <t>Cum.% Passing</t>
  </si>
  <si>
    <t>Running Total:</t>
  </si>
  <si>
    <t>Total:</t>
  </si>
  <si>
    <t>Within Spec's</t>
  </si>
  <si>
    <t>Cumulative % Retained</t>
  </si>
  <si>
    <t>Individual Bin (%):</t>
  </si>
  <si>
    <r>
      <t>#</t>
    </r>
    <r>
      <rPr>
        <sz val="8"/>
        <rFont val="Arial"/>
        <family val="2"/>
      </rPr>
      <t xml:space="preserve"> Not within specifications    </t>
    </r>
    <r>
      <rPr>
        <b/>
        <sz val="10"/>
        <rFont val="Arial"/>
        <family val="2"/>
      </rPr>
      <t xml:space="preserve"> </t>
    </r>
    <r>
      <rPr>
        <b/>
        <sz val="10"/>
        <color indexed="12"/>
        <rFont val="Arial"/>
        <family val="2"/>
      </rPr>
      <t>#</t>
    </r>
    <r>
      <rPr>
        <sz val="8"/>
        <rFont val="Arial"/>
        <family val="2"/>
      </rPr>
      <t xml:space="preserve"> Not cumulative</t>
    </r>
  </si>
  <si>
    <t>Cumulative Retained, %</t>
  </si>
  <si>
    <t>HMACP MIXTURE DESIGN : COMBINED GRADATION</t>
  </si>
  <si>
    <t>HMACP MIXTURE DESIGN : WEIGH UP SHEET</t>
  </si>
  <si>
    <t>HMACP MIXTURE DESIGN : BULK GRAVITY</t>
  </si>
  <si>
    <t>HMACP MIXTURE DESIGN : SUMMARY SHEET</t>
  </si>
  <si>
    <t>HMACP MIXTURE DESIGN : MATERIAL PROPERTIES</t>
  </si>
  <si>
    <t>Completed Date:</t>
  </si>
  <si>
    <t>Authorized Date:</t>
  </si>
  <si>
    <t>Tested Date:</t>
  </si>
  <si>
    <t/>
  </si>
  <si>
    <t>Theo. Max. Specific Gravity (Gt)</t>
  </si>
  <si>
    <t>Effective Gravity (Ge)</t>
  </si>
  <si>
    <t>Specific Gravity Of Specimen (Ga)</t>
  </si>
  <si>
    <t>Maxium Specific Gravity (Gr)</t>
  </si>
  <si>
    <t>Theo. Max. Specific Gravity (Gt):</t>
  </si>
  <si>
    <t>Maximum Specific Gravity (Gr)</t>
  </si>
  <si>
    <t>Shown On Plans</t>
  </si>
  <si>
    <t>Gradation Table</t>
  </si>
  <si>
    <t>2"</t>
  </si>
  <si>
    <t>50 mm</t>
  </si>
  <si>
    <t>1-3/4"</t>
  </si>
  <si>
    <t>45 mm</t>
  </si>
  <si>
    <t>3/4"</t>
  </si>
  <si>
    <t>19 mm</t>
  </si>
  <si>
    <t>7/16"</t>
  </si>
  <si>
    <t>11.2 mm</t>
  </si>
  <si>
    <t>5/16"</t>
  </si>
  <si>
    <t>8 mm</t>
  </si>
  <si>
    <t>No. 6</t>
  </si>
  <si>
    <t>3.35 mm</t>
  </si>
  <si>
    <t>No. 8</t>
  </si>
  <si>
    <t>2.36 mm</t>
  </si>
  <si>
    <t>No. 14</t>
  </si>
  <si>
    <t>1.4 mm</t>
  </si>
  <si>
    <t>No. 16</t>
  </si>
  <si>
    <t>1.18 mm</t>
  </si>
  <si>
    <t>No. 20</t>
  </si>
  <si>
    <t>.85 µm</t>
  </si>
  <si>
    <t>No. 30</t>
  </si>
  <si>
    <t>.6 µm</t>
  </si>
  <si>
    <t>.425 µm</t>
  </si>
  <si>
    <t>No. 50</t>
  </si>
  <si>
    <t>.3 µm</t>
  </si>
  <si>
    <t>.18 µm</t>
  </si>
  <si>
    <t>No. 100</t>
  </si>
  <si>
    <t>.15 µm</t>
  </si>
  <si>
    <t>.075 µm</t>
  </si>
  <si>
    <t>Selection</t>
  </si>
  <si>
    <t>English</t>
  </si>
  <si>
    <t>Metric</t>
  </si>
  <si>
    <t>Size</t>
  </si>
  <si>
    <t>Tx207</t>
  </si>
  <si>
    <t>Tx208</t>
  </si>
  <si>
    <t>Tx210</t>
  </si>
  <si>
    <t>Tx227</t>
  </si>
  <si>
    <t>Tx228</t>
  </si>
  <si>
    <t>Tx229</t>
  </si>
  <si>
    <t>Tx231</t>
  </si>
  <si>
    <t>Tx236</t>
  </si>
  <si>
    <t>User Defined Testing</t>
  </si>
  <si>
    <t>Use this area to enter any test methods, speciafications &amp; test result that apply to this material(s) but are not not listed above.</t>
  </si>
  <si>
    <t>HMACP MIXTURE DESIGN : Aggregate Classification</t>
  </si>
  <si>
    <t>Class (A) Rock (Y/N):</t>
  </si>
  <si>
    <t>Aggregate Classification</t>
  </si>
  <si>
    <t>PFC</t>
  </si>
  <si>
    <t>PFC_AR</t>
  </si>
  <si>
    <t>1 1/2"</t>
  </si>
  <si>
    <t>SF &amp; SP_HMACP_1.5</t>
  </si>
  <si>
    <t>600 µm</t>
  </si>
  <si>
    <t>300 µm</t>
  </si>
  <si>
    <t>SF &amp; SP_HMACP_1</t>
  </si>
  <si>
    <t>SF &amp; SP_HMACP_.75</t>
  </si>
  <si>
    <t>SF &amp; SP_HMACP_.5</t>
  </si>
  <si>
    <t>MIX TYPES</t>
  </si>
  <si>
    <t>Type_A</t>
  </si>
  <si>
    <t>Type_B</t>
  </si>
  <si>
    <t>Type_C</t>
  </si>
  <si>
    <t>Type_D</t>
  </si>
  <si>
    <t>Type_F</t>
  </si>
  <si>
    <t>Type_CMHB_C</t>
  </si>
  <si>
    <t>Type_CMHB_F</t>
  </si>
  <si>
    <t>HD_SMA_1_inch</t>
  </si>
  <si>
    <t>HD_SMA_.75_inch</t>
  </si>
  <si>
    <t>HD_SMA_.5_inch</t>
  </si>
  <si>
    <t>SF_HMACP_1.5_inch</t>
  </si>
  <si>
    <t>SF_HMACP_1_inch</t>
  </si>
  <si>
    <t>SF_HMACP_.75_inch</t>
  </si>
  <si>
    <t>SF_HMACP_.5_inch</t>
  </si>
  <si>
    <t>SP_HMACP_1.5_inch</t>
  </si>
  <si>
    <t>SP_HMACP_1_inch</t>
  </si>
  <si>
    <t>SP_HMACP_.75_inch</t>
  </si>
  <si>
    <t>SP_HMACP_.5_inch</t>
  </si>
  <si>
    <t>Other</t>
  </si>
  <si>
    <t>restricted</t>
  </si>
  <si>
    <t>Rap?, Asphalt%:</t>
  </si>
  <si>
    <t>Asphalt Spec. Grav.:</t>
  </si>
  <si>
    <t>Tx2MixDe1.xls::38014.584931</t>
  </si>
  <si>
    <t>1993</t>
  </si>
  <si>
    <t>NONE</t>
  </si>
  <si>
    <t>A</t>
  </si>
  <si>
    <t>N/A</t>
  </si>
  <si>
    <t>Combined Aggr.</t>
  </si>
  <si>
    <t>Yes</t>
  </si>
  <si>
    <t>No</t>
  </si>
  <si>
    <t>1006-02-005</t>
  </si>
  <si>
    <t>September 2004</t>
  </si>
  <si>
    <t>TTI Lab Design</t>
  </si>
  <si>
    <t xml:space="preserve">CAM </t>
  </si>
  <si>
    <t>Number Cycles</t>
  </si>
  <si>
    <t>Hamburg Test</t>
  </si>
  <si>
    <t>Overlay Tester Cycles (Min. 750)</t>
  </si>
  <si>
    <t>Rut Depth (mm) (max. 12.5 mm)</t>
  </si>
  <si>
    <t>Overlay Test</t>
  </si>
  <si>
    <t>%AC</t>
  </si>
  <si>
    <t>Hamburg</t>
  </si>
  <si>
    <t>Overlay</t>
  </si>
  <si>
    <t>Passes</t>
  </si>
  <si>
    <t>Rice</t>
  </si>
  <si>
    <t>No. of Gyrations</t>
  </si>
  <si>
    <t>Texas Lime</t>
  </si>
  <si>
    <t>Lime</t>
  </si>
  <si>
    <t>Molding Gyrations</t>
  </si>
  <si>
    <t>Gyrations for Hamburg Samples</t>
  </si>
  <si>
    <t>Gyrations for Overlay Samples</t>
  </si>
  <si>
    <t>Remarks</t>
  </si>
  <si>
    <t>Xiaodi</t>
  </si>
  <si>
    <t>Volumetric Check @ 50 Gyrations</t>
  </si>
  <si>
    <t>Density (%)</t>
  </si>
  <si>
    <t>Anti Strip = None</t>
  </si>
  <si>
    <t>Target Density: 96.0% @ 50 Gyrations</t>
  </si>
  <si>
    <t>Target Air Void: 7.0%</t>
  </si>
  <si>
    <t>Optimum Asphalt Content (%)</t>
  </si>
  <si>
    <t>TTI_ Lubbock</t>
  </si>
  <si>
    <t>03/01/2009</t>
  </si>
  <si>
    <t>Duininck</t>
  </si>
  <si>
    <t>Kiewit</t>
  </si>
  <si>
    <t>F Rock</t>
  </si>
  <si>
    <t>#7-#16</t>
  </si>
  <si>
    <t>Valero Asphalt PG 70-28</t>
  </si>
  <si>
    <t>None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</si>
</sst>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
    <numFmt numFmtId="168" formatCode="mm/dd/yy"/>
    <numFmt numFmtId="169" formatCode="??0.0"/>
    <numFmt numFmtId="170" formatCode="?,??0.0"/>
    <numFmt numFmtId="171" formatCode="?0.000"/>
    <numFmt numFmtId="172" formatCode=";;"/>
    <numFmt numFmtId="173" formatCode="???,??0.0"/>
    <numFmt numFmtId="174" formatCode="???,??0.0\ "/>
    <numFmt numFmtId="175" formatCode="?,??0.0;[Red]\(?,??0.0\)"/>
    <numFmt numFmtId="176" formatCode="??,??0.0"/>
    <numFmt numFmtId="177" formatCode="0.0000"/>
    <numFmt numFmtId="178" formatCode="&quot;Yes&quot;;&quot;Yes&quot;;&quot;No&quot;"/>
    <numFmt numFmtId="179" formatCode="&quot;True&quot;;&quot;True&quot;;&quot;False&quot;"/>
    <numFmt numFmtId="180" formatCode="&quot;On&quot;;&quot;On&quot;;&quot;Off&quot;"/>
    <numFmt numFmtId="181" formatCode="[$€-2]\ #,##0.00_);[Red]\([$€-2]\ #,##0.00\)"/>
  </numFmts>
  <fonts count="50">
    <font>
      <sz val="10"/>
      <name val="Arial"/>
      <family val="0"/>
    </font>
    <font>
      <u val="single"/>
      <sz val="10"/>
      <color indexed="36"/>
      <name val="Arial"/>
      <family val="0"/>
    </font>
    <font>
      <u val="single"/>
      <sz val="10"/>
      <color indexed="12"/>
      <name val="Arial"/>
      <family val="0"/>
    </font>
    <font>
      <b/>
      <sz val="12"/>
      <color indexed="12"/>
      <name val="SWISS"/>
      <family val="0"/>
    </font>
    <font>
      <sz val="10"/>
      <color indexed="9"/>
      <name val="Arial"/>
      <family val="2"/>
    </font>
    <font>
      <sz val="10"/>
      <color indexed="10"/>
      <name val="Arial"/>
      <family val="2"/>
    </font>
    <font>
      <sz val="10"/>
      <color indexed="12"/>
      <name val="SWISS"/>
      <family val="0"/>
    </font>
    <font>
      <b/>
      <sz val="12"/>
      <color indexed="8"/>
      <name val="SWISS"/>
      <family val="0"/>
    </font>
    <font>
      <b/>
      <sz val="10"/>
      <name val="Arial"/>
      <family val="2"/>
    </font>
    <font>
      <sz val="9"/>
      <name val="Arial"/>
      <family val="2"/>
    </font>
    <font>
      <sz val="8"/>
      <name val="Arial"/>
      <family val="2"/>
    </font>
    <font>
      <sz val="10"/>
      <color indexed="12"/>
      <name val="Arial"/>
      <family val="2"/>
    </font>
    <font>
      <b/>
      <sz val="10"/>
      <color indexed="12"/>
      <name val="Arial"/>
      <family val="2"/>
    </font>
    <font>
      <b/>
      <sz val="10"/>
      <name val="SWISS"/>
      <family val="0"/>
    </font>
    <font>
      <sz val="10"/>
      <name val="SWISS"/>
      <family val="0"/>
    </font>
    <font>
      <b/>
      <sz val="10"/>
      <color indexed="10"/>
      <name val="Arial"/>
      <family val="2"/>
    </font>
    <font>
      <u val="single"/>
      <sz val="8"/>
      <color indexed="12"/>
      <name val="Arial"/>
      <family val="2"/>
    </font>
    <font>
      <sz val="12"/>
      <color indexed="8"/>
      <name val="SWISS"/>
      <family val="0"/>
    </font>
    <font>
      <sz val="12"/>
      <color indexed="12"/>
      <name val="SWISS"/>
      <family val="0"/>
    </font>
    <font>
      <b/>
      <sz val="12"/>
      <color indexed="10"/>
      <name val="SWISS"/>
      <family val="0"/>
    </font>
    <font>
      <b/>
      <sz val="20"/>
      <name val="Arial"/>
      <family val="2"/>
    </font>
    <font>
      <sz val="12"/>
      <color indexed="48"/>
      <name val="SWISS"/>
      <family val="0"/>
    </font>
    <font>
      <sz val="12"/>
      <name val="SWISS"/>
      <family val="0"/>
    </font>
    <font>
      <b/>
      <sz val="12"/>
      <name val="SWISS"/>
      <family val="0"/>
    </font>
    <font>
      <sz val="8"/>
      <color indexed="17"/>
      <name val="Arial"/>
      <family val="2"/>
    </font>
    <font>
      <sz val="19"/>
      <name val="Arial"/>
      <family val="0"/>
    </font>
    <font>
      <sz val="19.25"/>
      <name val="Arial"/>
      <family val="0"/>
    </font>
    <font>
      <b/>
      <sz val="9.25"/>
      <name val="Arial"/>
      <family val="0"/>
    </font>
    <font>
      <sz val="11"/>
      <name val="Arial"/>
      <family val="2"/>
    </font>
    <font>
      <b/>
      <sz val="12.25"/>
      <name val="Arial"/>
      <family val="2"/>
    </font>
    <font>
      <i/>
      <sz val="8"/>
      <name val="Arial"/>
      <family val="2"/>
    </font>
    <font>
      <sz val="8"/>
      <name val="Tahoma"/>
      <family val="0"/>
    </font>
    <font>
      <sz val="8"/>
      <color indexed="10"/>
      <name val="Arial"/>
      <family val="2"/>
    </font>
    <font>
      <sz val="8.75"/>
      <name val="Arial"/>
      <family val="2"/>
    </font>
    <font>
      <b/>
      <u val="single"/>
      <sz val="10.5"/>
      <name val="Arial"/>
      <family val="2"/>
    </font>
    <font>
      <i/>
      <sz val="10"/>
      <color indexed="12"/>
      <name val="Arial"/>
      <family val="2"/>
    </font>
    <font>
      <b/>
      <sz val="12"/>
      <name val="Arial"/>
      <family val="2"/>
    </font>
    <font>
      <b/>
      <sz val="12"/>
      <color indexed="12"/>
      <name val="Arial"/>
      <family val="2"/>
    </font>
    <font>
      <sz val="12"/>
      <color indexed="12"/>
      <name val="Arial"/>
      <family val="2"/>
    </font>
    <font>
      <sz val="10"/>
      <color indexed="8"/>
      <name val="Arial"/>
      <family val="2"/>
    </font>
    <font>
      <sz val="8"/>
      <color indexed="8"/>
      <name val="Arial"/>
      <family val="2"/>
    </font>
    <font>
      <b/>
      <sz val="10"/>
      <color indexed="8"/>
      <name val="Arial"/>
      <family val="2"/>
    </font>
    <font>
      <b/>
      <sz val="10"/>
      <color indexed="57"/>
      <name val="Arial"/>
      <family val="2"/>
    </font>
    <font>
      <b/>
      <sz val="10"/>
      <color indexed="14"/>
      <name val="Arial"/>
      <family val="2"/>
    </font>
    <font>
      <b/>
      <sz val="12"/>
      <color indexed="57"/>
      <name val="Arial"/>
      <family val="2"/>
    </font>
    <font>
      <b/>
      <vertAlign val="subscript"/>
      <sz val="12"/>
      <color indexed="57"/>
      <name val="Arial"/>
      <family val="2"/>
    </font>
    <font>
      <b/>
      <sz val="12"/>
      <color indexed="14"/>
      <name val="Arial"/>
      <family val="2"/>
    </font>
    <font>
      <b/>
      <sz val="12"/>
      <color indexed="18"/>
      <name val="Arial"/>
      <family val="2"/>
    </font>
    <font>
      <b/>
      <sz val="9.5"/>
      <name val="Arial"/>
      <family val="2"/>
    </font>
    <font>
      <b/>
      <sz val="8"/>
      <name val="Arial"/>
      <family val="2"/>
    </font>
  </fonts>
  <fills count="14">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41"/>
        <bgColor indexed="64"/>
      </patternFill>
    </fill>
    <fill>
      <patternFill patternType="mediumGray">
        <fgColor indexed="47"/>
      </patternFill>
    </fill>
    <fill>
      <patternFill patternType="mediumGray">
        <fgColor indexed="47"/>
        <bgColor indexed="41"/>
      </patternFill>
    </fill>
    <fill>
      <patternFill patternType="solid">
        <fgColor indexed="9"/>
        <bgColor indexed="64"/>
      </patternFill>
    </fill>
    <fill>
      <patternFill patternType="solid">
        <fgColor indexed="22"/>
        <bgColor indexed="64"/>
      </patternFill>
    </fill>
    <fill>
      <patternFill patternType="solid">
        <fgColor indexed="57"/>
        <bgColor indexed="64"/>
      </patternFill>
    </fill>
    <fill>
      <patternFill patternType="mediumGray">
        <fgColor indexed="47"/>
        <bgColor indexed="57"/>
      </patternFill>
    </fill>
    <fill>
      <patternFill patternType="solid">
        <fgColor indexed="42"/>
        <bgColor indexed="64"/>
      </patternFill>
    </fill>
    <fill>
      <patternFill patternType="solid">
        <fgColor indexed="47"/>
        <bgColor indexed="64"/>
      </patternFill>
    </fill>
    <fill>
      <patternFill patternType="mediumGray">
        <fgColor indexed="47"/>
        <bgColor indexed="43"/>
      </patternFill>
    </fill>
  </fills>
  <borders count="23">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 diagonalUp="1">
      <left style="thin"/>
      <right style="thin"/>
      <top style="thin"/>
      <bottom style="thin"/>
      <diagonal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58">
    <xf numFmtId="0" fontId="0" fillId="0" borderId="0" xfId="0" applyAlignment="1">
      <alignment/>
    </xf>
    <xf numFmtId="0" fontId="0" fillId="0" borderId="0" xfId="0" applyNumberFormat="1" applyFill="1" applyBorder="1" applyAlignment="1" applyProtection="1">
      <alignment vertical="center"/>
      <protection/>
    </xf>
    <xf numFmtId="0" fontId="3" fillId="0" borderId="0" xfId="0" applyNumberFormat="1" applyFont="1" applyFill="1" applyBorder="1" applyAlignment="1" applyProtection="1">
      <alignment horizontal="centerContinuous" vertical="center"/>
      <protection/>
    </xf>
    <xf numFmtId="0" fontId="0" fillId="0" borderId="0" xfId="0" applyFill="1" applyAlignment="1" applyProtection="1">
      <alignment horizontal="centerContinuous" vertical="center"/>
      <protection/>
    </xf>
    <xf numFmtId="0" fontId="0" fillId="0" borderId="0" xfId="0" applyNumberFormat="1" applyFill="1" applyBorder="1" applyAlignment="1" applyProtection="1">
      <alignment horizontal="centerContinuous"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6" fillId="0" borderId="0" xfId="0" applyNumberFormat="1" applyFont="1" applyFill="1" applyBorder="1" applyAlignment="1" applyProtection="1">
      <alignment horizontal="centerContinuous" vertical="center"/>
      <protection/>
    </xf>
    <xf numFmtId="0" fontId="7" fillId="0" borderId="0" xfId="0" applyNumberFormat="1" applyFont="1" applyFill="1" applyBorder="1" applyAlignment="1" applyProtection="1">
      <alignment horizontal="centerContinuous" vertical="center"/>
      <protection/>
    </xf>
    <xf numFmtId="0" fontId="0" fillId="0" borderId="0" xfId="0" applyAlignment="1">
      <alignment vertical="center"/>
    </xf>
    <xf numFmtId="49" fontId="0" fillId="0" borderId="0" xfId="0" applyNumberFormat="1" applyFill="1" applyAlignment="1" applyProtection="1">
      <alignment horizontal="right" vertical="center"/>
      <protection/>
    </xf>
    <xf numFmtId="49" fontId="0" fillId="0" borderId="0" xfId="0" applyNumberFormat="1" applyFill="1" applyAlignment="1" applyProtection="1">
      <alignment vertical="center"/>
      <protection/>
    </xf>
    <xf numFmtId="49" fontId="0" fillId="0" borderId="0" xfId="0" applyNumberFormat="1" applyFont="1" applyFill="1" applyBorder="1" applyAlignment="1" applyProtection="1">
      <alignment vertical="center"/>
      <protection/>
    </xf>
    <xf numFmtId="0" fontId="2" fillId="0" borderId="0" xfId="20" applyBorder="1" applyAlignment="1" applyProtection="1">
      <alignment horizontal="center" vertical="center"/>
      <protection/>
    </xf>
    <xf numFmtId="0" fontId="2" fillId="0" borderId="0" xfId="20" applyFont="1" applyBorder="1" applyAlignment="1" applyProtection="1">
      <alignment horizontal="center" vertical="center"/>
      <protection/>
    </xf>
    <xf numFmtId="0" fontId="0" fillId="0" borderId="0" xfId="0" applyNumberFormat="1" applyFont="1" applyBorder="1" applyAlignment="1" applyProtection="1">
      <alignment horizontal="left" vertical="center"/>
      <protection/>
    </xf>
    <xf numFmtId="168" fontId="4" fillId="0" borderId="0" xfId="0" applyNumberFormat="1" applyFont="1" applyBorder="1" applyAlignment="1" applyProtection="1">
      <alignment vertical="center"/>
      <protection/>
    </xf>
    <xf numFmtId="0" fontId="0" fillId="0" borderId="0" xfId="0" applyNumberFormat="1" applyFill="1" applyBorder="1" applyAlignment="1" applyProtection="1">
      <alignment horizontal="left" vertical="center"/>
      <protection/>
    </xf>
    <xf numFmtId="0" fontId="0" fillId="0" borderId="0" xfId="0" applyFill="1" applyAlignment="1" applyProtection="1">
      <alignment horizontal="left" vertical="center"/>
      <protection/>
    </xf>
    <xf numFmtId="0" fontId="0" fillId="0" borderId="0" xfId="0" applyAlignment="1">
      <alignment horizontal="left" vertical="center"/>
    </xf>
    <xf numFmtId="0" fontId="0" fillId="0" borderId="0" xfId="0" applyFill="1" applyAlignment="1">
      <alignment/>
    </xf>
    <xf numFmtId="0" fontId="8" fillId="0" borderId="0" xfId="0" applyFont="1" applyFill="1" applyAlignment="1">
      <alignment horizontal="center"/>
    </xf>
    <xf numFmtId="0" fontId="8" fillId="2" borderId="1" xfId="0" applyFont="1" applyFill="1" applyBorder="1" applyAlignment="1">
      <alignment horizontal="center" vertical="center"/>
    </xf>
    <xf numFmtId="0" fontId="0" fillId="0" borderId="0" xfId="0" applyFill="1" applyAlignment="1">
      <alignment horizontal="center"/>
    </xf>
    <xf numFmtId="0" fontId="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5" fillId="0" borderId="1" xfId="0" applyFont="1" applyFill="1" applyBorder="1" applyAlignment="1">
      <alignment horizontal="center"/>
    </xf>
    <xf numFmtId="0" fontId="11" fillId="0" borderId="1" xfId="0" applyFont="1" applyFill="1" applyBorder="1" applyAlignment="1">
      <alignment horizontal="center"/>
    </xf>
    <xf numFmtId="0" fontId="0" fillId="0" borderId="1" xfId="0"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center" vertical="center"/>
    </xf>
    <xf numFmtId="0" fontId="0" fillId="3" borderId="1" xfId="0" applyFill="1" applyBorder="1" applyAlignment="1">
      <alignment horizontal="center"/>
    </xf>
    <xf numFmtId="0" fontId="5" fillId="5" borderId="1" xfId="0" applyFont="1" applyFill="1" applyBorder="1" applyAlignment="1">
      <alignment horizontal="center"/>
    </xf>
    <xf numFmtId="0" fontId="11" fillId="5" borderId="1" xfId="0" applyFont="1"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0" borderId="0" xfId="0" applyFill="1" applyAlignment="1">
      <alignment/>
    </xf>
    <xf numFmtId="0" fontId="0" fillId="0" borderId="0" xfId="0" applyAlignment="1" applyProtection="1">
      <alignment horizontal="left" vertical="center"/>
      <protection/>
    </xf>
    <xf numFmtId="0" fontId="10" fillId="0" borderId="0" xfId="0" applyFont="1" applyAlignment="1">
      <alignment vertical="center"/>
    </xf>
    <xf numFmtId="0" fontId="16" fillId="0" borderId="0" xfId="20" applyFont="1" applyAlignment="1">
      <alignment horizontal="center" vertical="center"/>
    </xf>
    <xf numFmtId="0" fontId="17" fillId="7" borderId="0" xfId="0" applyNumberFormat="1" applyFont="1" applyFill="1" applyAlignment="1">
      <alignment/>
    </xf>
    <xf numFmtId="0" fontId="18" fillId="7" borderId="0" xfId="0" applyNumberFormat="1" applyFont="1" applyFill="1" applyAlignment="1">
      <alignment/>
    </xf>
    <xf numFmtId="0" fontId="0" fillId="7" borderId="0" xfId="0" applyNumberFormat="1" applyFill="1" applyAlignment="1">
      <alignment/>
    </xf>
    <xf numFmtId="0" fontId="20" fillId="0" borderId="0" xfId="0" applyFont="1" applyAlignment="1">
      <alignment horizontal="right" vertical="center"/>
    </xf>
    <xf numFmtId="0" fontId="21" fillId="7" borderId="0" xfId="0" applyNumberFormat="1" applyFont="1" applyFill="1" applyAlignment="1">
      <alignment/>
    </xf>
    <xf numFmtId="0" fontId="22" fillId="7" borderId="0" xfId="0" applyNumberFormat="1" applyFont="1" applyFill="1" applyAlignment="1">
      <alignment/>
    </xf>
    <xf numFmtId="0" fontId="23" fillId="7" borderId="0" xfId="0" applyNumberFormat="1" applyFont="1" applyFill="1" applyAlignment="1">
      <alignment/>
    </xf>
    <xf numFmtId="0" fontId="0" fillId="0" borderId="0" xfId="0" applyAlignment="1">
      <alignment horizontal="right"/>
    </xf>
    <xf numFmtId="0" fontId="14" fillId="7" borderId="0" xfId="0" applyNumberFormat="1" applyFont="1" applyFill="1" applyAlignment="1">
      <alignment horizontal="left" vertical="top" wrapText="1"/>
    </xf>
    <xf numFmtId="0" fontId="22" fillId="7" borderId="0" xfId="0" applyNumberFormat="1" applyFont="1" applyFill="1" applyAlignment="1">
      <alignment horizontal="left" vertical="top"/>
    </xf>
    <xf numFmtId="0" fontId="0" fillId="0" borderId="0" xfId="0" applyAlignment="1">
      <alignment horizontal="left" vertical="top"/>
    </xf>
    <xf numFmtId="0" fontId="20" fillId="0" borderId="0" xfId="0" applyFont="1" applyAlignment="1">
      <alignment horizontal="right" vertical="top"/>
    </xf>
    <xf numFmtId="0" fontId="0" fillId="0" borderId="1" xfId="0" applyFont="1" applyFill="1" applyBorder="1" applyAlignment="1" applyProtection="1">
      <alignment horizontal="center" vertical="center"/>
      <protection/>
    </xf>
    <xf numFmtId="0" fontId="0" fillId="0" borderId="2" xfId="0" applyFont="1" applyBorder="1" applyAlignment="1" applyProtection="1">
      <alignment horizontal="center" vertical="center"/>
      <protection/>
    </xf>
    <xf numFmtId="164" fontId="0" fillId="0" borderId="1"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164" fontId="0" fillId="0" borderId="0" xfId="0" applyNumberFormat="1" applyFont="1" applyFill="1" applyBorder="1" applyAlignment="1" applyProtection="1">
      <alignment horizontal="center" vertical="center"/>
      <protection/>
    </xf>
    <xf numFmtId="164" fontId="0" fillId="0" borderId="0" xfId="0" applyNumberFormat="1" applyFont="1" applyFill="1" applyBorder="1" applyAlignment="1" applyProtection="1">
      <alignment horizontal="center" vertical="center" wrapText="1"/>
      <protection/>
    </xf>
    <xf numFmtId="164" fontId="0" fillId="0" borderId="0" xfId="0" applyNumberFormat="1" applyFill="1" applyBorder="1" applyAlignment="1" applyProtection="1">
      <alignment horizontal="center" vertical="center"/>
      <protection/>
    </xf>
    <xf numFmtId="164" fontId="0" fillId="0" borderId="0" xfId="0" applyNumberFormat="1" applyFill="1" applyBorder="1" applyAlignment="1">
      <alignment horizontal="center" vertical="center"/>
    </xf>
    <xf numFmtId="0" fontId="0" fillId="0" borderId="3" xfId="0" applyFont="1" applyFill="1" applyBorder="1" applyAlignment="1" applyProtection="1">
      <alignment horizontal="center" vertical="center"/>
      <protection/>
    </xf>
    <xf numFmtId="0" fontId="0" fillId="0" borderId="0" xfId="0" applyBorder="1" applyAlignment="1">
      <alignment horizontal="center" vertical="center" wrapText="1"/>
    </xf>
    <xf numFmtId="0" fontId="0" fillId="8" borderId="1" xfId="0" applyFill="1" applyBorder="1" applyAlignment="1">
      <alignment vertical="center"/>
    </xf>
    <xf numFmtId="4" fontId="0" fillId="0" borderId="1" xfId="0" applyNumberFormat="1" applyFill="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pplyProtection="1">
      <alignment horizontal="center" vertical="center"/>
      <protection/>
    </xf>
    <xf numFmtId="0" fontId="0" fillId="0" borderId="0" xfId="0" applyBorder="1" applyAlignment="1">
      <alignment horizontal="center" vertical="center" textRotation="90"/>
    </xf>
    <xf numFmtId="0" fontId="0" fillId="0" borderId="2" xfId="0" applyBorder="1" applyAlignment="1">
      <alignment horizontal="center" vertical="center"/>
    </xf>
    <xf numFmtId="0" fontId="8" fillId="0" borderId="0" xfId="0" applyFont="1" applyBorder="1" applyAlignment="1">
      <alignment horizontal="center" vertical="center"/>
    </xf>
    <xf numFmtId="4" fontId="0" fillId="0" borderId="1" xfId="0" applyNumberFormat="1" applyFont="1" applyBorder="1" applyAlignment="1" applyProtection="1">
      <alignment horizontal="center" vertical="center"/>
      <protection/>
    </xf>
    <xf numFmtId="1" fontId="0" fillId="0" borderId="0" xfId="0" applyNumberFormat="1" applyBorder="1" applyAlignment="1">
      <alignment horizontal="center" vertical="center"/>
    </xf>
    <xf numFmtId="4" fontId="0" fillId="0" borderId="4" xfId="0" applyNumberFormat="1" applyFont="1" applyBorder="1" applyAlignment="1" applyProtection="1">
      <alignment horizontal="center" vertical="center"/>
      <protection/>
    </xf>
    <xf numFmtId="0" fontId="0" fillId="0" borderId="4" xfId="0" applyBorder="1" applyAlignment="1">
      <alignment horizontal="right" vertical="center"/>
    </xf>
    <xf numFmtId="0" fontId="0" fillId="0" borderId="4" xfId="20" applyFont="1" applyBorder="1" applyAlignment="1" applyProtection="1">
      <alignment horizontal="right" vertical="center"/>
      <protection/>
    </xf>
    <xf numFmtId="165" fontId="0" fillId="0" borderId="4" xfId="20" applyNumberFormat="1" applyFont="1" applyBorder="1" applyAlignment="1" applyProtection="1">
      <alignment horizontal="center" vertical="center"/>
      <protection/>
    </xf>
    <xf numFmtId="0" fontId="0" fillId="0" borderId="4" xfId="0" applyFont="1" applyBorder="1" applyAlignment="1">
      <alignment horizontal="center" vertical="center"/>
    </xf>
    <xf numFmtId="0" fontId="8" fillId="0" borderId="0" xfId="20" applyFont="1" applyBorder="1" applyAlignment="1" applyProtection="1">
      <alignment horizontal="right" vertical="center"/>
      <protection/>
    </xf>
    <xf numFmtId="0" fontId="8" fillId="0" borderId="0" xfId="0" applyFont="1" applyBorder="1" applyAlignment="1">
      <alignment horizontal="right" vertical="center"/>
    </xf>
    <xf numFmtId="164" fontId="8" fillId="0" borderId="0" xfId="20" applyNumberFormat="1" applyFont="1" applyBorder="1" applyAlignment="1" applyProtection="1">
      <alignment horizontal="center" vertical="center"/>
      <protection/>
    </xf>
    <xf numFmtId="0" fontId="8" fillId="0" borderId="0" xfId="0" applyFont="1" applyFill="1" applyBorder="1" applyAlignment="1">
      <alignment horizontal="center" vertical="center"/>
    </xf>
    <xf numFmtId="0" fontId="0" fillId="0" borderId="0" xfId="0" applyFill="1" applyBorder="1" applyAlignment="1">
      <alignment vertical="center"/>
    </xf>
    <xf numFmtId="1"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165" fontId="0" fillId="0" borderId="0" xfId="0" applyNumberFormat="1" applyFont="1" applyFill="1" applyBorder="1" applyAlignment="1" applyProtection="1">
      <alignment horizontal="center" vertical="center"/>
      <protection/>
    </xf>
    <xf numFmtId="0" fontId="19" fillId="7" borderId="0" xfId="0" applyNumberFormat="1" applyFont="1" applyFill="1" applyBorder="1" applyAlignment="1">
      <alignment/>
    </xf>
    <xf numFmtId="164" fontId="0" fillId="0" borderId="1" xfId="0" applyNumberFormat="1" applyBorder="1" applyAlignment="1" applyProtection="1">
      <alignment horizontal="center" vertical="center"/>
      <protection/>
    </xf>
    <xf numFmtId="0" fontId="24" fillId="0" borderId="0" xfId="0" applyNumberFormat="1" applyFont="1" applyFill="1" applyBorder="1" applyAlignment="1" applyProtection="1">
      <alignment horizontal="right" vertical="center"/>
      <protection/>
    </xf>
    <xf numFmtId="0" fontId="0" fillId="0" borderId="0" xfId="0" applyNumberFormat="1" applyFont="1" applyBorder="1" applyAlignment="1" applyProtection="1">
      <alignment vertical="center"/>
      <protection/>
    </xf>
    <xf numFmtId="0" fontId="0"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NumberFormat="1" applyFont="1" applyFill="1" applyBorder="1" applyAlignment="1" applyProtection="1">
      <alignment horizontal="centerContinuous" vertical="center"/>
      <protection/>
    </xf>
    <xf numFmtId="0" fontId="0" fillId="0" borderId="0" xfId="0" applyFont="1" applyAlignment="1" applyProtection="1">
      <alignment horizontal="right" vertical="center"/>
      <protection/>
    </xf>
    <xf numFmtId="0" fontId="0" fillId="0" borderId="0" xfId="0" applyFont="1" applyFill="1" applyAlignment="1" applyProtection="1">
      <alignment horizontal="centerContinuous" vertical="center"/>
      <protection/>
    </xf>
    <xf numFmtId="166" fontId="0" fillId="0" borderId="0" xfId="0" applyNumberFormat="1" applyFont="1" applyAlignment="1" applyProtection="1">
      <alignment horizontal="left" vertical="center"/>
      <protection/>
    </xf>
    <xf numFmtId="0" fontId="10" fillId="0" borderId="1" xfId="0" applyFont="1" applyBorder="1" applyAlignment="1" applyProtection="1">
      <alignment horizontal="center" vertical="center"/>
      <protection/>
    </xf>
    <xf numFmtId="0" fontId="10" fillId="0" borderId="1" xfId="0" applyFont="1" applyBorder="1" applyAlignment="1" applyProtection="1">
      <alignment horizontal="center" vertical="center" wrapText="1"/>
      <protection/>
    </xf>
    <xf numFmtId="0" fontId="30" fillId="0" borderId="1" xfId="0" applyFont="1" applyBorder="1" applyAlignment="1" applyProtection="1">
      <alignment horizontal="center" vertical="center" wrapText="1"/>
      <protection/>
    </xf>
    <xf numFmtId="169" fontId="0" fillId="0" borderId="1" xfId="0" applyNumberFormat="1" applyBorder="1" applyAlignment="1">
      <alignment horizontal="center" vertical="center"/>
    </xf>
    <xf numFmtId="169" fontId="0" fillId="0" borderId="1" xfId="0" applyNumberFormat="1" applyFont="1" applyFill="1" applyBorder="1" applyAlignment="1" applyProtection="1">
      <alignment horizontal="center" vertical="center" wrapText="1"/>
      <protection/>
    </xf>
    <xf numFmtId="169" fontId="0" fillId="0" borderId="3" xfId="0" applyNumberFormat="1" applyFont="1" applyFill="1" applyBorder="1" applyAlignment="1" applyProtection="1">
      <alignment horizontal="center" vertical="center"/>
      <protection/>
    </xf>
    <xf numFmtId="169" fontId="0" fillId="0" borderId="0" xfId="0" applyNumberFormat="1" applyAlignment="1">
      <alignment/>
    </xf>
    <xf numFmtId="169" fontId="0" fillId="0" borderId="1" xfId="0" applyNumberFormat="1" applyFont="1" applyFill="1" applyBorder="1" applyAlignment="1" applyProtection="1">
      <alignment horizontal="center" vertical="center"/>
      <protection/>
    </xf>
    <xf numFmtId="167" fontId="0" fillId="0" borderId="1" xfId="0" applyNumberFormat="1" applyFont="1" applyFill="1" applyBorder="1" applyAlignment="1" applyProtection="1">
      <alignment horizontal="center" vertical="center"/>
      <protection/>
    </xf>
    <xf numFmtId="0" fontId="0" fillId="0" borderId="5" xfId="0" applyBorder="1" applyAlignment="1">
      <alignment vertical="center"/>
    </xf>
    <xf numFmtId="0" fontId="0" fillId="0" borderId="0" xfId="0" applyNumberFormat="1" applyBorder="1" applyAlignment="1" applyProtection="1">
      <alignment vertical="center"/>
      <protection/>
    </xf>
    <xf numFmtId="0" fontId="0" fillId="0" borderId="6" xfId="0" applyNumberFormat="1" applyFont="1" applyBorder="1" applyAlignment="1" applyProtection="1">
      <alignment horizontal="center" vertical="center"/>
      <protection/>
    </xf>
    <xf numFmtId="0" fontId="0" fillId="0" borderId="7" xfId="0" applyFont="1" applyBorder="1" applyAlignment="1">
      <alignment horizontal="right" vertical="center"/>
    </xf>
    <xf numFmtId="0" fontId="8" fillId="0" borderId="4" xfId="0" applyFont="1" applyBorder="1" applyAlignment="1">
      <alignment horizontal="center" vertical="center"/>
    </xf>
    <xf numFmtId="0" fontId="0" fillId="0" borderId="1" xfId="20" applyFont="1" applyBorder="1" applyAlignment="1" applyProtection="1">
      <alignment horizontal="left" vertical="center"/>
      <protection/>
    </xf>
    <xf numFmtId="173" fontId="0" fillId="0" borderId="8" xfId="0" applyNumberFormat="1" applyFont="1" applyFill="1" applyBorder="1" applyAlignment="1" applyProtection="1">
      <alignment horizontal="center" vertical="center"/>
      <protection/>
    </xf>
    <xf numFmtId="172" fontId="0" fillId="0" borderId="0" xfId="0" applyNumberFormat="1" applyAlignment="1">
      <alignment horizontal="center" vertical="center"/>
    </xf>
    <xf numFmtId="166" fontId="10" fillId="0" borderId="3" xfId="0" applyNumberFormat="1" applyFont="1" applyFill="1" applyBorder="1" applyAlignment="1" applyProtection="1">
      <alignment horizontal="center" vertical="center"/>
      <protection/>
    </xf>
    <xf numFmtId="165" fontId="0" fillId="0" borderId="1" xfId="0" applyNumberFormat="1" applyBorder="1" applyAlignment="1">
      <alignment horizontal="center" vertical="center"/>
    </xf>
    <xf numFmtId="166" fontId="10" fillId="0" borderId="1" xfId="0" applyNumberFormat="1" applyFont="1" applyFill="1" applyBorder="1" applyAlignment="1" applyProtection="1">
      <alignment horizontal="center" vertical="center"/>
      <protection/>
    </xf>
    <xf numFmtId="0" fontId="8" fillId="0" borderId="0" xfId="0" applyFont="1" applyAlignment="1">
      <alignment horizontal="left" vertical="center"/>
    </xf>
    <xf numFmtId="0" fontId="8" fillId="0" borderId="0" xfId="0" applyFont="1" applyAlignment="1">
      <alignment vertical="center"/>
    </xf>
    <xf numFmtId="164" fontId="8" fillId="0" borderId="0" xfId="0" applyNumberFormat="1" applyFont="1" applyFill="1" applyBorder="1" applyAlignment="1" applyProtection="1">
      <alignment horizontal="center" vertical="center"/>
      <protection/>
    </xf>
    <xf numFmtId="164" fontId="8" fillId="0" borderId="0"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center" vertical="center"/>
    </xf>
    <xf numFmtId="165" fontId="8" fillId="0" borderId="1" xfId="0" applyNumberFormat="1" applyFont="1" applyFill="1" applyBorder="1" applyAlignment="1" applyProtection="1">
      <alignment horizontal="center" vertical="center"/>
      <protection/>
    </xf>
    <xf numFmtId="0" fontId="0" fillId="8" borderId="3" xfId="0" applyFill="1" applyBorder="1" applyAlignment="1">
      <alignment vertical="center"/>
    </xf>
    <xf numFmtId="4" fontId="0" fillId="0" borderId="3" xfId="0" applyNumberFormat="1" applyFont="1" applyBorder="1" applyAlignment="1" applyProtection="1">
      <alignment horizontal="center" vertical="center"/>
      <protection/>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textRotation="90"/>
    </xf>
    <xf numFmtId="0" fontId="0" fillId="8" borderId="8" xfId="0" applyFill="1" applyBorder="1" applyAlignment="1">
      <alignment/>
    </xf>
    <xf numFmtId="0" fontId="0" fillId="8" borderId="4" xfId="0" applyFill="1" applyBorder="1" applyAlignment="1">
      <alignment/>
    </xf>
    <xf numFmtId="0" fontId="0" fillId="8" borderId="7" xfId="0" applyFill="1" applyBorder="1" applyAlignment="1">
      <alignment/>
    </xf>
    <xf numFmtId="0" fontId="0" fillId="8" borderId="8" xfId="0" applyFont="1" applyFill="1" applyBorder="1" applyAlignment="1">
      <alignment horizontal="right" vertical="center"/>
    </xf>
    <xf numFmtId="0" fontId="0" fillId="8" borderId="4" xfId="0" applyFont="1" applyFill="1" applyBorder="1" applyAlignment="1">
      <alignment horizontal="right" vertical="center"/>
    </xf>
    <xf numFmtId="0" fontId="0" fillId="8" borderId="7" xfId="0" applyFont="1" applyFill="1" applyBorder="1" applyAlignment="1">
      <alignment horizontal="right" vertical="center"/>
    </xf>
    <xf numFmtId="4" fontId="10" fillId="8" borderId="8" xfId="0" applyNumberFormat="1" applyFont="1" applyFill="1" applyBorder="1" applyAlignment="1" applyProtection="1">
      <alignment horizontal="left" vertical="center"/>
      <protection/>
    </xf>
    <xf numFmtId="4" fontId="10" fillId="8" borderId="7" xfId="0" applyNumberFormat="1" applyFont="1" applyFill="1" applyBorder="1" applyAlignment="1">
      <alignment horizontal="left" vertical="center"/>
    </xf>
    <xf numFmtId="4" fontId="10" fillId="8" borderId="7" xfId="0" applyNumberFormat="1" applyFont="1" applyFill="1" applyBorder="1" applyAlignment="1" applyProtection="1">
      <alignment horizontal="left" vertical="center"/>
      <protection/>
    </xf>
    <xf numFmtId="173" fontId="0" fillId="0" borderId="1" xfId="0" applyNumberFormat="1" applyFont="1" applyFill="1" applyBorder="1" applyAlignment="1" applyProtection="1">
      <alignment horizontal="center" vertical="center"/>
      <protection/>
    </xf>
    <xf numFmtId="0" fontId="4" fillId="0" borderId="0" xfId="0" applyFont="1" applyFill="1" applyAlignment="1" applyProtection="1">
      <alignment horizontal="left" vertical="center"/>
      <protection/>
    </xf>
    <xf numFmtId="166" fontId="4" fillId="0" borderId="0" xfId="0" applyNumberFormat="1" applyFont="1" applyAlignment="1" applyProtection="1">
      <alignment horizontal="left" vertical="center"/>
      <protection/>
    </xf>
    <xf numFmtId="0" fontId="0" fillId="0" borderId="0" xfId="0" applyAlignment="1">
      <alignment horizontal="left"/>
    </xf>
    <xf numFmtId="49" fontId="0" fillId="0" borderId="4" xfId="0" applyNumberFormat="1" applyFont="1" applyFill="1" applyBorder="1" applyAlignment="1" applyProtection="1">
      <alignment horizontal="right" vertical="center"/>
      <protection/>
    </xf>
    <xf numFmtId="49" fontId="0" fillId="0" borderId="8" xfId="0" applyNumberFormat="1" applyFill="1" applyBorder="1" applyAlignment="1" applyProtection="1">
      <alignment horizontal="left" vertical="center"/>
      <protection/>
    </xf>
    <xf numFmtId="0" fontId="8" fillId="3" borderId="1" xfId="0" applyFont="1" applyFill="1" applyBorder="1" applyAlignment="1">
      <alignment horizontal="center" vertical="center" wrapText="1"/>
    </xf>
    <xf numFmtId="171" fontId="10" fillId="0" borderId="3" xfId="0" applyNumberFormat="1" applyFont="1" applyFill="1" applyBorder="1" applyAlignment="1" applyProtection="1">
      <alignment horizontal="center" vertical="center"/>
      <protection/>
    </xf>
    <xf numFmtId="171" fontId="10" fillId="0" borderId="1" xfId="0" applyNumberFormat="1" applyFont="1" applyFill="1" applyBorder="1" applyAlignment="1" applyProtection="1">
      <alignment horizontal="center" vertical="center"/>
      <protection/>
    </xf>
    <xf numFmtId="0" fontId="4" fillId="0" borderId="0" xfId="0" applyFont="1" applyAlignment="1">
      <alignment/>
    </xf>
    <xf numFmtId="49" fontId="0" fillId="0" borderId="4" xfId="0" applyNumberFormat="1" applyFont="1" applyFill="1" applyBorder="1" applyAlignment="1" applyProtection="1">
      <alignment horizontal="right" vertical="center"/>
      <protection/>
    </xf>
    <xf numFmtId="49" fontId="0" fillId="0" borderId="1" xfId="0" applyNumberFormat="1" applyFill="1" applyBorder="1" applyAlignment="1" applyProtection="1">
      <alignment horizontal="left" vertical="center"/>
      <protection/>
    </xf>
    <xf numFmtId="164" fontId="32" fillId="0" borderId="9" xfId="0" applyNumberFormat="1" applyFont="1" applyBorder="1" applyAlignment="1">
      <alignment horizontal="left" vertical="center"/>
    </xf>
    <xf numFmtId="173" fontId="8" fillId="0" borderId="1" xfId="0" applyNumberFormat="1" applyFont="1" applyFill="1" applyBorder="1" applyAlignment="1" applyProtection="1">
      <alignment horizontal="center" vertical="center"/>
      <protection/>
    </xf>
    <xf numFmtId="0" fontId="11" fillId="0" borderId="1" xfId="20" applyFont="1" applyBorder="1" applyAlignment="1" applyProtection="1">
      <alignment horizontal="left" vertical="center"/>
      <protection/>
    </xf>
    <xf numFmtId="172" fontId="0" fillId="0" borderId="4" xfId="0" applyNumberFormat="1" applyBorder="1" applyAlignment="1">
      <alignment horizontal="center" vertical="center"/>
    </xf>
    <xf numFmtId="0" fontId="4" fillId="0" borderId="0" xfId="0" applyFont="1" applyAlignment="1">
      <alignment horizontal="left" vertical="center"/>
    </xf>
    <xf numFmtId="164" fontId="4" fillId="0" borderId="0" xfId="0" applyNumberFormat="1" applyFont="1" applyFill="1" applyBorder="1" applyAlignment="1" applyProtection="1">
      <alignment horizontal="center" vertical="center"/>
      <protection/>
    </xf>
    <xf numFmtId="164" fontId="4" fillId="0" borderId="0" xfId="0" applyNumberFormat="1" applyFont="1" applyFill="1" applyBorder="1" applyAlignment="1" applyProtection="1">
      <alignment horizontal="center" vertical="center" wrapText="1"/>
      <protection/>
    </xf>
    <xf numFmtId="164" fontId="32" fillId="0" borderId="0" xfId="0" applyNumberFormat="1" applyFont="1" applyBorder="1" applyAlignment="1">
      <alignment horizontal="left" vertical="center"/>
    </xf>
    <xf numFmtId="0" fontId="0" fillId="0" borderId="6" xfId="0" applyBorder="1" applyAlignment="1">
      <alignment vertical="center"/>
    </xf>
    <xf numFmtId="0" fontId="0" fillId="0" borderId="0" xfId="0" applyBorder="1" applyAlignment="1">
      <alignment/>
    </xf>
    <xf numFmtId="0" fontId="0" fillId="0" borderId="0" xfId="0" applyFill="1" applyBorder="1" applyAlignment="1">
      <alignment/>
    </xf>
    <xf numFmtId="176" fontId="0" fillId="0" borderId="10" xfId="0" applyNumberFormat="1" applyFont="1" applyFill="1" applyBorder="1" applyAlignment="1" applyProtection="1">
      <alignment horizontal="center" vertical="center"/>
      <protection/>
    </xf>
    <xf numFmtId="176" fontId="0" fillId="0" borderId="3" xfId="0" applyNumberFormat="1" applyFont="1" applyFill="1" applyBorder="1" applyAlignment="1" applyProtection="1">
      <alignment horizontal="center" vertical="center"/>
      <protection/>
    </xf>
    <xf numFmtId="176" fontId="0" fillId="0" borderId="1" xfId="0" applyNumberFormat="1" applyBorder="1" applyAlignment="1">
      <alignment horizontal="center" vertical="center"/>
    </xf>
    <xf numFmtId="176" fontId="0" fillId="0" borderId="7" xfId="0" applyNumberFormat="1" applyBorder="1" applyAlignment="1">
      <alignment horizontal="center" vertical="center"/>
    </xf>
    <xf numFmtId="176" fontId="0" fillId="0" borderId="0" xfId="0" applyNumberFormat="1" applyAlignment="1">
      <alignment horizontal="center" vertical="center"/>
    </xf>
    <xf numFmtId="169" fontId="0" fillId="0" borderId="0" xfId="0" applyNumberFormat="1" applyBorder="1" applyAlignment="1">
      <alignment horizontal="center" vertical="center"/>
    </xf>
    <xf numFmtId="169" fontId="8" fillId="0" borderId="1" xfId="0" applyNumberFormat="1" applyFont="1" applyBorder="1" applyAlignment="1">
      <alignment horizontal="center" vertical="center"/>
    </xf>
    <xf numFmtId="169" fontId="8" fillId="0" borderId="0" xfId="0" applyNumberFormat="1" applyFont="1" applyBorder="1" applyAlignment="1">
      <alignment horizontal="center" vertical="center"/>
    </xf>
    <xf numFmtId="0" fontId="8" fillId="0" borderId="0" xfId="0" applyFont="1" applyAlignment="1">
      <alignment horizontal="centerContinuous" vertical="center"/>
    </xf>
    <xf numFmtId="0" fontId="0" fillId="0" borderId="0" xfId="0" applyAlignment="1">
      <alignment horizontal="centerContinuous" vertical="center"/>
    </xf>
    <xf numFmtId="169" fontId="0" fillId="0" borderId="8" xfId="0" applyNumberFormat="1" applyFont="1" applyFill="1" applyBorder="1" applyAlignment="1" applyProtection="1">
      <alignment horizontal="center" vertical="center"/>
      <protection/>
    </xf>
    <xf numFmtId="0" fontId="15" fillId="0" borderId="0" xfId="0" applyFont="1" applyAlignment="1">
      <alignment vertical="center"/>
    </xf>
    <xf numFmtId="176" fontId="0" fillId="8" borderId="10" xfId="0" applyNumberFormat="1" applyFont="1" applyFill="1" applyBorder="1" applyAlignment="1" applyProtection="1">
      <alignment horizontal="center" vertical="center"/>
      <protection/>
    </xf>
    <xf numFmtId="176" fontId="0" fillId="8" borderId="3"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Continuous" vertical="center"/>
      <protection/>
    </xf>
    <xf numFmtId="165" fontId="0" fillId="0" borderId="8" xfId="0" applyNumberFormat="1" applyBorder="1" applyAlignment="1" applyProtection="1">
      <alignment horizontal="center" vertical="center"/>
      <protection/>
    </xf>
    <xf numFmtId="0" fontId="10" fillId="0" borderId="0" xfId="0" applyNumberFormat="1" applyFont="1" applyBorder="1" applyAlignment="1" applyProtection="1">
      <alignment horizontal="center" vertical="center"/>
      <protection/>
    </xf>
    <xf numFmtId="0" fontId="10" fillId="0" borderId="0" xfId="0" applyNumberFormat="1" applyFont="1" applyBorder="1" applyAlignment="1" applyProtection="1">
      <alignment horizontal="left" vertical="center"/>
      <protection/>
    </xf>
    <xf numFmtId="0" fontId="0"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1" xfId="0" applyBorder="1" applyAlignment="1">
      <alignment/>
    </xf>
    <xf numFmtId="0" fontId="10" fillId="0" borderId="1" xfId="0" applyFont="1" applyBorder="1" applyAlignment="1">
      <alignment horizontal="center" wrapText="1"/>
    </xf>
    <xf numFmtId="16" fontId="10" fillId="0" borderId="1" xfId="0" applyNumberFormat="1" applyFont="1" applyBorder="1" applyAlignment="1">
      <alignment horizontal="center" wrapText="1"/>
    </xf>
    <xf numFmtId="0" fontId="10" fillId="0" borderId="1" xfId="0" applyFont="1" applyBorder="1" applyAlignment="1">
      <alignment horizontal="center"/>
    </xf>
    <xf numFmtId="0" fontId="10" fillId="0" borderId="1" xfId="0" applyFont="1" applyFill="1" applyBorder="1" applyAlignment="1">
      <alignment/>
    </xf>
    <xf numFmtId="0" fontId="10" fillId="0" borderId="1" xfId="0" applyFont="1" applyFill="1" applyBorder="1" applyAlignment="1" applyProtection="1">
      <alignment horizontal="center"/>
      <protection/>
    </xf>
    <xf numFmtId="0" fontId="10" fillId="0" borderId="1" xfId="0" applyNumberFormat="1" applyFont="1" applyBorder="1" applyAlignment="1" applyProtection="1">
      <alignment horizontal="center"/>
      <protection/>
    </xf>
    <xf numFmtId="0" fontId="0" fillId="0" borderId="1" xfId="0" applyFont="1" applyFill="1" applyBorder="1" applyAlignment="1" applyProtection="1">
      <alignment horizontal="center"/>
      <protection/>
    </xf>
    <xf numFmtId="0" fontId="0" fillId="0" borderId="1" xfId="0" applyFill="1" applyBorder="1" applyAlignment="1">
      <alignment/>
    </xf>
    <xf numFmtId="0" fontId="10" fillId="0" borderId="6" xfId="0" applyNumberFormat="1" applyFont="1" applyBorder="1" applyAlignment="1" applyProtection="1">
      <alignment horizontal="left" vertical="center"/>
      <protection/>
    </xf>
    <xf numFmtId="0" fontId="0" fillId="0" borderId="1" xfId="0" applyFill="1" applyBorder="1" applyAlignment="1" applyProtection="1">
      <alignment horizontal="center"/>
      <protection/>
    </xf>
    <xf numFmtId="0" fontId="4" fillId="9" borderId="12" xfId="0" applyFont="1" applyFill="1" applyBorder="1" applyAlignment="1">
      <alignment/>
    </xf>
    <xf numFmtId="0" fontId="4" fillId="9" borderId="1" xfId="0" applyFont="1" applyFill="1" applyBorder="1" applyAlignment="1">
      <alignment/>
    </xf>
    <xf numFmtId="0" fontId="4" fillId="10" borderId="12" xfId="0" applyFont="1" applyFill="1" applyBorder="1" applyAlignment="1">
      <alignment/>
    </xf>
    <xf numFmtId="0" fontId="4" fillId="10" borderId="1" xfId="0" applyFont="1" applyFill="1" applyBorder="1" applyAlignment="1">
      <alignment/>
    </xf>
    <xf numFmtId="0" fontId="0" fillId="0" borderId="0" xfId="0" applyBorder="1" applyAlignment="1">
      <alignment vertical="center"/>
    </xf>
    <xf numFmtId="0" fontId="0" fillId="0" borderId="0" xfId="0" applyFont="1" applyFill="1" applyAlignment="1" applyProtection="1">
      <alignment horizontal="left" vertical="center"/>
      <protection/>
    </xf>
    <xf numFmtId="0" fontId="0" fillId="0" borderId="0" xfId="0" applyAlignment="1" applyProtection="1">
      <alignment horizontal="centerContinuous" vertical="center"/>
      <protection/>
    </xf>
    <xf numFmtId="0" fontId="24" fillId="0" borderId="0" xfId="0" applyNumberFormat="1" applyFont="1" applyFill="1" applyBorder="1" applyAlignment="1" applyProtection="1">
      <alignment horizontal="right"/>
      <protection/>
    </xf>
    <xf numFmtId="49" fontId="40" fillId="11" borderId="1" xfId="0" applyNumberFormat="1" applyFont="1" applyFill="1" applyBorder="1" applyAlignment="1" applyProtection="1">
      <alignment horizontal="center" vertical="center"/>
      <protection locked="0"/>
    </xf>
    <xf numFmtId="164" fontId="40" fillId="11" borderId="1" xfId="0" applyNumberFormat="1" applyFont="1" applyFill="1" applyBorder="1" applyAlignment="1" applyProtection="1">
      <alignment vertical="center"/>
      <protection locked="0"/>
    </xf>
    <xf numFmtId="169" fontId="39" fillId="11" borderId="1" xfId="0" applyNumberFormat="1" applyFont="1" applyFill="1" applyBorder="1" applyAlignment="1" applyProtection="1">
      <alignment horizontal="center" vertical="center"/>
      <protection locked="0"/>
    </xf>
    <xf numFmtId="169" fontId="39" fillId="11" borderId="3" xfId="0" applyNumberFormat="1" applyFont="1" applyFill="1" applyBorder="1" applyAlignment="1" applyProtection="1">
      <alignment horizontal="center" vertical="center"/>
      <protection locked="0"/>
    </xf>
    <xf numFmtId="164" fontId="39" fillId="11" borderId="1" xfId="0" applyNumberFormat="1" applyFont="1" applyFill="1" applyBorder="1" applyAlignment="1" applyProtection="1">
      <alignment horizontal="center" vertical="center"/>
      <protection locked="0"/>
    </xf>
    <xf numFmtId="165" fontId="39" fillId="11" borderId="1" xfId="0" applyNumberFormat="1" applyFont="1" applyFill="1" applyBorder="1" applyAlignment="1" applyProtection="1">
      <alignment horizontal="center" vertical="center"/>
      <protection locked="0"/>
    </xf>
    <xf numFmtId="0" fontId="39" fillId="11" borderId="1" xfId="0" applyFont="1" applyFill="1" applyBorder="1" applyAlignment="1" applyProtection="1">
      <alignment horizontal="center" vertical="center"/>
      <protection locked="0"/>
    </xf>
    <xf numFmtId="165" fontId="39" fillId="11" borderId="3" xfId="0" applyNumberFormat="1" applyFont="1" applyFill="1" applyBorder="1" applyAlignment="1" applyProtection="1">
      <alignment horizontal="center" vertical="center"/>
      <protection locked="0"/>
    </xf>
    <xf numFmtId="49" fontId="39" fillId="11" borderId="9" xfId="0" applyNumberFormat="1" applyFont="1" applyFill="1" applyBorder="1" applyAlignment="1" applyProtection="1">
      <alignment horizontal="center" vertical="top" wrapText="1"/>
      <protection locked="0"/>
    </xf>
    <xf numFmtId="49" fontId="39" fillId="11" borderId="6" xfId="0" applyNumberFormat="1" applyFont="1" applyFill="1" applyBorder="1" applyAlignment="1" applyProtection="1">
      <alignment horizontal="center" vertical="top" wrapText="1"/>
      <protection locked="0"/>
    </xf>
    <xf numFmtId="0" fontId="39" fillId="11" borderId="3" xfId="0" applyFont="1" applyFill="1" applyBorder="1" applyAlignment="1" applyProtection="1">
      <alignment horizontal="center" vertical="center"/>
      <protection locked="0"/>
    </xf>
    <xf numFmtId="4" fontId="39" fillId="11" borderId="1" xfId="0" applyNumberFormat="1" applyFont="1" applyFill="1" applyBorder="1" applyAlignment="1" applyProtection="1">
      <alignment horizontal="center" vertical="center"/>
      <protection locked="0"/>
    </xf>
    <xf numFmtId="0" fontId="39" fillId="11" borderId="1" xfId="0" applyFont="1" applyFill="1" applyBorder="1" applyAlignment="1" applyProtection="1">
      <alignment horizontal="center" vertical="center" wrapText="1"/>
      <protection locked="0"/>
    </xf>
    <xf numFmtId="0" fontId="39" fillId="11" borderId="7" xfId="0" applyFont="1" applyFill="1" applyBorder="1" applyAlignment="1" applyProtection="1">
      <alignment horizontal="center"/>
      <protection locked="0"/>
    </xf>
    <xf numFmtId="0" fontId="39" fillId="11" borderId="1" xfId="0" applyFont="1" applyFill="1" applyBorder="1" applyAlignment="1" applyProtection="1">
      <alignment horizontal="center"/>
      <protection locked="0"/>
    </xf>
    <xf numFmtId="1" fontId="39" fillId="11" borderId="1" xfId="0" applyNumberFormat="1" applyFont="1" applyFill="1" applyBorder="1" applyAlignment="1" applyProtection="1">
      <alignment horizontal="center"/>
      <protection locked="0"/>
    </xf>
    <xf numFmtId="2" fontId="0" fillId="0" borderId="0" xfId="0" applyNumberFormat="1" applyAlignment="1">
      <alignment/>
    </xf>
    <xf numFmtId="164" fontId="0" fillId="0" borderId="0" xfId="0" applyNumberFormat="1" applyAlignment="1">
      <alignment/>
    </xf>
    <xf numFmtId="0" fontId="0" fillId="0" borderId="0" xfId="0" applyBorder="1" applyAlignment="1">
      <alignment vertical="center" wrapText="1"/>
    </xf>
    <xf numFmtId="0" fontId="47" fillId="0" borderId="6" xfId="0" applyFont="1" applyBorder="1" applyAlignment="1">
      <alignment/>
    </xf>
    <xf numFmtId="0" fontId="36" fillId="0" borderId="6" xfId="0" applyFont="1" applyBorder="1" applyAlignment="1">
      <alignment/>
    </xf>
    <xf numFmtId="49" fontId="39" fillId="0" borderId="0" xfId="0" applyNumberFormat="1" applyFont="1" applyFill="1" applyBorder="1" applyAlignment="1" applyProtection="1">
      <alignment vertical="top" wrapText="1"/>
      <protection locked="0"/>
    </xf>
    <xf numFmtId="0" fontId="10" fillId="0" borderId="3" xfId="0" applyFont="1" applyBorder="1" applyAlignment="1">
      <alignment horizontal="center" vertical="center"/>
    </xf>
    <xf numFmtId="0" fontId="10" fillId="0" borderId="13"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49" fontId="40" fillId="11" borderId="1" xfId="0" applyNumberFormat="1" applyFont="1" applyFill="1" applyBorder="1" applyAlignment="1" applyProtection="1">
      <alignment vertical="top" wrapText="1"/>
      <protection locked="0"/>
    </xf>
    <xf numFmtId="0" fontId="10" fillId="0" borderId="11" xfId="0" applyFont="1" applyBorder="1" applyAlignment="1">
      <alignment horizontal="center" vertical="center"/>
    </xf>
    <xf numFmtId="0" fontId="10" fillId="0" borderId="2" xfId="0" applyFont="1" applyBorder="1" applyAlignment="1" applyProtection="1">
      <alignment horizontal="center" vertical="center" wrapText="1"/>
      <protection/>
    </xf>
    <xf numFmtId="0" fontId="10" fillId="0" borderId="5"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0" fillId="0" borderId="15" xfId="0" applyFont="1" applyBorder="1" applyAlignment="1" applyProtection="1">
      <alignment horizontal="center" vertical="center" wrapText="1"/>
      <protection/>
    </xf>
    <xf numFmtId="0" fontId="0" fillId="0" borderId="16" xfId="0" applyFont="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11" xfId="0" applyFont="1" applyBorder="1" applyAlignment="1">
      <alignment horizontal="center" vertical="center" textRotation="90" wrapText="1"/>
    </xf>
    <xf numFmtId="0" fontId="0" fillId="0" borderId="11" xfId="0" applyBorder="1" applyAlignment="1">
      <alignment horizontal="center" vertical="center" wrapText="1"/>
    </xf>
    <xf numFmtId="49" fontId="0" fillId="0" borderId="7" xfId="0" applyNumberFormat="1" applyFill="1" applyBorder="1" applyAlignment="1" applyProtection="1">
      <alignment horizontal="right" vertical="center"/>
      <protection/>
    </xf>
    <xf numFmtId="0" fontId="0" fillId="0" borderId="1" xfId="0" applyBorder="1" applyAlignment="1">
      <alignment vertical="center"/>
    </xf>
    <xf numFmtId="0" fontId="0" fillId="0" borderId="1" xfId="0" applyFont="1" applyBorder="1" applyAlignment="1">
      <alignment horizontal="right" vertical="top"/>
    </xf>
    <xf numFmtId="0" fontId="8" fillId="0" borderId="7" xfId="0" applyFont="1" applyBorder="1" applyAlignment="1">
      <alignment horizontal="center" vertical="center"/>
    </xf>
    <xf numFmtId="49" fontId="0" fillId="0" borderId="8" xfId="0" applyNumberFormat="1" applyFill="1" applyBorder="1" applyAlignment="1" applyProtection="1">
      <alignment horizontal="right" vertical="center"/>
      <protection/>
    </xf>
    <xf numFmtId="0" fontId="8" fillId="0" borderId="8" xfId="0" applyFont="1" applyBorder="1" applyAlignment="1">
      <alignment horizontal="center" vertical="center"/>
    </xf>
    <xf numFmtId="0" fontId="8" fillId="0" borderId="4" xfId="0" applyFont="1" applyBorder="1" applyAlignment="1">
      <alignment horizontal="center" vertical="center"/>
    </xf>
    <xf numFmtId="49" fontId="39" fillId="11" borderId="1" xfId="0" applyNumberFormat="1" applyFont="1" applyFill="1" applyBorder="1" applyAlignment="1" applyProtection="1">
      <alignment horizontal="left" vertical="center"/>
      <protection locked="0"/>
    </xf>
    <xf numFmtId="49" fontId="39" fillId="11" borderId="1" xfId="0" applyNumberFormat="1" applyFont="1" applyFill="1" applyBorder="1" applyAlignment="1" applyProtection="1">
      <alignment vertical="center"/>
      <protection locked="0"/>
    </xf>
    <xf numFmtId="0" fontId="0" fillId="0" borderId="4" xfId="0" applyBorder="1" applyAlignment="1" applyProtection="1">
      <alignment vertical="center"/>
      <protection/>
    </xf>
    <xf numFmtId="0" fontId="0" fillId="0" borderId="7" xfId="0" applyBorder="1" applyAlignment="1" applyProtection="1">
      <alignment vertical="center"/>
      <protection/>
    </xf>
    <xf numFmtId="0" fontId="0" fillId="0" borderId="4" xfId="0" applyBorder="1" applyAlignment="1">
      <alignment vertical="center"/>
    </xf>
    <xf numFmtId="0" fontId="0" fillId="0" borderId="7" xfId="0" applyBorder="1" applyAlignment="1">
      <alignment vertical="center"/>
    </xf>
    <xf numFmtId="49" fontId="0" fillId="0" borderId="1" xfId="0" applyNumberFormat="1" applyFont="1" applyFill="1" applyBorder="1" applyAlignment="1" applyProtection="1">
      <alignment horizontal="right" vertical="center"/>
      <protection/>
    </xf>
    <xf numFmtId="49" fontId="0" fillId="0" borderId="1" xfId="0" applyNumberFormat="1" applyFont="1" applyFill="1" applyBorder="1" applyAlignment="1" applyProtection="1">
      <alignment horizontal="right" vertical="center"/>
      <protection/>
    </xf>
    <xf numFmtId="49" fontId="0" fillId="0" borderId="1" xfId="0" applyNumberFormat="1" applyFont="1" applyFill="1" applyBorder="1" applyAlignment="1" applyProtection="1">
      <alignment horizontal="left" vertical="center"/>
      <protection/>
    </xf>
    <xf numFmtId="49" fontId="39" fillId="11" borderId="1" xfId="0" applyNumberFormat="1" applyFont="1" applyFill="1" applyBorder="1" applyAlignment="1" applyProtection="1">
      <alignment horizontal="left" vertical="center"/>
      <protection locked="0"/>
    </xf>
    <xf numFmtId="49" fontId="0" fillId="0" borderId="1" xfId="0" applyNumberFormat="1" applyFill="1" applyBorder="1" applyAlignment="1" applyProtection="1">
      <alignment horizontal="right" vertical="center"/>
      <protection/>
    </xf>
    <xf numFmtId="49" fontId="0" fillId="0" borderId="1" xfId="0" applyNumberFormat="1" applyFill="1" applyBorder="1" applyAlignment="1" applyProtection="1">
      <alignment horizontal="left" vertical="center"/>
      <protection/>
    </xf>
    <xf numFmtId="0" fontId="0" fillId="0" borderId="10" xfId="0" applyBorder="1" applyAlignment="1">
      <alignment vertical="center"/>
    </xf>
    <xf numFmtId="0" fontId="0" fillId="0" borderId="3" xfId="0" applyBorder="1" applyAlignment="1">
      <alignment vertical="center"/>
    </xf>
    <xf numFmtId="49" fontId="0" fillId="0" borderId="3" xfId="0" applyNumberFormat="1" applyFont="1" applyFill="1" applyBorder="1" applyAlignment="1" applyProtection="1">
      <alignment horizontal="right" vertical="center"/>
      <protection/>
    </xf>
    <xf numFmtId="0" fontId="16" fillId="0" borderId="0" xfId="20" applyFont="1" applyAlignment="1">
      <alignment horizontal="left" vertical="center"/>
    </xf>
    <xf numFmtId="49" fontId="5" fillId="11" borderId="14" xfId="0" applyNumberFormat="1" applyFont="1" applyFill="1" applyBorder="1" applyAlignment="1" applyProtection="1">
      <alignment horizontal="left" vertical="top" wrapText="1"/>
      <protection locked="0"/>
    </xf>
    <xf numFmtId="49" fontId="5" fillId="11" borderId="9" xfId="0" applyNumberFormat="1" applyFont="1" applyFill="1" applyBorder="1" applyAlignment="1" applyProtection="1">
      <alignment horizontal="left" vertical="top" wrapText="1"/>
      <protection locked="0"/>
    </xf>
    <xf numFmtId="49" fontId="5" fillId="11" borderId="15" xfId="0" applyNumberFormat="1" applyFont="1" applyFill="1" applyBorder="1" applyAlignment="1" applyProtection="1">
      <alignment horizontal="left" vertical="top" wrapText="1"/>
      <protection locked="0"/>
    </xf>
    <xf numFmtId="49" fontId="5" fillId="11" borderId="13" xfId="0" applyNumberFormat="1" applyFont="1" applyFill="1" applyBorder="1" applyAlignment="1" applyProtection="1">
      <alignment horizontal="left" vertical="top" wrapText="1"/>
      <protection locked="0"/>
    </xf>
    <xf numFmtId="49" fontId="5" fillId="11" borderId="6" xfId="0" applyNumberFormat="1" applyFont="1" applyFill="1" applyBorder="1" applyAlignment="1" applyProtection="1">
      <alignment horizontal="left" vertical="top" wrapText="1"/>
      <protection locked="0"/>
    </xf>
    <xf numFmtId="49" fontId="5" fillId="11" borderId="10" xfId="0" applyNumberFormat="1" applyFont="1" applyFill="1" applyBorder="1" applyAlignment="1" applyProtection="1">
      <alignment horizontal="left" vertical="top" wrapText="1"/>
      <protection locked="0"/>
    </xf>
    <xf numFmtId="0" fontId="0" fillId="0" borderId="1" xfId="0" applyFont="1" applyBorder="1" applyAlignment="1">
      <alignment horizontal="right" vertical="center"/>
    </xf>
    <xf numFmtId="49" fontId="0" fillId="0" borderId="8" xfId="0" applyNumberFormat="1" applyFont="1" applyFill="1" applyBorder="1" applyAlignment="1" applyProtection="1">
      <alignment horizontal="right" vertical="center"/>
      <protection/>
    </xf>
    <xf numFmtId="49" fontId="0" fillId="0" borderId="4" xfId="0" applyNumberFormat="1" applyFont="1" applyFill="1" applyBorder="1" applyAlignment="1" applyProtection="1">
      <alignment horizontal="right" vertical="center"/>
      <protection/>
    </xf>
    <xf numFmtId="49" fontId="0" fillId="0" borderId="7" xfId="0" applyNumberFormat="1" applyFont="1" applyFill="1" applyBorder="1" applyAlignment="1" applyProtection="1">
      <alignment horizontal="right" vertical="center"/>
      <protection/>
    </xf>
    <xf numFmtId="49" fontId="40" fillId="11" borderId="1" xfId="0" applyNumberFormat="1" applyFont="1" applyFill="1" applyBorder="1" applyAlignment="1" applyProtection="1">
      <alignment vertical="center"/>
      <protection locked="0"/>
    </xf>
    <xf numFmtId="0" fontId="8" fillId="0" borderId="8" xfId="0" applyFont="1" applyBorder="1" applyAlignment="1" applyProtection="1">
      <alignment horizontal="center" vertical="center"/>
      <protection/>
    </xf>
    <xf numFmtId="0" fontId="8" fillId="0" borderId="7" xfId="0" applyFont="1" applyBorder="1" applyAlignment="1" applyProtection="1">
      <alignment horizontal="center" vertical="center"/>
      <protection/>
    </xf>
    <xf numFmtId="0" fontId="10" fillId="0" borderId="9" xfId="0" applyFont="1" applyBorder="1" applyAlignment="1" applyProtection="1">
      <alignment horizontal="center" vertical="center" wrapText="1"/>
      <protection/>
    </xf>
    <xf numFmtId="0" fontId="0" fillId="0" borderId="8" xfId="0" applyFont="1" applyFill="1" applyBorder="1" applyAlignment="1" applyProtection="1">
      <alignment horizontal="center" vertical="center"/>
      <protection/>
    </xf>
    <xf numFmtId="0" fontId="0" fillId="0" borderId="7" xfId="0" applyFont="1" applyFill="1" applyBorder="1" applyAlignment="1" applyProtection="1">
      <alignment horizontal="center" vertical="center"/>
      <protection/>
    </xf>
    <xf numFmtId="0" fontId="9" fillId="0" borderId="1" xfId="0" applyFont="1" applyBorder="1" applyAlignment="1">
      <alignment horizontal="right" vertical="center"/>
    </xf>
    <xf numFmtId="0" fontId="9" fillId="0" borderId="8" xfId="0" applyFont="1" applyBorder="1" applyAlignment="1">
      <alignment horizontal="right" vertical="center" wrapText="1"/>
    </xf>
    <xf numFmtId="0" fontId="9" fillId="0" borderId="4" xfId="0" applyFont="1" applyBorder="1" applyAlignment="1">
      <alignment horizontal="right" vertical="center" wrapText="1"/>
    </xf>
    <xf numFmtId="0" fontId="9" fillId="0" borderId="7" xfId="0" applyFont="1" applyBorder="1" applyAlignment="1">
      <alignment horizontal="right" vertical="center" wrapText="1"/>
    </xf>
    <xf numFmtId="0" fontId="0" fillId="0" borderId="8" xfId="0" applyFont="1" applyFill="1" applyBorder="1" applyAlignment="1" applyProtection="1">
      <alignment horizontal="right" vertical="center" wrapText="1"/>
      <protection/>
    </xf>
    <xf numFmtId="0" fontId="0" fillId="0" borderId="4" xfId="0" applyFont="1" applyFill="1" applyBorder="1" applyAlignment="1" applyProtection="1">
      <alignment horizontal="right" vertical="center" wrapText="1"/>
      <protection/>
    </xf>
    <xf numFmtId="0" fontId="0" fillId="0" borderId="7" xfId="0" applyFont="1" applyFill="1" applyBorder="1" applyAlignment="1" applyProtection="1">
      <alignment horizontal="right" vertical="center" wrapText="1"/>
      <protection/>
    </xf>
    <xf numFmtId="164" fontId="39" fillId="11" borderId="8" xfId="0" applyNumberFormat="1" applyFont="1" applyFill="1" applyBorder="1" applyAlignment="1" applyProtection="1">
      <alignment horizontal="left" vertical="center"/>
      <protection locked="0"/>
    </xf>
    <xf numFmtId="164" fontId="39" fillId="11" borderId="4" xfId="0" applyNumberFormat="1" applyFont="1" applyFill="1" applyBorder="1" applyAlignment="1" applyProtection="1">
      <alignment horizontal="left" vertical="center"/>
      <protection locked="0"/>
    </xf>
    <xf numFmtId="164" fontId="39" fillId="11" borderId="7" xfId="0" applyNumberFormat="1" applyFont="1" applyFill="1" applyBorder="1" applyAlignment="1" applyProtection="1">
      <alignment horizontal="left" vertical="center"/>
      <protection locked="0"/>
    </xf>
    <xf numFmtId="168" fontId="39" fillId="11" borderId="8" xfId="0" applyNumberFormat="1" applyFont="1" applyFill="1" applyBorder="1" applyAlignment="1" applyProtection="1">
      <alignment horizontal="left" vertical="center"/>
      <protection locked="0"/>
    </xf>
    <xf numFmtId="168" fontId="39" fillId="11" borderId="7" xfId="0" applyNumberFormat="1" applyFont="1" applyFill="1" applyBorder="1" applyAlignment="1" applyProtection="1">
      <alignment horizontal="left" vertical="center"/>
      <protection locked="0"/>
    </xf>
    <xf numFmtId="0" fontId="39" fillId="11" borderId="8" xfId="0" applyFont="1" applyFill="1" applyBorder="1" applyAlignment="1" applyProtection="1">
      <alignment horizontal="left" vertical="center"/>
      <protection locked="0"/>
    </xf>
    <xf numFmtId="0" fontId="39" fillId="11" borderId="4" xfId="0" applyFont="1" applyFill="1" applyBorder="1" applyAlignment="1" applyProtection="1">
      <alignment horizontal="left" vertical="center"/>
      <protection locked="0"/>
    </xf>
    <xf numFmtId="0" fontId="0" fillId="0" borderId="8" xfId="0" applyFill="1" applyBorder="1" applyAlignment="1" applyProtection="1">
      <alignment horizontal="left" vertical="center"/>
      <protection/>
    </xf>
    <xf numFmtId="0" fontId="0" fillId="0" borderId="7" xfId="0" applyFill="1" applyBorder="1" applyAlignment="1" applyProtection="1">
      <alignment horizontal="left" vertical="center"/>
      <protection/>
    </xf>
    <xf numFmtId="0" fontId="0" fillId="0" borderId="8" xfId="0" applyFont="1" applyBorder="1" applyAlignment="1">
      <alignment horizontal="left" vertical="center"/>
    </xf>
    <xf numFmtId="0" fontId="0" fillId="0" borderId="4" xfId="0" applyFont="1" applyBorder="1" applyAlignment="1">
      <alignment horizontal="left" vertical="center"/>
    </xf>
    <xf numFmtId="0" fontId="0" fillId="0" borderId="7" xfId="0" applyFont="1" applyBorder="1" applyAlignment="1">
      <alignment horizontal="left" vertical="center"/>
    </xf>
    <xf numFmtId="168" fontId="0" fillId="0" borderId="8" xfId="0" applyNumberFormat="1" applyFont="1" applyBorder="1" applyAlignment="1">
      <alignment horizontal="left" vertical="center"/>
    </xf>
    <xf numFmtId="168" fontId="0" fillId="0" borderId="7" xfId="0" applyNumberFormat="1" applyFont="1" applyBorder="1" applyAlignment="1">
      <alignment horizontal="left" vertical="center"/>
    </xf>
    <xf numFmtId="0" fontId="10"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left" vertical="center"/>
      <protection/>
    </xf>
    <xf numFmtId="0" fontId="39" fillId="11" borderId="7" xfId="0" applyFont="1" applyFill="1" applyBorder="1" applyAlignment="1" applyProtection="1">
      <alignment horizontal="left" vertical="center"/>
      <protection locked="0"/>
    </xf>
    <xf numFmtId="0" fontId="0" fillId="0" borderId="8" xfId="0" applyFont="1" applyBorder="1" applyAlignment="1" applyProtection="1">
      <alignment horizontal="center" vertical="center" wrapText="1"/>
      <protection/>
    </xf>
    <xf numFmtId="0" fontId="0" fillId="0" borderId="7" xfId="0" applyFont="1" applyBorder="1" applyAlignment="1" applyProtection="1">
      <alignment horizontal="center" vertical="center" wrapText="1"/>
      <protection/>
    </xf>
    <xf numFmtId="0" fontId="10" fillId="0" borderId="0" xfId="0" applyNumberFormat="1" applyFont="1" applyBorder="1" applyAlignment="1" applyProtection="1">
      <alignment vertical="center"/>
      <protection/>
    </xf>
    <xf numFmtId="0" fontId="0" fillId="0" borderId="0" xfId="0" applyNumberFormat="1" applyFont="1" applyBorder="1" applyAlignment="1" applyProtection="1">
      <alignment vertical="center"/>
      <protection/>
    </xf>
    <xf numFmtId="49" fontId="0" fillId="0" borderId="8" xfId="0" applyNumberFormat="1" applyFill="1" applyBorder="1" applyAlignment="1" applyProtection="1">
      <alignment horizontal="left" vertical="center"/>
      <protection/>
    </xf>
    <xf numFmtId="49" fontId="0" fillId="0" borderId="7" xfId="0" applyNumberFormat="1" applyFill="1" applyBorder="1" applyAlignment="1" applyProtection="1">
      <alignment horizontal="left" vertical="center"/>
      <protection/>
    </xf>
    <xf numFmtId="49" fontId="39" fillId="11" borderId="14" xfId="0" applyNumberFormat="1" applyFont="1" applyFill="1" applyBorder="1" applyAlignment="1" applyProtection="1">
      <alignment horizontal="left" vertical="top" wrapText="1"/>
      <protection locked="0"/>
    </xf>
    <xf numFmtId="49" fontId="39" fillId="11" borderId="9" xfId="0" applyNumberFormat="1" applyFont="1" applyFill="1" applyBorder="1" applyAlignment="1" applyProtection="1">
      <alignment horizontal="left" vertical="top" wrapText="1"/>
      <protection locked="0"/>
    </xf>
    <xf numFmtId="49" fontId="39" fillId="11" borderId="15" xfId="0" applyNumberFormat="1" applyFont="1" applyFill="1" applyBorder="1" applyAlignment="1" applyProtection="1">
      <alignment horizontal="left" vertical="top" wrapText="1"/>
      <protection locked="0"/>
    </xf>
    <xf numFmtId="49" fontId="39" fillId="11" borderId="13" xfId="0" applyNumberFormat="1" applyFont="1" applyFill="1" applyBorder="1" applyAlignment="1" applyProtection="1">
      <alignment horizontal="left" vertical="top" wrapText="1"/>
      <protection locked="0"/>
    </xf>
    <xf numFmtId="49" fontId="39" fillId="11" borderId="6" xfId="0" applyNumberFormat="1" applyFont="1" applyFill="1" applyBorder="1" applyAlignment="1" applyProtection="1">
      <alignment horizontal="left" vertical="top" wrapText="1"/>
      <protection locked="0"/>
    </xf>
    <xf numFmtId="49" fontId="39" fillId="11" borderId="10" xfId="0" applyNumberFormat="1" applyFont="1" applyFill="1" applyBorder="1" applyAlignment="1" applyProtection="1">
      <alignment horizontal="left" vertical="top" wrapText="1"/>
      <protection locked="0"/>
    </xf>
    <xf numFmtId="4" fontId="10" fillId="0" borderId="1" xfId="0" applyNumberFormat="1" applyFont="1" applyFill="1" applyBorder="1" applyAlignment="1" applyProtection="1">
      <alignment horizontal="left" vertical="center"/>
      <protection/>
    </xf>
    <xf numFmtId="4" fontId="10" fillId="0" borderId="1" xfId="0" applyNumberFormat="1" applyFont="1" applyFill="1" applyBorder="1" applyAlignment="1">
      <alignment horizontal="left" vertical="center"/>
    </xf>
    <xf numFmtId="4" fontId="10" fillId="0" borderId="8" xfId="0" applyNumberFormat="1" applyFont="1" applyFill="1" applyBorder="1" applyAlignment="1" applyProtection="1">
      <alignment horizontal="left" vertical="center"/>
      <protection/>
    </xf>
    <xf numFmtId="4" fontId="10" fillId="0" borderId="7" xfId="0" applyNumberFormat="1" applyFont="1" applyFill="1" applyBorder="1" applyAlignment="1" applyProtection="1">
      <alignment horizontal="left" vertical="center"/>
      <protection/>
    </xf>
    <xf numFmtId="49" fontId="0" fillId="0" borderId="8"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9" fontId="0" fillId="0" borderId="7" xfId="0" applyNumberFormat="1" applyFont="1" applyFill="1" applyBorder="1" applyAlignment="1" applyProtection="1">
      <alignment horizontal="left" vertical="center"/>
      <protection/>
    </xf>
    <xf numFmtId="49" fontId="0" fillId="0" borderId="8"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9" fontId="0" fillId="0" borderId="7" xfId="0" applyNumberFormat="1" applyFont="1" applyFill="1" applyBorder="1" applyAlignment="1" applyProtection="1">
      <alignment horizontal="left" vertical="center"/>
      <protection/>
    </xf>
    <xf numFmtId="0" fontId="8" fillId="0" borderId="11" xfId="0" applyFont="1" applyBorder="1" applyAlignment="1">
      <alignment horizontal="center" vertical="center" textRotation="90"/>
    </xf>
    <xf numFmtId="0" fontId="8" fillId="0" borderId="16" xfId="0" applyFont="1" applyBorder="1" applyAlignment="1">
      <alignment horizontal="center" vertical="center" textRotation="90"/>
    </xf>
    <xf numFmtId="0" fontId="8" fillId="0" borderId="3" xfId="0" applyFont="1" applyBorder="1" applyAlignment="1">
      <alignment horizontal="center" vertical="center" textRotation="90"/>
    </xf>
    <xf numFmtId="173" fontId="0" fillId="0" borderId="8" xfId="0" applyNumberFormat="1" applyFont="1" applyFill="1" applyBorder="1" applyAlignment="1" applyProtection="1">
      <alignment horizontal="center" vertical="center"/>
      <protection/>
    </xf>
    <xf numFmtId="173" fontId="0" fillId="0" borderId="7" xfId="0" applyNumberFormat="1" applyFont="1" applyFill="1" applyBorder="1" applyAlignment="1" applyProtection="1">
      <alignment horizontal="center" vertical="center"/>
      <protection/>
    </xf>
    <xf numFmtId="0" fontId="0" fillId="0" borderId="4" xfId="0" applyFont="1" applyBorder="1" applyAlignment="1" applyProtection="1">
      <alignment horizontal="center" vertical="center" wrapText="1"/>
      <protection/>
    </xf>
    <xf numFmtId="4" fontId="0" fillId="0" borderId="14" xfId="0" applyNumberFormat="1" applyFill="1" applyBorder="1" applyAlignment="1">
      <alignment horizontal="center" vertical="center" wrapText="1"/>
    </xf>
    <xf numFmtId="4" fontId="0" fillId="0" borderId="15" xfId="0" applyNumberFormat="1" applyFill="1" applyBorder="1" applyAlignment="1">
      <alignment horizontal="center" vertical="center" wrapText="1"/>
    </xf>
    <xf numFmtId="4" fontId="0" fillId="0" borderId="13" xfId="0" applyNumberFormat="1" applyFill="1" applyBorder="1" applyAlignment="1">
      <alignment horizontal="center" vertical="center" wrapText="1"/>
    </xf>
    <xf numFmtId="4" fontId="0" fillId="0" borderId="10" xfId="0" applyNumberFormat="1" applyFill="1"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20" applyFont="1" applyBorder="1" applyAlignment="1" applyProtection="1">
      <alignment horizontal="right" vertical="center"/>
      <protection/>
    </xf>
    <xf numFmtId="0" fontId="0" fillId="0" borderId="4" xfId="20" applyFont="1" applyBorder="1" applyAlignment="1" applyProtection="1">
      <alignment horizontal="right" vertical="center"/>
      <protection/>
    </xf>
    <xf numFmtId="0" fontId="0" fillId="0" borderId="7" xfId="20" applyFont="1" applyBorder="1" applyAlignment="1" applyProtection="1">
      <alignment horizontal="right" vertical="center"/>
      <protection/>
    </xf>
    <xf numFmtId="0" fontId="35" fillId="0" borderId="8" xfId="20" applyFont="1" applyBorder="1" applyAlignment="1" applyProtection="1">
      <alignment horizontal="right" vertical="center"/>
      <protection/>
    </xf>
    <xf numFmtId="0" fontId="35" fillId="0" borderId="4" xfId="20" applyFont="1" applyBorder="1" applyAlignment="1" applyProtection="1">
      <alignment horizontal="right" vertical="center"/>
      <protection/>
    </xf>
    <xf numFmtId="0" fontId="35" fillId="0" borderId="7" xfId="20" applyFont="1" applyBorder="1" applyAlignment="1" applyProtection="1">
      <alignment horizontal="right" vertical="center"/>
      <protection/>
    </xf>
    <xf numFmtId="4" fontId="0" fillId="0" borderId="8" xfId="0" applyNumberFormat="1" applyFont="1" applyBorder="1" applyAlignment="1" applyProtection="1">
      <alignment horizontal="center" vertical="center"/>
      <protection/>
    </xf>
    <xf numFmtId="4" fontId="0" fillId="0" borderId="7" xfId="0" applyNumberFormat="1" applyFont="1" applyBorder="1" applyAlignment="1" applyProtection="1">
      <alignment horizontal="center" vertical="center"/>
      <protection/>
    </xf>
    <xf numFmtId="0" fontId="0" fillId="0" borderId="8" xfId="0" applyBorder="1" applyAlignment="1">
      <alignment horizontal="right" vertical="center"/>
    </xf>
    <xf numFmtId="0" fontId="0" fillId="0" borderId="7" xfId="0" applyBorder="1" applyAlignment="1">
      <alignment horizontal="right" vertical="center"/>
    </xf>
    <xf numFmtId="0" fontId="0" fillId="0" borderId="8" xfId="0" applyFont="1" applyFill="1" applyBorder="1" applyAlignment="1" applyProtection="1">
      <alignment horizontal="center" vertical="center" wrapText="1"/>
      <protection/>
    </xf>
    <xf numFmtId="0" fontId="0" fillId="0" borderId="4" xfId="0" applyFont="1" applyFill="1" applyBorder="1" applyAlignment="1" applyProtection="1">
      <alignment horizontal="center" vertical="center" wrapText="1"/>
      <protection/>
    </xf>
    <xf numFmtId="0" fontId="0" fillId="0" borderId="7" xfId="0" applyFont="1" applyFill="1" applyBorder="1" applyAlignment="1" applyProtection="1">
      <alignment horizontal="center" vertical="center" wrapText="1"/>
      <protection/>
    </xf>
    <xf numFmtId="49" fontId="0" fillId="0" borderId="8" xfId="0" applyNumberFormat="1" applyFont="1" applyFill="1" applyBorder="1" applyAlignment="1" applyProtection="1">
      <alignment horizontal="right" vertical="center"/>
      <protection/>
    </xf>
    <xf numFmtId="49" fontId="0" fillId="0" borderId="4" xfId="0" applyNumberFormat="1" applyFont="1" applyFill="1" applyBorder="1" applyAlignment="1" applyProtection="1">
      <alignment horizontal="right" vertical="center"/>
      <protection/>
    </xf>
    <xf numFmtId="49" fontId="0" fillId="0" borderId="7" xfId="0" applyNumberFormat="1" applyFont="1" applyFill="1" applyBorder="1" applyAlignment="1" applyProtection="1">
      <alignment horizontal="right" vertical="center"/>
      <protection/>
    </xf>
    <xf numFmtId="0" fontId="0" fillId="0" borderId="8" xfId="0" applyBorder="1" applyAlignment="1">
      <alignment/>
    </xf>
    <xf numFmtId="0" fontId="0" fillId="0" borderId="4" xfId="0" applyBorder="1" applyAlignment="1">
      <alignment/>
    </xf>
    <xf numFmtId="0" fontId="0" fillId="0" borderId="7" xfId="0" applyBorder="1" applyAlignment="1">
      <alignment/>
    </xf>
    <xf numFmtId="49" fontId="0" fillId="0" borderId="8" xfId="0" applyNumberFormat="1" applyFont="1" applyFill="1" applyBorder="1" applyAlignment="1" applyProtection="1">
      <alignment vertical="center"/>
      <protection/>
    </xf>
    <xf numFmtId="49" fontId="0" fillId="0" borderId="4" xfId="0" applyNumberFormat="1" applyFont="1" applyFill="1" applyBorder="1" applyAlignment="1" applyProtection="1">
      <alignment vertical="center"/>
      <protection/>
    </xf>
    <xf numFmtId="49" fontId="0" fillId="0" borderId="7" xfId="0" applyNumberFormat="1" applyFont="1" applyFill="1" applyBorder="1" applyAlignment="1" applyProtection="1">
      <alignment vertical="center"/>
      <protection/>
    </xf>
    <xf numFmtId="170" fontId="0" fillId="0" borderId="8" xfId="20" applyNumberFormat="1" applyFont="1" applyBorder="1" applyAlignment="1" applyProtection="1">
      <alignment horizontal="center" vertical="center"/>
      <protection/>
    </xf>
    <xf numFmtId="170" fontId="0" fillId="0" borderId="7" xfId="20" applyNumberFormat="1" applyFont="1" applyBorder="1" applyAlignment="1" applyProtection="1">
      <alignment horizontal="center" vertical="center"/>
      <protection/>
    </xf>
    <xf numFmtId="175" fontId="8" fillId="0" borderId="1" xfId="20" applyNumberFormat="1" applyFont="1" applyBorder="1" applyAlignment="1" applyProtection="1">
      <alignment horizontal="center" vertical="center"/>
      <protection/>
    </xf>
    <xf numFmtId="0" fontId="0" fillId="0" borderId="1" xfId="20" applyFont="1" applyBorder="1" applyAlignment="1" applyProtection="1">
      <alignment horizontal="right" vertical="center"/>
      <protection/>
    </xf>
    <xf numFmtId="174" fontId="39" fillId="11" borderId="8" xfId="20" applyNumberFormat="1" applyFont="1" applyFill="1" applyBorder="1" applyAlignment="1" applyProtection="1">
      <alignment horizontal="center" vertical="center"/>
      <protection locked="0"/>
    </xf>
    <xf numFmtId="174" fontId="39" fillId="11" borderId="7" xfId="20" applyNumberFormat="1" applyFont="1" applyFill="1" applyBorder="1" applyAlignment="1" applyProtection="1">
      <alignment horizontal="center" vertical="center"/>
      <protection locked="0"/>
    </xf>
    <xf numFmtId="170" fontId="11" fillId="0" borderId="8" xfId="20" applyNumberFormat="1" applyFont="1" applyBorder="1" applyAlignment="1" applyProtection="1">
      <alignment horizontal="center" vertical="center"/>
      <protection/>
    </xf>
    <xf numFmtId="170" fontId="11" fillId="0" borderId="7" xfId="20" applyNumberFormat="1" applyFont="1" applyBorder="1" applyAlignment="1" applyProtection="1">
      <alignment horizontal="center" vertical="center"/>
      <protection/>
    </xf>
    <xf numFmtId="0" fontId="0" fillId="0" borderId="0" xfId="0" applyBorder="1" applyAlignment="1">
      <alignment horizontal="center" vertical="center" wrapText="1"/>
    </xf>
    <xf numFmtId="0" fontId="0" fillId="0" borderId="11"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3" xfId="0" applyFont="1" applyBorder="1" applyAlignment="1" applyProtection="1">
      <alignment horizontal="center" vertical="center" wrapText="1"/>
      <protection/>
    </xf>
    <xf numFmtId="174" fontId="0" fillId="0" borderId="8" xfId="20" applyNumberFormat="1" applyFont="1" applyBorder="1" applyAlignment="1" applyProtection="1">
      <alignment horizontal="center" vertical="center"/>
      <protection/>
    </xf>
    <xf numFmtId="174" fontId="0" fillId="0" borderId="7" xfId="20" applyNumberFormat="1" applyFont="1" applyBorder="1" applyAlignment="1" applyProtection="1">
      <alignment horizontal="center" vertical="center"/>
      <protection/>
    </xf>
    <xf numFmtId="0" fontId="0" fillId="0" borderId="11" xfId="0" applyBorder="1" applyAlignment="1">
      <alignment horizontal="center" vertical="center" textRotation="90" wrapText="1"/>
    </xf>
    <xf numFmtId="0" fontId="0" fillId="0" borderId="16" xfId="0" applyBorder="1" applyAlignment="1">
      <alignment horizontal="center" vertical="center" textRotation="90" wrapText="1"/>
    </xf>
    <xf numFmtId="0" fontId="0" fillId="0" borderId="3" xfId="0" applyBorder="1" applyAlignment="1">
      <alignment horizontal="center" vertical="center" textRotation="90" wrapText="1"/>
    </xf>
    <xf numFmtId="0" fontId="0" fillId="0" borderId="8" xfId="0" applyNumberFormat="1" applyFill="1" applyBorder="1" applyAlignment="1" applyProtection="1">
      <alignment horizontal="left" vertical="center"/>
      <protection/>
    </xf>
    <xf numFmtId="0" fontId="0" fillId="0" borderId="4" xfId="0" applyNumberFormat="1" applyFill="1" applyBorder="1" applyAlignment="1" applyProtection="1">
      <alignment horizontal="left" vertical="center"/>
      <protection/>
    </xf>
    <xf numFmtId="0" fontId="0" fillId="0" borderId="7" xfId="0" applyNumberFormat="1" applyFill="1" applyBorder="1" applyAlignment="1" applyProtection="1">
      <alignment horizontal="left" vertical="center"/>
      <protection/>
    </xf>
    <xf numFmtId="49" fontId="0" fillId="0" borderId="4" xfId="0" applyNumberFormat="1" applyFill="1" applyBorder="1" applyAlignment="1" applyProtection="1">
      <alignment horizontal="right" vertical="center"/>
      <protection/>
    </xf>
    <xf numFmtId="49" fontId="0" fillId="0" borderId="4" xfId="0" applyNumberFormat="1" applyFill="1" applyBorder="1" applyAlignment="1" applyProtection="1">
      <alignment horizontal="left" vertical="center"/>
      <protection/>
    </xf>
    <xf numFmtId="49" fontId="0" fillId="0" borderId="1" xfId="0" applyNumberFormat="1" applyFont="1" applyFill="1" applyBorder="1" applyAlignment="1" applyProtection="1">
      <alignment horizontal="left" vertical="center"/>
      <protection/>
    </xf>
    <xf numFmtId="4" fontId="10" fillId="0" borderId="11" xfId="0" applyNumberFormat="1" applyFont="1" applyBorder="1" applyAlignment="1" applyProtection="1">
      <alignment horizontal="center" vertical="center" wrapText="1"/>
      <protection/>
    </xf>
    <xf numFmtId="4" fontId="10" fillId="0" borderId="3" xfId="0" applyNumberFormat="1" applyFont="1" applyBorder="1" applyAlignment="1" applyProtection="1">
      <alignment horizontal="center" vertical="center" wrapText="1"/>
      <protection/>
    </xf>
    <xf numFmtId="4" fontId="0" fillId="0" borderId="11" xfId="0" applyNumberFormat="1" applyFont="1" applyBorder="1" applyAlignment="1" applyProtection="1">
      <alignment horizontal="center" vertical="center"/>
      <protection/>
    </xf>
    <xf numFmtId="4" fontId="0" fillId="0" borderId="3" xfId="0" applyNumberFormat="1" applyFont="1" applyBorder="1" applyAlignment="1" applyProtection="1">
      <alignment horizontal="center" vertical="center"/>
      <protection/>
    </xf>
    <xf numFmtId="0" fontId="0" fillId="0" borderId="8" xfId="0" applyFont="1" applyFill="1" applyBorder="1" applyAlignment="1" applyProtection="1">
      <alignment horizontal="right" vertical="center"/>
      <protection/>
    </xf>
    <xf numFmtId="0" fontId="0" fillId="0" borderId="4" xfId="0" applyFont="1" applyFill="1" applyBorder="1" applyAlignment="1" applyProtection="1">
      <alignment horizontal="right" vertical="center"/>
      <protection/>
    </xf>
    <xf numFmtId="0" fontId="0" fillId="0" borderId="7" xfId="0" applyFont="1" applyFill="1" applyBorder="1" applyAlignment="1" applyProtection="1">
      <alignment horizontal="right" vertical="center"/>
      <protection/>
    </xf>
    <xf numFmtId="0" fontId="0" fillId="0" borderId="0" xfId="0" applyFont="1" applyBorder="1" applyAlignment="1">
      <alignment horizontal="center" vertical="center" wrapText="1"/>
    </xf>
    <xf numFmtId="2" fontId="0" fillId="0" borderId="1" xfId="0" applyNumberFormat="1" applyBorder="1" applyAlignment="1">
      <alignment horizontal="center" vertical="center"/>
    </xf>
    <xf numFmtId="2" fontId="0" fillId="0" borderId="1" xfId="0" applyNumberFormat="1" applyBorder="1" applyAlignment="1">
      <alignment horizontal="center" vertical="center" wrapText="1"/>
    </xf>
    <xf numFmtId="2" fontId="0" fillId="11" borderId="1" xfId="0" applyNumberFormat="1" applyFill="1" applyBorder="1" applyAlignment="1">
      <alignment horizontal="center" vertical="center"/>
    </xf>
    <xf numFmtId="164" fontId="0" fillId="11" borderId="8" xfId="0" applyNumberFormat="1" applyFill="1" applyBorder="1" applyAlignment="1">
      <alignment horizontal="center" vertical="center"/>
    </xf>
    <xf numFmtId="164" fontId="0" fillId="11" borderId="7" xfId="0" applyNumberFormat="1" applyFill="1" applyBorder="1" applyAlignment="1">
      <alignment horizontal="center" vertical="center"/>
    </xf>
    <xf numFmtId="0" fontId="0" fillId="11" borderId="8" xfId="0" applyFill="1" applyBorder="1" applyAlignment="1">
      <alignment horizontal="center" vertical="center"/>
    </xf>
    <xf numFmtId="0" fontId="0" fillId="11" borderId="7" xfId="0" applyFill="1" applyBorder="1" applyAlignment="1">
      <alignment horizontal="center" vertical="center"/>
    </xf>
    <xf numFmtId="0" fontId="0" fillId="11" borderId="4" xfId="0" applyFill="1" applyBorder="1" applyAlignment="1">
      <alignment horizontal="center" vertical="center"/>
    </xf>
    <xf numFmtId="0" fontId="36" fillId="0" borderId="6" xfId="0" applyFont="1" applyBorder="1" applyAlignment="1">
      <alignment horizontal="left"/>
    </xf>
    <xf numFmtId="164" fontId="0" fillId="0" borderId="8" xfId="0" applyNumberFormat="1" applyBorder="1" applyAlignment="1" applyProtection="1">
      <alignment horizontal="center" vertical="center"/>
      <protection/>
    </xf>
    <xf numFmtId="164" fontId="0" fillId="0" borderId="7" xfId="0" applyNumberFormat="1" applyBorder="1" applyAlignment="1" applyProtection="1">
      <alignment horizontal="center" vertical="center"/>
      <protection/>
    </xf>
    <xf numFmtId="0" fontId="8" fillId="0" borderId="8" xfId="20" applyFont="1" applyBorder="1" applyAlignment="1" applyProtection="1">
      <alignment horizontal="right" vertical="center"/>
      <protection/>
    </xf>
    <xf numFmtId="0" fontId="0" fillId="0" borderId="4" xfId="0" applyBorder="1" applyAlignment="1">
      <alignment horizontal="right" vertical="center"/>
    </xf>
    <xf numFmtId="0" fontId="41" fillId="11" borderId="8" xfId="20" applyFont="1" applyFill="1" applyBorder="1" applyAlignment="1" applyProtection="1">
      <alignment horizontal="center" vertical="center"/>
      <protection locked="0"/>
    </xf>
    <xf numFmtId="0" fontId="41" fillId="11" borderId="7" xfId="20" applyFont="1" applyFill="1" applyBorder="1" applyAlignment="1" applyProtection="1">
      <alignment horizontal="center" vertical="center"/>
      <protection locked="0"/>
    </xf>
    <xf numFmtId="2" fontId="0" fillId="0" borderId="8" xfId="0" applyNumberFormat="1" applyBorder="1" applyAlignment="1">
      <alignment horizontal="center" vertical="center" wrapText="1"/>
    </xf>
    <xf numFmtId="0" fontId="0" fillId="11" borderId="1" xfId="0" applyFill="1" applyBorder="1" applyAlignment="1">
      <alignment horizontal="center" vertical="center"/>
    </xf>
    <xf numFmtId="165" fontId="0" fillId="0" borderId="8" xfId="0" applyNumberFormat="1" applyBorder="1" applyAlignment="1" applyProtection="1">
      <alignment horizontal="center" vertical="center"/>
      <protection/>
    </xf>
    <xf numFmtId="165" fontId="0" fillId="0" borderId="7" xfId="0" applyNumberFormat="1" applyBorder="1" applyAlignment="1" applyProtection="1">
      <alignment horizontal="center" vertical="center"/>
      <protection/>
    </xf>
    <xf numFmtId="165" fontId="0" fillId="11" borderId="8" xfId="0" applyNumberFormat="1" applyFont="1" applyFill="1" applyBorder="1" applyAlignment="1" applyProtection="1">
      <alignment horizontal="center" vertical="center"/>
      <protection locked="0"/>
    </xf>
    <xf numFmtId="165" fontId="0" fillId="11" borderId="7" xfId="0" applyNumberFormat="1" applyFont="1" applyFill="1" applyBorder="1" applyAlignment="1" applyProtection="1">
      <alignment horizontal="center" vertical="center"/>
      <protection locked="0"/>
    </xf>
    <xf numFmtId="0" fontId="39" fillId="11" borderId="8" xfId="0" applyFont="1" applyFill="1" applyBorder="1" applyAlignment="1" applyProtection="1">
      <alignment horizontal="center" vertical="center"/>
      <protection locked="0"/>
    </xf>
    <xf numFmtId="0" fontId="39" fillId="11" borderId="7" xfId="0" applyFont="1" applyFill="1" applyBorder="1" applyAlignment="1" applyProtection="1">
      <alignment horizontal="center" vertical="center"/>
      <protection locked="0"/>
    </xf>
    <xf numFmtId="0" fontId="8" fillId="0" borderId="8" xfId="20" applyFont="1" applyBorder="1" applyAlignment="1" applyProtection="1">
      <alignment horizontal="center" vertical="center"/>
      <protection/>
    </xf>
    <xf numFmtId="0" fontId="8" fillId="0" borderId="4" xfId="20" applyFont="1" applyBorder="1" applyAlignment="1" applyProtection="1">
      <alignment horizontal="center" vertical="center"/>
      <protection/>
    </xf>
    <xf numFmtId="0" fontId="8" fillId="0" borderId="7" xfId="20" applyFont="1" applyBorder="1" applyAlignment="1" applyProtection="1">
      <alignment horizontal="center" vertical="center"/>
      <protection/>
    </xf>
    <xf numFmtId="2" fontId="39" fillId="11" borderId="8" xfId="0" applyNumberFormat="1" applyFont="1" applyFill="1" applyBorder="1" applyAlignment="1" applyProtection="1">
      <alignment horizontal="center" vertical="center"/>
      <protection locked="0"/>
    </xf>
    <xf numFmtId="2" fontId="39" fillId="11" borderId="7" xfId="0" applyNumberFormat="1" applyFont="1" applyFill="1" applyBorder="1" applyAlignment="1" applyProtection="1">
      <alignment horizontal="center" vertical="center"/>
      <protection locked="0"/>
    </xf>
    <xf numFmtId="0" fontId="0" fillId="0" borderId="14" xfId="20" applyFont="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8" xfId="20" applyFont="1" applyBorder="1" applyAlignment="1" applyProtection="1">
      <alignment horizontal="center" vertical="center" wrapText="1"/>
      <protection/>
    </xf>
    <xf numFmtId="0" fontId="0" fillId="0" borderId="4" xfId="20" applyFont="1" applyBorder="1" applyAlignment="1" applyProtection="1">
      <alignment horizontal="center" vertical="center" wrapText="1"/>
      <protection/>
    </xf>
    <xf numFmtId="0" fontId="0" fillId="0" borderId="7" xfId="20" applyFont="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165" fontId="0" fillId="0" borderId="8" xfId="20" applyNumberFormat="1" applyFont="1" applyBorder="1" applyAlignment="1" applyProtection="1">
      <alignment horizontal="center" vertical="center"/>
      <protection/>
    </xf>
    <xf numFmtId="165" fontId="0" fillId="0" borderId="7" xfId="0" applyNumberFormat="1" applyFont="1" applyBorder="1" applyAlignment="1">
      <alignment horizontal="center" vertical="center"/>
    </xf>
    <xf numFmtId="0" fontId="8" fillId="0" borderId="4" xfId="0" applyFont="1" applyBorder="1" applyAlignment="1">
      <alignment horizontal="right" vertical="center"/>
    </xf>
    <xf numFmtId="0" fontId="8" fillId="0" borderId="7" xfId="0" applyFont="1" applyBorder="1" applyAlignment="1">
      <alignment horizontal="right" vertical="center"/>
    </xf>
    <xf numFmtId="164" fontId="15" fillId="0" borderId="8" xfId="20" applyNumberFormat="1" applyFont="1" applyBorder="1" applyAlignment="1" applyProtection="1">
      <alignment horizontal="center" vertical="center"/>
      <protection/>
    </xf>
    <xf numFmtId="0" fontId="5" fillId="0" borderId="7" xfId="0" applyFont="1" applyBorder="1" applyAlignment="1">
      <alignment horizontal="center" vertical="center"/>
    </xf>
    <xf numFmtId="164" fontId="8" fillId="0" borderId="8" xfId="20" applyNumberFormat="1" applyFont="1" applyBorder="1" applyAlignment="1" applyProtection="1">
      <alignment horizontal="center" vertical="center"/>
      <protection/>
    </xf>
    <xf numFmtId="0" fontId="0" fillId="0" borderId="7" xfId="0" applyBorder="1" applyAlignment="1">
      <alignment horizontal="center" vertical="center"/>
    </xf>
    <xf numFmtId="165" fontId="8" fillId="0" borderId="13" xfId="20" applyNumberFormat="1" applyFont="1" applyBorder="1" applyAlignment="1" applyProtection="1">
      <alignment horizontal="center" vertical="center"/>
      <protection/>
    </xf>
    <xf numFmtId="165" fontId="0" fillId="0" borderId="10" xfId="0" applyNumberFormat="1" applyBorder="1" applyAlignment="1">
      <alignment horizontal="center" vertical="center"/>
    </xf>
    <xf numFmtId="0" fontId="0" fillId="0" borderId="1" xfId="0" applyBorder="1" applyAlignment="1">
      <alignment horizontal="center" vertical="center" wrapText="1"/>
    </xf>
    <xf numFmtId="0" fontId="0" fillId="0" borderId="8" xfId="20" applyFont="1" applyBorder="1" applyAlignment="1" applyProtection="1">
      <alignment horizontal="center" vertical="center"/>
      <protection/>
    </xf>
    <xf numFmtId="0" fontId="0" fillId="0" borderId="7" xfId="20" applyFont="1" applyBorder="1" applyAlignment="1" applyProtection="1">
      <alignment horizontal="center" vertical="center"/>
      <protection/>
    </xf>
    <xf numFmtId="49" fontId="39" fillId="11" borderId="1" xfId="0" applyNumberFormat="1" applyFont="1" applyFill="1" applyBorder="1" applyAlignment="1" applyProtection="1">
      <alignment horizontal="center" vertical="top" wrapText="1"/>
      <protection locked="0"/>
    </xf>
    <xf numFmtId="4" fontId="39" fillId="11" borderId="8" xfId="0" applyNumberFormat="1" applyFont="1" applyFill="1" applyBorder="1" applyAlignment="1" applyProtection="1">
      <alignment horizontal="center" vertical="center"/>
      <protection locked="0"/>
    </xf>
    <xf numFmtId="4" fontId="39" fillId="11" borderId="7" xfId="0" applyNumberFormat="1" applyFont="1" applyFill="1" applyBorder="1" applyAlignment="1" applyProtection="1">
      <alignment horizontal="center" vertical="center"/>
      <protection locked="0"/>
    </xf>
    <xf numFmtId="4" fontId="39" fillId="11" borderId="1" xfId="0" applyNumberFormat="1" applyFont="1" applyFill="1" applyBorder="1" applyAlignment="1" applyProtection="1">
      <alignment horizontal="center" vertical="center"/>
      <protection locked="0"/>
    </xf>
    <xf numFmtId="0" fontId="37" fillId="0" borderId="17" xfId="0" applyFont="1" applyBorder="1" applyAlignment="1">
      <alignment horizontal="left" vertical="center"/>
    </xf>
    <xf numFmtId="0" fontId="37" fillId="0" borderId="18" xfId="0" applyFont="1" applyBorder="1" applyAlignment="1">
      <alignment horizontal="left" vertical="center"/>
    </xf>
    <xf numFmtId="0" fontId="38" fillId="0" borderId="18" xfId="0" applyFont="1" applyBorder="1" applyAlignment="1">
      <alignment horizontal="left" vertical="center"/>
    </xf>
    <xf numFmtId="0" fontId="38" fillId="0" borderId="19" xfId="0" applyFont="1" applyBorder="1" applyAlignment="1">
      <alignment horizontal="left" vertical="center"/>
    </xf>
    <xf numFmtId="164" fontId="0" fillId="8" borderId="8" xfId="0" applyNumberFormat="1" applyFont="1" applyFill="1" applyBorder="1" applyAlignment="1" applyProtection="1">
      <alignment horizontal="center" vertical="center"/>
      <protection/>
    </xf>
    <xf numFmtId="164" fontId="0" fillId="8" borderId="4" xfId="0" applyNumberFormat="1" applyFont="1" applyFill="1" applyBorder="1" applyAlignment="1" applyProtection="1">
      <alignment horizontal="center" vertical="center"/>
      <protection/>
    </xf>
    <xf numFmtId="164" fontId="0" fillId="8" borderId="7" xfId="0" applyNumberFormat="1" applyFont="1" applyFill="1" applyBorder="1" applyAlignment="1" applyProtection="1">
      <alignment horizontal="center" vertical="center"/>
      <protection/>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9" fillId="11" borderId="8" xfId="0" applyFont="1" applyFill="1" applyBorder="1" applyAlignment="1" applyProtection="1">
      <alignment horizontal="center" vertical="center"/>
      <protection locked="0"/>
    </xf>
    <xf numFmtId="0" fontId="39" fillId="11" borderId="7" xfId="0" applyFont="1" applyFill="1" applyBorder="1" applyAlignment="1" applyProtection="1">
      <alignment horizontal="center" vertical="center"/>
      <protection locked="0"/>
    </xf>
    <xf numFmtId="0" fontId="39" fillId="11" borderId="13" xfId="0" applyFont="1" applyFill="1" applyBorder="1" applyAlignment="1" applyProtection="1">
      <alignment horizontal="center" vertical="center"/>
      <protection locked="0"/>
    </xf>
    <xf numFmtId="0" fontId="39" fillId="11" borderId="10" xfId="0" applyFont="1" applyFill="1" applyBorder="1" applyAlignment="1" applyProtection="1">
      <alignment horizontal="center" vertical="center"/>
      <protection locked="0"/>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4" fontId="10" fillId="0" borderId="4" xfId="0" applyNumberFormat="1" applyFont="1" applyFill="1" applyBorder="1" applyAlignment="1" applyProtection="1">
      <alignment horizontal="left" vertical="center"/>
      <protection/>
    </xf>
    <xf numFmtId="4" fontId="0" fillId="0" borderId="4" xfId="0" applyNumberFormat="1" applyFont="1" applyBorder="1" applyAlignment="1" applyProtection="1">
      <alignment horizontal="center" vertical="center"/>
      <protection/>
    </xf>
    <xf numFmtId="0" fontId="8" fillId="0" borderId="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8" fillId="0" borderId="13" xfId="0" applyFont="1" applyFill="1" applyBorder="1" applyAlignment="1">
      <alignment horizontal="left" vertical="center"/>
    </xf>
    <xf numFmtId="0" fontId="8" fillId="0" borderId="6" xfId="0" applyFont="1" applyFill="1" applyBorder="1" applyAlignment="1">
      <alignment horizontal="left" vertical="center"/>
    </xf>
    <xf numFmtId="0" fontId="8" fillId="0" borderId="10" xfId="0" applyFont="1" applyFill="1" applyBorder="1" applyAlignment="1">
      <alignment horizontal="left" vertical="center"/>
    </xf>
    <xf numFmtId="4" fontId="0" fillId="0" borderId="1" xfId="0" applyNumberFormat="1" applyFont="1" applyBorder="1" applyAlignment="1" applyProtection="1">
      <alignment horizontal="center" vertical="center"/>
      <protection/>
    </xf>
    <xf numFmtId="0" fontId="8" fillId="0" borderId="8" xfId="0" applyFont="1" applyFill="1" applyBorder="1" applyAlignment="1">
      <alignment horizontal="left" vertical="center"/>
    </xf>
    <xf numFmtId="0" fontId="8" fillId="0" borderId="4"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176" fontId="0" fillId="0" borderId="8" xfId="0" applyNumberFormat="1" applyFont="1" applyFill="1" applyBorder="1" applyAlignment="1" applyProtection="1">
      <alignment horizontal="center" vertical="center"/>
      <protection/>
    </xf>
    <xf numFmtId="176" fontId="0" fillId="0" borderId="7" xfId="0" applyNumberFormat="1" applyFont="1" applyFill="1" applyBorder="1" applyAlignment="1" applyProtection="1">
      <alignment horizontal="center" vertical="center"/>
      <protection/>
    </xf>
    <xf numFmtId="0" fontId="0" fillId="0" borderId="8" xfId="0" applyBorder="1" applyAlignment="1">
      <alignment vertical="center"/>
    </xf>
    <xf numFmtId="4" fontId="39" fillId="11" borderId="4" xfId="0" applyNumberFormat="1" applyFont="1" applyFill="1" applyBorder="1" applyAlignment="1" applyProtection="1">
      <alignment horizontal="center" vertical="center"/>
      <protection locked="0"/>
    </xf>
    <xf numFmtId="176" fontId="0" fillId="0" borderId="1" xfId="0" applyNumberFormat="1" applyFont="1" applyFill="1" applyBorder="1" applyAlignment="1" applyProtection="1">
      <alignment horizontal="center" vertical="center"/>
      <protection/>
    </xf>
    <xf numFmtId="0" fontId="0" fillId="0" borderId="8" xfId="0" applyBorder="1" applyAlignment="1">
      <alignment horizontal="right" vertical="center" wrapText="1"/>
    </xf>
    <xf numFmtId="0" fontId="0" fillId="0" borderId="4" xfId="0" applyBorder="1" applyAlignment="1">
      <alignment horizontal="right" vertical="center" wrapText="1"/>
    </xf>
    <xf numFmtId="0" fontId="0" fillId="0" borderId="7" xfId="0" applyBorder="1" applyAlignment="1">
      <alignment horizontal="right" vertical="center" wrapText="1"/>
    </xf>
    <xf numFmtId="4" fontId="10" fillId="0" borderId="15" xfId="0" applyNumberFormat="1" applyFont="1" applyBorder="1" applyAlignment="1" applyProtection="1">
      <alignment horizontal="center" vertical="center" wrapText="1"/>
      <protection/>
    </xf>
    <xf numFmtId="4" fontId="10" fillId="0" borderId="10" xfId="0" applyNumberFormat="1" applyFont="1" applyBorder="1" applyAlignment="1" applyProtection="1">
      <alignment horizontal="center" vertical="center" wrapText="1"/>
      <protection/>
    </xf>
    <xf numFmtId="4" fontId="0" fillId="0" borderId="14" xfId="0" applyNumberFormat="1" applyFont="1" applyBorder="1" applyAlignment="1" applyProtection="1">
      <alignment horizontal="center" vertical="center" wrapText="1"/>
      <protection/>
    </xf>
    <xf numFmtId="4" fontId="0" fillId="0" borderId="15" xfId="0" applyNumberFormat="1" applyFont="1" applyBorder="1" applyAlignment="1" applyProtection="1">
      <alignment horizontal="center" vertical="center" wrapText="1"/>
      <protection/>
    </xf>
    <xf numFmtId="4" fontId="0" fillId="0" borderId="13" xfId="0" applyNumberFormat="1" applyFont="1" applyBorder="1" applyAlignment="1" applyProtection="1">
      <alignment horizontal="center" vertical="center" wrapText="1"/>
      <protection/>
    </xf>
    <xf numFmtId="4" fontId="0" fillId="0" borderId="10" xfId="0" applyNumberFormat="1" applyFont="1" applyBorder="1" applyAlignment="1" applyProtection="1">
      <alignment horizontal="center" vertical="center" wrapText="1"/>
      <protection/>
    </xf>
    <xf numFmtId="4" fontId="0" fillId="0" borderId="8" xfId="0" applyNumberFormat="1" applyFont="1" applyBorder="1" applyAlignment="1" applyProtection="1">
      <alignment horizontal="center" vertical="center" wrapText="1"/>
      <protection/>
    </xf>
    <xf numFmtId="4" fontId="0" fillId="0" borderId="4" xfId="0" applyNumberFormat="1" applyFont="1" applyBorder="1" applyAlignment="1" applyProtection="1">
      <alignment horizontal="center" vertical="center" wrapText="1"/>
      <protection/>
    </xf>
    <xf numFmtId="4" fontId="0" fillId="0" borderId="7" xfId="0" applyNumberFormat="1" applyFont="1" applyBorder="1" applyAlignment="1" applyProtection="1">
      <alignment horizontal="center" vertical="center" wrapText="1"/>
      <protection/>
    </xf>
    <xf numFmtId="176" fontId="0" fillId="0" borderId="1" xfId="0" applyNumberFormat="1" applyBorder="1" applyAlignment="1">
      <alignment horizontal="center" vertical="center"/>
    </xf>
    <xf numFmtId="176" fontId="0" fillId="0" borderId="8" xfId="0" applyNumberFormat="1" applyBorder="1" applyAlignment="1">
      <alignment horizontal="center" vertical="center"/>
    </xf>
    <xf numFmtId="176" fontId="0" fillId="0" borderId="7" xfId="0" applyNumberFormat="1" applyBorder="1" applyAlignment="1">
      <alignment horizontal="center" vertical="center"/>
    </xf>
    <xf numFmtId="0" fontId="0" fillId="0" borderId="8" xfId="0" applyNumberFormat="1" applyFont="1" applyFill="1" applyBorder="1" applyAlignment="1" applyProtection="1">
      <alignment horizontal="left" vertical="center"/>
      <protection/>
    </xf>
    <xf numFmtId="0" fontId="0" fillId="0" borderId="4" xfId="0" applyNumberFormat="1" applyFont="1" applyFill="1" applyBorder="1" applyAlignment="1" applyProtection="1">
      <alignment horizontal="left" vertical="center"/>
      <protection/>
    </xf>
    <xf numFmtId="0" fontId="0" fillId="0" borderId="7" xfId="0" applyNumberFormat="1" applyFont="1" applyFill="1" applyBorder="1" applyAlignment="1" applyProtection="1">
      <alignment horizontal="left" vertical="center"/>
      <protection/>
    </xf>
    <xf numFmtId="2" fontId="0" fillId="0" borderId="8" xfId="0" applyNumberFormat="1" applyFont="1" applyFill="1" applyBorder="1" applyAlignment="1" applyProtection="1">
      <alignment horizontal="left" vertical="center"/>
      <protection/>
    </xf>
    <xf numFmtId="2" fontId="0" fillId="0" borderId="4" xfId="0" applyNumberFormat="1" applyFont="1" applyFill="1" applyBorder="1" applyAlignment="1" applyProtection="1">
      <alignment horizontal="left" vertical="center"/>
      <protection/>
    </xf>
    <xf numFmtId="2" fontId="0" fillId="0" borderId="7" xfId="0" applyNumberFormat="1" applyFont="1" applyFill="1" applyBorder="1" applyAlignment="1" applyProtection="1">
      <alignment horizontal="left" vertical="center"/>
      <protection/>
    </xf>
    <xf numFmtId="4" fontId="39" fillId="11" borderId="8" xfId="0" applyNumberFormat="1" applyFont="1" applyFill="1" applyBorder="1" applyAlignment="1" applyProtection="1">
      <alignment horizontal="center" vertical="center" wrapText="1"/>
      <protection locked="0"/>
    </xf>
    <xf numFmtId="4" fontId="39" fillId="11" borderId="4" xfId="0" applyNumberFormat="1" applyFont="1" applyFill="1" applyBorder="1" applyAlignment="1" applyProtection="1">
      <alignment horizontal="center" vertical="center" wrapText="1"/>
      <protection locked="0"/>
    </xf>
    <xf numFmtId="4" fontId="39" fillId="11" borderId="7" xfId="0" applyNumberFormat="1" applyFont="1" applyFill="1" applyBorder="1" applyAlignment="1" applyProtection="1">
      <alignment horizontal="center" vertical="center" wrapText="1"/>
      <protection locked="0"/>
    </xf>
    <xf numFmtId="0" fontId="22" fillId="7" borderId="0" xfId="0" applyNumberFormat="1" applyFont="1" applyFill="1" applyAlignment="1">
      <alignment horizontal="left" vertical="center" wrapText="1"/>
    </xf>
    <xf numFmtId="0" fontId="23" fillId="7" borderId="0" xfId="0" applyNumberFormat="1" applyFont="1" applyFill="1" applyAlignment="1">
      <alignment horizontal="left" vertical="top" wrapText="1"/>
    </xf>
    <xf numFmtId="0" fontId="22" fillId="7" borderId="0" xfId="0" applyNumberFormat="1" applyFont="1" applyFill="1" applyAlignment="1">
      <alignment horizontal="left" vertical="top" wrapText="1"/>
    </xf>
    <xf numFmtId="0" fontId="13" fillId="7" borderId="0" xfId="0" applyNumberFormat="1" applyFont="1" applyFill="1" applyAlignment="1">
      <alignment horizontal="left" vertical="top" wrapText="1"/>
    </xf>
    <xf numFmtId="0" fontId="14" fillId="7" borderId="0" xfId="0" applyNumberFormat="1" applyFont="1" applyFill="1" applyAlignment="1">
      <alignment horizontal="left" vertical="top" wrapText="1"/>
    </xf>
    <xf numFmtId="0" fontId="23" fillId="7" borderId="0" xfId="0" applyNumberFormat="1" applyFont="1" applyFill="1" applyAlignment="1">
      <alignment horizontal="left" vertical="center" wrapText="1"/>
    </xf>
    <xf numFmtId="0" fontId="0" fillId="12" borderId="8" xfId="0" applyFill="1" applyBorder="1" applyAlignment="1">
      <alignment/>
    </xf>
    <xf numFmtId="0" fontId="0" fillId="12" borderId="7" xfId="0" applyFill="1" applyBorder="1" applyAlignment="1">
      <alignment/>
    </xf>
    <xf numFmtId="0" fontId="0" fillId="12" borderId="8" xfId="0" applyFill="1" applyBorder="1" applyAlignment="1">
      <alignment/>
    </xf>
    <xf numFmtId="0" fontId="0" fillId="12" borderId="7" xfId="0" applyFill="1" applyBorder="1" applyAlignment="1">
      <alignment/>
    </xf>
    <xf numFmtId="0" fontId="8" fillId="5" borderId="11"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0" fillId="13" borderId="11" xfId="0" applyFill="1" applyBorder="1" applyAlignment="1">
      <alignment horizontal="center" vertical="center"/>
    </xf>
    <xf numFmtId="0" fontId="0" fillId="13" borderId="16" xfId="0" applyFill="1" applyBorder="1" applyAlignment="1">
      <alignment horizontal="center" vertical="center"/>
    </xf>
    <xf numFmtId="0" fontId="0" fillId="13" borderId="3" xfId="0" applyFill="1" applyBorder="1" applyAlignment="1">
      <alignment horizontal="center" vertical="center"/>
    </xf>
    <xf numFmtId="0" fontId="8" fillId="0" borderId="8" xfId="0" applyFont="1" applyFill="1" applyBorder="1" applyAlignment="1">
      <alignment horizontal="center"/>
    </xf>
    <xf numFmtId="0" fontId="8" fillId="0" borderId="7" xfId="0" applyFont="1" applyFill="1" applyBorder="1" applyAlignment="1">
      <alignment horizontal="center"/>
    </xf>
    <xf numFmtId="0" fontId="8" fillId="0" borderId="1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2" borderId="11" xfId="0" applyFill="1" applyBorder="1" applyAlignment="1">
      <alignment horizontal="center" vertical="center"/>
    </xf>
    <xf numFmtId="0" fontId="0" fillId="2" borderId="16" xfId="0" applyFill="1" applyBorder="1" applyAlignment="1">
      <alignment horizontal="center" vertical="center"/>
    </xf>
    <xf numFmtId="0" fontId="0" fillId="2" borderId="3" xfId="0" applyFill="1" applyBorder="1" applyAlignment="1">
      <alignment horizontal="center" vertical="center"/>
    </xf>
    <xf numFmtId="0" fontId="0" fillId="5" borderId="16" xfId="0" applyFill="1" applyBorder="1" applyAlignment="1">
      <alignment/>
    </xf>
    <xf numFmtId="0" fontId="0" fillId="5" borderId="3" xfId="0" applyFill="1" applyBorder="1" applyAlignment="1">
      <alignment/>
    </xf>
    <xf numFmtId="0" fontId="8" fillId="0" borderId="1" xfId="0" applyFont="1" applyFill="1" applyBorder="1" applyAlignment="1">
      <alignment horizontal="center" vertical="center" wrapText="1"/>
    </xf>
    <xf numFmtId="0" fontId="8" fillId="4" borderId="8" xfId="0" applyFont="1" applyFill="1" applyBorder="1" applyAlignment="1">
      <alignment horizontal="center"/>
    </xf>
    <xf numFmtId="0" fontId="8" fillId="4" borderId="7" xfId="0" applyFont="1" applyFill="1" applyBorder="1" applyAlignment="1">
      <alignment horizontal="center"/>
    </xf>
    <xf numFmtId="0" fontId="0" fillId="0" borderId="8" xfId="0" applyFill="1" applyBorder="1" applyAlignment="1">
      <alignment horizontal="center"/>
    </xf>
    <xf numFmtId="0" fontId="0" fillId="0" borderId="7" xfId="0" applyFill="1" applyBorder="1" applyAlignment="1">
      <alignment horizontal="center"/>
    </xf>
    <xf numFmtId="0" fontId="8" fillId="5" borderId="1" xfId="0" applyFont="1" applyFill="1" applyBorder="1" applyAlignment="1">
      <alignment horizontal="center" vertical="center" wrapText="1"/>
    </xf>
    <xf numFmtId="0" fontId="36" fillId="0" borderId="11" xfId="0" applyFont="1" applyFill="1" applyBorder="1" applyAlignment="1" applyProtection="1">
      <alignment horizontal="center" vertical="center" wrapText="1"/>
      <protection/>
    </xf>
    <xf numFmtId="0" fontId="36" fillId="0" borderId="16" xfId="0" applyFont="1" applyFill="1" applyBorder="1" applyAlignment="1" applyProtection="1">
      <alignment horizontal="center" vertical="center" wrapText="1"/>
      <protection/>
    </xf>
    <xf numFmtId="0" fontId="36" fillId="0" borderId="3" xfId="0" applyFont="1" applyFill="1" applyBorder="1" applyAlignment="1" applyProtection="1">
      <alignment horizontal="center" vertical="center" wrapText="1"/>
      <protection/>
    </xf>
    <xf numFmtId="1" fontId="39" fillId="11" borderId="11" xfId="0" applyNumberFormat="1" applyFont="1" applyFill="1" applyBorder="1" applyAlignment="1" applyProtection="1">
      <alignment horizontal="center"/>
      <protection locked="0"/>
    </xf>
    <xf numFmtId="1" fontId="39" fillId="11" borderId="16" xfId="0" applyNumberFormat="1" applyFont="1" applyFill="1" applyBorder="1" applyAlignment="1" applyProtection="1">
      <alignment horizontal="center"/>
      <protection locked="0"/>
    </xf>
    <xf numFmtId="1" fontId="39" fillId="11" borderId="3" xfId="0" applyNumberFormat="1"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7">
    <dxf>
      <font>
        <color rgb="FFFFFFFF"/>
      </font>
      <fill>
        <patternFill patternType="none">
          <bgColor indexed="65"/>
        </patternFill>
      </fill>
      <border>
        <left style="dotted">
          <color rgb="FFC0C0C0"/>
        </left>
        <right style="dotted">
          <color rgb="FFFF00FF"/>
        </right>
        <top style="dotted"/>
        <bottom style="dotted">
          <color rgb="FFFF00FF"/>
        </bottom>
      </border>
    </dxf>
    <dxf>
      <font>
        <b/>
        <i/>
        <strike val="0"/>
        <color rgb="FFFF0000"/>
      </font>
      <fill>
        <patternFill>
          <fgColor rgb="FFC0C0C0"/>
          <bgColor rgb="FFC0C0C0"/>
        </patternFill>
      </fill>
      <border>
        <left style="dashDotDot">
          <color rgb="FFFF0000"/>
        </left>
        <right style="dashDotDot">
          <color rgb="FFFF0000"/>
        </right>
        <top style="dashDotDot"/>
        <bottom style="dashDotDot">
          <color rgb="FFFF0000"/>
        </bottom>
      </border>
    </dxf>
    <dxf>
      <font>
        <b/>
        <i val="0"/>
        <color rgb="FF00FF00"/>
      </font>
      <fill>
        <patternFill>
          <bgColor rgb="FF000000"/>
        </patternFill>
      </fill>
      <border/>
    </dxf>
    <dxf>
      <font>
        <b val="0"/>
        <i/>
        <color rgb="FF0000FF"/>
      </font>
      <border/>
    </dxf>
    <dxf>
      <font>
        <b val="0"/>
        <i/>
        <color rgb="FFFF0000"/>
      </font>
      <border/>
    </dxf>
    <dxf>
      <font>
        <b val="0"/>
        <i/>
        <color rgb="FF0000FF"/>
      </font>
      <border>
        <left>
          <color rgb="FF000000"/>
        </left>
        <right>
          <color rgb="FF000000"/>
        </right>
        <top>
          <color rgb="FF000000"/>
        </top>
        <bottom>
          <color rgb="FF000000"/>
        </bottom>
      </border>
    </dxf>
    <dxf>
      <font>
        <b val="0"/>
        <i/>
        <color rgb="FFC0C0C0"/>
      </font>
      <border>
        <left style="dotted">
          <color rgb="FFC0C0C0"/>
        </left>
        <right style="dotted">
          <color rgb="FFFF00FF"/>
        </right>
        <top style="dotted"/>
        <bottom style="dotted">
          <color rgb="FFFF00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9125"/>
          <c:w val="0.91075"/>
          <c:h val="0.845"/>
        </c:manualLayout>
      </c:layout>
      <c:scatterChart>
        <c:scatterStyle val="smoothMarker"/>
        <c:varyColors val="0"/>
        <c:ser>
          <c:idx val="0"/>
          <c:order val="1"/>
          <c:tx>
            <c:v>Hamburg</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xVal>
            <c:numRef>
              <c:f>'[1]Lubbock_A Results '!$M$5:$M$8</c:f>
              <c:numCache>
                <c:ptCount val="4"/>
                <c:pt idx="0">
                  <c:v>6</c:v>
                </c:pt>
                <c:pt idx="1">
                  <c:v>6.5</c:v>
                </c:pt>
                <c:pt idx="2">
                  <c:v>7</c:v>
                </c:pt>
                <c:pt idx="3">
                  <c:v>7.5</c:v>
                </c:pt>
              </c:numCache>
            </c:numRef>
          </c:xVal>
          <c:yVal>
            <c:numRef>
              <c:f>'[1]Lubbock_A Results '!$N$5:$N$8</c:f>
              <c:numCache>
                <c:ptCount val="4"/>
                <c:pt idx="0">
                  <c:v>1.5</c:v>
                </c:pt>
                <c:pt idx="1">
                  <c:v>2.7</c:v>
                </c:pt>
                <c:pt idx="2">
                  <c:v>6.1</c:v>
                </c:pt>
                <c:pt idx="3">
                  <c:v>16.1</c:v>
                </c:pt>
              </c:numCache>
            </c:numRef>
          </c:yVal>
          <c:smooth val="1"/>
        </c:ser>
        <c:axId val="11132085"/>
        <c:axId val="33079902"/>
      </c:scatterChart>
      <c:scatterChart>
        <c:scatterStyle val="lineMarker"/>
        <c:varyColors val="0"/>
        <c:ser>
          <c:idx val="1"/>
          <c:order val="0"/>
          <c:tx>
            <c:strRef>
              <c:f>'[1]Lubbock_A Results '!$J$4</c:f>
              <c:strCache>
                <c:ptCount val="1"/>
                <c:pt idx="0">
                  <c:v>OT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xVal>
            <c:numRef>
              <c:f>'[1]Lubbock_A Results '!$I$5:$I$7</c:f>
              <c:numCache>
                <c:ptCount val="3"/>
                <c:pt idx="0">
                  <c:v>6</c:v>
                </c:pt>
                <c:pt idx="1">
                  <c:v>7</c:v>
                </c:pt>
                <c:pt idx="2">
                  <c:v>7.5</c:v>
                </c:pt>
              </c:numCache>
            </c:numRef>
          </c:xVal>
          <c:yVal>
            <c:numRef>
              <c:f>'[1]Lubbock_A Results '!$J$5:$J$7</c:f>
              <c:numCache>
                <c:ptCount val="3"/>
                <c:pt idx="0">
                  <c:v>52</c:v>
                </c:pt>
                <c:pt idx="1">
                  <c:v>588</c:v>
                </c:pt>
                <c:pt idx="2">
                  <c:v>1883</c:v>
                </c:pt>
              </c:numCache>
            </c:numRef>
          </c:yVal>
          <c:smooth val="1"/>
        </c:ser>
        <c:axId val="29283663"/>
        <c:axId val="62226376"/>
      </c:scatterChart>
      <c:valAx>
        <c:axId val="11132085"/>
        <c:scaling>
          <c:orientation val="minMax"/>
          <c:max val="7.6"/>
          <c:min val="5.8"/>
        </c:scaling>
        <c:axPos val="b"/>
        <c:title>
          <c:tx>
            <c:rich>
              <a:bodyPr vert="horz" rot="0" anchor="ctr"/>
              <a:lstStyle/>
              <a:p>
                <a:pPr algn="ctr">
                  <a:defRPr/>
                </a:pPr>
                <a:r>
                  <a:rPr lang="en-US" cap="none" sz="950" b="1" i="0" u="none" baseline="0">
                    <a:latin typeface="Arial"/>
                    <a:ea typeface="Arial"/>
                    <a:cs typeface="Arial"/>
                  </a:rPr>
                  <a:t>Asphalt Content (%)</a:t>
                </a:r>
              </a:p>
            </c:rich>
          </c:tx>
          <c:layout/>
          <c:overlay val="0"/>
          <c:spPr>
            <a:noFill/>
            <a:ln>
              <a:noFill/>
            </a:ln>
          </c:spPr>
        </c:title>
        <c:delete val="0"/>
        <c:numFmt formatCode="0.0" sourceLinked="0"/>
        <c:majorTickMark val="out"/>
        <c:minorTickMark val="out"/>
        <c:tickLblPos val="nextTo"/>
        <c:txPr>
          <a:bodyPr/>
          <a:lstStyle/>
          <a:p>
            <a:pPr>
              <a:defRPr lang="en-US" cap="none" sz="1000" b="1" i="0" u="none" baseline="0">
                <a:latin typeface="Arial"/>
                <a:ea typeface="Arial"/>
                <a:cs typeface="Arial"/>
              </a:defRPr>
            </a:pPr>
          </a:p>
        </c:txPr>
        <c:crossAx val="33079902"/>
        <c:crosses val="autoZero"/>
        <c:crossBetween val="midCat"/>
        <c:dispUnits/>
        <c:majorUnit val="0.2"/>
        <c:minorUnit val="0.1"/>
      </c:valAx>
      <c:valAx>
        <c:axId val="33079902"/>
        <c:scaling>
          <c:orientation val="minMax"/>
          <c:max val="18"/>
        </c:scaling>
        <c:axPos val="l"/>
        <c:title>
          <c:tx>
            <c:rich>
              <a:bodyPr vert="horz" rot="-5400000" anchor="ctr"/>
              <a:lstStyle/>
              <a:p>
                <a:pPr algn="ctr">
                  <a:defRPr/>
                </a:pPr>
                <a:r>
                  <a:rPr lang="en-US" cap="none" sz="950" b="1" i="0" u="none" baseline="0">
                    <a:latin typeface="Arial"/>
                    <a:ea typeface="Arial"/>
                    <a:cs typeface="Arial"/>
                  </a:rPr>
                  <a:t>Rutting Depth (mm)</a:t>
                </a:r>
              </a:p>
            </c:rich>
          </c:tx>
          <c:layout/>
          <c:overlay val="0"/>
          <c:spPr>
            <a:noFill/>
            <a:ln>
              <a:noFill/>
            </a:ln>
          </c:spPr>
        </c:title>
        <c:majorGridlines/>
        <c:delete val="0"/>
        <c:numFmt formatCode="0.0" sourceLinked="0"/>
        <c:majorTickMark val="out"/>
        <c:minorTickMark val="out"/>
        <c:tickLblPos val="nextTo"/>
        <c:txPr>
          <a:bodyPr/>
          <a:lstStyle/>
          <a:p>
            <a:pPr>
              <a:defRPr lang="en-US" cap="none" sz="1000" b="1" i="0" u="none" baseline="0">
                <a:latin typeface="Arial"/>
                <a:ea typeface="Arial"/>
                <a:cs typeface="Arial"/>
              </a:defRPr>
            </a:pPr>
          </a:p>
        </c:txPr>
        <c:crossAx val="11132085"/>
        <c:crosses val="autoZero"/>
        <c:crossBetween val="midCat"/>
        <c:dispUnits/>
        <c:majorUnit val="2"/>
        <c:minorUnit val="0.5"/>
      </c:valAx>
      <c:valAx>
        <c:axId val="29283663"/>
        <c:scaling>
          <c:orientation val="minMax"/>
        </c:scaling>
        <c:axPos val="b"/>
        <c:delete val="1"/>
        <c:majorTickMark val="in"/>
        <c:minorTickMark val="none"/>
        <c:tickLblPos val="nextTo"/>
        <c:crossAx val="62226376"/>
        <c:crosses val="max"/>
        <c:crossBetween val="midCat"/>
        <c:dispUnits/>
      </c:valAx>
      <c:valAx>
        <c:axId val="62226376"/>
        <c:scaling>
          <c:orientation val="minMax"/>
          <c:max val="3500"/>
          <c:min val="0"/>
        </c:scaling>
        <c:axPos val="l"/>
        <c:title>
          <c:tx>
            <c:rich>
              <a:bodyPr vert="horz" rot="-5400000" anchor="ctr"/>
              <a:lstStyle/>
              <a:p>
                <a:pPr algn="ctr">
                  <a:defRPr/>
                </a:pPr>
                <a:r>
                  <a:rPr lang="en-US" cap="none" sz="950" b="1" i="0" u="none" baseline="0">
                    <a:latin typeface="Arial"/>
                    <a:ea typeface="Arial"/>
                    <a:cs typeface="Arial"/>
                  </a:rPr>
                  <a:t>No. of Cycles</a:t>
                </a:r>
              </a:p>
            </c:rich>
          </c:tx>
          <c:layout/>
          <c:overlay val="0"/>
          <c:spPr>
            <a:noFill/>
            <a:ln>
              <a:noFill/>
            </a:ln>
          </c:spPr>
        </c:title>
        <c:delete val="0"/>
        <c:numFmt formatCode="General" sourceLinked="1"/>
        <c:majorTickMark val="in"/>
        <c:minorTickMark val="none"/>
        <c:tickLblPos val="nextTo"/>
        <c:txPr>
          <a:bodyPr/>
          <a:lstStyle/>
          <a:p>
            <a:pPr>
              <a:defRPr lang="en-US" cap="none" sz="800" b="1" i="0" u="none" baseline="0">
                <a:latin typeface="Arial"/>
                <a:ea typeface="Arial"/>
                <a:cs typeface="Arial"/>
              </a:defRPr>
            </a:pPr>
          </a:p>
        </c:txPr>
        <c:crossAx val="29283663"/>
        <c:crosses val="max"/>
        <c:crossBetween val="midCat"/>
        <c:dispUnits/>
        <c:majorUnit val="750"/>
        <c:minorUnit val="250"/>
      </c:valAx>
      <c:spPr>
        <a:noFill/>
        <a:ln>
          <a:noFill/>
        </a:ln>
      </c:spPr>
    </c:plotArea>
    <c:legend>
      <c:legendPos val="r"/>
      <c:layout>
        <c:manualLayout>
          <c:xMode val="edge"/>
          <c:yMode val="edge"/>
          <c:x val="0.13725"/>
          <c:y val="0.11925"/>
          <c:w val="0.212"/>
          <c:h val="0.089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sng" baseline="0">
                <a:latin typeface="Arial"/>
                <a:ea typeface="Arial"/>
                <a:cs typeface="Arial"/>
              </a:rPr>
              <a:t>Power 45 Curve</a:t>
            </a:r>
          </a:p>
        </c:rich>
      </c:tx>
      <c:layout>
        <c:manualLayout>
          <c:xMode val="factor"/>
          <c:yMode val="factor"/>
          <c:x val="-0.053"/>
          <c:y val="-0.01975"/>
        </c:manualLayout>
      </c:layout>
      <c:spPr>
        <a:noFill/>
        <a:ln>
          <a:noFill/>
        </a:ln>
      </c:spPr>
    </c:title>
    <c:plotArea>
      <c:layout>
        <c:manualLayout>
          <c:xMode val="edge"/>
          <c:yMode val="edge"/>
          <c:x val="0.00325"/>
          <c:y val="0.06225"/>
          <c:w val="0.959"/>
          <c:h val="0.93325"/>
        </c:manualLayout>
      </c:layout>
      <c:scatterChart>
        <c:scatterStyle val="lineMarker"/>
        <c:varyColors val="0"/>
        <c:ser>
          <c:idx val="0"/>
          <c:order val="0"/>
          <c:tx>
            <c:v>Combined Gradation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0000FF"/>
                </a:solidFill>
              </a:ln>
            </c:spPr>
          </c:marker>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xVal>
            <c:numLit>
              <c:ptCount val="9"/>
              <c:pt idx="0">
                <c:v>3.7621761023863</c:v>
              </c:pt>
              <c:pt idx="1">
                <c:v>3.11608650737535</c:v>
              </c:pt>
              <c:pt idx="2">
                <c:v>2.75407410856612</c:v>
              </c:pt>
              <c:pt idx="3">
                <c:v>2.01610025396293</c:v>
              </c:pt>
              <c:pt idx="4">
                <c:v>1.47166987958204</c:v>
              </c:pt>
              <c:pt idx="5">
                <c:v>1.07732540992504</c:v>
              </c:pt>
              <c:pt idx="6">
                <c:v>0.281947379621581</c:v>
              </c:pt>
              <c:pt idx="7">
                <c:v>0.206397562756654</c:v>
              </c:pt>
              <c:pt idx="8">
                <c:v>0.110605715247376</c:v>
              </c:pt>
            </c:numLit>
          </c:xVal>
          <c:yVal>
            <c:numLit>
              <c:ptCount val="9"/>
              <c:pt idx="0">
                <c:v>100</c:v>
              </c:pt>
              <c:pt idx="1">
                <c:v>100</c:v>
              </c:pt>
              <c:pt idx="2">
                <c:v>99.86</c:v>
              </c:pt>
              <c:pt idx="3">
                <c:v>77.815</c:v>
              </c:pt>
              <c:pt idx="4">
                <c:v>42.465</c:v>
              </c:pt>
              <c:pt idx="5">
                <c:v>25.912</c:v>
              </c:pt>
              <c:pt idx="6">
                <c:v>16.661</c:v>
              </c:pt>
              <c:pt idx="7">
                <c:v>11.437</c:v>
              </c:pt>
              <c:pt idx="8">
                <c:v>6.936</c:v>
              </c:pt>
            </c:numLit>
          </c:yVal>
          <c:smooth val="1"/>
        </c:ser>
        <c:ser>
          <c:idx val="1"/>
          <c:order val="1"/>
          <c:tx>
            <c:v>Maximum Density Line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3.7621761023863</c:v>
              </c:pt>
              <c:pt idx="1">
                <c:v>3.11608650737535</c:v>
              </c:pt>
              <c:pt idx="2">
                <c:v>2.75407410856612</c:v>
              </c:pt>
              <c:pt idx="3">
                <c:v>2.01610025396293</c:v>
              </c:pt>
              <c:pt idx="4">
                <c:v>1.47166987958204</c:v>
              </c:pt>
              <c:pt idx="5">
                <c:v>1.07732540992504</c:v>
              </c:pt>
              <c:pt idx="6">
                <c:v>0.281947379621581</c:v>
              </c:pt>
              <c:pt idx="7">
                <c:v>0.206397562756654</c:v>
              </c:pt>
              <c:pt idx="8">
                <c:v>0.110605715247376</c:v>
              </c:pt>
            </c:numLit>
          </c:xVal>
          <c:yVal>
            <c:numLit>
              <c:ptCount val="9"/>
              <c:pt idx="0">
                <c:v>100</c:v>
              </c:pt>
              <c:pt idx="1">
                <c:v>82.8267051454304</c:v>
              </c:pt>
              <c:pt idx="2">
                <c:v>73.2042847972813</c:v>
              </c:pt>
              <c:pt idx="3">
                <c:v>53.5886731268147</c:v>
              </c:pt>
              <c:pt idx="4">
                <c:v>39.1175170840243</c:v>
              </c:pt>
              <c:pt idx="5">
                <c:v>28.6356986118143</c:v>
              </c:pt>
              <c:pt idx="6">
                <c:v>7.49426321226021</c:v>
              </c:pt>
              <c:pt idx="7">
                <c:v>5.48612178536085</c:v>
              </c:pt>
              <c:pt idx="8">
                <c:v>2.93993987089599</c:v>
              </c:pt>
            </c:numLit>
          </c:yVal>
          <c:smooth val="0"/>
        </c:ser>
        <c:ser>
          <c:idx val="2"/>
          <c:order val="2"/>
          <c:tx>
            <c:v>Lower Specifcation Limits</c:v>
          </c:tx>
          <c:spPr>
            <a:ln w="25400">
              <a:solidFill>
                <a:srgbClr val="FF99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Lit>
              <c:ptCount val="9"/>
              <c:pt idx="0">
                <c:v>3.7621761023863</c:v>
              </c:pt>
              <c:pt idx="1">
                <c:v>3.11608650737535</c:v>
              </c:pt>
              <c:pt idx="2">
                <c:v>2.75407410856612</c:v>
              </c:pt>
              <c:pt idx="3">
                <c:v>2.01610025396293</c:v>
              </c:pt>
              <c:pt idx="4">
                <c:v>1.47166987958204</c:v>
              </c:pt>
              <c:pt idx="5">
                <c:v>1.07732540992504</c:v>
              </c:pt>
              <c:pt idx="6">
                <c:v>0.281947379621581</c:v>
              </c:pt>
              <c:pt idx="7">
                <c:v>0.206397562756654</c:v>
              </c:pt>
              <c:pt idx="8">
                <c:v>0.110605715247376</c:v>
              </c:pt>
            </c:numLit>
          </c:xVal>
          <c:yVal>
            <c:numLit>
              <c:ptCount val="9"/>
              <c:pt idx="0">
                <c:v>100</c:v>
              </c:pt>
              <c:pt idx="1">
                <c:v>100</c:v>
              </c:pt>
              <c:pt idx="2">
                <c:v>98</c:v>
              </c:pt>
              <c:pt idx="3">
                <c:v>70</c:v>
              </c:pt>
              <c:pt idx="4">
                <c:v>40</c:v>
              </c:pt>
              <c:pt idx="5">
                <c:v>20</c:v>
              </c:pt>
              <c:pt idx="6">
                <c:v>10</c:v>
              </c:pt>
              <c:pt idx="7">
                <c:v>10</c:v>
              </c:pt>
              <c:pt idx="8">
                <c:v>2</c:v>
              </c:pt>
            </c:numLit>
          </c:yVal>
          <c:smooth val="1"/>
        </c:ser>
        <c:ser>
          <c:idx val="3"/>
          <c:order val="3"/>
          <c:tx>
            <c:v>Upper Specification Limits</c:v>
          </c:tx>
          <c:spPr>
            <a:ln w="25400">
              <a:solidFill>
                <a:srgbClr val="9999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3.7621761023863</c:v>
              </c:pt>
              <c:pt idx="1">
                <c:v>3.11608650737535</c:v>
              </c:pt>
              <c:pt idx="2">
                <c:v>2.75407410856612</c:v>
              </c:pt>
              <c:pt idx="3">
                <c:v>2.01610025396293</c:v>
              </c:pt>
              <c:pt idx="4">
                <c:v>1.47166987958204</c:v>
              </c:pt>
              <c:pt idx="5">
                <c:v>1.07732540992504</c:v>
              </c:pt>
              <c:pt idx="6">
                <c:v>0.281947379621581</c:v>
              </c:pt>
              <c:pt idx="7">
                <c:v>0.206397562756654</c:v>
              </c:pt>
              <c:pt idx="8">
                <c:v>0.110605715247376</c:v>
              </c:pt>
            </c:numLit>
          </c:xVal>
          <c:yVal>
            <c:numLit>
              <c:ptCount val="9"/>
              <c:pt idx="0">
                <c:v>100</c:v>
              </c:pt>
              <c:pt idx="1">
                <c:v>100</c:v>
              </c:pt>
              <c:pt idx="2">
                <c:v>100</c:v>
              </c:pt>
              <c:pt idx="3">
                <c:v>90</c:v>
              </c:pt>
              <c:pt idx="4">
                <c:v>65</c:v>
              </c:pt>
              <c:pt idx="5">
                <c:v>45</c:v>
              </c:pt>
              <c:pt idx="6">
                <c:v>30</c:v>
              </c:pt>
              <c:pt idx="7">
                <c:v>20</c:v>
              </c:pt>
              <c:pt idx="8">
                <c:v>10</c:v>
              </c:pt>
            </c:numLit>
          </c:yVal>
          <c:smooth val="1"/>
        </c:ser>
        <c:axId val="23166473"/>
        <c:axId val="7171666"/>
      </c:scatterChart>
      <c:valAx>
        <c:axId val="23166473"/>
        <c:scaling>
          <c:orientation val="minMax"/>
        </c:scaling>
        <c:axPos val="b"/>
        <c:title>
          <c:tx>
            <c:rich>
              <a:bodyPr vert="horz" rot="0" anchor="ctr"/>
              <a:lstStyle/>
              <a:p>
                <a:pPr algn="ctr">
                  <a:defRPr/>
                </a:pPr>
                <a:r>
                  <a:rPr lang="en-US" cap="none" sz="1225" b="1" i="0" u="none" baseline="0">
                    <a:latin typeface="Arial"/>
                    <a:ea typeface="Arial"/>
                    <a:cs typeface="Arial"/>
                  </a:rPr>
                  <a:t>Sieve Size</a:t>
                </a:r>
              </a:p>
            </c:rich>
          </c:tx>
          <c:layout>
            <c:manualLayout>
              <c:xMode val="factor"/>
              <c:yMode val="factor"/>
              <c:x val="0.00375"/>
              <c:y val="-0.00125"/>
            </c:manualLayout>
          </c:layout>
          <c:overlay val="0"/>
          <c:spPr>
            <a:noFill/>
            <a:ln>
              <a:noFill/>
            </a:ln>
          </c:spPr>
        </c:title>
        <c:majorGridlines>
          <c:spPr>
            <a:ln w="3175">
              <a:solidFill>
                <a:srgbClr val="969696"/>
              </a:solidFill>
            </a:ln>
          </c:spPr>
        </c:majorGridlines>
        <c:delete val="1"/>
        <c:majorTickMark val="out"/>
        <c:minorTickMark val="none"/>
        <c:tickLblPos val="nextTo"/>
        <c:crossAx val="7171666"/>
        <c:crosses val="autoZero"/>
        <c:crossBetween val="midCat"/>
        <c:dispUnits/>
      </c:valAx>
      <c:valAx>
        <c:axId val="7171666"/>
        <c:scaling>
          <c:orientation val="minMax"/>
          <c:max val="105"/>
          <c:min val="-5"/>
        </c:scaling>
        <c:axPos val="l"/>
        <c:title>
          <c:tx>
            <c:rich>
              <a:bodyPr vert="horz" rot="-5400000" anchor="ctr"/>
              <a:lstStyle/>
              <a:p>
                <a:pPr algn="ctr">
                  <a:defRPr/>
                </a:pPr>
                <a:r>
                  <a:rPr lang="en-US" cap="none" sz="1225" b="1" i="0" u="none" baseline="0">
                    <a:latin typeface="Arial"/>
                    <a:ea typeface="Arial"/>
                    <a:cs typeface="Arial"/>
                  </a:rPr>
                  <a:t>Percent Passing</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23166473"/>
        <c:crosses val="autoZero"/>
        <c:crossBetween val="midCat"/>
        <c:dispUnits/>
        <c:majorUnit val="10"/>
      </c:valAx>
      <c:spPr>
        <a:gradFill rotWithShape="1">
          <a:gsLst>
            <a:gs pos="0">
              <a:srgbClr val="FFFFFF"/>
            </a:gs>
            <a:gs pos="50000">
              <a:srgbClr val="DBDBDB"/>
            </a:gs>
            <a:gs pos="100000">
              <a:srgbClr val="FFFFFF"/>
            </a:gs>
          </a:gsLst>
          <a:lin ang="2700000" scaled="1"/>
        </a:gradFill>
        <a:ln w="12700">
          <a:solidFill>
            <a:srgbClr val="C0C0C0"/>
          </a:solidFill>
        </a:ln>
      </c:spPr>
    </c:plotArea>
    <c:legend>
      <c:legendPos val="r"/>
      <c:layout>
        <c:manualLayout>
          <c:xMode val="edge"/>
          <c:yMode val="edge"/>
          <c:x val="0.12"/>
          <c:y val="0.03425"/>
          <c:w val="0.69525"/>
          <c:h val="0.040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gradFill rotWithShape="1">
      <a:gsLst>
        <a:gs pos="0">
          <a:srgbClr val="757575"/>
        </a:gs>
        <a:gs pos="50000">
          <a:srgbClr val="FFFFFF"/>
        </a:gs>
        <a:gs pos="100000">
          <a:srgbClr val="757575"/>
        </a:gs>
      </a:gsLst>
      <a:lin ang="2700000" scaled="1"/>
    </a:gradFill>
    <a:ln w="3175">
      <a:noFill/>
    </a:ln>
  </c:spPr>
  <c:txPr>
    <a:bodyPr vert="horz" rot="0"/>
    <a:lstStyle/>
    <a:p>
      <a:pPr>
        <a:defRPr lang="en-US" cap="none" sz="1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HAMBURG (RUT DEPTH &lt; 12.5 mm )</a:t>
            </a:r>
          </a:p>
        </c:rich>
      </c:tx>
      <c:layout/>
      <c:spPr>
        <a:noFill/>
        <a:ln>
          <a:noFill/>
        </a:ln>
      </c:spPr>
    </c:title>
    <c:plotArea>
      <c:layout>
        <c:manualLayout>
          <c:xMode val="edge"/>
          <c:yMode val="edge"/>
          <c:x val="0.0565"/>
          <c:y val="0.08625"/>
          <c:w val="0.92025"/>
          <c:h val="0.8115"/>
        </c:manualLayout>
      </c:layout>
      <c:scatterChart>
        <c:scatterStyle val="lineMarker"/>
        <c:varyColors val="0"/>
        <c:ser>
          <c:idx val="0"/>
          <c:order val="0"/>
          <c:tx>
            <c:strRef>
              <c:f>Charts!$B$1</c:f>
              <c:strCache>
                <c:ptCount val="1"/>
                <c:pt idx="0">
                  <c:v>Hamburg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80"/>
              </a:solidFill>
              <a:ln>
                <a:solidFill>
                  <a:srgbClr val="000080"/>
                </a:solidFill>
              </a:ln>
            </c:spPr>
          </c:marker>
          <c:xVal>
            <c:numRef>
              <c:f>Charts!$A$2:$A$5</c:f>
              <c:numCache>
                <c:ptCount val="4"/>
                <c:pt idx="0">
                  <c:v>0</c:v>
                </c:pt>
                <c:pt idx="1">
                  <c:v>0</c:v>
                </c:pt>
                <c:pt idx="2">
                  <c:v>0</c:v>
                </c:pt>
                <c:pt idx="3">
                  <c:v>0</c:v>
                </c:pt>
              </c:numCache>
            </c:numRef>
          </c:xVal>
          <c:yVal>
            <c:numRef>
              <c:f>Charts!$B$2:$B$5</c:f>
              <c:numCache>
                <c:ptCount val="4"/>
                <c:pt idx="0">
                  <c:v>0</c:v>
                </c:pt>
                <c:pt idx="1">
                  <c:v>0</c:v>
                </c:pt>
                <c:pt idx="2">
                  <c:v>0</c:v>
                </c:pt>
                <c:pt idx="3">
                  <c:v>0</c:v>
                </c:pt>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Charts!$D$2:$D$5</c:f>
              <c:numCache>
                <c:ptCount val="4"/>
                <c:pt idx="0">
                  <c:v>0</c:v>
                </c:pt>
                <c:pt idx="1">
                  <c:v>0</c:v>
                </c:pt>
                <c:pt idx="2">
                  <c:v>0</c:v>
                </c:pt>
                <c:pt idx="3">
                  <c:v>0</c:v>
                </c:pt>
              </c:numCache>
            </c:numRef>
          </c:xVal>
          <c:yVal>
            <c:numRef>
              <c:f>Charts!$E$2:$E$5</c:f>
              <c:numCache>
                <c:ptCount val="4"/>
                <c:pt idx="0">
                  <c:v>0</c:v>
                </c:pt>
                <c:pt idx="1">
                  <c:v>0</c:v>
                </c:pt>
                <c:pt idx="2">
                  <c:v>0</c:v>
                </c:pt>
                <c:pt idx="3">
                  <c:v>0</c:v>
                </c:pt>
              </c:numCache>
            </c:numRef>
          </c:yVal>
          <c:smooth val="0"/>
        </c:ser>
        <c:axId val="64544995"/>
        <c:axId val="44034044"/>
      </c:scatterChart>
      <c:valAx>
        <c:axId val="64544995"/>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txPr>
          <a:bodyPr/>
          <a:lstStyle/>
          <a:p>
            <a:pPr>
              <a:defRPr lang="en-US" cap="none" sz="1000" b="0" i="0" u="none" baseline="0">
                <a:latin typeface="Arial"/>
                <a:ea typeface="Arial"/>
                <a:cs typeface="Arial"/>
              </a:defRPr>
            </a:pPr>
          </a:p>
        </c:txPr>
        <c:crossAx val="44034044"/>
        <c:crosses val="autoZero"/>
        <c:crossBetween val="midCat"/>
        <c:dispUnits/>
      </c:valAx>
      <c:valAx>
        <c:axId val="44034044"/>
        <c:scaling>
          <c:orientation val="minMax"/>
          <c:max val="18"/>
          <c:min val="0"/>
        </c:scaling>
        <c:axPos val="l"/>
        <c:title>
          <c:tx>
            <c:rich>
              <a:bodyPr vert="horz" rot="-5400000" anchor="ctr"/>
              <a:lstStyle/>
              <a:p>
                <a:pPr algn="ctr">
                  <a:defRPr/>
                </a:pPr>
                <a:r>
                  <a:rPr lang="en-US" cap="none" sz="1000" b="1" i="0" u="none" baseline="0">
                    <a:latin typeface="Arial"/>
                    <a:ea typeface="Arial"/>
                    <a:cs typeface="Arial"/>
                  </a:rPr>
                  <a:t>Rut depth (mm)</a:t>
                </a:r>
              </a:p>
            </c:rich>
          </c:tx>
          <c:layout/>
          <c:overlay val="0"/>
          <c:spPr>
            <a:noFill/>
            <a:ln>
              <a:noFill/>
            </a:ln>
          </c:spPr>
        </c:title>
        <c:majorGridlines/>
        <c:delete val="0"/>
        <c:numFmt formatCode="General" sourceLinked="1"/>
        <c:majorTickMark val="out"/>
        <c:minorTickMark val="none"/>
        <c:tickLblPos val="nextTo"/>
        <c:spPr>
          <a:ln w="25400">
            <a:solidFill/>
          </a:ln>
        </c:spPr>
        <c:txPr>
          <a:bodyPr/>
          <a:lstStyle/>
          <a:p>
            <a:pPr>
              <a:defRPr lang="en-US" cap="none" sz="1000" b="0" i="0" u="none" baseline="0">
                <a:latin typeface="Arial"/>
                <a:ea typeface="Arial"/>
                <a:cs typeface="Arial"/>
              </a:defRPr>
            </a:pPr>
          </a:p>
        </c:txPr>
        <c:crossAx val="64544995"/>
        <c:crosses val="autoZero"/>
        <c:crossBetween val="midCat"/>
        <c:dispUnits/>
        <c:majorUnit val="4"/>
        <c:minorUnit val="0.2"/>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OVERLAY (NO. OF CYCLES &gt; 750)</a:t>
            </a:r>
          </a:p>
        </c:rich>
      </c:tx>
      <c:layout/>
      <c:spPr>
        <a:noFill/>
        <a:ln>
          <a:noFill/>
        </a:ln>
      </c:spPr>
    </c:title>
    <c:plotArea>
      <c:layout>
        <c:manualLayout>
          <c:xMode val="edge"/>
          <c:yMode val="edge"/>
          <c:x val="0.05625"/>
          <c:y val="0.088"/>
          <c:w val="0.92075"/>
          <c:h val="0.81"/>
        </c:manualLayout>
      </c:layout>
      <c:scatterChart>
        <c:scatterStyle val="lineMarker"/>
        <c:varyColors val="0"/>
        <c:ser>
          <c:idx val="0"/>
          <c:order val="0"/>
          <c:tx>
            <c:strRef>
              <c:f>Charts!$B$1</c:f>
              <c:strCache>
                <c:ptCount val="1"/>
                <c:pt idx="0">
                  <c:v>Hamburg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80"/>
              </a:solidFill>
              <a:ln>
                <a:solidFill>
                  <a:srgbClr val="000080"/>
                </a:solidFill>
              </a:ln>
            </c:spPr>
          </c:marker>
          <c:xVal>
            <c:numRef>
              <c:f>Charts!$J$2:$J$4</c:f>
              <c:numCache>
                <c:ptCount val="3"/>
                <c:pt idx="0">
                  <c:v>0</c:v>
                </c:pt>
                <c:pt idx="1">
                  <c:v>0</c:v>
                </c:pt>
                <c:pt idx="2">
                  <c:v>0</c:v>
                </c:pt>
              </c:numCache>
            </c:numRef>
          </c:xVal>
          <c:yVal>
            <c:numRef>
              <c:f>Charts!$K$2:$K$4</c:f>
              <c:numCache>
                <c:ptCount val="3"/>
                <c:pt idx="0">
                  <c:v>0</c:v>
                </c:pt>
                <c:pt idx="1">
                  <c:v>0</c:v>
                </c:pt>
                <c:pt idx="2">
                  <c:v>0</c:v>
                </c:pt>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Charts!$D$2:$D$5</c:f>
              <c:numCache>
                <c:ptCount val="4"/>
                <c:pt idx="0">
                  <c:v>0</c:v>
                </c:pt>
                <c:pt idx="1">
                  <c:v>0</c:v>
                </c:pt>
                <c:pt idx="2">
                  <c:v>0</c:v>
                </c:pt>
                <c:pt idx="3">
                  <c:v>0</c:v>
                </c:pt>
              </c:numCache>
            </c:numRef>
          </c:xVal>
          <c:yVal>
            <c:numRef>
              <c:f>Charts!$F$2:$F$5</c:f>
              <c:numCache>
                <c:ptCount val="4"/>
                <c:pt idx="0">
                  <c:v>0</c:v>
                </c:pt>
                <c:pt idx="1">
                  <c:v>0</c:v>
                </c:pt>
                <c:pt idx="2">
                  <c:v>0</c:v>
                </c:pt>
                <c:pt idx="3">
                  <c:v>0</c:v>
                </c:pt>
              </c:numCache>
            </c:numRef>
          </c:yVal>
          <c:smooth val="0"/>
        </c:ser>
        <c:axId val="60762077"/>
        <c:axId val="9987782"/>
      </c:scatterChart>
      <c:valAx>
        <c:axId val="60762077"/>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crossAx val="9987782"/>
        <c:crosses val="autoZero"/>
        <c:crossBetween val="midCat"/>
        <c:dispUnits/>
      </c:valAx>
      <c:valAx>
        <c:axId val="9987782"/>
        <c:scaling>
          <c:orientation val="minMax"/>
          <c:max val="3500"/>
        </c:scaling>
        <c:axPos val="l"/>
        <c:title>
          <c:tx>
            <c:rich>
              <a:bodyPr vert="horz" rot="-5400000" anchor="ctr"/>
              <a:lstStyle/>
              <a:p>
                <a:pPr algn="ctr">
                  <a:defRPr/>
                </a:pPr>
                <a:r>
                  <a:rPr lang="en-US" cap="none" sz="1000" b="1" i="0" u="none" baseline="0">
                    <a:latin typeface="Arial"/>
                    <a:ea typeface="Arial"/>
                    <a:cs typeface="Arial"/>
                  </a:rPr>
                  <a:t>No. of Load Cycles</a:t>
                </a:r>
              </a:p>
            </c:rich>
          </c:tx>
          <c:layout/>
          <c:overlay val="0"/>
          <c:spPr>
            <a:noFill/>
            <a:ln>
              <a:noFill/>
            </a:ln>
          </c:spPr>
        </c:title>
        <c:majorGridlines/>
        <c:delete val="0"/>
        <c:numFmt formatCode="General" sourceLinked="1"/>
        <c:majorTickMark val="out"/>
        <c:minorTickMark val="none"/>
        <c:tickLblPos val="nextTo"/>
        <c:spPr>
          <a:ln w="25400">
            <a:solidFill/>
          </a:ln>
        </c:spPr>
        <c:crossAx val="60762077"/>
        <c:crosses val="autoZero"/>
        <c:crossBetween val="midCat"/>
        <c:dispUnits/>
        <c:majorUnit val="500"/>
        <c:minorUnit val="7"/>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HAMBURG (TARGET LOAD PASSES = 20,000)</a:t>
            </a:r>
          </a:p>
        </c:rich>
      </c:tx>
      <c:layout/>
      <c:spPr>
        <a:noFill/>
        <a:ln>
          <a:noFill/>
        </a:ln>
      </c:spPr>
    </c:title>
    <c:plotArea>
      <c:layout>
        <c:manualLayout>
          <c:xMode val="edge"/>
          <c:yMode val="edge"/>
          <c:x val="0.06075"/>
          <c:y val="0.086"/>
          <c:w val="0.91475"/>
          <c:h val="0.812"/>
        </c:manualLayout>
      </c:layout>
      <c:scatterChart>
        <c:scatterStyle val="lineMarker"/>
        <c:varyColors val="0"/>
        <c:ser>
          <c:idx val="0"/>
          <c:order val="0"/>
          <c:tx>
            <c:strRef>
              <c:f>Charts!$B$1</c:f>
              <c:strCache>
                <c:ptCount val="1"/>
                <c:pt idx="0">
                  <c:v>Hamburg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80"/>
              </a:solidFill>
              <a:ln>
                <a:solidFill>
                  <a:srgbClr val="000080"/>
                </a:solidFill>
              </a:ln>
            </c:spPr>
          </c:marker>
          <c:xVal>
            <c:numRef>
              <c:f>Charts!$A$2:$A$5</c:f>
              <c:numCache>
                <c:ptCount val="4"/>
                <c:pt idx="0">
                  <c:v>0</c:v>
                </c:pt>
                <c:pt idx="1">
                  <c:v>0</c:v>
                </c:pt>
                <c:pt idx="2">
                  <c:v>0</c:v>
                </c:pt>
                <c:pt idx="3">
                  <c:v>0</c:v>
                </c:pt>
              </c:numCache>
            </c:numRef>
          </c:xVal>
          <c:yVal>
            <c:numRef>
              <c:f>Charts!$C$2:$C$5</c:f>
              <c:numCache>
                <c:ptCount val="4"/>
                <c:pt idx="0">
                  <c:v>0</c:v>
                </c:pt>
                <c:pt idx="1">
                  <c:v>0</c:v>
                </c:pt>
                <c:pt idx="2">
                  <c:v>0</c:v>
                </c:pt>
                <c:pt idx="3">
                  <c:v>0</c:v>
                </c:pt>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Charts!$D$2:$D$5</c:f>
              <c:numCache>
                <c:ptCount val="4"/>
                <c:pt idx="0">
                  <c:v>0</c:v>
                </c:pt>
                <c:pt idx="1">
                  <c:v>0</c:v>
                </c:pt>
                <c:pt idx="2">
                  <c:v>0</c:v>
                </c:pt>
                <c:pt idx="3">
                  <c:v>0</c:v>
                </c:pt>
              </c:numCache>
            </c:numRef>
          </c:xVal>
          <c:yVal>
            <c:numRef>
              <c:f>Charts!$I$2:$I$5</c:f>
              <c:numCache>
                <c:ptCount val="4"/>
                <c:pt idx="0">
                  <c:v>0</c:v>
                </c:pt>
                <c:pt idx="1">
                  <c:v>0</c:v>
                </c:pt>
                <c:pt idx="2">
                  <c:v>0</c:v>
                </c:pt>
                <c:pt idx="3">
                  <c:v>0</c:v>
                </c:pt>
              </c:numCache>
            </c:numRef>
          </c:yVal>
          <c:smooth val="0"/>
        </c:ser>
        <c:axId val="22781175"/>
        <c:axId val="3703984"/>
      </c:scatterChart>
      <c:valAx>
        <c:axId val="22781175"/>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txPr>
          <a:bodyPr/>
          <a:lstStyle/>
          <a:p>
            <a:pPr>
              <a:defRPr lang="en-US" cap="none" sz="1100" b="0" i="0" u="none" baseline="0">
                <a:latin typeface="Arial"/>
                <a:ea typeface="Arial"/>
                <a:cs typeface="Arial"/>
              </a:defRPr>
            </a:pPr>
          </a:p>
        </c:txPr>
        <c:crossAx val="3703984"/>
        <c:crosses val="autoZero"/>
        <c:crossBetween val="midCat"/>
        <c:dispUnits/>
      </c:valAx>
      <c:valAx>
        <c:axId val="3703984"/>
        <c:scaling>
          <c:orientation val="minMax"/>
          <c:max val="21000"/>
          <c:min val="0"/>
        </c:scaling>
        <c:axPos val="l"/>
        <c:title>
          <c:tx>
            <c:rich>
              <a:bodyPr vert="horz" rot="-5400000" anchor="ctr"/>
              <a:lstStyle/>
              <a:p>
                <a:pPr algn="ctr">
                  <a:defRPr/>
                </a:pPr>
                <a:r>
                  <a:rPr lang="en-US" cap="none" sz="1000" b="1" i="0" u="none" baseline="0">
                    <a:latin typeface="Arial"/>
                    <a:ea typeface="Arial"/>
                    <a:cs typeface="Arial"/>
                  </a:rPr>
                  <a:t>No. of Load Passes</a:t>
                </a:r>
              </a:p>
            </c:rich>
          </c:tx>
          <c:layout/>
          <c:overlay val="0"/>
          <c:spPr>
            <a:noFill/>
            <a:ln>
              <a:noFill/>
            </a:ln>
          </c:spPr>
        </c:title>
        <c:majorGridlines/>
        <c:delete val="0"/>
        <c:numFmt formatCode="General" sourceLinked="1"/>
        <c:majorTickMark val="out"/>
        <c:minorTickMark val="none"/>
        <c:tickLblPos val="nextTo"/>
        <c:spPr>
          <a:ln w="25400">
            <a:solidFill/>
          </a:ln>
        </c:spPr>
        <c:txPr>
          <a:bodyPr/>
          <a:lstStyle/>
          <a:p>
            <a:pPr>
              <a:defRPr lang="en-US" cap="none" sz="1000" b="0" i="0" u="none" baseline="0">
                <a:latin typeface="Arial"/>
                <a:ea typeface="Arial"/>
                <a:cs typeface="Arial"/>
              </a:defRPr>
            </a:pPr>
          </a:p>
        </c:txPr>
        <c:crossAx val="22781175"/>
        <c:crosses val="autoZero"/>
        <c:crossBetween val="midCat"/>
        <c:dispUnits/>
        <c:majorUnit val="7000"/>
        <c:minorUnit val="42"/>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DESNSITY (TARGET = 98% @ 50 GYRATIONS)</a:t>
            </a:r>
          </a:p>
        </c:rich>
      </c:tx>
      <c:layout/>
      <c:spPr>
        <a:noFill/>
        <a:ln>
          <a:noFill/>
        </a:ln>
      </c:spPr>
    </c:title>
    <c:plotArea>
      <c:layout>
        <c:manualLayout>
          <c:xMode val="edge"/>
          <c:yMode val="edge"/>
          <c:x val="0.06075"/>
          <c:y val="0.08775"/>
          <c:w val="0.91475"/>
          <c:h val="0.8105"/>
        </c:manualLayout>
      </c:layout>
      <c:scatterChart>
        <c:scatterStyle val="lineMarker"/>
        <c:varyColors val="0"/>
        <c:ser>
          <c:idx val="0"/>
          <c:order val="0"/>
          <c:tx>
            <c:strRef>
              <c:f>Charts!$B$1</c:f>
              <c:strCache>
                <c:ptCount val="1"/>
                <c:pt idx="0">
                  <c:v>Hamburg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80"/>
              </a:solidFill>
              <a:ln>
                <a:solidFill>
                  <a:srgbClr val="000080"/>
                </a:solidFill>
              </a:ln>
            </c:spPr>
          </c:marker>
          <c:xVal>
            <c:numRef>
              <c:f>Charts!$A$2:$A$6</c:f>
              <c:numCache>
                <c:ptCount val="5"/>
                <c:pt idx="0">
                  <c:v>0</c:v>
                </c:pt>
                <c:pt idx="1">
                  <c:v>0</c:v>
                </c:pt>
                <c:pt idx="2">
                  <c:v>0</c:v>
                </c:pt>
                <c:pt idx="3">
                  <c:v>0</c:v>
                </c:pt>
                <c:pt idx="4">
                  <c:v>0</c:v>
                </c:pt>
              </c:numCache>
            </c:numRef>
          </c:xVal>
          <c:yVal>
            <c:numRef>
              <c:f>Charts!$A$25:$A$29</c:f>
              <c:numCache>
                <c:ptCount val="5"/>
                <c:pt idx="0">
                  <c:v>0</c:v>
                </c:pt>
                <c:pt idx="1">
                  <c:v>0</c:v>
                </c:pt>
                <c:pt idx="2">
                  <c:v>0</c:v>
                </c:pt>
                <c:pt idx="3">
                  <c:v>0</c:v>
                </c:pt>
                <c:pt idx="4">
                  <c:v>0</c:v>
                </c:pt>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Charts!$D$2:$D$5</c:f>
              <c:numCache>
                <c:ptCount val="4"/>
                <c:pt idx="0">
                  <c:v>0</c:v>
                </c:pt>
                <c:pt idx="1">
                  <c:v>0</c:v>
                </c:pt>
                <c:pt idx="2">
                  <c:v>0</c:v>
                </c:pt>
                <c:pt idx="3">
                  <c:v>0</c:v>
                </c:pt>
              </c:numCache>
            </c:numRef>
          </c:xVal>
          <c:yVal>
            <c:numRef>
              <c:f>Charts!$G$2:$G$5</c:f>
              <c:numCache>
                <c:ptCount val="4"/>
                <c:pt idx="0">
                  <c:v>0</c:v>
                </c:pt>
                <c:pt idx="1">
                  <c:v>0</c:v>
                </c:pt>
                <c:pt idx="2">
                  <c:v>0</c:v>
                </c:pt>
                <c:pt idx="3">
                  <c:v>0</c:v>
                </c:pt>
              </c:numCache>
            </c:numRef>
          </c:yVal>
          <c:smooth val="0"/>
        </c:ser>
        <c:axId val="33335857"/>
        <c:axId val="31587258"/>
      </c:scatterChart>
      <c:valAx>
        <c:axId val="33335857"/>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crossAx val="31587258"/>
        <c:crosses val="autoZero"/>
        <c:crossBetween val="midCat"/>
        <c:dispUnits/>
      </c:valAx>
      <c:valAx>
        <c:axId val="31587258"/>
        <c:scaling>
          <c:orientation val="minMax"/>
          <c:max val="100"/>
          <c:min val="90"/>
        </c:scaling>
        <c:axPos val="l"/>
        <c:title>
          <c:tx>
            <c:rich>
              <a:bodyPr vert="horz" rot="-5400000" anchor="ctr"/>
              <a:lstStyle/>
              <a:p>
                <a:pPr algn="ctr">
                  <a:defRPr/>
                </a:pPr>
                <a:r>
                  <a:rPr lang="en-US" cap="none" sz="1000" b="1" i="0" u="none" baseline="0">
                    <a:latin typeface="Arial"/>
                    <a:ea typeface="Arial"/>
                    <a:cs typeface="Arial"/>
                  </a:rPr>
                  <a:t>Density (%)</a:t>
                </a:r>
              </a:p>
            </c:rich>
          </c:tx>
          <c:layout>
            <c:manualLayout>
              <c:xMode val="factor"/>
              <c:yMode val="factor"/>
              <c:x val="-0.00175"/>
              <c:y val="0"/>
            </c:manualLayout>
          </c:layout>
          <c:overlay val="0"/>
          <c:spPr>
            <a:noFill/>
            <a:ln>
              <a:noFill/>
            </a:ln>
          </c:spPr>
        </c:title>
        <c:majorGridlines/>
        <c:delete val="0"/>
        <c:numFmt formatCode="0.0" sourceLinked="0"/>
        <c:majorTickMark val="out"/>
        <c:minorTickMark val="none"/>
        <c:tickLblPos val="nextTo"/>
        <c:spPr>
          <a:ln w="25400">
            <a:solidFill/>
          </a:ln>
        </c:spPr>
        <c:crossAx val="33335857"/>
        <c:crosses val="autoZero"/>
        <c:crossBetween val="midCat"/>
        <c:dispUnits/>
        <c:majorUnit val="2.5"/>
        <c:minorUnit val="1.8"/>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VMA (MINIMUM = 16%)</a:t>
            </a:r>
          </a:p>
        </c:rich>
      </c:tx>
      <c:layout/>
      <c:spPr>
        <a:noFill/>
        <a:ln>
          <a:noFill/>
        </a:ln>
      </c:spPr>
    </c:title>
    <c:plotArea>
      <c:layout>
        <c:manualLayout>
          <c:xMode val="edge"/>
          <c:yMode val="edge"/>
          <c:x val="0.056"/>
          <c:y val="0.0875"/>
          <c:w val="0.921"/>
          <c:h val="0.81125"/>
        </c:manualLayout>
      </c:layout>
      <c:scatterChart>
        <c:scatterStyle val="lineMarker"/>
        <c:varyColors val="0"/>
        <c:ser>
          <c:idx val="0"/>
          <c:order val="0"/>
          <c:tx>
            <c:strRef>
              <c:f>Charts!$B$1</c:f>
              <c:strCache>
                <c:ptCount val="1"/>
                <c:pt idx="0">
                  <c:v>Hamburg</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solidFill>
                <a:srgbClr val="000080"/>
              </a:solidFill>
              <a:ln>
                <a:solidFill>
                  <a:srgbClr val="000080"/>
                </a:solidFill>
              </a:ln>
            </c:spPr>
          </c:marker>
          <c:xVal>
            <c:numRef>
              <c:f>Charts!$A$2:$A$6</c:f>
              <c:numCache>
                <c:ptCount val="5"/>
                <c:pt idx="0">
                  <c:v>0</c:v>
                </c:pt>
                <c:pt idx="1">
                  <c:v>0</c:v>
                </c:pt>
                <c:pt idx="2">
                  <c:v>0</c:v>
                </c:pt>
                <c:pt idx="3">
                  <c:v>0</c:v>
                </c:pt>
                <c:pt idx="4">
                  <c:v>0</c:v>
                </c:pt>
              </c:numCache>
            </c:numRef>
          </c:xVal>
          <c:yVal>
            <c:numRef>
              <c:f>Charts!$B$25:$B$29</c:f>
              <c:numCache>
                <c:ptCount val="5"/>
                <c:pt idx="0">
                  <c:v>0</c:v>
                </c:pt>
                <c:pt idx="1">
                  <c:v>0</c:v>
                </c:pt>
                <c:pt idx="2">
                  <c:v>0</c:v>
                </c:pt>
                <c:pt idx="3">
                  <c:v>0</c:v>
                </c:pt>
                <c:pt idx="4">
                  <c:v>0</c:v>
                </c:pt>
              </c:numCache>
            </c:numRef>
          </c:yVal>
          <c:smooth val="0"/>
        </c:ser>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Charts!$D$2:$D$5</c:f>
              <c:numCache>
                <c:ptCount val="4"/>
                <c:pt idx="0">
                  <c:v>0</c:v>
                </c:pt>
                <c:pt idx="1">
                  <c:v>0</c:v>
                </c:pt>
                <c:pt idx="2">
                  <c:v>0</c:v>
                </c:pt>
                <c:pt idx="3">
                  <c:v>0</c:v>
                </c:pt>
              </c:numCache>
            </c:numRef>
          </c:xVal>
          <c:yVal>
            <c:numRef>
              <c:f>Charts!$H$2:$H$5</c:f>
              <c:numCache>
                <c:ptCount val="4"/>
                <c:pt idx="0">
                  <c:v>0</c:v>
                </c:pt>
                <c:pt idx="1">
                  <c:v>0</c:v>
                </c:pt>
                <c:pt idx="2">
                  <c:v>0</c:v>
                </c:pt>
                <c:pt idx="3">
                  <c:v>0</c:v>
                </c:pt>
              </c:numCache>
            </c:numRef>
          </c:yVal>
          <c:smooth val="0"/>
        </c:ser>
        <c:axId val="15849867"/>
        <c:axId val="8431076"/>
      </c:scatterChart>
      <c:valAx>
        <c:axId val="15849867"/>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crossAx val="8431076"/>
        <c:crosses val="autoZero"/>
        <c:crossBetween val="midCat"/>
        <c:dispUnits/>
      </c:valAx>
      <c:valAx>
        <c:axId val="8431076"/>
        <c:scaling>
          <c:orientation val="minMax"/>
          <c:max val="30"/>
          <c:min val="10"/>
        </c:scaling>
        <c:axPos val="l"/>
        <c:title>
          <c:tx>
            <c:rich>
              <a:bodyPr vert="horz" rot="-5400000" anchor="ctr"/>
              <a:lstStyle/>
              <a:p>
                <a:pPr algn="ctr">
                  <a:defRPr/>
                </a:pPr>
                <a:r>
                  <a:rPr lang="en-US" cap="none" sz="1000" b="1" i="0" u="none" baseline="0">
                    <a:latin typeface="Arial"/>
                    <a:ea typeface="Arial"/>
                    <a:cs typeface="Arial"/>
                  </a:rPr>
                  <a:t>VMA(%)</a:t>
                </a:r>
              </a:p>
            </c:rich>
          </c:tx>
          <c:layout>
            <c:manualLayout>
              <c:xMode val="factor"/>
              <c:yMode val="factor"/>
              <c:x val="-0.00175"/>
              <c:y val="0"/>
            </c:manualLayout>
          </c:layout>
          <c:overlay val="0"/>
          <c:spPr>
            <a:noFill/>
            <a:ln>
              <a:noFill/>
            </a:ln>
          </c:spPr>
        </c:title>
        <c:majorGridlines/>
        <c:delete val="0"/>
        <c:numFmt formatCode="0.0" sourceLinked="0"/>
        <c:majorTickMark val="out"/>
        <c:minorTickMark val="none"/>
        <c:tickLblPos val="nextTo"/>
        <c:spPr>
          <a:ln w="25400">
            <a:solidFill/>
          </a:ln>
        </c:spPr>
        <c:crossAx val="15849867"/>
        <c:crosses val="autoZero"/>
        <c:crossBetween val="midCat"/>
        <c:dispUnits/>
        <c:majorUnit val="5"/>
        <c:minorUnit val="1.8"/>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339966"/>
                </a:solidFill>
                <a:latin typeface="Arial"/>
                <a:ea typeface="Arial"/>
                <a:cs typeface="Arial"/>
              </a:rPr>
              <a:t>G</a:t>
            </a:r>
            <a:r>
              <a:rPr lang="en-US" cap="none" sz="1200" b="1" i="0" u="none" baseline="-25000">
                <a:solidFill>
                  <a:srgbClr val="339966"/>
                </a:solidFill>
                <a:latin typeface="Arial"/>
                <a:ea typeface="Arial"/>
                <a:cs typeface="Arial"/>
              </a:rPr>
              <a:t>a</a:t>
            </a:r>
            <a:r>
              <a:rPr lang="en-US" cap="none" sz="1200" b="1" i="0" u="none" baseline="0">
                <a:latin typeface="Arial"/>
                <a:ea typeface="Arial"/>
                <a:cs typeface="Arial"/>
              </a:rPr>
              <a:t> &amp; </a:t>
            </a:r>
            <a:r>
              <a:rPr lang="en-US" cap="none" sz="1200" b="1" i="0" u="none" baseline="0">
                <a:solidFill>
                  <a:srgbClr val="FF00FF"/>
                </a:solidFill>
                <a:latin typeface="Arial"/>
                <a:ea typeface="Arial"/>
                <a:cs typeface="Arial"/>
              </a:rPr>
              <a:t>Rice</a:t>
            </a:r>
          </a:p>
        </c:rich>
      </c:tx>
      <c:layout/>
      <c:spPr>
        <a:noFill/>
        <a:ln>
          <a:noFill/>
        </a:ln>
      </c:spPr>
    </c:title>
    <c:plotArea>
      <c:layout>
        <c:manualLayout>
          <c:xMode val="edge"/>
          <c:yMode val="edge"/>
          <c:x val="0.0625"/>
          <c:y val="0.09475"/>
          <c:w val="0.87425"/>
          <c:h val="0.8045"/>
        </c:manualLayout>
      </c:layout>
      <c:scatterChart>
        <c:scatterStyle val="lineMarker"/>
        <c:varyColors val="0"/>
        <c:ser>
          <c:idx val="0"/>
          <c:order val="0"/>
          <c:tx>
            <c:strRef>
              <c:f>Charts!$K$41</c:f>
              <c:strCache>
                <c:ptCount val="1"/>
                <c:pt idx="0">
                  <c:v>Ga</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tar"/>
            <c:size val="4"/>
            <c:spPr>
              <a:solidFill>
                <a:srgbClr val="339966"/>
              </a:solidFill>
              <a:ln>
                <a:solidFill>
                  <a:srgbClr val="339966"/>
                </a:solidFill>
              </a:ln>
            </c:spPr>
          </c:marker>
          <c:xVal>
            <c:numRef>
              <c:f>Charts!$A$2:$A$6</c:f>
              <c:numCache>
                <c:ptCount val="5"/>
                <c:pt idx="0">
                  <c:v>0</c:v>
                </c:pt>
                <c:pt idx="1">
                  <c:v>0</c:v>
                </c:pt>
                <c:pt idx="2">
                  <c:v>0</c:v>
                </c:pt>
                <c:pt idx="3">
                  <c:v>0</c:v>
                </c:pt>
                <c:pt idx="4">
                  <c:v>0</c:v>
                </c:pt>
              </c:numCache>
            </c:numRef>
          </c:xVal>
          <c:yVal>
            <c:numRef>
              <c:f>Charts!$K$42:$K$46</c:f>
              <c:numCache>
                <c:ptCount val="5"/>
                <c:pt idx="0">
                  <c:v>0</c:v>
                </c:pt>
                <c:pt idx="1">
                  <c:v>0</c:v>
                </c:pt>
                <c:pt idx="2">
                  <c:v>0</c:v>
                </c:pt>
                <c:pt idx="3">
                  <c:v>0</c:v>
                </c:pt>
                <c:pt idx="4">
                  <c:v>0</c:v>
                </c:pt>
              </c:numCache>
            </c:numRef>
          </c:yVal>
          <c:smooth val="0"/>
        </c:ser>
        <c:axId val="8770821"/>
        <c:axId val="11828526"/>
      </c:scatterChart>
      <c:scatterChart>
        <c:scatterStyle val="lineMarker"/>
        <c:varyColors val="0"/>
        <c:ser>
          <c:idx val="1"/>
          <c:order val="1"/>
          <c:tx>
            <c:strRef>
              <c:f>Charts!$L$41</c:f>
              <c:strCache>
                <c:ptCount val="1"/>
                <c:pt idx="0">
                  <c:v>Rice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Charts!$A$2:$A$6</c:f>
              <c:numCache>
                <c:ptCount val="5"/>
                <c:pt idx="0">
                  <c:v>0</c:v>
                </c:pt>
                <c:pt idx="1">
                  <c:v>0</c:v>
                </c:pt>
                <c:pt idx="2">
                  <c:v>0</c:v>
                </c:pt>
                <c:pt idx="3">
                  <c:v>0</c:v>
                </c:pt>
                <c:pt idx="4">
                  <c:v>0</c:v>
                </c:pt>
              </c:numCache>
            </c:numRef>
          </c:xVal>
          <c:yVal>
            <c:numRef>
              <c:f>Charts!$L$42:$L$46</c:f>
              <c:numCache>
                <c:ptCount val="5"/>
                <c:pt idx="0">
                  <c:v>0</c:v>
                </c:pt>
                <c:pt idx="1">
                  <c:v>0</c:v>
                </c:pt>
                <c:pt idx="2">
                  <c:v>0</c:v>
                </c:pt>
                <c:pt idx="3">
                  <c:v>0</c:v>
                </c:pt>
                <c:pt idx="4">
                  <c:v>0</c:v>
                </c:pt>
              </c:numCache>
            </c:numRef>
          </c:yVal>
          <c:smooth val="0"/>
        </c:ser>
        <c:axId val="39347871"/>
        <c:axId val="18586520"/>
      </c:scatterChart>
      <c:valAx>
        <c:axId val="8770821"/>
        <c:scaling>
          <c:orientation val="minMax"/>
          <c:min val="6"/>
        </c:scaling>
        <c:axPos val="b"/>
        <c:title>
          <c:tx>
            <c:rich>
              <a:bodyPr vert="horz" rot="0" anchor="ctr"/>
              <a:lstStyle/>
              <a:p>
                <a:pPr algn="ctr">
                  <a:defRPr/>
                </a:pPr>
                <a:r>
                  <a:rPr lang="en-US" cap="none" sz="1000" b="1" i="0" u="none" baseline="0">
                    <a:latin typeface="Arial"/>
                    <a:ea typeface="Arial"/>
                    <a:cs typeface="Arial"/>
                  </a:rPr>
                  <a:t>Asphalt-Binder Content (%)</a:t>
                </a:r>
              </a:p>
            </c:rich>
          </c:tx>
          <c:layout/>
          <c:overlay val="0"/>
          <c:spPr>
            <a:noFill/>
            <a:ln>
              <a:noFill/>
            </a:ln>
          </c:spPr>
        </c:title>
        <c:delete val="0"/>
        <c:numFmt formatCode="0.0" sourceLinked="0"/>
        <c:majorTickMark val="out"/>
        <c:minorTickMark val="none"/>
        <c:tickLblPos val="nextTo"/>
        <c:spPr>
          <a:ln w="25400">
            <a:solidFill/>
          </a:ln>
        </c:spPr>
        <c:crossAx val="11828526"/>
        <c:crosses val="autoZero"/>
        <c:crossBetween val="midCat"/>
        <c:dispUnits/>
      </c:valAx>
      <c:valAx>
        <c:axId val="11828526"/>
        <c:scaling>
          <c:orientation val="minMax"/>
          <c:max val="3"/>
          <c:min val="2"/>
        </c:scaling>
        <c:axPos val="l"/>
        <c:title>
          <c:tx>
            <c:rich>
              <a:bodyPr vert="horz" rot="-5400000" anchor="ctr"/>
              <a:lstStyle/>
              <a:p>
                <a:pPr algn="ctr">
                  <a:defRPr/>
                </a:pPr>
                <a:r>
                  <a:rPr lang="en-US" cap="none" sz="1000" b="1" i="0" u="none" baseline="0">
                    <a:solidFill>
                      <a:srgbClr val="339966"/>
                    </a:solidFill>
                    <a:latin typeface="Arial"/>
                    <a:ea typeface="Arial"/>
                    <a:cs typeface="Arial"/>
                  </a:rPr>
                  <a:t>Ga</a:t>
                </a:r>
              </a:p>
            </c:rich>
          </c:tx>
          <c:layout>
            <c:manualLayout>
              <c:xMode val="factor"/>
              <c:yMode val="factor"/>
              <c:x val="0"/>
              <c:y val="0"/>
            </c:manualLayout>
          </c:layout>
          <c:overlay val="0"/>
          <c:spPr>
            <a:noFill/>
            <a:ln>
              <a:noFill/>
            </a:ln>
          </c:spPr>
        </c:title>
        <c:majorGridlines/>
        <c:delete val="0"/>
        <c:numFmt formatCode="0.0" sourceLinked="0"/>
        <c:majorTickMark val="out"/>
        <c:minorTickMark val="none"/>
        <c:tickLblPos val="nextTo"/>
        <c:spPr>
          <a:ln w="25400">
            <a:solidFill/>
          </a:ln>
        </c:spPr>
        <c:txPr>
          <a:bodyPr/>
          <a:lstStyle/>
          <a:p>
            <a:pPr>
              <a:defRPr lang="en-US" cap="none" sz="1000" b="0" i="0" u="none" baseline="0">
                <a:solidFill>
                  <a:srgbClr val="339966"/>
                </a:solidFill>
                <a:latin typeface="Arial"/>
                <a:ea typeface="Arial"/>
                <a:cs typeface="Arial"/>
              </a:defRPr>
            </a:pPr>
          </a:p>
        </c:txPr>
        <c:crossAx val="8770821"/>
        <c:crosses val="autoZero"/>
        <c:crossBetween val="midCat"/>
        <c:dispUnits/>
        <c:majorUnit val="0.2"/>
        <c:minorUnit val="0.05"/>
      </c:valAx>
      <c:valAx>
        <c:axId val="39347871"/>
        <c:scaling>
          <c:orientation val="minMax"/>
        </c:scaling>
        <c:axPos val="b"/>
        <c:delete val="1"/>
        <c:majorTickMark val="in"/>
        <c:minorTickMark val="none"/>
        <c:tickLblPos val="nextTo"/>
        <c:crossAx val="18586520"/>
        <c:crosses val="max"/>
        <c:crossBetween val="midCat"/>
        <c:dispUnits/>
      </c:valAx>
      <c:valAx>
        <c:axId val="18586520"/>
        <c:scaling>
          <c:orientation val="minMax"/>
          <c:max val="3"/>
          <c:min val="2"/>
        </c:scaling>
        <c:axPos val="l"/>
        <c:title>
          <c:tx>
            <c:rich>
              <a:bodyPr vert="horz" rot="-5400000" anchor="ctr"/>
              <a:lstStyle/>
              <a:p>
                <a:pPr algn="ctr">
                  <a:defRPr/>
                </a:pPr>
                <a:r>
                  <a:rPr lang="en-US" cap="none" sz="1000" b="1" i="0" u="none" baseline="0">
                    <a:solidFill>
                      <a:srgbClr val="FF00FF"/>
                    </a:solidFill>
                    <a:latin typeface="Arial"/>
                    <a:ea typeface="Arial"/>
                    <a:cs typeface="Arial"/>
                  </a:rPr>
                  <a:t>Rice</a:t>
                </a:r>
              </a:p>
            </c:rich>
          </c:tx>
          <c:layout/>
          <c:overlay val="0"/>
          <c:spPr>
            <a:noFill/>
            <a:ln>
              <a:noFill/>
            </a:ln>
          </c:spPr>
        </c:title>
        <c:delete val="0"/>
        <c:numFmt formatCode="General" sourceLinked="1"/>
        <c:majorTickMark val="cross"/>
        <c:minorTickMark val="none"/>
        <c:tickLblPos val="nextTo"/>
        <c:spPr>
          <a:ln w="25400">
            <a:solidFill/>
          </a:ln>
        </c:spPr>
        <c:txPr>
          <a:bodyPr/>
          <a:lstStyle/>
          <a:p>
            <a:pPr>
              <a:defRPr lang="en-US" cap="none" sz="1000" b="0" i="0" u="none" baseline="0">
                <a:solidFill>
                  <a:srgbClr val="FF00FF"/>
                </a:solidFill>
                <a:latin typeface="Arial"/>
                <a:ea typeface="Arial"/>
                <a:cs typeface="Arial"/>
              </a:defRPr>
            </a:pPr>
          </a:p>
        </c:txPr>
        <c:crossAx val="39347871"/>
        <c:crosses val="max"/>
        <c:crossBetween val="midCat"/>
        <c:dispUnits/>
        <c:majorUnit val="0.2"/>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1"/>
  <sheetViews>
    <sheetView workbookViewId="0" zoomToFit="1"/>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28575</xdr:rowOff>
    </xdr:from>
    <xdr:to>
      <xdr:col>3</xdr:col>
      <xdr:colOff>295275</xdr:colOff>
      <xdr:row>5</xdr:row>
      <xdr:rowOff>180975</xdr:rowOff>
    </xdr:to>
    <xdr:sp macro="[0]!ThisWorkbook.Cleaner">
      <xdr:nvSpPr>
        <xdr:cNvPr id="1" name="TextBox 131"/>
        <xdr:cNvSpPr txBox="1">
          <a:spLocks noChangeArrowheads="1"/>
        </xdr:cNvSpPr>
      </xdr:nvSpPr>
      <xdr:spPr>
        <a:xfrm>
          <a:off x="76200" y="809625"/>
          <a:ext cx="1047750" cy="152400"/>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Refresh Workbook</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0.10625</cdr:x>
      <cdr:y>0.339</cdr:y>
    </cdr:from>
    <cdr:to>
      <cdr:x>0.78475</cdr:x>
      <cdr:y>0.34575</cdr:y>
    </cdr:to>
    <cdr:sp>
      <cdr:nvSpPr>
        <cdr:cNvPr id="1" name="AutoShape 1"/>
        <cdr:cNvSpPr>
          <a:spLocks/>
        </cdr:cNvSpPr>
      </cdr:nvSpPr>
      <cdr:spPr>
        <a:xfrm>
          <a:off x="638175" y="1428750"/>
          <a:ext cx="4114800" cy="28575"/>
        </a:xfrm>
        <a:custGeom>
          <a:pathLst>
            <a:path h="28575" w="5314950">
              <a:moveTo>
                <a:pt x="0" y="28575"/>
              </a:moveTo>
              <a:lnTo>
                <a:pt x="5314950" y="0"/>
              </a:lnTo>
            </a:path>
          </a:pathLst>
        </a:custGeom>
        <a:noFill/>
        <a:ln w="19050"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0.7855</cdr:x>
      <cdr:y>0.339</cdr:y>
    </cdr:from>
    <cdr:to>
      <cdr:x>0.78725</cdr:x>
      <cdr:y>0.86025</cdr:y>
    </cdr:to>
    <cdr:sp>
      <cdr:nvSpPr>
        <cdr:cNvPr id="2" name="AutoShape 2"/>
        <cdr:cNvSpPr>
          <a:spLocks/>
        </cdr:cNvSpPr>
      </cdr:nvSpPr>
      <cdr:spPr>
        <a:xfrm>
          <a:off x="4752975" y="1428750"/>
          <a:ext cx="9525" cy="2209800"/>
        </a:xfrm>
        <a:custGeom>
          <a:pathLst>
            <a:path h="2276475" w="9525">
              <a:moveTo>
                <a:pt x="0" y="0"/>
              </a:moveTo>
              <a:lnTo>
                <a:pt x="9525" y="2276475"/>
              </a:lnTo>
            </a:path>
          </a:pathLst>
        </a:custGeom>
        <a:noFill/>
        <a:ln w="19050" cmpd="sng">
          <a:solidFill>
            <a:srgbClr val="000000"/>
          </a:solidFill>
          <a:prstDash val="dash"/>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0.70325</cdr:y>
    </cdr:from>
    <cdr:to>
      <cdr:x>0.9005</cdr:x>
      <cdr:y>0.70325</cdr:y>
    </cdr:to>
    <cdr:sp>
      <cdr:nvSpPr>
        <cdr:cNvPr id="3" name="AutoShape 3"/>
        <cdr:cNvSpPr>
          <a:spLocks/>
        </cdr:cNvSpPr>
      </cdr:nvSpPr>
      <cdr:spPr>
        <a:xfrm>
          <a:off x="4162425" y="2971800"/>
          <a:ext cx="1285875" cy="0"/>
        </a:xfrm>
        <a:custGeom>
          <a:pathLst>
            <a:path h="1" w="1657350">
              <a:moveTo>
                <a:pt x="1657350" y="0"/>
              </a:moveTo>
              <a:lnTo>
                <a:pt x="0" y="0"/>
              </a:lnTo>
            </a:path>
          </a:pathLst>
        </a:custGeom>
        <a:noFill/>
        <a:ln w="19050" cmpd="sng">
          <a:solidFill>
            <a:srgbClr val="FF00FF"/>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0.7055</cdr:y>
    </cdr:from>
    <cdr:to>
      <cdr:x>0.68825</cdr:x>
      <cdr:y>0.86025</cdr:y>
    </cdr:to>
    <cdr:sp>
      <cdr:nvSpPr>
        <cdr:cNvPr id="4" name="AutoShape 4"/>
        <cdr:cNvSpPr>
          <a:spLocks/>
        </cdr:cNvSpPr>
      </cdr:nvSpPr>
      <cdr:spPr>
        <a:xfrm>
          <a:off x="4162425" y="2981325"/>
          <a:ext cx="0" cy="657225"/>
        </a:xfrm>
        <a:custGeom>
          <a:pathLst>
            <a:path h="676275" w="1">
              <a:moveTo>
                <a:pt x="0" y="0"/>
              </a:moveTo>
              <a:lnTo>
                <a:pt x="0" y="676275"/>
              </a:lnTo>
              <a:lnTo>
                <a:pt x="0" y="676275"/>
              </a:lnTo>
            </a:path>
          </a:pathLst>
        </a:custGeom>
        <a:noFill/>
        <a:ln w="19050" cmpd="sng">
          <a:solidFill>
            <a:srgbClr val="FF00FF"/>
          </a:solidFill>
          <a:prstDash val="dash"/>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0.73625</cdr:x>
      <cdr:y>0.44375</cdr:y>
    </cdr:from>
    <cdr:to>
      <cdr:x>0.7385</cdr:x>
      <cdr:y>0.86025</cdr:y>
    </cdr:to>
    <cdr:sp>
      <cdr:nvSpPr>
        <cdr:cNvPr id="5" name="AutoShape 5"/>
        <cdr:cNvSpPr>
          <a:spLocks/>
        </cdr:cNvSpPr>
      </cdr:nvSpPr>
      <cdr:spPr>
        <a:xfrm>
          <a:off x="4457700" y="1876425"/>
          <a:ext cx="9525" cy="1762125"/>
        </a:xfrm>
        <a:custGeom>
          <a:pathLst>
            <a:path h="1819275" w="19050">
              <a:moveTo>
                <a:pt x="0" y="0"/>
              </a:moveTo>
              <a:lnTo>
                <a:pt x="19050" y="19050"/>
              </a:lnTo>
              <a:lnTo>
                <a:pt x="9525" y="1819275"/>
              </a:lnTo>
            </a:path>
          </a:pathLst>
        </a:custGeom>
        <a:noFill/>
        <a:ln w="88900" cmpd="sng">
          <a:solidFill>
            <a:srgbClr val="0000FF"/>
          </a:solidFill>
          <a:prstDash val="sysDash"/>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0.689</cdr:x>
      <cdr:y>0.7385</cdr:y>
    </cdr:from>
    <cdr:to>
      <cdr:x>0.81175</cdr:x>
      <cdr:y>0.75875</cdr:y>
    </cdr:to>
    <cdr:pic>
      <cdr:nvPicPr>
        <cdr:cNvPr id="6" name="Picture 6"/>
        <cdr:cNvPicPr preferRelativeResize="1">
          <a:picLocks noChangeAspect="1"/>
        </cdr:cNvPicPr>
      </cdr:nvPicPr>
      <cdr:blipFill>
        <a:blip r:embed="rId1"/>
        <a:srcRect r="74746" b="-717"/>
        <a:stretch>
          <a:fillRect/>
        </a:stretch>
      </cdr:blipFill>
      <cdr:spPr>
        <a:xfrm>
          <a:off x="4171950" y="3124200"/>
          <a:ext cx="742950" cy="85725"/>
        </a:xfrm>
        <a:prstGeom prst="rect">
          <a:avLst/>
        </a:prstGeom>
        <a:solidFill>
          <a:srgbClr val="FFFF99"/>
        </a:solidFill>
        <a:ln w="9525" cmpd="sng">
          <a:solidFill>
            <a:srgbClr val="FFFF99"/>
          </a:solidFill>
          <a:headEnd type="none"/>
          <a:tailEnd type="none"/>
        </a:ln>
      </cdr:spPr>
    </cdr:pic>
  </cdr:relSizeAnchor>
  <cdr:relSizeAnchor xmlns:cdr="http://schemas.openxmlformats.org/drawingml/2006/chartDrawing">
    <cdr:from>
      <cdr:x>0.689</cdr:x>
      <cdr:y>0.7615</cdr:y>
    </cdr:from>
    <cdr:to>
      <cdr:x>0.788</cdr:x>
      <cdr:y>0.78175</cdr:y>
    </cdr:to>
    <cdr:pic>
      <cdr:nvPicPr>
        <cdr:cNvPr id="7" name="Picture 7"/>
        <cdr:cNvPicPr preferRelativeResize="1">
          <a:picLocks noChangeAspect="1"/>
        </cdr:cNvPicPr>
      </cdr:nvPicPr>
      <cdr:blipFill>
        <a:blip r:embed="rId1"/>
        <a:srcRect l="25421" t="-1550" r="54089" b="82"/>
        <a:stretch>
          <a:fillRect/>
        </a:stretch>
      </cdr:blipFill>
      <cdr:spPr>
        <a:xfrm>
          <a:off x="4171950" y="3219450"/>
          <a:ext cx="600075" cy="85725"/>
        </a:xfrm>
        <a:prstGeom prst="rect">
          <a:avLst/>
        </a:prstGeom>
        <a:solidFill>
          <a:srgbClr val="FFFF99"/>
        </a:solidFill>
        <a:ln w="9525" cmpd="sng">
          <a:solidFill>
            <a:srgbClr val="FFFF99"/>
          </a:solidFill>
          <a:headEnd type="none"/>
          <a:tailEnd type="none"/>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27</xdr:row>
      <xdr:rowOff>95250</xdr:rowOff>
    </xdr:from>
    <xdr:to>
      <xdr:col>28</xdr:col>
      <xdr:colOff>38100</xdr:colOff>
      <xdr:row>51</xdr:row>
      <xdr:rowOff>28575</xdr:rowOff>
    </xdr:to>
    <xdr:graphicFrame>
      <xdr:nvGraphicFramePr>
        <xdr:cNvPr id="1" name="Chart 39"/>
        <xdr:cNvGraphicFramePr/>
      </xdr:nvGraphicFramePr>
      <xdr:xfrm>
        <a:off x="4591050" y="5114925"/>
        <a:ext cx="6057900" cy="4238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01500" cy="7324725"/>
    <xdr:graphicFrame>
      <xdr:nvGraphicFramePr>
        <xdr:cNvPr id="1" name="Shape 1025"/>
        <xdr:cNvGraphicFramePr/>
      </xdr:nvGraphicFramePr>
      <xdr:xfrm>
        <a:off x="0" y="0"/>
        <a:ext cx="12001500" cy="7324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114300</xdr:rowOff>
    </xdr:from>
    <xdr:to>
      <xdr:col>9</xdr:col>
      <xdr:colOff>133350</xdr:colOff>
      <xdr:row>19</xdr:row>
      <xdr:rowOff>104775</xdr:rowOff>
    </xdr:to>
    <xdr:graphicFrame>
      <xdr:nvGraphicFramePr>
        <xdr:cNvPr id="1" name="Chart 1"/>
        <xdr:cNvGraphicFramePr/>
      </xdr:nvGraphicFramePr>
      <xdr:xfrm>
        <a:off x="123825" y="114300"/>
        <a:ext cx="5495925" cy="306705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19</xdr:row>
      <xdr:rowOff>142875</xdr:rowOff>
    </xdr:from>
    <xdr:to>
      <xdr:col>9</xdr:col>
      <xdr:colOff>161925</xdr:colOff>
      <xdr:row>38</xdr:row>
      <xdr:rowOff>142875</xdr:rowOff>
    </xdr:to>
    <xdr:graphicFrame>
      <xdr:nvGraphicFramePr>
        <xdr:cNvPr id="2" name="Chart 2"/>
        <xdr:cNvGraphicFramePr/>
      </xdr:nvGraphicFramePr>
      <xdr:xfrm>
        <a:off x="123825" y="3219450"/>
        <a:ext cx="5524500" cy="3076575"/>
      </xdr:xfrm>
      <a:graphic>
        <a:graphicData uri="http://schemas.openxmlformats.org/drawingml/2006/chart">
          <c:chart xmlns:c="http://schemas.openxmlformats.org/drawingml/2006/chart" r:id="rId2"/>
        </a:graphicData>
      </a:graphic>
    </xdr:graphicFrame>
    <xdr:clientData/>
  </xdr:twoCellAnchor>
  <xdr:twoCellAnchor>
    <xdr:from>
      <xdr:col>9</xdr:col>
      <xdr:colOff>190500</xdr:colOff>
      <xdr:row>0</xdr:row>
      <xdr:rowOff>104775</xdr:rowOff>
    </xdr:from>
    <xdr:to>
      <xdr:col>17</xdr:col>
      <xdr:colOff>419100</xdr:colOff>
      <xdr:row>19</xdr:row>
      <xdr:rowOff>104775</xdr:rowOff>
    </xdr:to>
    <xdr:graphicFrame>
      <xdr:nvGraphicFramePr>
        <xdr:cNvPr id="3" name="Chart 3"/>
        <xdr:cNvGraphicFramePr/>
      </xdr:nvGraphicFramePr>
      <xdr:xfrm>
        <a:off x="5676900" y="104775"/>
        <a:ext cx="5105400" cy="3076575"/>
      </xdr:xfrm>
      <a:graphic>
        <a:graphicData uri="http://schemas.openxmlformats.org/drawingml/2006/chart">
          <c:chart xmlns:c="http://schemas.openxmlformats.org/drawingml/2006/chart" r:id="rId3"/>
        </a:graphicData>
      </a:graphic>
    </xdr:graphicFrame>
    <xdr:clientData/>
  </xdr:twoCellAnchor>
  <xdr:twoCellAnchor>
    <xdr:from>
      <xdr:col>9</xdr:col>
      <xdr:colOff>228600</xdr:colOff>
      <xdr:row>19</xdr:row>
      <xdr:rowOff>152400</xdr:rowOff>
    </xdr:from>
    <xdr:to>
      <xdr:col>17</xdr:col>
      <xdr:colOff>457200</xdr:colOff>
      <xdr:row>39</xdr:row>
      <xdr:rowOff>0</xdr:rowOff>
    </xdr:to>
    <xdr:graphicFrame>
      <xdr:nvGraphicFramePr>
        <xdr:cNvPr id="4" name="Chart 4"/>
        <xdr:cNvGraphicFramePr/>
      </xdr:nvGraphicFramePr>
      <xdr:xfrm>
        <a:off x="5715000" y="3228975"/>
        <a:ext cx="5105400" cy="3086100"/>
      </xdr:xfrm>
      <a:graphic>
        <a:graphicData uri="http://schemas.openxmlformats.org/drawingml/2006/chart">
          <c:chart xmlns:c="http://schemas.openxmlformats.org/drawingml/2006/chart" r:id="rId4"/>
        </a:graphicData>
      </a:graphic>
    </xdr:graphicFrame>
    <xdr:clientData/>
  </xdr:twoCellAnchor>
  <xdr:twoCellAnchor>
    <xdr:from>
      <xdr:col>0</xdr:col>
      <xdr:colOff>114300</xdr:colOff>
      <xdr:row>39</xdr:row>
      <xdr:rowOff>57150</xdr:rowOff>
    </xdr:from>
    <xdr:to>
      <xdr:col>9</xdr:col>
      <xdr:colOff>171450</xdr:colOff>
      <xdr:row>58</xdr:row>
      <xdr:rowOff>76200</xdr:rowOff>
    </xdr:to>
    <xdr:graphicFrame>
      <xdr:nvGraphicFramePr>
        <xdr:cNvPr id="5" name="Chart 5"/>
        <xdr:cNvGraphicFramePr/>
      </xdr:nvGraphicFramePr>
      <xdr:xfrm>
        <a:off x="114300" y="6372225"/>
        <a:ext cx="5543550" cy="3095625"/>
      </xdr:xfrm>
      <a:graphic>
        <a:graphicData uri="http://schemas.openxmlformats.org/drawingml/2006/chart">
          <c:chart xmlns:c="http://schemas.openxmlformats.org/drawingml/2006/chart" r:id="rId5"/>
        </a:graphicData>
      </a:graphic>
    </xdr:graphicFrame>
    <xdr:clientData/>
  </xdr:twoCellAnchor>
  <xdr:twoCellAnchor>
    <xdr:from>
      <xdr:col>9</xdr:col>
      <xdr:colOff>247650</xdr:colOff>
      <xdr:row>39</xdr:row>
      <xdr:rowOff>57150</xdr:rowOff>
    </xdr:from>
    <xdr:to>
      <xdr:col>17</xdr:col>
      <xdr:colOff>457200</xdr:colOff>
      <xdr:row>58</xdr:row>
      <xdr:rowOff>85725</xdr:rowOff>
    </xdr:to>
    <xdr:graphicFrame>
      <xdr:nvGraphicFramePr>
        <xdr:cNvPr id="6" name="Chart 6"/>
        <xdr:cNvGraphicFramePr/>
      </xdr:nvGraphicFramePr>
      <xdr:xfrm>
        <a:off x="5734050" y="6372225"/>
        <a:ext cx="5086350" cy="3105150"/>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581025</xdr:colOff>
      <xdr:row>0</xdr:row>
      <xdr:rowOff>95250</xdr:rowOff>
    </xdr:from>
    <xdr:to>
      <xdr:col>12</xdr:col>
      <xdr:colOff>295275</xdr:colOff>
      <xdr:row>2</xdr:row>
      <xdr:rowOff>209550</xdr:rowOff>
    </xdr:to>
    <xdr:sp>
      <xdr:nvSpPr>
        <xdr:cNvPr id="1" name="AutoShape 1"/>
        <xdr:cNvSpPr>
          <a:spLocks/>
        </xdr:cNvSpPr>
      </xdr:nvSpPr>
      <xdr:spPr>
        <a:xfrm>
          <a:off x="6943725" y="95250"/>
          <a:ext cx="933450" cy="466725"/>
        </a:xfrm>
        <a:prstGeom prst="wedgeRectCallout">
          <a:avLst>
            <a:gd name="adj1" fmla="val -117347"/>
            <a:gd name="adj2" fmla="val 15408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Goes with power 45 chart.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x-hu\My%20Documents\for%20Tom\Pecos_Fine%20Graded%20Surface%20Mix\1%20CAM%20(most%20of%20them%20with%20balance%20design%20concept)\04_Lubbock\Mold%20and%20AV%20and%20RICE%20(Lubbock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WTT-6.0%AC"/>
      <sheetName val="HWTT-6.5%AC"/>
      <sheetName val="HWTT-7.0%AC"/>
      <sheetName val="HWTT-7.5%AC"/>
      <sheetName val="HWTT-8.0%AC"/>
      <sheetName val="OT-6.0%AC"/>
      <sheetName val="OT-6.5%AC"/>
      <sheetName val="OT-7.0%AC"/>
      <sheetName val="OT-7.5%AC"/>
      <sheetName val="OT-8.0%AC"/>
      <sheetName val="RICE &amp; AV Testing"/>
      <sheetName val="Lubbock_A Results "/>
    </sheetNames>
    <sheetDataSet>
      <sheetData sheetId="11">
        <row r="4">
          <cell r="J4" t="str">
            <v>OT</v>
          </cell>
        </row>
        <row r="5">
          <cell r="I5">
            <v>6</v>
          </cell>
          <cell r="J5">
            <v>52</v>
          </cell>
          <cell r="M5">
            <v>6</v>
          </cell>
          <cell r="N5">
            <v>1.5</v>
          </cell>
        </row>
        <row r="6">
          <cell r="I6">
            <v>7</v>
          </cell>
          <cell r="J6">
            <v>588</v>
          </cell>
          <cell r="M6">
            <v>6.5</v>
          </cell>
          <cell r="N6">
            <v>2.7</v>
          </cell>
        </row>
        <row r="7">
          <cell r="I7">
            <v>7.5</v>
          </cell>
          <cell r="J7">
            <v>1883</v>
          </cell>
          <cell r="M7">
            <v>7</v>
          </cell>
          <cell r="N7">
            <v>6.1</v>
          </cell>
        </row>
        <row r="8">
          <cell r="M8">
            <v>7.5</v>
          </cell>
          <cell r="N8">
            <v>16.1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nuals.dot.state.tx.us/dynaweb/colmates/mtp/@Generic__BookTextView/66670" TargetMode="External" /><Relationship Id="rId2" Type="http://schemas.openxmlformats.org/officeDocument/2006/relationships/hyperlink" Target="http://manuals.dot.state.tx.us/dynaweb/colmates/mtp/@Generic__BookTextView/51238" TargetMode="External" /><Relationship Id="rId3" Type="http://schemas.openxmlformats.org/officeDocument/2006/relationships/hyperlink" Target="http://manuals.dot.state.tx.us/dynaweb/colmates/mtp/@Generic__BookTextView/49076" TargetMode="External" /><Relationship Id="rId4" Type="http://schemas.openxmlformats.org/officeDocument/2006/relationships/hyperlink" Target="http://manuals.dot.state.tx.us/dynaweb/colmates/mtp/@Generic__BookTextView/61958" TargetMode="External" /><Relationship Id="rId5" Type="http://schemas.openxmlformats.org/officeDocument/2006/relationships/hyperlink" Target="http://manuals.dot.state.tx.us/dynaweb/colmates/mtp/@Generic__BookTextView/64996" TargetMode="External" /><Relationship Id="rId6" Type="http://schemas.openxmlformats.org/officeDocument/2006/relationships/hyperlink" Target="http://manuals.dot.state.tx.us/dynaweb/colmates/mtp/@Generic__BookTextView/52494" TargetMode="External" /><Relationship Id="rId7" Type="http://schemas.openxmlformats.org/officeDocument/2006/relationships/hyperlink" Target="http://manuals.dot.state.tx.us/dynaweb/colmates/mtp/@Generic__BookTextView/64090" TargetMode="External" /><Relationship Id="rId8" Type="http://schemas.openxmlformats.org/officeDocument/2006/relationships/hyperlink" Target="http://manuals.dot.state.tx.us/dynaweb/colmates/mtp/@Generic__BookTextView/69871" TargetMode="External" /><Relationship Id="rId9" Type="http://schemas.openxmlformats.org/officeDocument/2006/relationships/hyperlink" Target="http://manuals.dot.state.tx.us/dynaweb/colmates/mtp/@Generic__BookView" TargetMode="External" /><Relationship Id="rId10" Type="http://schemas.openxmlformats.org/officeDocument/2006/relationships/comments" Target="../comments1.xml" /><Relationship Id="rId11" Type="http://schemas.openxmlformats.org/officeDocument/2006/relationships/vmlDrawing" Target="../drawings/vmlDrawing1.vm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G63"/>
  <sheetViews>
    <sheetView showGridLines="0" tabSelected="1" zoomScaleSheetLayoutView="25" workbookViewId="0" topLeftCell="A1">
      <pane ySplit="1" topLeftCell="BM2" activePane="bottomLeft" state="frozen"/>
      <selection pane="topLeft" activeCell="E7" sqref="E7:J7"/>
      <selection pane="bottomLeft" activeCell="Y11" sqref="Y11"/>
    </sheetView>
  </sheetViews>
  <sheetFormatPr defaultColWidth="9.140625" defaultRowHeight="15" customHeight="1"/>
  <cols>
    <col min="1" max="1" width="0.9921875" style="20" customWidth="1"/>
    <col min="2" max="4" width="5.7109375" style="10" customWidth="1"/>
    <col min="5" max="5" width="6.28125" style="10" customWidth="1"/>
    <col min="6" max="6" width="5.7109375" style="10" customWidth="1"/>
    <col min="7" max="7" width="6.28125" style="10" customWidth="1"/>
    <col min="8" max="8" width="5.7109375" style="10" customWidth="1"/>
    <col min="9" max="9" width="6.28125" style="10" customWidth="1"/>
    <col min="10" max="10" width="5.7109375" style="10" customWidth="1"/>
    <col min="11" max="11" width="6.28125" style="10" customWidth="1"/>
    <col min="12" max="12" width="5.7109375" style="10" customWidth="1"/>
    <col min="13" max="13" width="6.28125" style="10" customWidth="1"/>
    <col min="14" max="14" width="5.7109375" style="10" customWidth="1"/>
    <col min="15" max="15" width="6.28125" style="10" customWidth="1"/>
    <col min="16" max="16" width="5.7109375" style="10" customWidth="1"/>
    <col min="17" max="17" width="6.28125" style="10" customWidth="1"/>
    <col min="18" max="18" width="5.7109375" style="10" customWidth="1"/>
    <col min="19" max="19" width="7.140625" style="10" customWidth="1"/>
    <col min="20" max="22" width="5.7109375" style="10" customWidth="1"/>
    <col min="23" max="23" width="6.00390625" style="10" customWidth="1"/>
    <col min="24" max="27" width="5.7109375" style="10" customWidth="1"/>
    <col min="28" max="28" width="9.421875" style="10" customWidth="1"/>
    <col min="29" max="54" width="6.28125" style="10" customWidth="1"/>
    <col min="55" max="62" width="11.7109375" style="10" customWidth="1"/>
    <col min="63" max="16384" width="6.7109375" style="10" customWidth="1"/>
  </cols>
  <sheetData>
    <row r="1" spans="1:27" s="41" customFormat="1" ht="12" customHeight="1">
      <c r="A1" s="262" t="s">
        <v>55</v>
      </c>
      <c r="B1" s="262"/>
      <c r="C1" s="262"/>
      <c r="E1" s="42" t="s">
        <v>56</v>
      </c>
      <c r="G1" s="42" t="s">
        <v>57</v>
      </c>
      <c r="I1" s="42" t="s">
        <v>63</v>
      </c>
      <c r="K1" s="42" t="s">
        <v>7</v>
      </c>
      <c r="L1" s="42"/>
      <c r="M1" s="42" t="s">
        <v>8</v>
      </c>
      <c r="O1" s="42" t="s">
        <v>9</v>
      </c>
      <c r="P1" s="42"/>
      <c r="Q1" s="42" t="s">
        <v>10</v>
      </c>
      <c r="S1" s="42" t="s">
        <v>11</v>
      </c>
      <c r="T1" s="42"/>
      <c r="X1" s="42"/>
      <c r="AA1" s="42"/>
    </row>
    <row r="2" spans="1:41" s="5" customFormat="1" ht="15" customHeight="1">
      <c r="A2" s="18"/>
      <c r="B2" s="176" t="s">
        <v>0</v>
      </c>
      <c r="C2" s="2"/>
      <c r="D2" s="2"/>
      <c r="E2" s="2"/>
      <c r="F2" s="2"/>
      <c r="G2" s="3"/>
      <c r="H2" s="3"/>
      <c r="I2" s="3"/>
      <c r="J2" s="3"/>
      <c r="K2" s="3"/>
      <c r="L2" s="3"/>
      <c r="M2" s="3"/>
      <c r="N2" s="3"/>
      <c r="O2" s="201"/>
      <c r="P2" s="4"/>
      <c r="Q2" s="4"/>
      <c r="R2" s="18"/>
      <c r="S2" s="94">
        <v>557</v>
      </c>
      <c r="U2" s="93"/>
      <c r="V2" s="93"/>
      <c r="W2" s="18"/>
      <c r="X2" s="18"/>
      <c r="Y2" s="18"/>
      <c r="Z2" s="18"/>
      <c r="AA2" s="18"/>
      <c r="AB2" s="18"/>
      <c r="AC2" s="18"/>
      <c r="AD2" s="18"/>
      <c r="AE2" s="18"/>
      <c r="AF2" s="18"/>
      <c r="AG2" s="40"/>
      <c r="AH2" s="40"/>
      <c r="AI2" s="93"/>
      <c r="AJ2" s="93"/>
      <c r="AK2" s="93"/>
      <c r="AL2" s="93"/>
      <c r="AM2" s="93"/>
      <c r="AO2" s="6"/>
    </row>
    <row r="3" spans="1:41" s="5" customFormat="1" ht="15" customHeight="1">
      <c r="A3" s="18"/>
      <c r="B3" s="2"/>
      <c r="C3" s="2"/>
      <c r="D3" s="2"/>
      <c r="E3" s="2"/>
      <c r="F3" s="2"/>
      <c r="G3" s="3"/>
      <c r="H3" s="3"/>
      <c r="I3" s="3"/>
      <c r="J3" s="3"/>
      <c r="K3" s="3"/>
      <c r="L3" s="3"/>
      <c r="M3" s="3"/>
      <c r="N3" s="19"/>
      <c r="P3" s="19"/>
      <c r="Q3" s="19"/>
      <c r="R3" s="19"/>
      <c r="S3" s="94">
        <v>8</v>
      </c>
      <c r="U3" s="93"/>
      <c r="V3" s="93"/>
      <c r="W3" s="18"/>
      <c r="X3" s="4"/>
      <c r="Y3" s="4"/>
      <c r="Z3" s="4"/>
      <c r="AA3" s="4"/>
      <c r="AB3" s="4"/>
      <c r="AC3" s="4"/>
      <c r="AD3" s="4"/>
      <c r="AE3" s="4"/>
      <c r="AF3" s="4"/>
      <c r="AG3" s="4"/>
      <c r="AH3" s="4"/>
      <c r="AI3" s="95"/>
      <c r="AJ3" s="95"/>
      <c r="AK3" s="6"/>
      <c r="AL3" s="6"/>
      <c r="AM3" s="6"/>
      <c r="AN3" s="6"/>
      <c r="AO3" s="96"/>
    </row>
    <row r="4" spans="1:42" s="5" customFormat="1" ht="5.25" customHeight="1">
      <c r="A4" s="19"/>
      <c r="B4" s="8"/>
      <c r="C4" s="8"/>
      <c r="D4" s="8"/>
      <c r="E4" s="8"/>
      <c r="F4" s="8"/>
      <c r="G4" s="3"/>
      <c r="H4" s="3"/>
      <c r="I4" s="3"/>
      <c r="J4" s="3"/>
      <c r="K4" s="3"/>
      <c r="L4" s="3"/>
      <c r="M4" s="3"/>
      <c r="N4" s="19"/>
      <c r="O4" s="200"/>
      <c r="P4" s="19"/>
      <c r="Q4" s="19"/>
      <c r="R4" s="19"/>
      <c r="S4" s="140"/>
      <c r="U4" s="19"/>
      <c r="V4" s="19"/>
      <c r="W4" s="19"/>
      <c r="X4" s="3"/>
      <c r="Y4" s="3"/>
      <c r="Z4" s="3"/>
      <c r="AA4" s="3"/>
      <c r="AB4" s="3"/>
      <c r="AC4" s="3"/>
      <c r="AD4" s="3"/>
      <c r="AE4" s="3"/>
      <c r="AF4" s="3"/>
      <c r="AG4" s="3"/>
      <c r="AH4" s="3"/>
      <c r="AI4" s="97"/>
      <c r="AJ4" s="97"/>
      <c r="AK4" s="6"/>
      <c r="AL4" s="6"/>
      <c r="AM4" s="6"/>
      <c r="AN4" s="6"/>
      <c r="AO4" s="96"/>
      <c r="AP4" s="7"/>
    </row>
    <row r="5" spans="1:41" s="5" customFormat="1" ht="14.25" customHeight="1">
      <c r="A5" s="18"/>
      <c r="B5" s="9" t="s">
        <v>190</v>
      </c>
      <c r="C5" s="9"/>
      <c r="D5" s="9"/>
      <c r="E5" s="9"/>
      <c r="F5" s="9"/>
      <c r="G5" s="3"/>
      <c r="H5" s="3"/>
      <c r="I5" s="3"/>
      <c r="J5" s="3"/>
      <c r="K5" s="4"/>
      <c r="L5" s="4"/>
      <c r="M5" s="171"/>
      <c r="N5" s="171"/>
      <c r="O5" s="171"/>
      <c r="P5" s="171"/>
      <c r="Q5" s="171"/>
      <c r="R5" s="18"/>
      <c r="S5" s="141" t="s">
        <v>285</v>
      </c>
      <c r="U5" s="98"/>
      <c r="V5" s="98"/>
      <c r="W5" s="18"/>
      <c r="X5" s="18"/>
      <c r="Y5" s="18"/>
      <c r="Z5" s="18"/>
      <c r="AA5" s="18"/>
      <c r="AB5" s="18"/>
      <c r="AC5" s="40"/>
      <c r="AD5" s="40"/>
      <c r="AE5" s="93"/>
      <c r="AF5" s="93"/>
      <c r="AG5" s="94"/>
      <c r="AH5" s="94"/>
      <c r="AI5" s="93"/>
      <c r="AJ5" s="93"/>
      <c r="AL5" s="6"/>
      <c r="AM5" s="6"/>
      <c r="AN5" s="6"/>
      <c r="AO5" s="6"/>
    </row>
    <row r="6" spans="1:43" s="5" customFormat="1" ht="15" customHeight="1">
      <c r="A6" s="18"/>
      <c r="G6" s="1"/>
      <c r="H6" s="1"/>
      <c r="I6" s="1"/>
      <c r="J6" s="1"/>
      <c r="K6" s="1"/>
      <c r="L6" s="1"/>
      <c r="N6" s="18"/>
      <c r="O6" s="40"/>
      <c r="P6" s="40"/>
      <c r="Q6" s="202" t="str">
        <f>"File Version: "&amp;TEXT(MID(sn,SEARCH("::",sn,1)+2,20),"mm/dd/yy hh:mm:ss")</f>
        <v>File Version: 01/28/04 14:02:18</v>
      </c>
      <c r="R6" s="40"/>
      <c r="S6" s="142"/>
      <c r="T6" s="142"/>
      <c r="U6" s="142"/>
      <c r="V6" s="142"/>
      <c r="W6" s="142"/>
      <c r="X6"/>
      <c r="Y6"/>
      <c r="Z6"/>
      <c r="AA6"/>
      <c r="AB6"/>
      <c r="AC6"/>
      <c r="AD6"/>
      <c r="AG6" s="6"/>
      <c r="AH6" s="6"/>
      <c r="AI6" s="7"/>
      <c r="AJ6" s="7"/>
      <c r="AK6" s="6"/>
      <c r="AL6" s="6"/>
      <c r="AM6" s="6"/>
      <c r="AN6" s="6"/>
      <c r="AO6" s="6"/>
      <c r="AP6" s="6"/>
      <c r="AQ6" s="6"/>
    </row>
    <row r="7" spans="1:38" s="5" customFormat="1" ht="15" customHeight="1">
      <c r="A7" s="18"/>
      <c r="B7" s="253" t="s">
        <v>67</v>
      </c>
      <c r="C7" s="253"/>
      <c r="D7" s="253"/>
      <c r="E7" s="253"/>
      <c r="F7" s="249" t="s">
        <v>321</v>
      </c>
      <c r="G7" s="249"/>
      <c r="H7" s="249"/>
      <c r="I7" s="250"/>
      <c r="J7" s="254" t="s">
        <v>146</v>
      </c>
      <c r="K7" s="254"/>
      <c r="L7" s="254"/>
      <c r="M7" s="254"/>
      <c r="N7" s="255" t="s">
        <v>322</v>
      </c>
      <c r="O7" s="255"/>
      <c r="P7" s="255"/>
      <c r="Q7" s="255"/>
      <c r="R7" s="20"/>
      <c r="S7" s="20"/>
      <c r="T7" s="20"/>
      <c r="X7" s="10"/>
      <c r="Y7" s="10"/>
      <c r="AF7" s="6"/>
      <c r="AG7" s="6"/>
      <c r="AH7" s="6"/>
      <c r="AI7" s="6"/>
      <c r="AJ7" s="6"/>
      <c r="AK7" s="6"/>
      <c r="AL7" s="6"/>
    </row>
    <row r="8" spans="1:38" s="5" customFormat="1" ht="15" customHeight="1">
      <c r="A8" s="40"/>
      <c r="B8" s="253" t="s">
        <v>68</v>
      </c>
      <c r="C8" s="253"/>
      <c r="D8" s="253"/>
      <c r="E8" s="253"/>
      <c r="F8" s="249"/>
      <c r="G8" s="249"/>
      <c r="H8" s="249"/>
      <c r="I8" s="250"/>
      <c r="J8" s="254" t="s">
        <v>69</v>
      </c>
      <c r="K8" s="254"/>
      <c r="L8" s="254"/>
      <c r="M8" s="254"/>
      <c r="N8" s="255" t="s">
        <v>294</v>
      </c>
      <c r="O8" s="255"/>
      <c r="P8" s="255"/>
      <c r="Q8" s="255"/>
      <c r="AF8" s="6"/>
      <c r="AG8" s="6"/>
      <c r="AH8" s="6"/>
      <c r="AI8" s="6"/>
      <c r="AJ8" s="6"/>
      <c r="AK8" s="6"/>
      <c r="AL8" s="6"/>
    </row>
    <row r="9" spans="1:38" s="5" customFormat="1" ht="15" customHeight="1">
      <c r="A9" s="40"/>
      <c r="B9" s="253" t="s">
        <v>70</v>
      </c>
      <c r="C9" s="253"/>
      <c r="D9" s="253"/>
      <c r="E9" s="253"/>
      <c r="F9" s="249"/>
      <c r="G9" s="249"/>
      <c r="H9" s="249"/>
      <c r="I9" s="250"/>
      <c r="J9" s="254" t="s">
        <v>71</v>
      </c>
      <c r="K9" s="254"/>
      <c r="L9" s="254"/>
      <c r="M9" s="254"/>
      <c r="N9" s="255" t="s">
        <v>293</v>
      </c>
      <c r="O9" s="255"/>
      <c r="P9" s="255"/>
      <c r="Q9" s="255"/>
      <c r="AF9" s="6"/>
      <c r="AG9" s="6"/>
      <c r="AH9" s="6"/>
      <c r="AI9" s="6"/>
      <c r="AJ9" s="6"/>
      <c r="AK9" s="6"/>
      <c r="AL9" s="6"/>
    </row>
    <row r="10" spans="1:20" s="5" customFormat="1" ht="15" customHeight="1">
      <c r="A10" s="40"/>
      <c r="B10" s="253" t="s">
        <v>72</v>
      </c>
      <c r="C10" s="253"/>
      <c r="D10" s="253"/>
      <c r="E10" s="253"/>
      <c r="F10" s="249"/>
      <c r="G10" s="249"/>
      <c r="H10" s="249"/>
      <c r="I10" s="250"/>
      <c r="J10" s="254" t="s">
        <v>73</v>
      </c>
      <c r="K10" s="254"/>
      <c r="L10" s="254"/>
      <c r="M10" s="254"/>
      <c r="N10" s="256" t="s">
        <v>286</v>
      </c>
      <c r="O10" s="256"/>
      <c r="P10" s="256"/>
      <c r="Q10" s="256"/>
      <c r="R10" s="10"/>
      <c r="S10" s="10"/>
      <c r="T10" s="10"/>
    </row>
    <row r="11" spans="1:17" s="5" customFormat="1" ht="15" customHeight="1">
      <c r="A11" s="40"/>
      <c r="B11" s="253" t="s">
        <v>74</v>
      </c>
      <c r="C11" s="253"/>
      <c r="D11" s="253"/>
      <c r="E11" s="253"/>
      <c r="F11" s="249" t="s">
        <v>314</v>
      </c>
      <c r="G11" s="249"/>
      <c r="H11" s="249"/>
      <c r="I11" s="250"/>
      <c r="J11" s="253" t="s">
        <v>75</v>
      </c>
      <c r="K11" s="253"/>
      <c r="L11" s="253"/>
      <c r="M11" s="253"/>
      <c r="N11" s="255"/>
      <c r="O11" s="255"/>
      <c r="P11" s="255"/>
      <c r="Q11" s="255"/>
    </row>
    <row r="12" spans="1:17" ht="15" customHeight="1">
      <c r="A12" s="40"/>
      <c r="B12" s="253" t="s">
        <v>76</v>
      </c>
      <c r="C12" s="253"/>
      <c r="D12" s="253"/>
      <c r="E12" s="253"/>
      <c r="F12" s="251"/>
      <c r="G12" s="251"/>
      <c r="H12" s="251"/>
      <c r="I12" s="252"/>
      <c r="J12" s="254" t="s">
        <v>77</v>
      </c>
      <c r="K12" s="254"/>
      <c r="L12" s="254"/>
      <c r="M12" s="254"/>
      <c r="N12" s="247" t="s">
        <v>287</v>
      </c>
      <c r="O12" s="247"/>
      <c r="P12" s="247"/>
      <c r="Q12" s="247"/>
    </row>
    <row r="13" spans="1:17" ht="15" customHeight="1">
      <c r="A13" s="40"/>
      <c r="B13" s="253" t="s">
        <v>78</v>
      </c>
      <c r="C13" s="253"/>
      <c r="D13" s="253"/>
      <c r="E13" s="253"/>
      <c r="F13" s="251" t="s">
        <v>296</v>
      </c>
      <c r="G13" s="251"/>
      <c r="H13" s="251"/>
      <c r="I13" s="252"/>
      <c r="J13" s="253" t="s">
        <v>79</v>
      </c>
      <c r="K13" s="253"/>
      <c r="L13" s="253"/>
      <c r="M13" s="253"/>
      <c r="N13" s="247" t="s">
        <v>281</v>
      </c>
      <c r="O13" s="247"/>
      <c r="P13" s="247"/>
      <c r="Q13" s="247"/>
    </row>
    <row r="14" spans="1:17" ht="15" customHeight="1">
      <c r="A14" s="40"/>
      <c r="B14" s="253" t="s">
        <v>80</v>
      </c>
      <c r="C14" s="253"/>
      <c r="D14" s="253"/>
      <c r="E14" s="253"/>
      <c r="F14" s="248" t="s">
        <v>295</v>
      </c>
      <c r="G14" s="248"/>
      <c r="H14" s="248"/>
      <c r="I14" s="248"/>
      <c r="J14" s="248"/>
      <c r="K14" s="248"/>
      <c r="L14" s="248"/>
      <c r="M14" s="248"/>
      <c r="N14" s="248"/>
      <c r="O14" s="248"/>
      <c r="P14" s="248"/>
      <c r="Q14" s="248"/>
    </row>
    <row r="15" spans="1:17" ht="15" customHeight="1">
      <c r="A15" s="40"/>
      <c r="B15" s="253" t="s">
        <v>81</v>
      </c>
      <c r="C15" s="253"/>
      <c r="D15" s="253"/>
      <c r="E15" s="253"/>
      <c r="F15" s="259"/>
      <c r="G15" s="260"/>
      <c r="H15" s="260"/>
      <c r="I15" s="260"/>
      <c r="J15" s="261" t="s">
        <v>82</v>
      </c>
      <c r="K15" s="261"/>
      <c r="L15" s="261"/>
      <c r="M15" s="261"/>
      <c r="N15" s="241"/>
      <c r="O15" s="241"/>
      <c r="P15" s="241"/>
      <c r="Q15" s="241"/>
    </row>
    <row r="16" spans="1:16" ht="3.75" customHeight="1">
      <c r="A16" s="40"/>
      <c r="B16" s="11"/>
      <c r="C16" s="11"/>
      <c r="D16" s="11"/>
      <c r="E16" s="12"/>
      <c r="F16" s="12"/>
      <c r="G16" s="12"/>
      <c r="H16" s="12"/>
      <c r="I16" s="12"/>
      <c r="J16" s="12"/>
      <c r="K16" s="12"/>
      <c r="L16" s="12"/>
      <c r="M16" s="13"/>
      <c r="N16" s="13"/>
      <c r="O16" s="13"/>
      <c r="P16" s="13"/>
    </row>
    <row r="17" spans="1:17" ht="15" customHeight="1">
      <c r="A17" s="40"/>
      <c r="B17" s="270" t="s">
        <v>1</v>
      </c>
      <c r="C17" s="271"/>
      <c r="D17" s="272"/>
      <c r="E17" s="247"/>
      <c r="F17" s="247"/>
      <c r="G17" s="247"/>
      <c r="H17" s="244" t="s">
        <v>2</v>
      </c>
      <c r="I17" s="240"/>
      <c r="J17" s="258" t="s">
        <v>198</v>
      </c>
      <c r="K17" s="258"/>
      <c r="L17" s="258"/>
      <c r="M17" s="257" t="s">
        <v>3</v>
      </c>
      <c r="N17" s="257"/>
      <c r="O17" s="257"/>
      <c r="P17" s="244"/>
      <c r="Q17" s="240"/>
    </row>
    <row r="18" spans="1:52" s="5" customFormat="1" ht="18.75" customHeight="1">
      <c r="A18" s="40"/>
      <c r="F18" s="14"/>
      <c r="G18" s="14"/>
      <c r="L18" s="14"/>
      <c r="M18" s="15"/>
      <c r="N18" s="15"/>
      <c r="O18" s="15"/>
      <c r="P18" s="15"/>
      <c r="Q18" s="15"/>
      <c r="R18" s="15"/>
      <c r="S18"/>
      <c r="T18"/>
      <c r="U18"/>
      <c r="V18"/>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row>
    <row r="19" spans="5:18" ht="15" customHeight="1">
      <c r="E19" s="245" t="s">
        <v>154</v>
      </c>
      <c r="F19" s="246"/>
      <c r="G19" s="246"/>
      <c r="H19" s="246"/>
      <c r="I19" s="246"/>
      <c r="J19" s="246"/>
      <c r="K19" s="246"/>
      <c r="L19" s="246"/>
      <c r="M19" s="246"/>
      <c r="N19" s="246"/>
      <c r="O19" s="246"/>
      <c r="P19" s="246"/>
      <c r="Q19" s="246"/>
      <c r="R19" s="243"/>
    </row>
    <row r="20" spans="5:18" ht="15" customHeight="1">
      <c r="E20" s="274" t="s">
        <v>147</v>
      </c>
      <c r="F20" s="275"/>
      <c r="G20" s="274" t="s">
        <v>148</v>
      </c>
      <c r="H20" s="275"/>
      <c r="I20" s="274" t="s">
        <v>149</v>
      </c>
      <c r="J20" s="275"/>
      <c r="K20" s="274" t="s">
        <v>150</v>
      </c>
      <c r="L20" s="275"/>
      <c r="M20" s="274" t="s">
        <v>151</v>
      </c>
      <c r="N20" s="275"/>
      <c r="O20" s="274" t="s">
        <v>152</v>
      </c>
      <c r="P20" s="275"/>
      <c r="Q20" s="274" t="s">
        <v>153</v>
      </c>
      <c r="R20" s="275"/>
    </row>
    <row r="21" spans="1:22" ht="15" customHeight="1">
      <c r="A21" s="10"/>
      <c r="B21" s="269" t="s">
        <v>173</v>
      </c>
      <c r="C21" s="269"/>
      <c r="D21" s="269"/>
      <c r="E21" s="273" t="s">
        <v>323</v>
      </c>
      <c r="F21" s="273"/>
      <c r="G21" s="273" t="s">
        <v>324</v>
      </c>
      <c r="H21" s="273"/>
      <c r="I21" s="273" t="s">
        <v>308</v>
      </c>
      <c r="J21" s="273"/>
      <c r="K21" s="273"/>
      <c r="L21" s="273"/>
      <c r="M21" s="273"/>
      <c r="N21" s="273"/>
      <c r="O21" s="273"/>
      <c r="P21" s="273"/>
      <c r="Q21" s="273"/>
      <c r="R21" s="273"/>
      <c r="S21"/>
      <c r="T21"/>
      <c r="U21"/>
      <c r="V21"/>
    </row>
    <row r="22" spans="1:18" ht="15" customHeight="1">
      <c r="A22" s="10"/>
      <c r="B22" s="269" t="s">
        <v>174</v>
      </c>
      <c r="C22" s="269"/>
      <c r="D22" s="269"/>
      <c r="E22" s="273"/>
      <c r="F22" s="273"/>
      <c r="G22" s="273"/>
      <c r="H22" s="273"/>
      <c r="I22" s="273"/>
      <c r="J22" s="273"/>
      <c r="K22" s="273"/>
      <c r="L22" s="273"/>
      <c r="M22" s="273"/>
      <c r="N22" s="273"/>
      <c r="O22" s="273"/>
      <c r="P22" s="273"/>
      <c r="Q22" s="273"/>
      <c r="R22" s="273"/>
    </row>
    <row r="23" spans="1:25" ht="23.25" customHeight="1">
      <c r="A23" s="10"/>
      <c r="B23" s="242" t="s">
        <v>160</v>
      </c>
      <c r="C23" s="242"/>
      <c r="D23" s="242"/>
      <c r="E23" s="228" t="s">
        <v>325</v>
      </c>
      <c r="F23" s="228"/>
      <c r="G23" s="228" t="s">
        <v>326</v>
      </c>
      <c r="H23" s="228"/>
      <c r="I23" s="228" t="s">
        <v>309</v>
      </c>
      <c r="J23" s="228"/>
      <c r="K23" s="228"/>
      <c r="L23" s="228"/>
      <c r="M23" s="228"/>
      <c r="N23" s="228"/>
      <c r="O23" s="228"/>
      <c r="P23" s="228"/>
      <c r="Q23" s="228"/>
      <c r="R23" s="228"/>
      <c r="S23" s="232" t="s">
        <v>65</v>
      </c>
      <c r="T23" s="276"/>
      <c r="U23" s="276"/>
      <c r="V23" s="276"/>
      <c r="W23" s="276"/>
      <c r="X23" s="276"/>
      <c r="Y23" s="233"/>
    </row>
    <row r="24" spans="1:25" ht="15" customHeight="1">
      <c r="A24" s="10"/>
      <c r="B24" s="269" t="s">
        <v>283</v>
      </c>
      <c r="C24" s="269"/>
      <c r="D24" s="269"/>
      <c r="E24" s="203"/>
      <c r="F24" s="204"/>
      <c r="G24" s="203"/>
      <c r="H24" s="204"/>
      <c r="I24" s="203"/>
      <c r="J24" s="204"/>
      <c r="K24" s="203"/>
      <c r="L24" s="204"/>
      <c r="M24" s="203"/>
      <c r="N24" s="204"/>
      <c r="O24" s="203"/>
      <c r="P24" s="204"/>
      <c r="Q24" s="203"/>
      <c r="R24" s="204"/>
      <c r="S24" s="229" t="s">
        <v>158</v>
      </c>
      <c r="T24" s="199"/>
      <c r="U24" s="159"/>
      <c r="Y24" s="108"/>
    </row>
    <row r="25" spans="1:29" ht="3.75" customHeight="1">
      <c r="A25" s="10"/>
      <c r="B25" s="20"/>
      <c r="E25"/>
      <c r="S25" s="225"/>
      <c r="T25" s="232" t="str">
        <f>"Lower &amp; Upper "&amp;Grade&amp;" Specification Limits"</f>
        <v>Lower &amp; Upper Other Specification Limits</v>
      </c>
      <c r="U25" s="233"/>
      <c r="W25" s="232" t="str">
        <f>"Restricted Zone "&amp;Grade</f>
        <v>Restricted Zone Other</v>
      </c>
      <c r="X25" s="233"/>
      <c r="Z25" s="238" t="s">
        <v>157</v>
      </c>
      <c r="AA25" s="238" t="s">
        <v>186</v>
      </c>
      <c r="AB25" s="239" t="s">
        <v>21</v>
      </c>
      <c r="AC25"/>
    </row>
    <row r="26" spans="1:29" ht="17.25" customHeight="1">
      <c r="A26" s="10"/>
      <c r="B26" s="279" t="s">
        <v>187</v>
      </c>
      <c r="C26" s="279"/>
      <c r="D26" s="279"/>
      <c r="E26" s="205">
        <v>52</v>
      </c>
      <c r="F26" s="99" t="s">
        <v>64</v>
      </c>
      <c r="G26" s="205">
        <v>47</v>
      </c>
      <c r="H26" s="99" t="s">
        <v>64</v>
      </c>
      <c r="I26" s="205">
        <v>1</v>
      </c>
      <c r="J26" s="99" t="s">
        <v>64</v>
      </c>
      <c r="K26" s="205">
        <v>0</v>
      </c>
      <c r="L26" s="99" t="s">
        <v>64</v>
      </c>
      <c r="M26" s="205"/>
      <c r="N26" s="99" t="s">
        <v>64</v>
      </c>
      <c r="O26" s="205"/>
      <c r="P26" s="99" t="s">
        <v>64</v>
      </c>
      <c r="Q26" s="205"/>
      <c r="R26" s="99" t="s">
        <v>64</v>
      </c>
      <c r="S26" s="107">
        <f>SUM(E26,G26,I26,K26,M26,O26,Q26)/100</f>
        <v>1</v>
      </c>
      <c r="T26" s="230"/>
      <c r="U26" s="231"/>
      <c r="W26" s="230"/>
      <c r="X26" s="231"/>
      <c r="Z26" s="234"/>
      <c r="AA26" s="234"/>
      <c r="AB26" s="236"/>
      <c r="AC26"/>
    </row>
    <row r="27" spans="1:29" ht="3.75" customHeight="1">
      <c r="A27" s="10"/>
      <c r="B27"/>
      <c r="E27"/>
      <c r="F27"/>
      <c r="G27"/>
      <c r="H27"/>
      <c r="I27"/>
      <c r="J27"/>
      <c r="K27" s="105"/>
      <c r="L27"/>
      <c r="M27"/>
      <c r="N27"/>
      <c r="O27"/>
      <c r="P27"/>
      <c r="Q27"/>
      <c r="R27"/>
      <c r="S27"/>
      <c r="T27" s="230"/>
      <c r="U27" s="231"/>
      <c r="W27" s="230"/>
      <c r="X27" s="231"/>
      <c r="Z27" s="234"/>
      <c r="AA27" s="234"/>
      <c r="AB27" s="236"/>
      <c r="AC27"/>
    </row>
    <row r="28" spans="1:29" ht="33.75" customHeight="1">
      <c r="A28" s="10"/>
      <c r="B28" s="303" t="s">
        <v>4</v>
      </c>
      <c r="C28" s="304"/>
      <c r="D28" s="100" t="str">
        <f>"Sieve Size:"&amp;CHAR(10)&amp;"(mm)"</f>
        <v>Sieve Size:
(mm)</v>
      </c>
      <c r="E28" s="100" t="s">
        <v>182</v>
      </c>
      <c r="F28" s="101" t="s">
        <v>155</v>
      </c>
      <c r="G28" s="100" t="s">
        <v>182</v>
      </c>
      <c r="H28" s="101" t="s">
        <v>155</v>
      </c>
      <c r="I28" s="100" t="s">
        <v>182</v>
      </c>
      <c r="J28" s="101" t="s">
        <v>155</v>
      </c>
      <c r="K28" s="100" t="s">
        <v>182</v>
      </c>
      <c r="L28" s="101" t="s">
        <v>155</v>
      </c>
      <c r="M28" s="100" t="s">
        <v>182</v>
      </c>
      <c r="N28" s="101" t="s">
        <v>155</v>
      </c>
      <c r="O28" s="100" t="s">
        <v>182</v>
      </c>
      <c r="P28" s="101" t="s">
        <v>155</v>
      </c>
      <c r="Q28" s="100" t="s">
        <v>182</v>
      </c>
      <c r="R28" s="101" t="s">
        <v>155</v>
      </c>
      <c r="S28" s="100" t="s">
        <v>156</v>
      </c>
      <c r="T28" s="226"/>
      <c r="U28" s="227"/>
      <c r="V28" s="100" t="s">
        <v>185</v>
      </c>
      <c r="W28" s="226"/>
      <c r="X28" s="227"/>
      <c r="Y28" s="100" t="s">
        <v>185</v>
      </c>
      <c r="Z28" s="235"/>
      <c r="AA28" s="235"/>
      <c r="AB28" s="237"/>
      <c r="AC28"/>
    </row>
    <row r="29" spans="1:29" ht="15" customHeight="1">
      <c r="A29" s="10"/>
      <c r="B29" s="277" t="str">
        <f ca="1">IF(ISERROR(INDEX(INDIRECT(Grade),1,IF(specyear="1993",2,3))),"",INDEX(INDIRECT(Grade),1,IF(specyear="1993",2,3)))</f>
        <v>3/4"</v>
      </c>
      <c r="C29" s="278"/>
      <c r="D29" s="146">
        <f ca="1">IF(ISERROR(INDEX(INDIRECT(Grade),1,4)),0,INDEX(INDIRECT(Grade),1,4))</f>
        <v>19</v>
      </c>
      <c r="E29" s="206">
        <v>100</v>
      </c>
      <c r="F29" s="104">
        <f aca="true" t="shared" si="0" ref="F29:F37">E29*(Bin1Frac/100)</f>
        <v>52</v>
      </c>
      <c r="G29" s="206">
        <v>100</v>
      </c>
      <c r="H29" s="104">
        <f aca="true" t="shared" si="1" ref="H29:H37">G29*(Bin2Frac/100)</f>
        <v>47</v>
      </c>
      <c r="I29" s="206">
        <v>100</v>
      </c>
      <c r="J29" s="104">
        <f aca="true" t="shared" si="2" ref="J29:J37">I29*(Bin3Frac/100)</f>
        <v>1</v>
      </c>
      <c r="K29" s="206"/>
      <c r="L29" s="104">
        <f aca="true" t="shared" si="3" ref="L29:L37">K29*(Bin4Frac/100)</f>
        <v>0</v>
      </c>
      <c r="M29" s="206"/>
      <c r="N29" s="104">
        <f aca="true" t="shared" si="4" ref="N29:N37">M29*(Bin5Frac/100)</f>
        <v>0</v>
      </c>
      <c r="O29" s="206"/>
      <c r="P29" s="104">
        <f aca="true" t="shared" si="5" ref="P29:P37">O29*(Bin6Frac/100)</f>
        <v>0</v>
      </c>
      <c r="Q29" s="206"/>
      <c r="R29" s="104">
        <f aca="true" t="shared" si="6" ref="R29:R37">Q29*(Bin7Frac/100)</f>
        <v>0</v>
      </c>
      <c r="S29" s="103">
        <f>SUM(F29,H29,J29,L29,N29,P29,R29)</f>
        <v>100</v>
      </c>
      <c r="T29" s="104">
        <f ca="1">IF(ISERROR(OR(INDEX(INDIRECT(Grade),1,5),INDEX(INDIRECT(Grade),1,6))),"",INDEX(INDIRECT(Grade),1,5))</f>
        <v>100</v>
      </c>
      <c r="U29" s="104">
        <f ca="1">IF(ISERROR(OR(INDEX(INDIRECT(Grade),1,5),INDEX(INDIRECT(Grade),1,6))),"",INDEX(INDIRECT(Grade),1,6))</f>
        <v>100</v>
      </c>
      <c r="V29" s="57" t="str">
        <f>IF(OR(T29="",U29=""),"",IF(OR(S29&lt;T29,S29&gt;U29),"No","Yes"))</f>
        <v>Yes</v>
      </c>
      <c r="W29" s="104">
        <f ca="1">IF(ISERROR(OR(INDEX(INDIRECT(Grade),1,8),INDEX(INDIRECT(Grade),1,9))),"",INDEX(INDIRECT(Grade),1,8))</f>
      </c>
      <c r="X29" s="104">
        <f ca="1">IF(ISERROR(OR(INDEX(INDIRECT(Grade),1,8),INDEX(INDIRECT(Grade),1,9))),"",INDEX(INDIRECT(Grade),1,9))</f>
      </c>
      <c r="Y29" s="57">
        <f>IF(OR(W29="",X29=""),"",IF(AND(S29&gt;=W29,S29&lt;=X29),"No","Yes"))</f>
      </c>
      <c r="Z29" s="102">
        <f>AA29</f>
        <v>0</v>
      </c>
      <c r="AA29" s="102">
        <f aca="true" t="shared" si="7" ref="AA29:AA37">100-S29</f>
        <v>0</v>
      </c>
      <c r="AB29" s="102" t="str">
        <f aca="true" t="shared" si="8" ref="AB29:AB37">$B29</f>
        <v>3/4"</v>
      </c>
      <c r="AC29"/>
    </row>
    <row r="30" spans="1:29" ht="15" customHeight="1">
      <c r="A30" s="10"/>
      <c r="B30" s="277" t="str">
        <f ca="1">IF(ISERROR(INDEX(INDIRECT(Grade),2,IF(specyear="1993",2,3))),"",INDEX(INDIRECT(Grade),2,IF(specyear="1993",2,3)))</f>
        <v>1/2"</v>
      </c>
      <c r="C30" s="278"/>
      <c r="D30" s="147">
        <f ca="1">IF(ISERROR(INDEX(INDIRECT(Grade),2,4)),0,INDEX(INDIRECT(Grade),2,4))</f>
        <v>12.5</v>
      </c>
      <c r="E30" s="205">
        <v>100</v>
      </c>
      <c r="F30" s="104">
        <f t="shared" si="0"/>
        <v>52</v>
      </c>
      <c r="G30" s="205">
        <v>100</v>
      </c>
      <c r="H30" s="104">
        <f t="shared" si="1"/>
        <v>47</v>
      </c>
      <c r="I30" s="205">
        <v>100</v>
      </c>
      <c r="J30" s="104">
        <f t="shared" si="2"/>
        <v>1</v>
      </c>
      <c r="K30" s="205"/>
      <c r="L30" s="104">
        <f t="shared" si="3"/>
        <v>0</v>
      </c>
      <c r="M30" s="205"/>
      <c r="N30" s="104">
        <f t="shared" si="4"/>
        <v>0</v>
      </c>
      <c r="O30" s="205"/>
      <c r="P30" s="104">
        <f t="shared" si="5"/>
        <v>0</v>
      </c>
      <c r="Q30" s="205"/>
      <c r="R30" s="104">
        <f t="shared" si="6"/>
        <v>0</v>
      </c>
      <c r="S30" s="103">
        <f aca="true" t="shared" si="9" ref="S30:S37">SUM(F30,H30,J30,L30,N30,P30,R30)</f>
        <v>100</v>
      </c>
      <c r="T30" s="172">
        <v>100</v>
      </c>
      <c r="U30" s="106">
        <f ca="1">IF(ISERROR(OR(INDEX(INDIRECT(Grade),2,5),INDEX(INDIRECT(Grade),2,6))),"",INDEX(INDIRECT(Grade),2,6))</f>
        <v>100</v>
      </c>
      <c r="V30" s="57" t="str">
        <f aca="true" t="shared" si="10" ref="V30:V37">IF(OR(T30="",U30=""),"",IF(OR(S30&lt;T30,S30&gt;U30),"No","Yes"))</f>
        <v>Yes</v>
      </c>
      <c r="W30" s="172">
        <f ca="1">IF(ISERROR(OR(INDEX(INDIRECT(Grade),2,8),INDEX(INDIRECT(Grade),2,9))),"",INDEX(INDIRECT(Grade),2,8))</f>
      </c>
      <c r="X30" s="106">
        <f ca="1">IF(ISERROR(OR(INDEX(INDIRECT(Grade),2,8),INDEX(INDIRECT(Grade),2,9))),"",INDEX(INDIRECT(Grade),2,9))</f>
      </c>
      <c r="Y30" s="57">
        <f aca="true" t="shared" si="11" ref="Y30:Y37">IF(OR(W30="",X30=""),"",IF(AND(S30&gt;=W30,S30&lt;=X30),"No","Yes"))</f>
      </c>
      <c r="Z30" s="102">
        <f aca="true" t="shared" si="12" ref="Z30:Z37">100-S30-AA29</f>
        <v>0</v>
      </c>
      <c r="AA30" s="102">
        <f t="shared" si="7"/>
        <v>0</v>
      </c>
      <c r="AB30" s="102" t="str">
        <f t="shared" si="8"/>
        <v>1/2"</v>
      </c>
      <c r="AC30"/>
    </row>
    <row r="31" spans="1:29" ht="15" customHeight="1">
      <c r="A31" s="10"/>
      <c r="B31" s="277" t="str">
        <f ca="1">IF(ISERROR(INDEX(INDIRECT(Grade),3,IF(specyear="1993",2,3))),"",INDEX(INDIRECT(Grade),3,IF(specyear="1993",2,3)))</f>
        <v>3/8"</v>
      </c>
      <c r="C31" s="278"/>
      <c r="D31" s="147">
        <f ca="1">IF(ISERROR(INDEX(INDIRECT(Grade),3,4)),0,INDEX(INDIRECT(Grade),3,4))</f>
        <v>9.5</v>
      </c>
      <c r="E31" s="205">
        <v>100</v>
      </c>
      <c r="F31" s="104">
        <f t="shared" si="0"/>
        <v>52</v>
      </c>
      <c r="G31" s="205">
        <v>100</v>
      </c>
      <c r="H31" s="104">
        <f t="shared" si="1"/>
        <v>47</v>
      </c>
      <c r="I31" s="205">
        <v>100</v>
      </c>
      <c r="J31" s="104">
        <f t="shared" si="2"/>
        <v>1</v>
      </c>
      <c r="K31" s="205"/>
      <c r="L31" s="104">
        <f t="shared" si="3"/>
        <v>0</v>
      </c>
      <c r="M31" s="205"/>
      <c r="N31" s="104">
        <f t="shared" si="4"/>
        <v>0</v>
      </c>
      <c r="O31" s="205"/>
      <c r="P31" s="104">
        <f t="shared" si="5"/>
        <v>0</v>
      </c>
      <c r="Q31" s="205"/>
      <c r="R31" s="104">
        <f t="shared" si="6"/>
        <v>0</v>
      </c>
      <c r="S31" s="103">
        <f t="shared" si="9"/>
        <v>100</v>
      </c>
      <c r="T31" s="172">
        <v>98</v>
      </c>
      <c r="U31" s="106">
        <f ca="1">IF(ISERROR(OR(INDEX(INDIRECT(Grade),3,5),INDEX(INDIRECT(Grade),3,6))),"",INDEX(INDIRECT(Grade),3,6))</f>
        <v>100</v>
      </c>
      <c r="V31" s="57" t="str">
        <f t="shared" si="10"/>
        <v>Yes</v>
      </c>
      <c r="W31" s="172">
        <f ca="1">IF(ISERROR(OR(INDEX(INDIRECT(Grade),3,8),INDEX(INDIRECT(Grade),3,9))),"",INDEX(INDIRECT(Grade),3,8))</f>
      </c>
      <c r="X31" s="106">
        <f ca="1">IF(ISERROR(OR(INDEX(INDIRECT(Grade),3,8),INDEX(INDIRECT(Grade),3,9))),"",INDEX(INDIRECT(Grade),3,9))</f>
      </c>
      <c r="Y31" s="57">
        <f t="shared" si="11"/>
      </c>
      <c r="Z31" s="102">
        <f t="shared" si="12"/>
        <v>0</v>
      </c>
      <c r="AA31" s="102">
        <f t="shared" si="7"/>
        <v>0</v>
      </c>
      <c r="AB31" s="102" t="str">
        <f t="shared" si="8"/>
        <v>3/8"</v>
      </c>
      <c r="AC31"/>
    </row>
    <row r="32" spans="1:29" ht="15" customHeight="1">
      <c r="A32" s="10"/>
      <c r="B32" s="277" t="str">
        <f ca="1">IF(ISERROR(INDEX(INDIRECT(Grade),4,IF(specyear="1993",2,3))),"",INDEX(INDIRECT(Grade),4,IF(specyear="1993",2,3)))</f>
        <v>No. 4</v>
      </c>
      <c r="C32" s="278"/>
      <c r="D32" s="147">
        <f ca="1">IF(ISERROR(INDEX(INDIRECT(Grade),4,4)),0,INDEX(INDIRECT(Grade),4,4))</f>
        <v>4.75</v>
      </c>
      <c r="E32" s="205">
        <v>60.8</v>
      </c>
      <c r="F32" s="104">
        <f t="shared" si="0"/>
        <v>31.616</v>
      </c>
      <c r="G32" s="205">
        <v>99.9</v>
      </c>
      <c r="H32" s="104">
        <f t="shared" si="1"/>
        <v>46.953</v>
      </c>
      <c r="I32" s="205">
        <v>100</v>
      </c>
      <c r="J32" s="104">
        <f t="shared" si="2"/>
        <v>1</v>
      </c>
      <c r="K32" s="205"/>
      <c r="L32" s="104">
        <f t="shared" si="3"/>
        <v>0</v>
      </c>
      <c r="M32" s="205"/>
      <c r="N32" s="104">
        <f t="shared" si="4"/>
        <v>0</v>
      </c>
      <c r="O32" s="205"/>
      <c r="P32" s="104">
        <f t="shared" si="5"/>
        <v>0</v>
      </c>
      <c r="Q32" s="205"/>
      <c r="R32" s="104">
        <f t="shared" si="6"/>
        <v>0</v>
      </c>
      <c r="S32" s="103">
        <f>SUM(F32,H32,J32,L32,N32,P32,R32)</f>
        <v>79.569</v>
      </c>
      <c r="T32" s="172">
        <v>70</v>
      </c>
      <c r="U32" s="106">
        <f ca="1">IF(ISERROR(OR(INDEX(INDIRECT(Grade),4,5),INDEX(INDIRECT(Grade),4,6))),"",INDEX(INDIRECT(Grade),4,6))</f>
        <v>90</v>
      </c>
      <c r="V32" s="57" t="str">
        <f t="shared" si="10"/>
        <v>Yes</v>
      </c>
      <c r="W32" s="172">
        <f ca="1">IF(ISERROR(OR(INDEX(INDIRECT(Grade),4,8),INDEX(INDIRECT(Grade),4,9))),"",INDEX(INDIRECT(Grade),4,8))</f>
      </c>
      <c r="X32" s="106">
        <f ca="1">IF(ISERROR(OR(INDEX(INDIRECT(Grade),4,8),INDEX(INDIRECT(Grade),4,9))),"",INDEX(INDIRECT(Grade),4,9))</f>
      </c>
      <c r="Y32" s="57">
        <f t="shared" si="11"/>
      </c>
      <c r="Z32" s="102">
        <f t="shared" si="12"/>
        <v>20.430999999999997</v>
      </c>
      <c r="AA32" s="102">
        <f t="shared" si="7"/>
        <v>20.430999999999997</v>
      </c>
      <c r="AB32" s="102" t="str">
        <f t="shared" si="8"/>
        <v>No. 4</v>
      </c>
      <c r="AC32"/>
    </row>
    <row r="33" spans="1:29" ht="15" customHeight="1">
      <c r="A33" s="10"/>
      <c r="B33" s="277" t="str">
        <f ca="1">IF(ISERROR(INDEX(INDIRECT(Grade),5,IF(specyear="1993",2,3))),"",INDEX(INDIRECT(Grade),5,IF(specyear="1993",2,3)))</f>
        <v>No. 8</v>
      </c>
      <c r="C33" s="278"/>
      <c r="D33" s="147">
        <f ca="1">IF(ISERROR(INDEX(INDIRECT(Grade),5,4)),0,INDEX(INDIRECT(Grade),5,4))</f>
        <v>2.36</v>
      </c>
      <c r="E33" s="205">
        <v>2</v>
      </c>
      <c r="F33" s="104">
        <f t="shared" si="0"/>
        <v>1.04</v>
      </c>
      <c r="G33" s="205">
        <v>85.2</v>
      </c>
      <c r="H33" s="104">
        <f t="shared" si="1"/>
        <v>40.044</v>
      </c>
      <c r="I33" s="205">
        <v>100</v>
      </c>
      <c r="J33" s="104">
        <f t="shared" si="2"/>
        <v>1</v>
      </c>
      <c r="K33" s="205"/>
      <c r="L33" s="104">
        <f t="shared" si="3"/>
        <v>0</v>
      </c>
      <c r="M33" s="205"/>
      <c r="N33" s="104">
        <f t="shared" si="4"/>
        <v>0</v>
      </c>
      <c r="O33" s="205"/>
      <c r="P33" s="104">
        <f t="shared" si="5"/>
        <v>0</v>
      </c>
      <c r="Q33" s="205"/>
      <c r="R33" s="104">
        <f t="shared" si="6"/>
        <v>0</v>
      </c>
      <c r="S33" s="103">
        <f t="shared" si="9"/>
        <v>42.083999999999996</v>
      </c>
      <c r="T33" s="172">
        <v>40</v>
      </c>
      <c r="U33" s="106">
        <v>65</v>
      </c>
      <c r="V33" s="57" t="str">
        <f t="shared" si="10"/>
        <v>Yes</v>
      </c>
      <c r="W33" s="172">
        <f ca="1">IF(ISERROR(OR(INDEX(INDIRECT(Grade),5,8),INDEX(INDIRECT(Grade),5,9))),"",INDEX(INDIRECT(Grade),5,8))</f>
      </c>
      <c r="X33" s="106">
        <f ca="1">IF(ISERROR(OR(INDEX(INDIRECT(Grade),5,8),INDEX(INDIRECT(Grade),5,9))),"",INDEX(INDIRECT(Grade),5,9))</f>
      </c>
      <c r="Y33" s="57">
        <f t="shared" si="11"/>
      </c>
      <c r="Z33" s="102">
        <f t="shared" si="12"/>
        <v>37.48500000000001</v>
      </c>
      <c r="AA33" s="102">
        <f t="shared" si="7"/>
        <v>57.916000000000004</v>
      </c>
      <c r="AB33" s="102" t="str">
        <f t="shared" si="8"/>
        <v>No. 8</v>
      </c>
      <c r="AC33"/>
    </row>
    <row r="34" spans="1:29" ht="15" customHeight="1">
      <c r="A34" s="10"/>
      <c r="B34" s="277" t="str">
        <f ca="1">IF(ISERROR(INDEX(INDIRECT(Grade),6,IF(specyear="1993",2,3))),"",INDEX(INDIRECT(Grade),6,IF(specyear="1993",2,3)))</f>
        <v>No. 16</v>
      </c>
      <c r="C34" s="278"/>
      <c r="D34" s="147">
        <f ca="1">IF(ISERROR(INDEX(INDIRECT(Grade),6,4)),0,INDEX(INDIRECT(Grade),6,4))</f>
        <v>1.18</v>
      </c>
      <c r="E34" s="205">
        <v>0.7</v>
      </c>
      <c r="F34" s="104">
        <f t="shared" si="0"/>
        <v>0.364</v>
      </c>
      <c r="G34" s="205">
        <v>54.8</v>
      </c>
      <c r="H34" s="104">
        <f t="shared" si="1"/>
        <v>25.755999999999997</v>
      </c>
      <c r="I34" s="205">
        <v>100</v>
      </c>
      <c r="J34" s="104">
        <f t="shared" si="2"/>
        <v>1</v>
      </c>
      <c r="K34" s="205"/>
      <c r="L34" s="104">
        <f t="shared" si="3"/>
        <v>0</v>
      </c>
      <c r="M34" s="205"/>
      <c r="N34" s="104">
        <f t="shared" si="4"/>
        <v>0</v>
      </c>
      <c r="O34" s="205"/>
      <c r="P34" s="104">
        <f t="shared" si="5"/>
        <v>0</v>
      </c>
      <c r="Q34" s="205"/>
      <c r="R34" s="104">
        <f t="shared" si="6"/>
        <v>0</v>
      </c>
      <c r="S34" s="103">
        <f t="shared" si="9"/>
        <v>27.119999999999997</v>
      </c>
      <c r="T34" s="172">
        <f ca="1">IF(ISERROR(OR(INDEX(INDIRECT(Grade),6,5),INDEX(INDIRECT(Grade),6,6))),"",INDEX(INDIRECT(Grade),6,5))</f>
        <v>20</v>
      </c>
      <c r="U34" s="106">
        <f ca="1">IF(ISERROR(OR(INDEX(INDIRECT(Grade),6,5),INDEX(INDIRECT(Grade),6,6))),"",INDEX(INDIRECT(Grade),6,6))</f>
        <v>45</v>
      </c>
      <c r="V34" s="57" t="str">
        <f t="shared" si="10"/>
        <v>Yes</v>
      </c>
      <c r="W34" s="172">
        <f ca="1">IF(ISERROR(OR(INDEX(INDIRECT(Grade),6,8),INDEX(INDIRECT(Grade),6,9))),"",INDEX(INDIRECT(Grade),6,8))</f>
      </c>
      <c r="X34" s="106">
        <f ca="1">IF(ISERROR(OR(INDEX(INDIRECT(Grade),6,8),INDEX(INDIRECT(Grade),6,9))),"",INDEX(INDIRECT(Grade),6,9))</f>
      </c>
      <c r="Y34" s="57">
        <f t="shared" si="11"/>
      </c>
      <c r="Z34" s="102">
        <f t="shared" si="12"/>
        <v>14.963999999999992</v>
      </c>
      <c r="AA34" s="102">
        <f t="shared" si="7"/>
        <v>72.88</v>
      </c>
      <c r="AB34" s="102" t="str">
        <f t="shared" si="8"/>
        <v>No. 16</v>
      </c>
      <c r="AC34"/>
    </row>
    <row r="35" spans="1:29" ht="15" customHeight="1">
      <c r="A35" s="10"/>
      <c r="B35" s="277" t="str">
        <f ca="1">IF(ISERROR(INDEX(INDIRECT(Grade),7,IF(specyear="1993",2,3))),"",INDEX(INDIRECT(Grade),7,IF(specyear="1993",2,3)))</f>
        <v>No. 30</v>
      </c>
      <c r="C35" s="278"/>
      <c r="D35" s="147">
        <f ca="1">IF(ISERROR(INDEX(INDIRECT(Grade),7,4)),0,INDEX(INDIRECT(Grade),7,4))</f>
        <v>0.06</v>
      </c>
      <c r="E35" s="205">
        <v>0.5</v>
      </c>
      <c r="F35" s="104">
        <f t="shared" si="0"/>
        <v>0.26</v>
      </c>
      <c r="G35" s="205">
        <v>39.3</v>
      </c>
      <c r="H35" s="104">
        <f t="shared" si="1"/>
        <v>18.470999999999997</v>
      </c>
      <c r="I35" s="205">
        <v>100</v>
      </c>
      <c r="J35" s="104">
        <f t="shared" si="2"/>
        <v>1</v>
      </c>
      <c r="K35" s="205"/>
      <c r="L35" s="104">
        <f t="shared" si="3"/>
        <v>0</v>
      </c>
      <c r="M35" s="205"/>
      <c r="N35" s="104">
        <f t="shared" si="4"/>
        <v>0</v>
      </c>
      <c r="O35" s="205"/>
      <c r="P35" s="104">
        <f t="shared" si="5"/>
        <v>0</v>
      </c>
      <c r="Q35" s="205"/>
      <c r="R35" s="104">
        <f t="shared" si="6"/>
        <v>0</v>
      </c>
      <c r="S35" s="103">
        <f t="shared" si="9"/>
        <v>19.730999999999998</v>
      </c>
      <c r="T35" s="172">
        <f ca="1">IF(ISERROR(OR(INDEX(INDIRECT(Grade),7,5),INDEX(INDIRECT(Grade),7,6))),"",INDEX(INDIRECT(Grade),7,5))</f>
        <v>10</v>
      </c>
      <c r="U35" s="106">
        <f ca="1">IF(ISERROR(OR(INDEX(INDIRECT(Grade),7,5),INDEX(INDIRECT(Grade),7,6))),"",INDEX(INDIRECT(Grade),7,6))</f>
        <v>30</v>
      </c>
      <c r="V35" s="57" t="str">
        <f t="shared" si="10"/>
        <v>Yes</v>
      </c>
      <c r="W35" s="172">
        <f ca="1">IF(ISERROR(OR(INDEX(INDIRECT(Grade),7,8),INDEX(INDIRECT(Grade),7,9))),"",INDEX(INDIRECT(Grade),7,8))</f>
      </c>
      <c r="X35" s="106">
        <f ca="1">IF(ISERROR(OR(INDEX(INDIRECT(Grade),7,8),INDEX(INDIRECT(Grade),7,9))),"",INDEX(INDIRECT(Grade),7,9))</f>
      </c>
      <c r="Y35" s="57">
        <f t="shared" si="11"/>
      </c>
      <c r="Z35" s="102">
        <f t="shared" si="12"/>
        <v>7.38900000000001</v>
      </c>
      <c r="AA35" s="102">
        <f t="shared" si="7"/>
        <v>80.269</v>
      </c>
      <c r="AB35" s="102" t="str">
        <f t="shared" si="8"/>
        <v>No. 30</v>
      </c>
      <c r="AC35"/>
    </row>
    <row r="36" spans="1:29" ht="15" customHeight="1">
      <c r="A36" s="10"/>
      <c r="B36" s="277" t="str">
        <f ca="1">IF(ISERROR(INDEX(INDIRECT(Grade),8,IF(specyear="1993",2,3))),"",INDEX(INDIRECT(Grade),8,IF(specyear="1993",2,3)))</f>
        <v>No. 50</v>
      </c>
      <c r="C36" s="278"/>
      <c r="D36" s="147">
        <f ca="1">IF(ISERROR(INDEX(INDIRECT(Grade),8,4)),0,INDEX(INDIRECT(Grade),8,4))</f>
        <v>0.03</v>
      </c>
      <c r="E36" s="205">
        <v>0.5</v>
      </c>
      <c r="F36" s="104">
        <f t="shared" si="0"/>
        <v>0.26</v>
      </c>
      <c r="G36" s="205">
        <v>30.4</v>
      </c>
      <c r="H36" s="104">
        <f t="shared" si="1"/>
        <v>14.287999999999998</v>
      </c>
      <c r="I36" s="205">
        <v>100</v>
      </c>
      <c r="J36" s="104">
        <f t="shared" si="2"/>
        <v>1</v>
      </c>
      <c r="K36" s="205"/>
      <c r="L36" s="104">
        <f t="shared" si="3"/>
        <v>0</v>
      </c>
      <c r="M36" s="205"/>
      <c r="N36" s="104">
        <f t="shared" si="4"/>
        <v>0</v>
      </c>
      <c r="O36" s="205"/>
      <c r="P36" s="104">
        <f t="shared" si="5"/>
        <v>0</v>
      </c>
      <c r="Q36" s="205"/>
      <c r="R36" s="104">
        <f t="shared" si="6"/>
        <v>0</v>
      </c>
      <c r="S36" s="103">
        <f t="shared" si="9"/>
        <v>15.547999999999998</v>
      </c>
      <c r="T36" s="172">
        <f ca="1">IF(ISERROR(OR(INDEX(INDIRECT(Grade),8,5),INDEX(INDIRECT(Grade),8,6))),"",INDEX(INDIRECT(Grade),8,5))</f>
        <v>10</v>
      </c>
      <c r="U36" s="106">
        <f ca="1">IF(ISERROR(OR(INDEX(INDIRECT(Grade),8,5),INDEX(INDIRECT(Grade),8,6))),"",INDEX(INDIRECT(Grade),8,6))</f>
        <v>20</v>
      </c>
      <c r="V36" s="57" t="str">
        <f t="shared" si="10"/>
        <v>Yes</v>
      </c>
      <c r="W36" s="172">
        <f ca="1">IF(ISERROR(OR(INDEX(INDIRECT(Grade),8,8),INDEX(INDIRECT(Grade),8,9))),"",INDEX(INDIRECT(Grade),8,8))</f>
      </c>
      <c r="X36" s="106">
        <f ca="1">IF(ISERROR(OR(INDEX(INDIRECT(Grade),8,8),INDEX(INDIRECT(Grade),8,9))),"",INDEX(INDIRECT(Grade),8,9))</f>
      </c>
      <c r="Y36" s="57">
        <f t="shared" si="11"/>
      </c>
      <c r="Z36" s="102">
        <f t="shared" si="12"/>
        <v>4.182999999999993</v>
      </c>
      <c r="AA36" s="102">
        <f t="shared" si="7"/>
        <v>84.452</v>
      </c>
      <c r="AB36" s="102" t="str">
        <f t="shared" si="8"/>
        <v>No. 50</v>
      </c>
      <c r="AC36"/>
    </row>
    <row r="37" spans="1:29" ht="15" customHeight="1">
      <c r="A37" s="10"/>
      <c r="B37" s="277" t="str">
        <f ca="1">IF(ISERROR(INDEX(INDIRECT(Grade),9,IF(specyear="1993",2,3))),"",INDEX(INDIRECT(Grade),9,IF(specyear="1993",2,3)))</f>
        <v>No. 200</v>
      </c>
      <c r="C37" s="278"/>
      <c r="D37" s="147">
        <f ca="1">IF(ISERROR(INDEX(INDIRECT(Grade),9,4)),0,INDEX(INDIRECT(Grade),9,4))</f>
        <v>0.0075</v>
      </c>
      <c r="E37" s="205">
        <v>0.4</v>
      </c>
      <c r="F37" s="106">
        <f t="shared" si="0"/>
        <v>0.20800000000000002</v>
      </c>
      <c r="G37" s="205">
        <v>12.2</v>
      </c>
      <c r="H37" s="106">
        <f t="shared" si="1"/>
        <v>5.733999999999999</v>
      </c>
      <c r="I37" s="205">
        <v>100</v>
      </c>
      <c r="J37" s="106">
        <f t="shared" si="2"/>
        <v>1</v>
      </c>
      <c r="K37" s="205"/>
      <c r="L37" s="106">
        <f t="shared" si="3"/>
        <v>0</v>
      </c>
      <c r="M37" s="205"/>
      <c r="N37" s="106">
        <f t="shared" si="4"/>
        <v>0</v>
      </c>
      <c r="O37" s="205"/>
      <c r="P37" s="106">
        <f t="shared" si="5"/>
        <v>0</v>
      </c>
      <c r="Q37" s="205"/>
      <c r="R37" s="106">
        <f t="shared" si="6"/>
        <v>0</v>
      </c>
      <c r="S37" s="103">
        <f t="shared" si="9"/>
        <v>6.941999999999999</v>
      </c>
      <c r="T37" s="172">
        <v>2</v>
      </c>
      <c r="U37" s="106">
        <v>10</v>
      </c>
      <c r="V37" s="57" t="str">
        <f t="shared" si="10"/>
        <v>Yes</v>
      </c>
      <c r="W37" s="172">
        <f ca="1">IF(ISERROR(OR(INDEX(INDIRECT(Grade),9,8),INDEX(INDIRECT(Grade),9,9))),"",INDEX(INDIRECT(Grade),9,8))</f>
      </c>
      <c r="X37" s="106">
        <f ca="1">IF(ISERROR(OR(INDEX(INDIRECT(Grade),9,8),INDEX(INDIRECT(Grade),9,9))),"",INDEX(INDIRECT(Grade),9,9))</f>
      </c>
      <c r="Y37" s="57">
        <f t="shared" si="11"/>
      </c>
      <c r="Z37" s="102">
        <f t="shared" si="12"/>
        <v>8.606000000000009</v>
      </c>
      <c r="AA37" s="102">
        <f t="shared" si="7"/>
        <v>93.058</v>
      </c>
      <c r="AB37" s="102" t="str">
        <f t="shared" si="8"/>
        <v>No. 200</v>
      </c>
      <c r="AC37"/>
    </row>
    <row r="38" spans="1:2" ht="15" customHeight="1">
      <c r="A38" s="10"/>
      <c r="B38" s="173" t="s">
        <v>188</v>
      </c>
    </row>
    <row r="39" spans="2:34" ht="15" customHeight="1">
      <c r="B39" s="283" t="s">
        <v>66</v>
      </c>
      <c r="C39" s="284"/>
      <c r="D39" s="284"/>
      <c r="E39" s="285"/>
      <c r="F39" s="286" t="s">
        <v>327</v>
      </c>
      <c r="G39" s="287"/>
      <c r="H39" s="287"/>
      <c r="I39" s="287"/>
      <c r="J39" s="287"/>
      <c r="K39" s="288"/>
      <c r="L39" s="283" t="s">
        <v>159</v>
      </c>
      <c r="M39" s="284"/>
      <c r="N39" s="285"/>
      <c r="O39" s="207"/>
      <c r="P39" s="280" t="s">
        <v>284</v>
      </c>
      <c r="Q39" s="281"/>
      <c r="R39" s="282"/>
      <c r="S39" s="208">
        <v>1.03</v>
      </c>
      <c r="T39" s="60"/>
      <c r="U39" s="60"/>
      <c r="V39" s="60"/>
      <c r="W39"/>
      <c r="X39" s="59"/>
      <c r="Y39" s="61"/>
      <c r="Z39" s="61"/>
      <c r="AA39" s="61"/>
      <c r="AB39" s="61"/>
      <c r="AC39" s="61"/>
      <c r="AD39" s="61"/>
      <c r="AE39" s="62"/>
      <c r="AF39" s="62"/>
      <c r="AG39" s="62"/>
      <c r="AH39" s="62"/>
    </row>
    <row r="40" ht="6" customHeight="1"/>
    <row r="41" spans="1:10" s="1" customFormat="1" ht="12.75" customHeight="1">
      <c r="A41" s="18"/>
      <c r="B41" s="16" t="s">
        <v>5</v>
      </c>
      <c r="C41" s="16"/>
      <c r="D41" s="16"/>
      <c r="E41" s="17">
        <f ca="1">NOW()</f>
        <v>40500.65580810185</v>
      </c>
      <c r="H41" s="17"/>
      <c r="I41" s="10"/>
      <c r="J41" s="10"/>
    </row>
    <row r="42" spans="1:59" s="1" customFormat="1" ht="15" customHeight="1">
      <c r="A42" s="18"/>
      <c r="B42" s="263" t="s">
        <v>317</v>
      </c>
      <c r="C42" s="264"/>
      <c r="D42" s="264"/>
      <c r="E42" s="264"/>
      <c r="F42" s="264"/>
      <c r="G42" s="264"/>
      <c r="H42" s="264"/>
      <c r="I42" s="264"/>
      <c r="J42" s="264"/>
      <c r="K42" s="264"/>
      <c r="L42" s="264"/>
      <c r="M42" s="265"/>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s="10"/>
    </row>
    <row r="43" spans="1:59" s="1" customFormat="1" ht="15" customHeight="1">
      <c r="A43" s="18"/>
      <c r="B43" s="266"/>
      <c r="C43" s="267"/>
      <c r="D43" s="267"/>
      <c r="E43" s="267"/>
      <c r="F43" s="267"/>
      <c r="G43" s="267"/>
      <c r="H43" s="267"/>
      <c r="I43" s="267"/>
      <c r="J43" s="267"/>
      <c r="K43" s="267"/>
      <c r="L43" s="267"/>
      <c r="M43" s="268"/>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s="10"/>
    </row>
    <row r="44" spans="1:10" ht="15" customHeight="1">
      <c r="A44" s="10"/>
      <c r="B44" s="305" t="s">
        <v>162</v>
      </c>
      <c r="C44" s="306"/>
      <c r="D44" s="41"/>
      <c r="E44" s="193" t="s">
        <v>163</v>
      </c>
      <c r="F44" s="110"/>
      <c r="G44" s="110"/>
      <c r="J44" s="178" t="s">
        <v>197</v>
      </c>
    </row>
    <row r="45" spans="1:11" ht="15" customHeight="1">
      <c r="A45" s="10"/>
      <c r="B45" s="293" t="s">
        <v>240</v>
      </c>
      <c r="C45" s="294"/>
      <c r="D45" s="291"/>
      <c r="E45" s="292"/>
      <c r="F45" s="292"/>
      <c r="G45" s="292"/>
      <c r="H45" s="292"/>
      <c r="I45" s="302"/>
      <c r="J45" s="289"/>
      <c r="K45" s="290"/>
    </row>
    <row r="46" ht="3" customHeight="1"/>
    <row r="47" spans="1:11" ht="15" customHeight="1">
      <c r="A47" s="10"/>
      <c r="B47" s="293" t="s">
        <v>241</v>
      </c>
      <c r="C47" s="294"/>
      <c r="D47" s="291"/>
      <c r="E47" s="292"/>
      <c r="F47" s="292"/>
      <c r="G47" s="292"/>
      <c r="H47" s="292"/>
      <c r="I47" s="302"/>
      <c r="J47" s="289"/>
      <c r="K47" s="290"/>
    </row>
    <row r="48" ht="3" customHeight="1"/>
    <row r="49" spans="1:11" ht="15" customHeight="1">
      <c r="A49" s="10"/>
      <c r="B49" s="293" t="s">
        <v>242</v>
      </c>
      <c r="C49" s="294"/>
      <c r="D49" s="291"/>
      <c r="E49" s="292"/>
      <c r="F49" s="292"/>
      <c r="G49" s="292"/>
      <c r="H49" s="292"/>
      <c r="I49" s="302"/>
      <c r="J49" s="289"/>
      <c r="K49" s="290"/>
    </row>
    <row r="50" ht="3" customHeight="1"/>
    <row r="51" spans="1:11" ht="15" customHeight="1">
      <c r="A51" s="10"/>
      <c r="B51" s="293" t="s">
        <v>243</v>
      </c>
      <c r="C51" s="294"/>
      <c r="D51" s="291"/>
      <c r="E51" s="292"/>
      <c r="F51" s="292"/>
      <c r="G51" s="292"/>
      <c r="H51" s="292"/>
      <c r="I51" s="302"/>
      <c r="J51" s="289"/>
      <c r="K51" s="290"/>
    </row>
    <row r="52" ht="3" customHeight="1"/>
    <row r="53" spans="1:11" ht="15" customHeight="1">
      <c r="A53" s="10"/>
      <c r="B53" s="293" t="s">
        <v>244</v>
      </c>
      <c r="C53" s="294"/>
      <c r="D53" s="291"/>
      <c r="E53" s="292"/>
      <c r="F53" s="292"/>
      <c r="G53" s="292"/>
      <c r="H53" s="292"/>
      <c r="I53" s="302"/>
      <c r="J53" s="289"/>
      <c r="K53" s="290"/>
    </row>
    <row r="54" ht="3" customHeight="1"/>
    <row r="55" spans="1:11" ht="15" customHeight="1">
      <c r="A55" s="10"/>
      <c r="B55" s="293" t="s">
        <v>245</v>
      </c>
      <c r="C55" s="294"/>
      <c r="D55" s="291"/>
      <c r="E55" s="292"/>
      <c r="F55" s="292"/>
      <c r="G55" s="292"/>
      <c r="H55" s="292"/>
      <c r="I55" s="302"/>
      <c r="J55" s="289"/>
      <c r="K55" s="290"/>
    </row>
    <row r="56" ht="3" customHeight="1"/>
    <row r="57" spans="1:11" ht="15" customHeight="1">
      <c r="A57" s="10"/>
      <c r="B57" s="293" t="s">
        <v>246</v>
      </c>
      <c r="C57" s="294"/>
      <c r="D57" s="291"/>
      <c r="E57" s="292"/>
      <c r="F57" s="292"/>
      <c r="G57" s="292"/>
      <c r="H57" s="292"/>
      <c r="I57" s="302"/>
      <c r="J57" s="289"/>
      <c r="K57" s="290"/>
    </row>
    <row r="58" ht="3" customHeight="1"/>
    <row r="59" spans="1:11" ht="15" customHeight="1">
      <c r="A59" s="10"/>
      <c r="B59" s="293" t="s">
        <v>247</v>
      </c>
      <c r="C59" s="294"/>
      <c r="D59" s="291"/>
      <c r="E59" s="292"/>
      <c r="F59" s="292"/>
      <c r="G59" s="292"/>
      <c r="H59" s="292"/>
      <c r="I59" s="302"/>
      <c r="J59" s="289"/>
      <c r="K59" s="290"/>
    </row>
    <row r="60" spans="1:9" ht="15" customHeight="1">
      <c r="A60" s="10"/>
      <c r="B60" s="179" t="s">
        <v>164</v>
      </c>
      <c r="C60" s="109"/>
      <c r="D60" s="109"/>
      <c r="F60" s="109"/>
      <c r="H60" s="300" t="s">
        <v>195</v>
      </c>
      <c r="I60" s="301"/>
    </row>
    <row r="61" spans="1:9" ht="15" customHeight="1">
      <c r="A61" s="10"/>
      <c r="B61" s="291"/>
      <c r="C61" s="292"/>
      <c r="D61" s="292"/>
      <c r="E61" s="292"/>
      <c r="F61" s="292"/>
      <c r="G61" s="292"/>
      <c r="H61" s="289"/>
      <c r="I61" s="290"/>
    </row>
    <row r="62" spans="1:10" ht="15" customHeight="1">
      <c r="A62" s="10"/>
      <c r="B62" s="179" t="s">
        <v>165</v>
      </c>
      <c r="C62" s="109"/>
      <c r="D62" s="92"/>
      <c r="H62" s="41" t="s">
        <v>196</v>
      </c>
      <c r="J62" s="109"/>
    </row>
    <row r="63" spans="1:9" ht="15" customHeight="1">
      <c r="A63" s="10"/>
      <c r="B63" s="295"/>
      <c r="C63" s="296"/>
      <c r="D63" s="296"/>
      <c r="E63" s="296"/>
      <c r="F63" s="296"/>
      <c r="G63" s="297"/>
      <c r="H63" s="298"/>
      <c r="I63" s="299"/>
    </row>
  </sheetData>
  <sheetProtection/>
  <mergeCells count="127">
    <mergeCell ref="J59:K59"/>
    <mergeCell ref="B55:C55"/>
    <mergeCell ref="D55:I55"/>
    <mergeCell ref="J55:K55"/>
    <mergeCell ref="B57:C57"/>
    <mergeCell ref="D57:I57"/>
    <mergeCell ref="J57:K57"/>
    <mergeCell ref="J51:K51"/>
    <mergeCell ref="B53:C53"/>
    <mergeCell ref="D53:I53"/>
    <mergeCell ref="J53:K53"/>
    <mergeCell ref="B28:C28"/>
    <mergeCell ref="B24:D24"/>
    <mergeCell ref="D49:I49"/>
    <mergeCell ref="J49:K49"/>
    <mergeCell ref="B47:C47"/>
    <mergeCell ref="D47:I47"/>
    <mergeCell ref="B44:C44"/>
    <mergeCell ref="B45:C45"/>
    <mergeCell ref="D45:I45"/>
    <mergeCell ref="B30:C30"/>
    <mergeCell ref="B49:C49"/>
    <mergeCell ref="B63:G63"/>
    <mergeCell ref="H63:I63"/>
    <mergeCell ref="H60:I60"/>
    <mergeCell ref="B51:C51"/>
    <mergeCell ref="D51:I51"/>
    <mergeCell ref="B59:C59"/>
    <mergeCell ref="D59:I59"/>
    <mergeCell ref="O23:P23"/>
    <mergeCell ref="J45:K45"/>
    <mergeCell ref="B31:C31"/>
    <mergeCell ref="B61:G61"/>
    <mergeCell ref="H61:I61"/>
    <mergeCell ref="B34:C34"/>
    <mergeCell ref="B35:C35"/>
    <mergeCell ref="B36:C36"/>
    <mergeCell ref="B33:C33"/>
    <mergeCell ref="J47:K47"/>
    <mergeCell ref="P39:R39"/>
    <mergeCell ref="B37:C37"/>
    <mergeCell ref="B39:E39"/>
    <mergeCell ref="K20:L20"/>
    <mergeCell ref="M20:N20"/>
    <mergeCell ref="M22:N22"/>
    <mergeCell ref="F39:K39"/>
    <mergeCell ref="L39:N39"/>
    <mergeCell ref="E21:F21"/>
    <mergeCell ref="I21:J21"/>
    <mergeCell ref="B32:C32"/>
    <mergeCell ref="O20:P20"/>
    <mergeCell ref="K21:L21"/>
    <mergeCell ref="M21:N21"/>
    <mergeCell ref="I23:J23"/>
    <mergeCell ref="K23:L23"/>
    <mergeCell ref="M23:N23"/>
    <mergeCell ref="B29:C29"/>
    <mergeCell ref="B26:D26"/>
    <mergeCell ref="I20:J20"/>
    <mergeCell ref="Q20:R20"/>
    <mergeCell ref="S24:S25"/>
    <mergeCell ref="K22:L22"/>
    <mergeCell ref="T25:U28"/>
    <mergeCell ref="S23:Y23"/>
    <mergeCell ref="Q23:R23"/>
    <mergeCell ref="O21:P21"/>
    <mergeCell ref="Q21:R21"/>
    <mergeCell ref="O22:P22"/>
    <mergeCell ref="Q22:R22"/>
    <mergeCell ref="B23:D23"/>
    <mergeCell ref="G22:H22"/>
    <mergeCell ref="AB25:AB28"/>
    <mergeCell ref="Z25:Z28"/>
    <mergeCell ref="AA25:AA28"/>
    <mergeCell ref="W25:X28"/>
    <mergeCell ref="E22:F22"/>
    <mergeCell ref="E23:F23"/>
    <mergeCell ref="G23:H23"/>
    <mergeCell ref="I22:J22"/>
    <mergeCell ref="G21:H21"/>
    <mergeCell ref="G20:H20"/>
    <mergeCell ref="B12:E12"/>
    <mergeCell ref="B13:E13"/>
    <mergeCell ref="B14:E14"/>
    <mergeCell ref="E19:R19"/>
    <mergeCell ref="H17:I17"/>
    <mergeCell ref="E20:F20"/>
    <mergeCell ref="P17:Q17"/>
    <mergeCell ref="N15:Q15"/>
    <mergeCell ref="A1:C1"/>
    <mergeCell ref="B42:M43"/>
    <mergeCell ref="F7:I7"/>
    <mergeCell ref="F8:I8"/>
    <mergeCell ref="F9:I9"/>
    <mergeCell ref="F10:I10"/>
    <mergeCell ref="B21:D21"/>
    <mergeCell ref="B22:D22"/>
    <mergeCell ref="B17:D17"/>
    <mergeCell ref="B15:E15"/>
    <mergeCell ref="E17:G17"/>
    <mergeCell ref="M17:O17"/>
    <mergeCell ref="J17:L17"/>
    <mergeCell ref="F15:I15"/>
    <mergeCell ref="J15:M15"/>
    <mergeCell ref="B7:E7"/>
    <mergeCell ref="B8:E8"/>
    <mergeCell ref="B9:E9"/>
    <mergeCell ref="B10:E10"/>
    <mergeCell ref="B11:E11"/>
    <mergeCell ref="N7:Q7"/>
    <mergeCell ref="N8:Q8"/>
    <mergeCell ref="N9:Q9"/>
    <mergeCell ref="N10:Q10"/>
    <mergeCell ref="N11:Q11"/>
    <mergeCell ref="J7:M7"/>
    <mergeCell ref="J8:M8"/>
    <mergeCell ref="J9:M9"/>
    <mergeCell ref="J10:M10"/>
    <mergeCell ref="N12:Q12"/>
    <mergeCell ref="N13:Q13"/>
    <mergeCell ref="F14:Q14"/>
    <mergeCell ref="F11:I11"/>
    <mergeCell ref="F12:I12"/>
    <mergeCell ref="F13:I13"/>
    <mergeCell ref="J11:M11"/>
    <mergeCell ref="J12:M12"/>
    <mergeCell ref="J13:M13"/>
  </mergeCells>
  <conditionalFormatting sqref="O39 AN39:AS39 AR37:AW37 S39 L39 B39">
    <cfRule type="expression" priority="1" dxfId="0" stopIfTrue="1">
      <formula>(SUM(SSize9,MixDes9,JMFDes9)=0)</formula>
    </cfRule>
  </conditionalFormatting>
  <conditionalFormatting sqref="F39 AM30:AQ37 AG39:AM39">
    <cfRule type="expression" priority="2" dxfId="0" stopIfTrue="1">
      <formula>(SUM(SSize1,MixDes1,JMFDes1)=0)</formula>
    </cfRule>
  </conditionalFormatting>
  <conditionalFormatting sqref="F24">
    <cfRule type="expression" priority="3" dxfId="0" stopIfTrue="1">
      <formula>AND(Bin1RAP&lt;&gt;"Yes",BIN1rapac="")</formula>
    </cfRule>
    <cfRule type="expression" priority="4" dxfId="1" stopIfTrue="1">
      <formula>AND(Bin1RAP&lt;&gt;"Yes",BIN1rapac&lt;&gt;"")</formula>
    </cfRule>
  </conditionalFormatting>
  <conditionalFormatting sqref="F37 P37 N37 L37 J37 H37 B37:D37 R37">
    <cfRule type="expression" priority="5" dxfId="0" stopIfTrue="1">
      <formula>AND(SSize9=0,SUM($E37,$G37,$I37,$K37,$M37,$O37,$Q37)=0)</formula>
    </cfRule>
  </conditionalFormatting>
  <conditionalFormatting sqref="F36 P36 N36 L36 J36 H36 B36:D36 R36">
    <cfRule type="expression" priority="6" dxfId="0" stopIfTrue="1">
      <formula>AND(SSize8=0,SUM($E36,$G36,$I36,$K36,$M36,$O36,$Q36)=0)</formula>
    </cfRule>
  </conditionalFormatting>
  <conditionalFormatting sqref="F35 P35 N35 L35 J35 H35 B35:D35 R35">
    <cfRule type="expression" priority="7" dxfId="0" stopIfTrue="1">
      <formula>AND(SSize7=0,SUM($E35,$G35,$I35,$K35,$M35,$O35,$Q35)=0)</formula>
    </cfRule>
  </conditionalFormatting>
  <conditionalFormatting sqref="F34 P34 N34 L34 J34 H34 B34:D34 R34">
    <cfRule type="expression" priority="8" dxfId="0" stopIfTrue="1">
      <formula>AND(SSize6=0,SUM($E34,$G34,$I34,$K34,$M34,$O34,$Q34)=0)</formula>
    </cfRule>
  </conditionalFormatting>
  <conditionalFormatting sqref="F33 P33 N33 L33 J33 H33 B33:D33 R33">
    <cfRule type="expression" priority="9" dxfId="0" stopIfTrue="1">
      <formula>AND(SSize5=0,SUM($E33,$G33,$I33,$K33,$M33,$O33,$Q33)=0)</formula>
    </cfRule>
  </conditionalFormatting>
  <conditionalFormatting sqref="F32 P32 N32 L32 J32 H32 B32:D32 R32">
    <cfRule type="expression" priority="10" dxfId="0" stopIfTrue="1">
      <formula>AND(SSize4=0,SUM($E32,$G32,$I32,$K32,$M32,$O32,$Q32)=0)</formula>
    </cfRule>
  </conditionalFormatting>
  <conditionalFormatting sqref="F31 P31 N31 L31 J31 H31 B31:D31 R31">
    <cfRule type="expression" priority="11" dxfId="0" stopIfTrue="1">
      <formula>AND(SSize3=0,SUM($E31,$G31,$I31,$K31,$M31,$O31,$Q31)=0)</formula>
    </cfRule>
  </conditionalFormatting>
  <conditionalFormatting sqref="F30 P30 N30 L30 J30 H30 B30:D30 R30">
    <cfRule type="expression" priority="12" dxfId="0" stopIfTrue="1">
      <formula>AND(SSize2=0,SUM($E30,$G30,$I30,$K30,$M30,$O30,$Q30)=0)</formula>
    </cfRule>
  </conditionalFormatting>
  <conditionalFormatting sqref="B29:R29">
    <cfRule type="expression" priority="13" dxfId="0" stopIfTrue="1">
      <formula>AND(SSize1=0,SUM($E29,$G29,$I29,$K29,$M29,$O29,$Q29)=0)</formula>
    </cfRule>
  </conditionalFormatting>
  <conditionalFormatting sqref="S26">
    <cfRule type="expression" priority="14" dxfId="2" stopIfTrue="1">
      <formula>AND($S$26&lt;&gt;0,$S$26&lt;&gt;1)</formula>
    </cfRule>
  </conditionalFormatting>
  <conditionalFormatting sqref="H24">
    <cfRule type="expression" priority="15" dxfId="0" stopIfTrue="1">
      <formula>AND(Bin2RAP&lt;&gt;"Yes",BIN2Rapac="")</formula>
    </cfRule>
    <cfRule type="expression" priority="16" dxfId="1" stopIfTrue="1">
      <formula>AND(Bin2RAP&lt;&gt;"Yes",BIN2Rapac&lt;&gt;"")</formula>
    </cfRule>
  </conditionalFormatting>
  <conditionalFormatting sqref="J24">
    <cfRule type="expression" priority="17" dxfId="0" stopIfTrue="1">
      <formula>AND(Bin3RAP&lt;&gt;"Yes",Bin3Rapac="")</formula>
    </cfRule>
    <cfRule type="expression" priority="18" dxfId="1" stopIfTrue="1">
      <formula>AND(Bin3RAP&lt;&gt;"Yes",Bin3Rapac&lt;&gt;"")</formula>
    </cfRule>
  </conditionalFormatting>
  <conditionalFormatting sqref="L24">
    <cfRule type="expression" priority="19" dxfId="0" stopIfTrue="1">
      <formula>AND(Bin4RAP&lt;&gt;"Yes",Bin4Rapac="")</formula>
    </cfRule>
    <cfRule type="expression" priority="20" dxfId="1" stopIfTrue="1">
      <formula>AND(Bin4RAP&lt;&gt;"Yes",Bin4Rapac&lt;&gt;"")</formula>
    </cfRule>
  </conditionalFormatting>
  <conditionalFormatting sqref="N24">
    <cfRule type="expression" priority="21" dxfId="0" stopIfTrue="1">
      <formula>AND(Bin5RAP&lt;&gt;"Yes",Bin5Rapac="")</formula>
    </cfRule>
    <cfRule type="expression" priority="22" dxfId="1" stopIfTrue="1">
      <formula>AND(Bin5RAP&lt;&gt;"Yes",Bin5Rapac&lt;&gt;"")</formula>
    </cfRule>
  </conditionalFormatting>
  <conditionalFormatting sqref="P24">
    <cfRule type="expression" priority="23" dxfId="0" stopIfTrue="1">
      <formula>AND(Bin6RAP&lt;&gt;"Yes",Bin6Rapac="")</formula>
    </cfRule>
    <cfRule type="expression" priority="24" dxfId="1" stopIfTrue="1">
      <formula>AND(Bin6RAP&lt;&gt;"Yes",Bin6Rapac&lt;&gt;"")</formula>
    </cfRule>
  </conditionalFormatting>
  <conditionalFormatting sqref="R24">
    <cfRule type="expression" priority="25" dxfId="0" stopIfTrue="1">
      <formula>AND(Bin7RAP&lt;&gt;"Yes",Bin7Rapac="")</formula>
    </cfRule>
    <cfRule type="expression" priority="26" dxfId="1" stopIfTrue="1">
      <formula>AND(Bin7RAP&lt;&gt;"Yes",Bin7Rapac&lt;&gt;"")</formula>
    </cfRule>
  </conditionalFormatting>
  <conditionalFormatting sqref="E30 G30 I30 K30 M30 O30 Q30">
    <cfRule type="expression" priority="27" dxfId="0" stopIfTrue="1">
      <formula>AND(SSize2=0,SUM($E30,$G30,$I30,$K30,$M30,$O30,$Q30)=0)</formula>
    </cfRule>
    <cfRule type="cellIs" priority="28" dxfId="3" operator="greaterThan" stopIfTrue="1">
      <formula>E$29</formula>
    </cfRule>
  </conditionalFormatting>
  <conditionalFormatting sqref="E31 G31 I31 K31 M31 O31 Q31">
    <cfRule type="expression" priority="29" dxfId="0" stopIfTrue="1">
      <formula>AND(SSize3=0,SUM($E31,$G31,$I31,$K31,$M31,$O31,$Q31)=0)</formula>
    </cfRule>
    <cfRule type="cellIs" priority="30" dxfId="3" operator="greaterThan" stopIfTrue="1">
      <formula>E$30</formula>
    </cfRule>
  </conditionalFormatting>
  <conditionalFormatting sqref="E32 G32 I32 K32 M32 O32 Q32">
    <cfRule type="expression" priority="31" dxfId="0" stopIfTrue="1">
      <formula>AND(SSize4=0,SUM($E32,$G32,$I32,$K32,$M32,$O32,$Q32)=0)</formula>
    </cfRule>
    <cfRule type="cellIs" priority="32" dxfId="3" operator="greaterThan" stopIfTrue="1">
      <formula>E$31</formula>
    </cfRule>
  </conditionalFormatting>
  <conditionalFormatting sqref="E33 G33 I33 K33 M33 O33 Q33">
    <cfRule type="expression" priority="33" dxfId="0" stopIfTrue="1">
      <formula>AND(SSize5=0,SUM($E33,$G33,$I33,$K33,$M33,$O33,$Q33)=0)</formula>
    </cfRule>
    <cfRule type="cellIs" priority="34" dxfId="3" operator="greaterThan" stopIfTrue="1">
      <formula>E$32</formula>
    </cfRule>
  </conditionalFormatting>
  <conditionalFormatting sqref="E34 G34 I34 K34 M34 O34 Q34">
    <cfRule type="expression" priority="35" dxfId="0" stopIfTrue="1">
      <formula>AND(SSize6=0,SUM($E34,$G34,$I34,$K34,$M34,$O34,$Q34)=0)</formula>
    </cfRule>
    <cfRule type="cellIs" priority="36" dxfId="3" operator="greaterThan" stopIfTrue="1">
      <formula>E$33</formula>
    </cfRule>
  </conditionalFormatting>
  <conditionalFormatting sqref="E35 G35 I35 K35 M35 O35 Q35">
    <cfRule type="expression" priority="37" dxfId="0" stopIfTrue="1">
      <formula>AND(SSize7=0,SUM($E35,$G35,$I35,$K35,$M35,$O35,$Q35)=0)</formula>
    </cfRule>
    <cfRule type="cellIs" priority="38" dxfId="3" operator="greaterThan" stopIfTrue="1">
      <formula>E$34</formula>
    </cfRule>
  </conditionalFormatting>
  <conditionalFormatting sqref="E36 G36 I36 K36 M36 O36 Q36">
    <cfRule type="expression" priority="39" dxfId="0" stopIfTrue="1">
      <formula>AND(SSize8=0,SUM($E36,$G36,$I36,$K36,$M36,$O36,$Q36)=0)</formula>
    </cfRule>
    <cfRule type="cellIs" priority="40" dxfId="3" operator="greaterThan" stopIfTrue="1">
      <formula>E$35</formula>
    </cfRule>
  </conditionalFormatting>
  <conditionalFormatting sqref="E37 G37 I37 K37 M37 O37 Q37">
    <cfRule type="expression" priority="41" dxfId="0" stopIfTrue="1">
      <formula>AND(SSize9=0,SUM($E37,$G37,$I37,$K37,$M37,$O37,$Q37)=0)</formula>
    </cfRule>
    <cfRule type="cellIs" priority="42" dxfId="3" operator="greaterThan" stopIfTrue="1">
      <formula>E$36</formula>
    </cfRule>
  </conditionalFormatting>
  <conditionalFormatting sqref="S29:S37">
    <cfRule type="expression" priority="43" dxfId="0" stopIfTrue="1">
      <formula>IF($D29=0,SUM($E29,$G29,$I29,$K29,$M29,$O29,$Q29)=0)</formula>
    </cfRule>
    <cfRule type="expression" priority="44" dxfId="4" stopIfTrue="1">
      <formula>$V29="no"</formula>
    </cfRule>
    <cfRule type="expression" priority="45" dxfId="3" stopIfTrue="1">
      <formula>$Y29="no"</formula>
    </cfRule>
  </conditionalFormatting>
  <conditionalFormatting sqref="Z29:AB37">
    <cfRule type="expression" priority="46" dxfId="0" stopIfTrue="1">
      <formula>AND($D29=0,SUM($E29,$G29,$I29,$K29,$M29,$O29,$Q29)=0)</formula>
    </cfRule>
  </conditionalFormatting>
  <conditionalFormatting sqref="W29:X37">
    <cfRule type="expression" priority="47" dxfId="0" stopIfTrue="1">
      <formula>OR($W29="",$X29="",AND($D29=0,SUM($E29,$G29,$I29,$K29,$M29,$O29,$Q29)=0))</formula>
    </cfRule>
  </conditionalFormatting>
  <conditionalFormatting sqref="Y29:Y37">
    <cfRule type="expression" priority="48" dxfId="0" stopIfTrue="1">
      <formula>OR($W29="",$X29="",AND($D29=0,SUM($E29,$G29,$I29,$K29,$M29,$O29,$Q29)=0))</formula>
    </cfRule>
    <cfRule type="cellIs" priority="49" dxfId="5" operator="equal" stopIfTrue="1">
      <formula>"no"</formula>
    </cfRule>
  </conditionalFormatting>
  <conditionalFormatting sqref="T29:U37">
    <cfRule type="expression" priority="50" dxfId="0" stopIfTrue="1">
      <formula>OR(AND($T29="",$U29="",SUM($E29,$G29,$I29,$K29,$M29,$O29,$Q29)=0),AND($D29=0,SUM($E29,$G29,$I29,$K29,$M29,$O29,$Q29)=0))</formula>
    </cfRule>
  </conditionalFormatting>
  <conditionalFormatting sqref="V29:V37">
    <cfRule type="expression" priority="51" dxfId="0" stopIfTrue="1">
      <formula>OR(AND($T29="",$U29="",SUM($E29,$G29,$I29,$K29,$M29,$O29,$Q29)=0),AND($D29=0,SUM($E29,$G29,$I29,$K29,$M29,$O29,$Q29)=0))</formula>
    </cfRule>
    <cfRule type="cellIs" priority="52" dxfId="4" operator="equal" stopIfTrue="1">
      <formula>"no"</formula>
    </cfRule>
  </conditionalFormatting>
  <conditionalFormatting sqref="W25:X28 Y28">
    <cfRule type="expression" priority="53" dxfId="6" stopIfTrue="1">
      <formula>LEFT(Grade,1)&lt;&gt;"s"</formula>
    </cfRule>
  </conditionalFormatting>
  <dataValidations count="16">
    <dataValidation type="list" allowBlank="1" showInputMessage="1" showErrorMessage="1" sqref="N10">
      <formula1>"1993,1995"</formula1>
    </dataValidation>
    <dataValidation type="list" allowBlank="1" showInputMessage="1" showErrorMessage="1" error="Please select an item from the dropdown list." sqref="N12">
      <formula1>"NONE,OTHER"</formula1>
    </dataValidation>
    <dataValidation type="textLength" operator="lessThan" allowBlank="1" showInputMessage="1" showErrorMessage="1" errorTitle="Text Length" error="Please limit the text length to 200 characters." sqref="B42:M43">
      <formula1>201</formula1>
    </dataValidation>
    <dataValidation type="list" allowBlank="1" showInputMessage="1" showErrorMessage="1" sqref="E24 G24 I24 K24 M24 O24 Q24">
      <formula1>"Yes"</formula1>
    </dataValidation>
    <dataValidation type="list" allowBlank="1" sqref="H61 J45 J47 J49 J51 J53 J55 J57 J59">
      <formula1>TodaysDate</formula1>
    </dataValidation>
    <dataValidation type="custom" showInputMessage="1" showErrorMessage="1" promptTitle="Asphalt Content" prompt="Enter the RAP's asphalt content." errorTitle="Error" error="This cell is unavailable for input. If you wish to enter a value for the RAP's asphalt content, first select &quot;yes&quot; in the adjacent cell's dropdown list." sqref="F24 H24 J24 L24 N24 P24 R24">
      <formula1>E$24="yes"</formula1>
    </dataValidation>
    <dataValidation type="custom" allowBlank="1" showInputMessage="1" showErrorMessage="1" sqref="E37 G37 I37 K37 M37 O37 Q37">
      <formula1>SSize9&lt;&gt;0</formula1>
    </dataValidation>
    <dataValidation type="custom" allowBlank="1" showInputMessage="1" showErrorMessage="1" sqref="E36 G36 I36 K36 M36 O36 Q36">
      <formula1>SSize8&lt;&gt;0</formula1>
    </dataValidation>
    <dataValidation type="custom" allowBlank="1" showInputMessage="1" showErrorMessage="1" sqref="E35 G35 I35 K35 M35 O35 Q35">
      <formula1>SSize7&lt;&gt;0</formula1>
    </dataValidation>
    <dataValidation type="custom" allowBlank="1" showInputMessage="1" showErrorMessage="1" sqref="E34 G34 I34 K34 M34 O34 Q34">
      <formula1>SSize6&lt;&gt;0</formula1>
    </dataValidation>
    <dataValidation type="custom" allowBlank="1" showInputMessage="1" showErrorMessage="1" sqref="E33 G33 I33 K33 M33 O33 Q33">
      <formula1>SSize5&lt;&gt;0</formula1>
    </dataValidation>
    <dataValidation type="custom" allowBlank="1" showInputMessage="1" showErrorMessage="1" sqref="E32 G32 I32 K32 M32 O32 Q32">
      <formula1>SSize4&lt;&gt;0</formula1>
    </dataValidation>
    <dataValidation type="custom" allowBlank="1" showInputMessage="1" showErrorMessage="1" sqref="E31 G31 I31 K31 M31 O31 Q31">
      <formula1>SSize3&lt;&gt;0</formula1>
    </dataValidation>
    <dataValidation type="custom" allowBlank="1" showInputMessage="1" showErrorMessage="1" sqref="E30 G30 I30 K30 M30 O30 Q30">
      <formula1>SSize2&lt;&gt;0</formula1>
    </dataValidation>
    <dataValidation type="custom" allowBlank="1" showInputMessage="1" showErrorMessage="1" sqref="E29 G29 I29 K29 M29 O29 Q29">
      <formula1>SSize1&lt;&gt;0</formula1>
    </dataValidation>
    <dataValidation type="list" allowBlank="1" showInputMessage="1" showErrorMessage="1" sqref="N13">
      <formula1>mixtype</formula1>
    </dataValidation>
  </dataValidations>
  <hyperlinks>
    <hyperlink ref="S1" r:id="rId1" display="http://manuals.dot.state.tx.us/dynaweb/colmates/mtp/@Generic__BookTextView/66670"/>
    <hyperlink ref="Q1" r:id="rId2" display="http://manuals.dot.state.tx.us/dynaweb/colmates/mtp/@Generic__BookTextView/51238"/>
    <hyperlink ref="O1" r:id="rId3" display="http://manuals.dot.state.tx.us/dynaweb/colmates/mtp/@Generic__BookTextView/49076"/>
    <hyperlink ref="M1" r:id="rId4" display="http://manuals.dot.state.tx.us/dynaweb/colmates/mtp/@Generic__BookTextView/61958"/>
    <hyperlink ref="K1" r:id="rId5" display="http://manuals.dot.state.tx.us/dynaweb/colmates/mtp/@Generic__BookTextView/64996"/>
    <hyperlink ref="I1" r:id="rId6" display="http://manuals.dot.state.tx.us/dynaweb/colmates/mtp/@Generic__BookTextView/52494"/>
    <hyperlink ref="G1" r:id="rId7" display="http://manuals.dot.state.tx.us/dynaweb/colmates/mtp/@Generic__BookTextView/64090"/>
    <hyperlink ref="E1" r:id="rId8" display="http://manuals.dot.state.tx.us/dynaweb/colmates/mtp/@Generic__BookTextView/69871"/>
    <hyperlink ref="A1" r:id="rId9" display="http://manuals.dot.state.tx.us/dynaweb/colmates/mtp/@Generic__BookView"/>
  </hyperlinks>
  <printOptions horizontalCentered="1"/>
  <pageMargins left="0.28" right="0.21" top="0.37" bottom="0.51" header="0.22" footer="0.24"/>
  <pageSetup fitToHeight="1" fitToWidth="1" horizontalDpi="600" verticalDpi="600" orientation="landscape" scale="74" r:id="rId13"/>
  <headerFooter alignWithMargins="0">
    <oddFooter>&amp;L&amp;A&amp;CPage &amp;P of &amp;N&amp;R&amp;D</oddFooter>
  </headerFooter>
  <drawing r:id="rId12"/>
  <legacyDrawing r:id="rId11"/>
</worksheet>
</file>

<file path=xl/worksheets/sheet2.xml><?xml version="1.0" encoding="utf-8"?>
<worksheet xmlns="http://schemas.openxmlformats.org/spreadsheetml/2006/main" xmlns:r="http://schemas.openxmlformats.org/officeDocument/2006/relationships">
  <sheetPr codeName="Sheet2">
    <pageSetUpPr fitToPage="1"/>
  </sheetPr>
  <dimension ref="A1:AN62"/>
  <sheetViews>
    <sheetView showGridLines="0" workbookViewId="0" topLeftCell="A5">
      <selection activeCell="G19" sqref="G19:H19"/>
    </sheetView>
  </sheetViews>
  <sheetFormatPr defaultColWidth="9.140625" defaultRowHeight="15" customHeight="1"/>
  <cols>
    <col min="1" max="1" width="0.9921875" style="10" customWidth="1"/>
    <col min="2" max="2" width="8.00390625" style="20" customWidth="1"/>
    <col min="3" max="13" width="8.00390625" style="10" customWidth="1"/>
    <col min="14" max="16" width="8.7109375" style="10" customWidth="1"/>
    <col min="17" max="17" width="7.7109375" style="10" customWidth="1"/>
    <col min="18" max="19" width="8.00390625" style="10" customWidth="1"/>
    <col min="20" max="20" width="10.140625" style="10" customWidth="1"/>
    <col min="21" max="24" width="7.7109375" style="10" customWidth="1"/>
    <col min="25" max="25" width="3.7109375" style="10" customWidth="1"/>
    <col min="26" max="26" width="4.57421875" style="10" customWidth="1"/>
    <col min="27" max="27" width="4.8515625" style="10" customWidth="1"/>
    <col min="28" max="16384" width="6.7109375" style="10" customWidth="1"/>
  </cols>
  <sheetData>
    <row r="1" spans="1:39" s="5" customFormat="1" ht="15" customHeight="1">
      <c r="A1" s="18"/>
      <c r="B1" s="176" t="s">
        <v>0</v>
      </c>
      <c r="C1" s="2"/>
      <c r="D1" s="2"/>
      <c r="E1" s="2"/>
      <c r="F1" s="3"/>
      <c r="G1" s="3"/>
      <c r="H1" s="3"/>
      <c r="I1" s="3"/>
      <c r="J1" s="3"/>
      <c r="K1" s="3"/>
      <c r="L1" s="3"/>
      <c r="M1" s="3"/>
      <c r="N1" s="18"/>
      <c r="O1" s="18"/>
      <c r="P1" s="18"/>
      <c r="Q1" s="18"/>
      <c r="R1" s="18"/>
      <c r="S1" s="142"/>
      <c r="T1" s="93"/>
      <c r="U1" s="18"/>
      <c r="V1" s="18"/>
      <c r="W1" s="18"/>
      <c r="X1" s="18"/>
      <c r="Y1" s="18"/>
      <c r="Z1" s="18"/>
      <c r="AA1" s="18"/>
      <c r="AB1" s="18"/>
      <c r="AC1" s="18"/>
      <c r="AD1" s="18"/>
      <c r="AE1" s="40"/>
      <c r="AF1" s="40"/>
      <c r="AG1" s="93"/>
      <c r="AH1" s="93"/>
      <c r="AI1" s="93"/>
      <c r="AJ1" s="93"/>
      <c r="AK1" s="93"/>
      <c r="AM1" s="6"/>
    </row>
    <row r="2" spans="1:39" s="5" customFormat="1" ht="15" customHeight="1">
      <c r="A2" s="18"/>
      <c r="B2" s="2">
        <f>IF(location="","",location)</f>
      </c>
      <c r="C2" s="2"/>
      <c r="D2" s="2"/>
      <c r="E2" s="2"/>
      <c r="F2" s="3"/>
      <c r="G2" s="3"/>
      <c r="H2" s="3"/>
      <c r="I2" s="3"/>
      <c r="J2" s="3"/>
      <c r="K2" s="3"/>
      <c r="L2" s="3"/>
      <c r="M2" s="3"/>
      <c r="N2" s="19"/>
      <c r="O2" s="19"/>
      <c r="P2" s="19"/>
      <c r="Q2" s="19"/>
      <c r="R2" s="18"/>
      <c r="S2" s="142"/>
      <c r="T2" s="93"/>
      <c r="U2" s="4"/>
      <c r="V2" s="4"/>
      <c r="W2" s="4"/>
      <c r="X2" s="4"/>
      <c r="Y2" s="4"/>
      <c r="Z2" s="4"/>
      <c r="AA2" s="4"/>
      <c r="AB2" s="4"/>
      <c r="AC2" s="4"/>
      <c r="AD2" s="4"/>
      <c r="AE2" s="4"/>
      <c r="AF2" s="4"/>
      <c r="AG2" s="95"/>
      <c r="AH2" s="95"/>
      <c r="AI2" s="6"/>
      <c r="AJ2" s="6"/>
      <c r="AK2" s="6"/>
      <c r="AL2" s="6"/>
      <c r="AM2" s="96"/>
    </row>
    <row r="3" spans="1:40" s="5" customFormat="1" ht="5.25" customHeight="1">
      <c r="A3" s="19"/>
      <c r="B3" s="8"/>
      <c r="C3" s="8"/>
      <c r="D3" s="8"/>
      <c r="E3" s="8"/>
      <c r="F3" s="3"/>
      <c r="G3" s="3"/>
      <c r="H3" s="3"/>
      <c r="I3" s="3"/>
      <c r="J3" s="3"/>
      <c r="K3" s="3"/>
      <c r="L3" s="3"/>
      <c r="M3" s="3"/>
      <c r="N3" s="19"/>
      <c r="O3" s="19"/>
      <c r="P3" s="19"/>
      <c r="Q3" s="19"/>
      <c r="R3" s="19"/>
      <c r="S3" s="142"/>
      <c r="T3" s="19"/>
      <c r="U3" s="3"/>
      <c r="V3" s="3"/>
      <c r="W3" s="3"/>
      <c r="X3" s="3"/>
      <c r="Y3" s="3"/>
      <c r="Z3" s="3"/>
      <c r="AA3" s="3"/>
      <c r="AB3" s="3"/>
      <c r="AC3" s="3"/>
      <c r="AD3" s="3"/>
      <c r="AE3" s="3"/>
      <c r="AF3" s="3"/>
      <c r="AG3" s="97"/>
      <c r="AH3" s="97"/>
      <c r="AI3" s="6"/>
      <c r="AJ3" s="6"/>
      <c r="AK3" s="6"/>
      <c r="AL3" s="6"/>
      <c r="AM3" s="96"/>
      <c r="AN3" s="7"/>
    </row>
    <row r="4" spans="1:37" s="5" customFormat="1" ht="14.25" customHeight="1">
      <c r="A4" s="18"/>
      <c r="B4" s="9" t="s">
        <v>191</v>
      </c>
      <c r="C4" s="9"/>
      <c r="D4" s="9"/>
      <c r="E4" s="9"/>
      <c r="F4" s="3"/>
      <c r="G4" s="3"/>
      <c r="H4" s="3"/>
      <c r="I4" s="3"/>
      <c r="J4" s="4"/>
      <c r="K4" s="4"/>
      <c r="L4" s="4"/>
      <c r="M4" s="4"/>
      <c r="N4" s="18"/>
      <c r="O4" s="18"/>
      <c r="P4" s="18"/>
      <c r="Q4" s="142"/>
      <c r="R4" s="98"/>
      <c r="S4" s="18"/>
      <c r="T4" s="18"/>
      <c r="U4" s="18"/>
      <c r="V4" s="18"/>
      <c r="W4" s="18"/>
      <c r="X4" s="18"/>
      <c r="Y4" s="40"/>
      <c r="Z4" s="40"/>
      <c r="AA4" s="93"/>
      <c r="AB4" s="93"/>
      <c r="AC4" s="94"/>
      <c r="AD4" s="94"/>
      <c r="AE4" s="93"/>
      <c r="AF4" s="93"/>
      <c r="AH4" s="6"/>
      <c r="AI4" s="6"/>
      <c r="AJ4" s="6"/>
      <c r="AK4" s="6"/>
    </row>
    <row r="5" spans="1:38" s="5" customFormat="1" ht="10.5" customHeight="1">
      <c r="A5" s="18"/>
      <c r="E5" s="1"/>
      <c r="F5" s="1"/>
      <c r="G5" s="1"/>
      <c r="H5" s="1"/>
      <c r="I5" s="1"/>
      <c r="J5" s="1"/>
      <c r="M5" s="91" t="str">
        <f>"File Version: "&amp;TEXT(MID(sn,SEARCH("::",sn,1)+2,20),"mm/dd/yy hh:mm:ss")</f>
        <v>File Version: 01/28/04 14:02:18</v>
      </c>
      <c r="N5" s="40"/>
      <c r="O5" s="142"/>
      <c r="P5" s="142"/>
      <c r="Q5" s="142"/>
      <c r="R5" s="142"/>
      <c r="S5" s="142"/>
      <c r="T5"/>
      <c r="U5"/>
      <c r="V5"/>
      <c r="W5"/>
      <c r="X5"/>
      <c r="Y5"/>
      <c r="AB5" s="6"/>
      <c r="AC5" s="6"/>
      <c r="AD5" s="7"/>
      <c r="AE5" s="7"/>
      <c r="AF5" s="6"/>
      <c r="AG5" s="6"/>
      <c r="AH5" s="6"/>
      <c r="AI5" s="6"/>
      <c r="AJ5" s="6"/>
      <c r="AK5" s="6"/>
      <c r="AL5" s="6"/>
    </row>
    <row r="6" spans="2:38" s="5" customFormat="1" ht="15" customHeight="1">
      <c r="B6" s="270" t="s">
        <v>67</v>
      </c>
      <c r="C6" s="271"/>
      <c r="D6" s="272"/>
      <c r="E6" s="319" t="str">
        <f>IF(sampleid="","",sampleid)</f>
        <v>TTI_ Lubbock</v>
      </c>
      <c r="F6" s="320"/>
      <c r="G6" s="321"/>
      <c r="H6" s="254" t="s">
        <v>146</v>
      </c>
      <c r="I6" s="254"/>
      <c r="J6" s="254"/>
      <c r="K6" s="319" t="str">
        <f>IF(sampleddate="","",sampleddate)</f>
        <v>03/01/2009</v>
      </c>
      <c r="L6" s="320"/>
      <c r="M6" s="321"/>
      <c r="N6"/>
      <c r="O6"/>
      <c r="P6"/>
      <c r="Q6"/>
      <c r="R6"/>
      <c r="S6"/>
      <c r="T6"/>
      <c r="U6"/>
      <c r="V6"/>
      <c r="W6"/>
      <c r="X6"/>
      <c r="Y6"/>
      <c r="AF6" s="6"/>
      <c r="AG6" s="6"/>
      <c r="AH6" s="6"/>
      <c r="AI6" s="6"/>
      <c r="AJ6" s="6"/>
      <c r="AK6" s="6"/>
      <c r="AL6" s="6"/>
    </row>
    <row r="7" spans="2:38" s="5" customFormat="1" ht="15" customHeight="1">
      <c r="B7" s="270" t="s">
        <v>68</v>
      </c>
      <c r="C7" s="271"/>
      <c r="D7" s="272"/>
      <c r="E7" s="319">
        <f>IF(testnumber="","",testnumber)</f>
      </c>
      <c r="F7" s="320"/>
      <c r="G7" s="321"/>
      <c r="H7" s="254" t="s">
        <v>69</v>
      </c>
      <c r="I7" s="254"/>
      <c r="J7" s="254"/>
      <c r="K7" s="319" t="str">
        <f>IF(lettingdate="","",lettingdate)</f>
        <v>September 2004</v>
      </c>
      <c r="L7" s="320"/>
      <c r="M7" s="321"/>
      <c r="N7"/>
      <c r="P7"/>
      <c r="AF7" s="6"/>
      <c r="AG7" s="6"/>
      <c r="AH7" s="6"/>
      <c r="AI7" s="6"/>
      <c r="AJ7" s="6"/>
      <c r="AK7" s="6"/>
      <c r="AL7" s="6"/>
    </row>
    <row r="8" spans="2:38" s="5" customFormat="1" ht="15" customHeight="1">
      <c r="B8" s="270" t="s">
        <v>70</v>
      </c>
      <c r="C8" s="271"/>
      <c r="D8" s="272"/>
      <c r="E8" s="319">
        <f>IF(status="","",status)</f>
      </c>
      <c r="F8" s="320"/>
      <c r="G8" s="321"/>
      <c r="H8" s="254" t="s">
        <v>71</v>
      </c>
      <c r="I8" s="254"/>
      <c r="J8" s="254"/>
      <c r="K8" s="319" t="str">
        <f>IF(ccsj="","",ccsj)</f>
        <v>1006-02-005</v>
      </c>
      <c r="L8" s="320"/>
      <c r="M8" s="321"/>
      <c r="N8"/>
      <c r="AF8" s="6"/>
      <c r="AG8" s="6"/>
      <c r="AH8" s="6"/>
      <c r="AI8" s="6"/>
      <c r="AJ8" s="6"/>
      <c r="AK8" s="6"/>
      <c r="AL8" s="6"/>
    </row>
    <row r="9" spans="2:23" s="5" customFormat="1" ht="15" customHeight="1">
      <c r="B9" s="270" t="s">
        <v>72</v>
      </c>
      <c r="C9" s="271"/>
      <c r="D9" s="272"/>
      <c r="E9" s="319">
        <f>IF(county="","",county)</f>
      </c>
      <c r="F9" s="320"/>
      <c r="G9" s="321"/>
      <c r="H9" s="254" t="s">
        <v>73</v>
      </c>
      <c r="I9" s="254"/>
      <c r="J9" s="254"/>
      <c r="K9" s="319">
        <f>IF(county="","",county)</f>
      </c>
      <c r="L9" s="320"/>
      <c r="M9" s="321"/>
      <c r="N9"/>
      <c r="Q9" s="10"/>
      <c r="R9" s="10"/>
      <c r="S9" s="10"/>
      <c r="T9" s="10"/>
      <c r="U9" s="10"/>
      <c r="V9" s="10"/>
      <c r="W9" s="10"/>
    </row>
    <row r="10" spans="2:14" s="5" customFormat="1" ht="15" customHeight="1">
      <c r="B10" s="270" t="s">
        <v>74</v>
      </c>
      <c r="C10" s="271"/>
      <c r="D10" s="272"/>
      <c r="E10" s="319" t="str">
        <f>IF(sampledby="","",sampledby)</f>
        <v>Xiaodi</v>
      </c>
      <c r="F10" s="320"/>
      <c r="G10" s="321"/>
      <c r="H10" s="253" t="s">
        <v>75</v>
      </c>
      <c r="I10" s="253"/>
      <c r="J10" s="253"/>
      <c r="K10" s="319">
        <f>IF(specitem="","",specitem)</f>
      </c>
      <c r="L10" s="320"/>
      <c r="M10" s="321"/>
      <c r="N10"/>
    </row>
    <row r="11" spans="1:13" ht="15" customHeight="1">
      <c r="A11" s="10"/>
      <c r="B11" s="270" t="s">
        <v>76</v>
      </c>
      <c r="C11" s="271"/>
      <c r="D11" s="272"/>
      <c r="E11" s="319">
        <f>IF(samplelocation="","",samplelocation)</f>
      </c>
      <c r="F11" s="320"/>
      <c r="G11" s="321"/>
      <c r="H11" s="254" t="s">
        <v>77</v>
      </c>
      <c r="I11" s="254"/>
      <c r="J11" s="254"/>
      <c r="K11" s="322" t="str">
        <f>IF(specialprovision="","",specialprovision)</f>
        <v>NONE</v>
      </c>
      <c r="L11" s="323"/>
      <c r="M11" s="324"/>
    </row>
    <row r="12" spans="1:13" ht="15" customHeight="1">
      <c r="A12" s="10"/>
      <c r="B12" s="270" t="s">
        <v>78</v>
      </c>
      <c r="C12" s="271"/>
      <c r="D12" s="272"/>
      <c r="E12" s="319" t="str">
        <f>IF(material="","",material)</f>
        <v>CAM </v>
      </c>
      <c r="F12" s="320"/>
      <c r="G12" s="321"/>
      <c r="H12" s="253" t="s">
        <v>79</v>
      </c>
      <c r="I12" s="253"/>
      <c r="J12" s="253"/>
      <c r="K12" s="322" t="str">
        <f>IF(Grade="","",Grade)</f>
        <v>Other</v>
      </c>
      <c r="L12" s="323"/>
      <c r="M12" s="324"/>
    </row>
    <row r="13" spans="1:13" ht="15" customHeight="1">
      <c r="A13" s="10"/>
      <c r="B13" s="270" t="s">
        <v>80</v>
      </c>
      <c r="C13" s="271"/>
      <c r="D13" s="272"/>
      <c r="E13" s="357" t="str">
        <f>IF(producer="","",producer)</f>
        <v>TTI Lab Design</v>
      </c>
      <c r="F13" s="358"/>
      <c r="G13" s="358"/>
      <c r="H13" s="358"/>
      <c r="I13" s="358"/>
      <c r="J13" s="358"/>
      <c r="K13" s="358"/>
      <c r="L13" s="358"/>
      <c r="M13" s="359"/>
    </row>
    <row r="14" spans="1:13" ht="15" customHeight="1">
      <c r="A14" s="10"/>
      <c r="B14" s="270" t="s">
        <v>81</v>
      </c>
      <c r="C14" s="271"/>
      <c r="D14" s="272"/>
      <c r="E14" s="319">
        <f>IF(areaengineer="","",areaengineer)</f>
      </c>
      <c r="F14" s="320"/>
      <c r="G14" s="321"/>
      <c r="H14" s="351" t="s">
        <v>82</v>
      </c>
      <c r="I14" s="352"/>
      <c r="J14" s="353"/>
      <c r="K14" s="354">
        <f>IF(projectmanager="","",projectmanager)</f>
      </c>
      <c r="L14" s="355"/>
      <c r="M14" s="356"/>
    </row>
    <row r="15" spans="1:16" ht="6" customHeight="1">
      <c r="A15" s="40"/>
      <c r="B15" s="11"/>
      <c r="C15" s="11"/>
      <c r="D15" s="11"/>
      <c r="E15" s="12"/>
      <c r="F15" s="12"/>
      <c r="G15" s="12"/>
      <c r="H15" s="12"/>
      <c r="I15" s="12"/>
      <c r="J15" s="12"/>
      <c r="K15" s="12"/>
      <c r="L15" s="12"/>
      <c r="M15" s="13"/>
      <c r="N15" s="13"/>
      <c r="O15" s="13"/>
      <c r="P15" s="13"/>
    </row>
    <row r="16" spans="1:13" ht="15" customHeight="1">
      <c r="A16" s="40"/>
      <c r="B16" s="270" t="s">
        <v>1</v>
      </c>
      <c r="C16" s="271"/>
      <c r="D16" s="272"/>
      <c r="E16" s="144">
        <f>IF(courselift="","",courselift)</f>
      </c>
      <c r="F16" s="244" t="s">
        <v>2</v>
      </c>
      <c r="G16" s="240"/>
      <c r="H16" s="307">
        <f>IF(station="","",station)</f>
      </c>
      <c r="I16" s="308"/>
      <c r="J16" s="244" t="s">
        <v>3</v>
      </c>
      <c r="K16" s="240"/>
      <c r="L16" s="307">
        <f>IF(distfromcl="","",distfromcl)</f>
      </c>
      <c r="M16" s="308"/>
    </row>
    <row r="17" ht="15" customHeight="1"/>
    <row r="18" spans="2:18" ht="15" customHeight="1">
      <c r="B18" s="338" t="s">
        <v>168</v>
      </c>
      <c r="C18" s="339"/>
      <c r="D18" s="339"/>
      <c r="E18" s="339"/>
      <c r="F18" s="340"/>
      <c r="G18" s="364">
        <v>16000</v>
      </c>
      <c r="H18" s="365"/>
      <c r="I18" s="113" t="s">
        <v>84</v>
      </c>
      <c r="J18" s="338" t="str">
        <f>Binder&amp;"% Asphalt by Weight of Aggregate:"</f>
        <v>% Asphalt by Weight of Aggregate:</v>
      </c>
      <c r="K18" s="339"/>
      <c r="L18" s="339"/>
      <c r="M18" s="339"/>
      <c r="N18" s="339"/>
      <c r="O18" s="340"/>
      <c r="P18" s="360">
        <f>AggrWt*(Binder/100)/((100-Binder)/100)</f>
        <v>0</v>
      </c>
      <c r="Q18" s="361"/>
      <c r="R18" s="113" t="s">
        <v>84</v>
      </c>
    </row>
    <row r="19" spans="2:18" ht="15" customHeight="1">
      <c r="B19" s="338" t="str">
        <f>Binder&amp;"% Asphalt by Weight of Aggr:"</f>
        <v>% Asphalt by Weight of Aggr:</v>
      </c>
      <c r="C19" s="339"/>
      <c r="D19" s="339"/>
      <c r="E19" s="339"/>
      <c r="F19" s="340"/>
      <c r="G19" s="372">
        <f>G18*(Binder/100)/((100-Binder)/100)</f>
        <v>0</v>
      </c>
      <c r="H19" s="373"/>
      <c r="I19" s="113" t="s">
        <v>84</v>
      </c>
      <c r="J19" s="341" t="str">
        <f>"Less Asphalt by Weight of RAP Aggregate:"</f>
        <v>Less Asphalt by Weight of RAP Aggregate:</v>
      </c>
      <c r="K19" s="342"/>
      <c r="L19" s="342"/>
      <c r="M19" s="342"/>
      <c r="N19" s="342"/>
      <c r="O19" s="343"/>
      <c r="P19" s="366">
        <f>SUM((F39*BIN1rapac/100),(H39*BIN2Rapac/100),(J39*Bin3Rapac/100),(L39*Bin4Rapac/100),(N39*Bin5Rapac/100),(P39*Bin6Rapac/100),(R39*Bin7Rapac/100))</f>
        <v>0</v>
      </c>
      <c r="Q19" s="367"/>
      <c r="R19" s="153" t="s">
        <v>84</v>
      </c>
    </row>
    <row r="20" spans="2:26" s="5" customFormat="1" ht="15" customHeight="1">
      <c r="B20" s="363" t="s">
        <v>167</v>
      </c>
      <c r="C20" s="363"/>
      <c r="D20" s="363"/>
      <c r="E20" s="363"/>
      <c r="F20" s="363"/>
      <c r="G20" s="372">
        <f>G18+G19</f>
        <v>16000</v>
      </c>
      <c r="H20" s="373"/>
      <c r="I20" s="113" t="s">
        <v>84</v>
      </c>
      <c r="J20" s="338" t="str">
        <f>"("&amp;ACSource&amp;") Asphalt to Add:"</f>
        <v>(Valero Asphalt PG 70-28) Asphalt to Add:</v>
      </c>
      <c r="K20" s="339"/>
      <c r="L20" s="339"/>
      <c r="M20" s="339"/>
      <c r="N20" s="339"/>
      <c r="O20" s="340"/>
      <c r="P20" s="362">
        <f>+P18-P19</f>
        <v>0</v>
      </c>
      <c r="Q20" s="362"/>
      <c r="R20" s="113" t="s">
        <v>84</v>
      </c>
      <c r="V20" s="15"/>
      <c r="W20" s="15"/>
      <c r="X20" s="15"/>
      <c r="Y20" s="15"/>
      <c r="Z20" s="15"/>
    </row>
    <row r="21" ht="6" customHeight="1"/>
    <row r="22" spans="3:26" ht="17.25" customHeight="1">
      <c r="C22" s="128"/>
      <c r="D22" s="128"/>
      <c r="E22" s="128"/>
      <c r="F22" s="344" t="str">
        <f>IF(Bin1Frac="","","Bin No.1 = "&amp;Bin1Frac&amp;" %")</f>
        <v>Bin No.1 = 52 %</v>
      </c>
      <c r="G22" s="345"/>
      <c r="H22" s="344" t="str">
        <f>IF(Bin2Frac="","","Bin No.2 = "&amp;Bin2Frac&amp;" %")</f>
        <v>Bin No.2 = 47 %</v>
      </c>
      <c r="I22" s="345"/>
      <c r="J22" s="344" t="str">
        <f>IF(Bin3Frac="","","Bin No.3 = "&amp;Bin3Frac&amp;" %")</f>
        <v>Bin No.3 = 1 %</v>
      </c>
      <c r="K22" s="345"/>
      <c r="L22" s="344" t="str">
        <f>IF(Bin4Frac="","","Bin No.4 = "&amp;Bin4Frac&amp;" %")</f>
        <v>Bin No.4 = 0 %</v>
      </c>
      <c r="M22" s="345"/>
      <c r="N22" s="344">
        <f>IF(Bin5Frac="","","Bin No.5 = "&amp;Bin5Frac&amp;" %")</f>
      </c>
      <c r="O22" s="345"/>
      <c r="P22" s="344">
        <f>IF(Bin6Frac="","","Bin No.6 = "&amp;Bin6Frac&amp;" %")</f>
      </c>
      <c r="Q22" s="345"/>
      <c r="R22" s="344">
        <f>IF(Bin7Frac="","","Bin No.7 = "&amp;Bin7Frac&amp;" %")</f>
      </c>
      <c r="S22" s="345"/>
      <c r="X22" s="368"/>
      <c r="Y22" s="368"/>
      <c r="Z22" s="368"/>
    </row>
    <row r="23" spans="2:26" ht="17.25" customHeight="1">
      <c r="B23" s="325" t="s">
        <v>87</v>
      </c>
      <c r="C23" s="269" t="s">
        <v>173</v>
      </c>
      <c r="D23" s="269"/>
      <c r="E23" s="269"/>
      <c r="F23" s="315" t="str">
        <f>IF(Bin1Source="","",Bin1Source)</f>
        <v>Duininck</v>
      </c>
      <c r="G23" s="316"/>
      <c r="H23" s="317" t="str">
        <f>IF(Bin2Source="","",Bin2Source)</f>
        <v>Kiewit</v>
      </c>
      <c r="I23" s="318"/>
      <c r="J23" s="317" t="str">
        <f>IF(Bin3Source="","",Bin3Source)</f>
        <v>Texas Lime</v>
      </c>
      <c r="K23" s="318"/>
      <c r="L23" s="317">
        <f>IF(Bin4Source="","",Bin4Source)</f>
      </c>
      <c r="M23" s="318"/>
      <c r="N23" s="317">
        <f>IF(Bin5Source="","",Bin5Source)</f>
      </c>
      <c r="O23" s="318"/>
      <c r="P23" s="317">
        <f>IF(Bin6Source="","",Bin6Source)</f>
      </c>
      <c r="Q23" s="318"/>
      <c r="R23" s="317">
        <f>IF(Bin7Source="","",Bin7Source)</f>
      </c>
      <c r="S23" s="318"/>
      <c r="X23" s="368"/>
      <c r="Y23" s="368"/>
      <c r="Z23" s="368"/>
    </row>
    <row r="24" spans="2:26" ht="17.25" customHeight="1">
      <c r="B24" s="326"/>
      <c r="C24" s="269" t="s">
        <v>174</v>
      </c>
      <c r="D24" s="269"/>
      <c r="E24" s="269"/>
      <c r="F24" s="315">
        <f>IF(Bin1Aggr="","",Bin1Aggr)</f>
      </c>
      <c r="G24" s="316"/>
      <c r="H24" s="317">
        <f>IF(Bin2Aggr="","",Bin2Aggr)</f>
      </c>
      <c r="I24" s="318"/>
      <c r="J24" s="317">
        <f>IF(Bin3Aggr="","",Bin3Aggr)</f>
      </c>
      <c r="K24" s="318"/>
      <c r="L24" s="317">
        <f>IF(Bin4Aggr="","",Bin4Aggr)</f>
      </c>
      <c r="M24" s="318"/>
      <c r="N24" s="317">
        <f>IF(Bin5Aggr="","",Bin5Aggr)</f>
      </c>
      <c r="O24" s="318"/>
      <c r="P24" s="317">
        <f>IF(Bin6Aggr="","",Bin6Aggr)</f>
      </c>
      <c r="Q24" s="318"/>
      <c r="R24" s="317">
        <f>IF(Bin7Aggr="","",Bin7Aggr)</f>
      </c>
      <c r="S24" s="318"/>
      <c r="T24" s="369" t="s">
        <v>85</v>
      </c>
      <c r="U24" s="238" t="str">
        <f>"Individual"&amp;CHAR(10)&amp;"Retained, %"</f>
        <v>Individual
Retained, %</v>
      </c>
      <c r="V24" s="374" t="s">
        <v>189</v>
      </c>
      <c r="X24" s="368"/>
      <c r="Y24" s="368"/>
      <c r="Z24" s="368"/>
    </row>
    <row r="25" spans="2:26" ht="17.25" customHeight="1">
      <c r="B25" s="326"/>
      <c r="C25" s="269" t="s">
        <v>160</v>
      </c>
      <c r="D25" s="269"/>
      <c r="E25" s="269"/>
      <c r="F25" s="315" t="str">
        <f>IF(Bin1samp="","",Bin1samp)</f>
        <v>F Rock</v>
      </c>
      <c r="G25" s="316"/>
      <c r="H25" s="317" t="str">
        <f>IF(Bin2Samp="","",Bin2Samp)</f>
        <v>#7-#16</v>
      </c>
      <c r="I25" s="318"/>
      <c r="J25" s="317" t="str">
        <f>IF(Bin3Samp="","",Bin3Samp)</f>
        <v>Lime</v>
      </c>
      <c r="K25" s="318"/>
      <c r="L25" s="317">
        <f>IF(Bin4Samp="","",Bin4Samp)</f>
      </c>
      <c r="M25" s="318"/>
      <c r="N25" s="317">
        <f>IF(Bin5Samp="","",Bin5Samp)</f>
      </c>
      <c r="O25" s="318"/>
      <c r="P25" s="317">
        <f>IF(Bin6Samp="","",Bin6Samp)</f>
      </c>
      <c r="Q25" s="318"/>
      <c r="R25" s="317">
        <f>IF(Bin7Samp="","",Bin7Samp)</f>
      </c>
      <c r="S25" s="318"/>
      <c r="T25" s="370"/>
      <c r="U25" s="234"/>
      <c r="V25" s="375"/>
      <c r="X25" s="64"/>
      <c r="Y25" s="64"/>
      <c r="Z25" s="64"/>
    </row>
    <row r="26" spans="2:26" ht="6" customHeight="1">
      <c r="B26" s="326"/>
      <c r="C26" s="133"/>
      <c r="D26" s="134"/>
      <c r="E26" s="135"/>
      <c r="F26" s="136"/>
      <c r="G26" s="137"/>
      <c r="H26" s="136"/>
      <c r="I26" s="138"/>
      <c r="J26" s="136"/>
      <c r="K26" s="138"/>
      <c r="L26" s="136"/>
      <c r="M26" s="138"/>
      <c r="N26" s="136"/>
      <c r="O26" s="138"/>
      <c r="P26" s="136"/>
      <c r="Q26" s="138"/>
      <c r="R26" s="136"/>
      <c r="S26" s="138"/>
      <c r="T26" s="370"/>
      <c r="U26" s="234"/>
      <c r="V26" s="375"/>
      <c r="X26" s="64"/>
      <c r="Y26" s="64"/>
      <c r="Z26" s="64"/>
    </row>
    <row r="27" spans="2:26" ht="17.25" customHeight="1">
      <c r="B27" s="326"/>
      <c r="C27" s="303" t="s">
        <v>4</v>
      </c>
      <c r="D27" s="330"/>
      <c r="E27" s="304"/>
      <c r="F27" s="331" t="str">
        <f>IF(F22="","",IF(Bin1RAP="Yes","RAP Weight","Aggregate Weight"))</f>
        <v>Aggregate Weight</v>
      </c>
      <c r="G27" s="332"/>
      <c r="H27" s="331" t="str">
        <f>IF(H22="","",IF(Bin2RAP="Yes","RAP Weight","Aggregate Weight"))</f>
        <v>Aggregate Weight</v>
      </c>
      <c r="I27" s="332"/>
      <c r="J27" s="331" t="str">
        <f>IF(J22="","",IF(Bin3RAP="Yes","RAP Weight","Aggregate Weight"))</f>
        <v>Aggregate Weight</v>
      </c>
      <c r="K27" s="332"/>
      <c r="L27" s="331" t="str">
        <f>IF(L22="","",IF(Bin4RAP="Yes","RAP Weight","Aggregate Weight"))</f>
        <v>Aggregate Weight</v>
      </c>
      <c r="M27" s="332"/>
      <c r="N27" s="331">
        <f>IF(N22="","",IF(Bin5RAP="Yes","RAP Weight","Aggregate Weight"))</f>
      </c>
      <c r="O27" s="332"/>
      <c r="P27" s="331">
        <f>IF(P22="","",IF(Bin6RAP="Yes","RAP Weight","Aggregate Weight"))</f>
      </c>
      <c r="Q27" s="332"/>
      <c r="R27" s="331">
        <f>IF(R22="","",IF(Bin7RAP="Yes","RAP Weight","Aggregate Weight"))</f>
      </c>
      <c r="S27" s="332"/>
      <c r="T27" s="370"/>
      <c r="U27" s="234"/>
      <c r="V27" s="375"/>
      <c r="X27" s="64"/>
      <c r="Y27" s="64"/>
      <c r="Z27" s="64"/>
    </row>
    <row r="28" spans="2:26" ht="17.25" customHeight="1">
      <c r="B28" s="326"/>
      <c r="C28" s="335" t="s">
        <v>169</v>
      </c>
      <c r="D28" s="336"/>
      <c r="E28" s="337"/>
      <c r="F28" s="333"/>
      <c r="G28" s="334"/>
      <c r="H28" s="333"/>
      <c r="I28" s="334"/>
      <c r="J28" s="333"/>
      <c r="K28" s="334"/>
      <c r="L28" s="333"/>
      <c r="M28" s="334"/>
      <c r="N28" s="333"/>
      <c r="O28" s="334"/>
      <c r="P28" s="333"/>
      <c r="Q28" s="334"/>
      <c r="R28" s="333"/>
      <c r="S28" s="334"/>
      <c r="T28" s="371"/>
      <c r="U28" s="235"/>
      <c r="V28" s="376"/>
      <c r="X28" s="64"/>
      <c r="Y28" s="64"/>
      <c r="Z28" s="64"/>
    </row>
    <row r="29" spans="2:26" ht="15" customHeight="1">
      <c r="B29" s="326"/>
      <c r="C29" s="65"/>
      <c r="D29" s="63" t="s">
        <v>83</v>
      </c>
      <c r="E29" s="63" t="str">
        <f ca="1">IF(ISERROR(INDEX(INDIRECT(Grade),1,IF(specyear="1993",2,3))),"Pan",INDEX(INDIRECT(Grade),1,IF(specyear="1993",2,3)))</f>
        <v>3/4"</v>
      </c>
      <c r="F29" s="328">
        <f>IF(ISERROR(IF(Bin1RAP="Yes",AggrWt*((Bin1Frac-'Combined Gradation'!F29)/100)/((100-BIN1rapac)/100),AggrWt*((Bin1Frac-'Combined Gradation'!F29)/100))),0,IF(Bin1RAP="Yes",AggrWt*((Bin1Frac-'Combined Gradation'!F29)/100)/((100-BIN1rapac)/100),AggrWt*((Bin1Frac-'Combined Gradation'!F29)/100)))</f>
        <v>0</v>
      </c>
      <c r="G29" s="329"/>
      <c r="H29" s="328">
        <f>IF(ISERROR(IF(Bin2RAP="Yes",AggrWt*((Bin2Frac-'Combined Gradation'!H29)/100)/((100-BIN2Rapac)/100),AggrWt*((Bin2Frac-'Combined Gradation'!H29)/100))),0,IF(Bin2RAP="Yes",AggrWt*((Bin2Frac-'Combined Gradation'!H29)/100)/((100-BIN2Rapac)/100),AggrWt*((Bin2Frac-'Combined Gradation'!H29)/100)))</f>
        <v>0</v>
      </c>
      <c r="I29" s="329"/>
      <c r="J29" s="328">
        <f>IF(ISERROR(IF(Bin3RAP="Yes",AggrWt*((Bin3Frac-'Combined Gradation'!J29)/100)/((100-Bin3Rapac)/100),AggrWt*((Bin3Frac-'Combined Gradation'!J29)/100))),0,IF(Bin3RAP="Yes",AggrWt*((Bin3Frac-'Combined Gradation'!J29)/100)/((100-Bin3Rapac)/100),AggrWt*((Bin3Frac-'Combined Gradation'!J29)/100)))</f>
        <v>0</v>
      </c>
      <c r="K29" s="329"/>
      <c r="L29" s="328">
        <f>IF(ISERROR(IF(Bin4RAP="Yes",AggrWt*((Bin4Frac-'Combined Gradation'!L29)/100)/((100-Bin4Rapac)/100),AggrWt*((Bin4Frac-'Combined Gradation'!L29)/100))),0,IF(Bin4RAP="Yes",AggrWt*((Bin4Frac-'Combined Gradation'!L29)/100)/((100-Bin4Rapac)/100),AggrWt*((Bin4Frac-'Combined Gradation'!L29)/100)))</f>
        <v>0</v>
      </c>
      <c r="M29" s="329"/>
      <c r="N29" s="328">
        <f>IF(ISERROR(IF(Bin5RAP="Yes",AggrWt*((Bin5Frac-'Combined Gradation'!N29)/100)/((100-Bin5Rapac)/100),AggrWt*((Bin5Frac-'Combined Gradation'!N29)/100))),0,IF(Bin5RAP="Yes",AggrWt*((Bin5Frac-'Combined Gradation'!N29)/100)/((100-Bin5Rapac)/100),AggrWt*((Bin5Frac-'Combined Gradation'!N29)/100)))</f>
        <v>0</v>
      </c>
      <c r="O29" s="329"/>
      <c r="P29" s="328">
        <f>IF(ISERROR(IF(Bin6RAP="Yes",AggrWt*((Bin6Frac-'Combined Gradation'!P29)/100)/((100-Bin6Rapac)/100),AggrWt*((Bin6Frac-'Combined Gradation'!P29)/100))),0,IF(Bin6RAP="Yes",AggrWt*((Bin6Frac-'Combined Gradation'!P29)/100)/((100-Bin6Rapac)/100),AggrWt*((Bin6Frac-'Combined Gradation'!P29)/100)))</f>
        <v>0</v>
      </c>
      <c r="Q29" s="329"/>
      <c r="R29" s="328">
        <f>IF(ISERROR(IF(Bin7RAP="Yes",AggrWt*((Bin7Frac-'Combined Gradation'!R29)/100)/((100-Bin7Rapac)/100),AggrWt*((Bin7Frac-'Combined Gradation'!R29)/100))),0,IF(Bin7RAP="Yes",AggrWt*((Bin7Frac-'Combined Gradation'!R29)/100)/((100-Bin7Rapac)/100),AggrWt*((Bin7Frac-'Combined Gradation'!R29)/100)))</f>
        <v>0</v>
      </c>
      <c r="S29" s="329"/>
      <c r="T29" s="114">
        <f>IF(ISERROR(SUM(F29:S29)),0,SUM(F29:S29))</f>
        <v>0</v>
      </c>
      <c r="U29" s="102">
        <f>IF(ISERROR(100*((T29)/($T$39))),0,100*((T29)/($T$39)))</f>
        <v>0</v>
      </c>
      <c r="V29" s="102">
        <f>U29</f>
        <v>0</v>
      </c>
      <c r="X29" s="68"/>
      <c r="Y29" s="67"/>
      <c r="Z29" s="67"/>
    </row>
    <row r="30" spans="2:26" ht="15" customHeight="1">
      <c r="B30" s="326"/>
      <c r="C30" s="63" t="str">
        <f ca="1">IF(ISERROR(INDEX(INDIRECT(Grade),1,IF(specyear="1993",2,3))),"",INDEX(INDIRECT(Grade),1,IF(specyear="1993",2,3)))</f>
        <v>3/4"</v>
      </c>
      <c r="D30" s="63" t="s">
        <v>83</v>
      </c>
      <c r="E30" s="55" t="str">
        <f ca="1">IF(ISERROR(INDEX(INDIRECT(Grade),2,IF(specyear="1993",2,3))),"Pan",INDEX(INDIRECT(Grade),2,IF(specyear="1993",2,3)))</f>
        <v>1/2"</v>
      </c>
      <c r="F30" s="328">
        <f>IF(ISERROR(IF(Bin1RAP="Yes",AggrWt*(('Combined Gradation'!F29-'Combined Gradation'!F30)/100)/((100-BIN1rapac)/100),AggrWt*(('Combined Gradation'!F29-'Combined Gradation'!F30)/100))),0,IF(Bin1RAP="Yes",AggrWt*(('Combined Gradation'!F29-'Combined Gradation'!F30)/100)/((100-BIN1rapac)/100),AggrWt*(('Combined Gradation'!F29-'Combined Gradation'!F30)/100)))</f>
        <v>0</v>
      </c>
      <c r="G30" s="329"/>
      <c r="H30" s="328">
        <f>IF(ISERROR(IF(Bin2RAP="Yes",AggrWt*(('Combined Gradation'!H29-'Combined Gradation'!H30)/100)/((100-BIN2Rapac)/100),AggrWt*(('Combined Gradation'!H29-'Combined Gradation'!H30)/100))),0,IF(Bin2RAP="Yes",AggrWt*(('Combined Gradation'!H29-'Combined Gradation'!H30)/100)/((100-BIN2Rapac)/100),AggrWt*(('Combined Gradation'!H29-'Combined Gradation'!H30)/100)))</f>
        <v>0</v>
      </c>
      <c r="I30" s="329"/>
      <c r="J30" s="328">
        <f>IF(ISERROR(IF(Bin3RAP="Yes",AggrWt*(('Combined Gradation'!J29-'Combined Gradation'!J30)/100)/((100-Bin3Rapac)/100),AggrWt*(('Combined Gradation'!J29-'Combined Gradation'!J30)/100))),0,IF(Bin3RAP="Yes",AggrWt*(('Combined Gradation'!J29-'Combined Gradation'!J30)/100)/((100-Bin3Rapac)/100),AggrWt*(('Combined Gradation'!J29-'Combined Gradation'!J30)/100)))</f>
        <v>0</v>
      </c>
      <c r="K30" s="329"/>
      <c r="L30" s="328">
        <f>IF(ISERROR(IF(Bin4RAP="Yes",AggrWt*(('Combined Gradation'!L29-'Combined Gradation'!L30)/100)/((100-Bin4Rapac)/100),AggrWt*(('Combined Gradation'!L29-'Combined Gradation'!L30)/100))),0,IF(Bin4RAP="Yes",AggrWt*(('Combined Gradation'!L29-'Combined Gradation'!L30)/100)/((100-Bin4Rapac)/100),AggrWt*(('Combined Gradation'!L29-'Combined Gradation'!L30)/100)))</f>
        <v>0</v>
      </c>
      <c r="M30" s="329"/>
      <c r="N30" s="328">
        <f>IF(ISERROR(IF(Bin5RAP="Yes",AggrWt*(('Combined Gradation'!N29-'Combined Gradation'!N30)/100)/((100-Bin5Rapac)/100),AggrWt*(('Combined Gradation'!N29-'Combined Gradation'!N30)/100))),0,IF(Bin5RAP="Yes",AggrWt*(('Combined Gradation'!N29-'Combined Gradation'!N30)/100)/((100-Bin5Rapac)/100),AggrWt*(('Combined Gradation'!N29-'Combined Gradation'!N30)/100)))</f>
        <v>0</v>
      </c>
      <c r="O30" s="329"/>
      <c r="P30" s="328">
        <f>IF(ISERROR(IF(Bin6RAP="Yes",AggrWt*(('Combined Gradation'!P29-'Combined Gradation'!P30)/100)/((100-Bin6Rapac)/100),AggrWt*(('Combined Gradation'!P29-'Combined Gradation'!P30)/100))),0,IF(Bin6RAP="Yes",AggrWt*(('Combined Gradation'!P29-'Combined Gradation'!P30)/100)/((100-Bin6Rapac)/100),AggrWt*(('Combined Gradation'!P29-'Combined Gradation'!P30)/100)))</f>
        <v>0</v>
      </c>
      <c r="Q30" s="329"/>
      <c r="R30" s="328">
        <f>IF(ISERROR(IF(Bin7RAP="Yes",AggrWt*(('Combined Gradation'!R29-'Combined Gradation'!R30)/100)/((100-Bin7Rapac)/100),AggrWt*(('Combined Gradation'!R29-'Combined Gradation'!R30)/100))),0,IF(Bin7RAP="Yes",AggrWt*(('Combined Gradation'!R29-'Combined Gradation'!R30)/100)/((100-Bin7Rapac)/100),AggrWt*(('Combined Gradation'!R29-'Combined Gradation'!R30)/100)))</f>
        <v>0</v>
      </c>
      <c r="S30" s="329"/>
      <c r="T30" s="114">
        <f aca="true" t="shared" si="0" ref="T30:T38">IF(ISERROR(SUM(F30:S30)),0,SUM(F30:S30))</f>
        <v>0</v>
      </c>
      <c r="U30" s="102">
        <f aca="true" t="shared" si="1" ref="U30:U38">IF(ISERROR(100*((T30)/($T$39))),0,100*((T30)/($T$39)))</f>
        <v>0</v>
      </c>
      <c r="V30" s="102">
        <f>SUM($U$29:$U30)</f>
        <v>0</v>
      </c>
      <c r="X30" s="68"/>
      <c r="Y30" s="67"/>
      <c r="Z30" s="67"/>
    </row>
    <row r="31" spans="2:26" ht="15" customHeight="1">
      <c r="B31" s="326"/>
      <c r="C31" s="55" t="str">
        <f ca="1">IF(ISERROR(INDEX(INDIRECT(Grade),2,IF(specyear="1993",2,3))),"",INDEX(INDIRECT(Grade),2,IF(specyear="1993",2,3)))</f>
        <v>1/2"</v>
      </c>
      <c r="D31" s="63" t="s">
        <v>83</v>
      </c>
      <c r="E31" s="55" t="str">
        <f ca="1">IF(ISERROR(INDEX(INDIRECT(Grade),3,IF(specyear="1993",2,3))),"Pan",INDEX(INDIRECT(Grade),3,IF(specyear="1993",2,3)))</f>
        <v>3/8"</v>
      </c>
      <c r="F31" s="328">
        <f>IF(ISERROR(IF(Bin1RAP="Yes",AggrWt*(('Combined Gradation'!F30-'Combined Gradation'!F31)/100)/((100-BIN1rapac)/100),AggrWt*(('Combined Gradation'!F30-'Combined Gradation'!F31)/100))),0,IF(Bin1RAP="Yes",AggrWt*(('Combined Gradation'!F30-'Combined Gradation'!F31)/100)/((100-BIN1rapac)/100),AggrWt*(('Combined Gradation'!F30-'Combined Gradation'!F31)/100)))</f>
        <v>0</v>
      </c>
      <c r="G31" s="329"/>
      <c r="H31" s="328">
        <f>IF(ISERROR(IF(Bin2RAP="Yes",AggrWt*(('Combined Gradation'!H30-'Combined Gradation'!H31)/100)/((100-BIN2Rapac)/100),AggrWt*(('Combined Gradation'!H30-'Combined Gradation'!H31)/100))),0,IF(Bin2RAP="Yes",AggrWt*(('Combined Gradation'!H30-'Combined Gradation'!H31)/100)/((100-BIN2Rapac)/100),AggrWt*(('Combined Gradation'!H30-'Combined Gradation'!H31)/100)))</f>
        <v>0</v>
      </c>
      <c r="I31" s="329"/>
      <c r="J31" s="328">
        <f>IF(ISERROR(IF(Bin3RAP="Yes",AggrWt*(('Combined Gradation'!J30-'Combined Gradation'!J31)/100)/((100-Bin3Rapac)/100),AggrWt*(('Combined Gradation'!J30-'Combined Gradation'!J31)/100))),0,IF(Bin3RAP="Yes",AggrWt*(('Combined Gradation'!J30-'Combined Gradation'!J31)/100)/((100-Bin3Rapac)/100),AggrWt*(('Combined Gradation'!J30-'Combined Gradation'!J31)/100)))</f>
        <v>0</v>
      </c>
      <c r="K31" s="329"/>
      <c r="L31" s="328">
        <f>IF(ISERROR(IF(Bin4RAP="Yes",AggrWt*(('Combined Gradation'!L30-'Combined Gradation'!L31)/100)/((100-Bin4Rapac)/100),AggrWt*(('Combined Gradation'!L30-'Combined Gradation'!L31)/100))),0,IF(Bin4RAP="Yes",AggrWt*(('Combined Gradation'!L30-'Combined Gradation'!L31)/100)/((100-Bin4Rapac)/100),AggrWt*(('Combined Gradation'!L30-'Combined Gradation'!L31)/100)))</f>
        <v>0</v>
      </c>
      <c r="M31" s="329"/>
      <c r="N31" s="328">
        <f>IF(ISERROR(IF(Bin5RAP="Yes",AggrWt*(('Combined Gradation'!N30-'Combined Gradation'!N31)/100)/((100-Bin5Rapac)/100),AggrWt*(('Combined Gradation'!N30-'Combined Gradation'!N31)/100))),0,IF(Bin5RAP="Yes",AggrWt*(('Combined Gradation'!N30-'Combined Gradation'!N31)/100)/((100-Bin5Rapac)/100),AggrWt*(('Combined Gradation'!N30-'Combined Gradation'!N31)/100)))</f>
        <v>0</v>
      </c>
      <c r="O31" s="329"/>
      <c r="P31" s="328">
        <f>IF(ISERROR(IF(Bin6RAP="Yes",AggrWt*(('Combined Gradation'!P30-'Combined Gradation'!P31)/100)/((100-Bin6Rapac)/100),AggrWt*(('Combined Gradation'!P30-'Combined Gradation'!P31)/100))),0,IF(Bin6RAP="Yes",AggrWt*(('Combined Gradation'!P30-'Combined Gradation'!P31)/100)/((100-Bin6Rapac)/100),AggrWt*(('Combined Gradation'!P30-'Combined Gradation'!P31)/100)))</f>
        <v>0</v>
      </c>
      <c r="Q31" s="329"/>
      <c r="R31" s="328">
        <f>IF(ISERROR(IF(Bin7RAP="Yes",AggrWt*(('Combined Gradation'!R30-'Combined Gradation'!R31)/100)/((100-Bin7Rapac)/100),AggrWt*(('Combined Gradation'!R30-'Combined Gradation'!R31)/100))),0,IF(Bin7RAP="Yes",AggrWt*(('Combined Gradation'!R30-'Combined Gradation'!R31)/100)/((100-Bin7Rapac)/100),AggrWt*(('Combined Gradation'!R30-'Combined Gradation'!R31)/100)))</f>
        <v>0</v>
      </c>
      <c r="S31" s="329"/>
      <c r="T31" s="114">
        <f t="shared" si="0"/>
        <v>0</v>
      </c>
      <c r="U31" s="102">
        <f t="shared" si="1"/>
        <v>0</v>
      </c>
      <c r="V31" s="102">
        <f>SUM($U$29:$U31)</f>
        <v>0</v>
      </c>
      <c r="X31" s="68"/>
      <c r="Y31" s="67"/>
      <c r="Z31" s="67"/>
    </row>
    <row r="32" spans="2:26" ht="15" customHeight="1">
      <c r="B32" s="326"/>
      <c r="C32" s="55" t="str">
        <f ca="1">IF(ISERROR(INDEX(INDIRECT(Grade),3,IF(specyear="1993",2,3))),"",INDEX(INDIRECT(Grade),3,IF(specyear="1993",2,3)))</f>
        <v>3/8"</v>
      </c>
      <c r="D32" s="63" t="s">
        <v>83</v>
      </c>
      <c r="E32" s="55" t="str">
        <f ca="1">IF(ISERROR(INDEX(INDIRECT(Grade),4,IF(specyear="1993",2,3))),"Pan",INDEX(INDIRECT(Grade),4,IF(specyear="1993",2,3)))</f>
        <v>No. 4</v>
      </c>
      <c r="F32" s="328">
        <f>IF(ISERROR(IF(Bin1RAP="Yes",AggrWt*(('Combined Gradation'!F31-'Combined Gradation'!F32)/100)/((100-BIN1rapac)/100),AggrWt*(('Combined Gradation'!F31-'Combined Gradation'!F32)/100))),0,IF(Bin1RAP="Yes",AggrWt*(('Combined Gradation'!F31-'Combined Gradation'!F32)/100)/((100-BIN1rapac)/100),AggrWt*(('Combined Gradation'!F31-'Combined Gradation'!F32)/100)))</f>
        <v>3261.44</v>
      </c>
      <c r="G32" s="329"/>
      <c r="H32" s="328">
        <f>IF(ISERROR(IF(Bin2RAP="Yes",AggrWt*(('Combined Gradation'!H31-'Combined Gradation'!H32)/100)/((100-BIN2Rapac)/100),AggrWt*(('Combined Gradation'!H31-'Combined Gradation'!H32)/100))),0,IF(Bin2RAP="Yes",AggrWt*(('Combined Gradation'!H31-'Combined Gradation'!H32)/100)/((100-BIN2Rapac)/100),AggrWt*(('Combined Gradation'!H31-'Combined Gradation'!H32)/100)))</f>
        <v>7.519999999999527</v>
      </c>
      <c r="I32" s="329"/>
      <c r="J32" s="328">
        <f>IF(ISERROR(IF(Bin3RAP="Yes",AggrWt*(('Combined Gradation'!J31-'Combined Gradation'!J32)/100)/((100-Bin3Rapac)/100),AggrWt*(('Combined Gradation'!J31-'Combined Gradation'!J32)/100))),0,IF(Bin3RAP="Yes",AggrWt*(('Combined Gradation'!J31-'Combined Gradation'!J32)/100)/((100-Bin3Rapac)/100),AggrWt*(('Combined Gradation'!J31-'Combined Gradation'!J32)/100)))</f>
        <v>0</v>
      </c>
      <c r="K32" s="329"/>
      <c r="L32" s="328">
        <f>IF(ISERROR(IF(Bin4RAP="Yes",AggrWt*(('Combined Gradation'!L31-'Combined Gradation'!L32)/100)/((100-Bin4Rapac)/100),AggrWt*(('Combined Gradation'!L31-'Combined Gradation'!L32)/100))),0,IF(Bin4RAP="Yes",AggrWt*(('Combined Gradation'!L31-'Combined Gradation'!L32)/100)/((100-Bin4Rapac)/100),AggrWt*(('Combined Gradation'!L31-'Combined Gradation'!L32)/100)))</f>
        <v>0</v>
      </c>
      <c r="M32" s="329"/>
      <c r="N32" s="328">
        <f>IF(ISERROR(IF(Bin5RAP="Yes",AggrWt*(('Combined Gradation'!N31-'Combined Gradation'!N32)/100)/((100-Bin5Rapac)/100),AggrWt*(('Combined Gradation'!N31-'Combined Gradation'!N32)/100))),0,IF(Bin5RAP="Yes",AggrWt*(('Combined Gradation'!N31-'Combined Gradation'!N32)/100)/((100-Bin5Rapac)/100),AggrWt*(('Combined Gradation'!N31-'Combined Gradation'!N32)/100)))</f>
        <v>0</v>
      </c>
      <c r="O32" s="329"/>
      <c r="P32" s="328">
        <f>IF(ISERROR(IF(Bin6RAP="Yes",AggrWt*(('Combined Gradation'!P31-'Combined Gradation'!P32)/100)/((100-Bin6Rapac)/100),AggrWt*(('Combined Gradation'!P31-'Combined Gradation'!P32)/100))),0,IF(Bin6RAP="Yes",AggrWt*(('Combined Gradation'!P31-'Combined Gradation'!P32)/100)/((100-Bin6Rapac)/100),AggrWt*(('Combined Gradation'!P31-'Combined Gradation'!P32)/100)))</f>
        <v>0</v>
      </c>
      <c r="Q32" s="329"/>
      <c r="R32" s="328">
        <f>IF(ISERROR(IF(Bin7RAP="Yes",AggrWt*(('Combined Gradation'!R31-'Combined Gradation'!R32)/100)/((100-Bin7Rapac)/100),AggrWt*(('Combined Gradation'!R31-'Combined Gradation'!R32)/100))),0,IF(Bin7RAP="Yes",AggrWt*(('Combined Gradation'!R31-'Combined Gradation'!R32)/100)/((100-Bin7Rapac)/100),AggrWt*(('Combined Gradation'!R31-'Combined Gradation'!R32)/100)))</f>
        <v>0</v>
      </c>
      <c r="S32" s="329"/>
      <c r="T32" s="114">
        <f t="shared" si="0"/>
        <v>3268.9599999999996</v>
      </c>
      <c r="U32" s="102">
        <f t="shared" si="1"/>
        <v>20.430999999999997</v>
      </c>
      <c r="V32" s="102">
        <f>SUM($U$29:$U32)</f>
        <v>20.430999999999997</v>
      </c>
      <c r="X32" s="68"/>
      <c r="Y32" s="67"/>
      <c r="Z32" s="67"/>
    </row>
    <row r="33" spans="2:26" ht="15" customHeight="1">
      <c r="B33" s="326"/>
      <c r="C33" s="55" t="str">
        <f ca="1">IF(ISERROR(INDEX(INDIRECT(Grade),4,IF(specyear="1993",2,3))),"",INDEX(INDIRECT(Grade),4,IF(specyear="1993",2,3)))</f>
        <v>No. 4</v>
      </c>
      <c r="D33" s="63" t="s">
        <v>83</v>
      </c>
      <c r="E33" s="55" t="str">
        <f ca="1">IF(ISERROR(INDEX(INDIRECT(Grade),5,IF(specyear="1993",2,3))),"Pan",INDEX(INDIRECT(Grade),5,IF(specyear="1993",2,3)))</f>
        <v>No. 8</v>
      </c>
      <c r="F33" s="328">
        <f>IF(ISERROR(IF(Bin1RAP="Yes",AggrWt*(('Combined Gradation'!F32-'Combined Gradation'!F33)/100)/((100-BIN1rapac)/100),AggrWt*(('Combined Gradation'!F32-'Combined Gradation'!F33)/100))),0,IF(Bin1RAP="Yes",AggrWt*(('Combined Gradation'!F32-'Combined Gradation'!F33)/100)/((100-BIN1rapac)/100),AggrWt*(('Combined Gradation'!F32-'Combined Gradation'!F33)/100)))</f>
        <v>4892.160000000001</v>
      </c>
      <c r="G33" s="329"/>
      <c r="H33" s="328">
        <f>IF(ISERROR(IF(Bin2RAP="Yes",AggrWt*(('Combined Gradation'!H32-'Combined Gradation'!H33)/100)/((100-BIN2Rapac)/100),AggrWt*(('Combined Gradation'!H32-'Combined Gradation'!H33)/100))),0,IF(Bin2RAP="Yes",AggrWt*(('Combined Gradation'!H32-'Combined Gradation'!H33)/100)/((100-BIN2Rapac)/100),AggrWt*(('Combined Gradation'!H32-'Combined Gradation'!H33)/100)))</f>
        <v>1105.440000000001</v>
      </c>
      <c r="I33" s="329"/>
      <c r="J33" s="328">
        <f>IF(ISERROR(IF(Bin3RAP="Yes",AggrWt*(('Combined Gradation'!J32-'Combined Gradation'!J33)/100)/((100-Bin3Rapac)/100),AggrWt*(('Combined Gradation'!J32-'Combined Gradation'!J33)/100))),0,IF(Bin3RAP="Yes",AggrWt*(('Combined Gradation'!J32-'Combined Gradation'!J33)/100)/((100-Bin3Rapac)/100),AggrWt*(('Combined Gradation'!J32-'Combined Gradation'!J33)/100)))</f>
        <v>0</v>
      </c>
      <c r="K33" s="329"/>
      <c r="L33" s="328">
        <f>IF(ISERROR(IF(Bin4RAP="Yes",AggrWt*(('Combined Gradation'!L32-'Combined Gradation'!L33)/100)/((100-Bin4Rapac)/100),AggrWt*(('Combined Gradation'!L32-'Combined Gradation'!L33)/100))),0,IF(Bin4RAP="Yes",AggrWt*(('Combined Gradation'!L32-'Combined Gradation'!L33)/100)/((100-Bin4Rapac)/100),AggrWt*(('Combined Gradation'!L32-'Combined Gradation'!L33)/100)))</f>
        <v>0</v>
      </c>
      <c r="M33" s="329"/>
      <c r="N33" s="328">
        <f>IF(ISERROR(IF(Bin5RAP="Yes",AggrWt*(('Combined Gradation'!N32-'Combined Gradation'!N33)/100)/((100-Bin5Rapac)/100),AggrWt*(('Combined Gradation'!N32-'Combined Gradation'!N33)/100))),0,IF(Bin5RAP="Yes",AggrWt*(('Combined Gradation'!N32-'Combined Gradation'!N33)/100)/((100-Bin5Rapac)/100),AggrWt*(('Combined Gradation'!N32-'Combined Gradation'!N33)/100)))</f>
        <v>0</v>
      </c>
      <c r="O33" s="329"/>
      <c r="P33" s="328">
        <f>IF(ISERROR(IF(Bin6RAP="Yes",AggrWt*(('Combined Gradation'!P32-'Combined Gradation'!P33)/100)/((100-Bin6Rapac)/100),AggrWt*(('Combined Gradation'!P32-'Combined Gradation'!P33)/100))),0,IF(Bin6RAP="Yes",AggrWt*(('Combined Gradation'!P32-'Combined Gradation'!P33)/100)/((100-Bin6Rapac)/100),AggrWt*(('Combined Gradation'!P32-'Combined Gradation'!P33)/100)))</f>
        <v>0</v>
      </c>
      <c r="Q33" s="329"/>
      <c r="R33" s="328">
        <f>IF(ISERROR(IF(Bin7RAP="Yes",AggrWt*(('Combined Gradation'!R32-'Combined Gradation'!R33)/100)/((100-Bin7Rapac)/100),AggrWt*(('Combined Gradation'!R32-'Combined Gradation'!R33)/100))),0,IF(Bin7RAP="Yes",AggrWt*(('Combined Gradation'!R32-'Combined Gradation'!R33)/100)/((100-Bin7Rapac)/100),AggrWt*(('Combined Gradation'!R32-'Combined Gradation'!R33)/100)))</f>
        <v>0</v>
      </c>
      <c r="S33" s="329"/>
      <c r="T33" s="114">
        <f t="shared" si="0"/>
        <v>5997.600000000002</v>
      </c>
      <c r="U33" s="102">
        <f t="shared" si="1"/>
        <v>37.485000000000014</v>
      </c>
      <c r="V33" s="102">
        <f>SUM($U$29:$U33)</f>
        <v>57.91600000000001</v>
      </c>
      <c r="X33" s="68"/>
      <c r="Y33" s="67"/>
      <c r="Z33" s="67"/>
    </row>
    <row r="34" spans="2:26" ht="15" customHeight="1">
      <c r="B34" s="326"/>
      <c r="C34" s="55" t="str">
        <f ca="1">IF(ISERROR(INDEX(INDIRECT(Grade),5,IF(specyear="1993",2,3))),"",INDEX(INDIRECT(Grade),5,IF(specyear="1993",2,3)))</f>
        <v>No. 8</v>
      </c>
      <c r="D34" s="63" t="s">
        <v>83</v>
      </c>
      <c r="E34" s="55" t="str">
        <f ca="1">IF(ISERROR(INDEX(INDIRECT(Grade),6,IF(specyear="1993",2,3))),"Pan",INDEX(INDIRECT(Grade),6,IF(specyear="1993",2,3)))</f>
        <v>No. 16</v>
      </c>
      <c r="F34" s="328">
        <f>IF(ISERROR(IF(Bin1RAP="Yes",AggrWt*(('Combined Gradation'!F33-'Combined Gradation'!F34)/100)/((100-BIN1rapac)/100),AggrWt*(('Combined Gradation'!F33-'Combined Gradation'!F34)/100))),0,IF(Bin1RAP="Yes",AggrWt*(('Combined Gradation'!F33-'Combined Gradation'!F34)/100)/((100-BIN1rapac)/100),AggrWt*(('Combined Gradation'!F33-'Combined Gradation'!F34)/100)))</f>
        <v>108.16000000000001</v>
      </c>
      <c r="G34" s="329"/>
      <c r="H34" s="328">
        <f>IF(ISERROR(IF(Bin2RAP="Yes",AggrWt*(('Combined Gradation'!H33-'Combined Gradation'!H34)/100)/((100-BIN2Rapac)/100),AggrWt*(('Combined Gradation'!H33-'Combined Gradation'!H34)/100))),0,IF(Bin2RAP="Yes",AggrWt*(('Combined Gradation'!H33-'Combined Gradation'!H34)/100)/((100-BIN2Rapac)/100),AggrWt*(('Combined Gradation'!H33-'Combined Gradation'!H34)/100)))</f>
        <v>2286.08</v>
      </c>
      <c r="I34" s="329"/>
      <c r="J34" s="328">
        <f>IF(ISERROR(IF(Bin3RAP="Yes",AggrWt*(('Combined Gradation'!J33-'Combined Gradation'!J34)/100)/((100-Bin3Rapac)/100),AggrWt*(('Combined Gradation'!J33-'Combined Gradation'!J34)/100))),0,IF(Bin3RAP="Yes",AggrWt*(('Combined Gradation'!J33-'Combined Gradation'!J34)/100)/((100-Bin3Rapac)/100),AggrWt*(('Combined Gradation'!J33-'Combined Gradation'!J34)/100)))</f>
        <v>0</v>
      </c>
      <c r="K34" s="329"/>
      <c r="L34" s="328">
        <f>IF(ISERROR(IF(Bin4RAP="Yes",AggrWt*(('Combined Gradation'!L33-'Combined Gradation'!L34)/100)/((100-Bin4Rapac)/100),AggrWt*(('Combined Gradation'!L33-'Combined Gradation'!L34)/100))),0,IF(Bin4RAP="Yes",AggrWt*(('Combined Gradation'!L33-'Combined Gradation'!L34)/100)/((100-Bin4Rapac)/100),AggrWt*(('Combined Gradation'!L33-'Combined Gradation'!L34)/100)))</f>
        <v>0</v>
      </c>
      <c r="M34" s="329"/>
      <c r="N34" s="328">
        <f>IF(ISERROR(IF(Bin5RAP="Yes",AggrWt*(('Combined Gradation'!N33-'Combined Gradation'!N34)/100)/((100-Bin5Rapac)/100),AggrWt*(('Combined Gradation'!N33-'Combined Gradation'!N34)/100))),0,IF(Bin5RAP="Yes",AggrWt*(('Combined Gradation'!N33-'Combined Gradation'!N34)/100)/((100-Bin5Rapac)/100),AggrWt*(('Combined Gradation'!N33-'Combined Gradation'!N34)/100)))</f>
        <v>0</v>
      </c>
      <c r="O34" s="329"/>
      <c r="P34" s="328">
        <f>IF(ISERROR(IF(Bin6RAP="Yes",AggrWt*(('Combined Gradation'!P33-'Combined Gradation'!P34)/100)/((100-Bin6Rapac)/100),AggrWt*(('Combined Gradation'!P33-'Combined Gradation'!P34)/100))),0,IF(Bin6RAP="Yes",AggrWt*(('Combined Gradation'!P33-'Combined Gradation'!P34)/100)/((100-Bin6Rapac)/100),AggrWt*(('Combined Gradation'!P33-'Combined Gradation'!P34)/100)))</f>
        <v>0</v>
      </c>
      <c r="Q34" s="329"/>
      <c r="R34" s="328">
        <f>IF(ISERROR(IF(Bin7RAP="Yes",AggrWt*(('Combined Gradation'!R33-'Combined Gradation'!R34)/100)/((100-Bin7Rapac)/100),AggrWt*(('Combined Gradation'!R33-'Combined Gradation'!R34)/100))),0,IF(Bin7RAP="Yes",AggrWt*(('Combined Gradation'!R33-'Combined Gradation'!R34)/100)/((100-Bin7Rapac)/100),AggrWt*(('Combined Gradation'!R33-'Combined Gradation'!R34)/100)))</f>
        <v>0</v>
      </c>
      <c r="S34" s="329"/>
      <c r="T34" s="114">
        <f t="shared" si="0"/>
        <v>2394.24</v>
      </c>
      <c r="U34" s="102">
        <f t="shared" si="1"/>
        <v>14.963999999999999</v>
      </c>
      <c r="V34" s="102">
        <f>SUM($U$29:$U34)</f>
        <v>72.88000000000001</v>
      </c>
      <c r="X34" s="68"/>
      <c r="Y34" s="67"/>
      <c r="Z34" s="67"/>
    </row>
    <row r="35" spans="2:26" ht="15" customHeight="1">
      <c r="B35" s="326"/>
      <c r="C35" s="55" t="str">
        <f ca="1">IF(ISERROR(INDEX(INDIRECT(Grade),6,IF(specyear="1993",2,3))),"",INDEX(INDIRECT(Grade),6,IF(specyear="1993",2,3)))</f>
        <v>No. 16</v>
      </c>
      <c r="D35" s="63" t="s">
        <v>83</v>
      </c>
      <c r="E35" s="55" t="str">
        <f ca="1">IF(ISERROR(INDEX(INDIRECT(Grade),7,IF(specyear="1993",2,3))),"Pan",INDEX(INDIRECT(Grade),7,IF(specyear="1993",2,3)))</f>
        <v>No. 30</v>
      </c>
      <c r="F35" s="328">
        <f>IF(ISERROR(IF(Bin1RAP="Yes",AggrWt*(('Combined Gradation'!F34-'Combined Gradation'!F35)/100)/((100-BIN1rapac)/100),AggrWt*(('Combined Gradation'!F34-'Combined Gradation'!F35)/100))),0,IF(Bin1RAP="Yes",AggrWt*(('Combined Gradation'!F34-'Combined Gradation'!F35)/100)/((100-BIN1rapac)/100),AggrWt*(('Combined Gradation'!F34-'Combined Gradation'!F35)/100)))</f>
        <v>16.639999999999997</v>
      </c>
      <c r="G35" s="329"/>
      <c r="H35" s="328">
        <f>IF(ISERROR(IF(Bin2RAP="Yes",AggrWt*(('Combined Gradation'!H34-'Combined Gradation'!H35)/100)/((100-BIN2Rapac)/100),AggrWt*(('Combined Gradation'!H34-'Combined Gradation'!H35)/100))),0,IF(Bin2RAP="Yes",AggrWt*(('Combined Gradation'!H34-'Combined Gradation'!H35)/100)/((100-BIN2Rapac)/100),AggrWt*(('Combined Gradation'!H34-'Combined Gradation'!H35)/100)))</f>
        <v>1165.6</v>
      </c>
      <c r="I35" s="329"/>
      <c r="J35" s="328">
        <f>IF(ISERROR(IF(Bin3RAP="Yes",AggrWt*(('Combined Gradation'!J34-'Combined Gradation'!J35)/100)/((100-Bin3Rapac)/100),AggrWt*(('Combined Gradation'!J34-'Combined Gradation'!J35)/100))),0,IF(Bin3RAP="Yes",AggrWt*(('Combined Gradation'!J34-'Combined Gradation'!J35)/100)/((100-Bin3Rapac)/100),AggrWt*(('Combined Gradation'!J34-'Combined Gradation'!J35)/100)))</f>
        <v>0</v>
      </c>
      <c r="K35" s="329"/>
      <c r="L35" s="328">
        <f>IF(ISERROR(IF(Bin4RAP="Yes",AggrWt*(('Combined Gradation'!L34-'Combined Gradation'!L35)/100)/((100-Bin4Rapac)/100),AggrWt*(('Combined Gradation'!L34-'Combined Gradation'!L35)/100))),0,IF(Bin4RAP="Yes",AggrWt*(('Combined Gradation'!L34-'Combined Gradation'!L35)/100)/((100-Bin4Rapac)/100),AggrWt*(('Combined Gradation'!L34-'Combined Gradation'!L35)/100)))</f>
        <v>0</v>
      </c>
      <c r="M35" s="329"/>
      <c r="N35" s="328">
        <f>IF(ISERROR(IF(Bin5RAP="Yes",AggrWt*(('Combined Gradation'!N34-'Combined Gradation'!N35)/100)/((100-Bin5Rapac)/100),AggrWt*(('Combined Gradation'!N34-'Combined Gradation'!N35)/100))),0,IF(Bin5RAP="Yes",AggrWt*(('Combined Gradation'!N34-'Combined Gradation'!N35)/100)/((100-Bin5Rapac)/100),AggrWt*(('Combined Gradation'!N34-'Combined Gradation'!N35)/100)))</f>
        <v>0</v>
      </c>
      <c r="O35" s="329"/>
      <c r="P35" s="328">
        <f>IF(ISERROR(IF(Bin6RAP="Yes",AggrWt*(('Combined Gradation'!P34-'Combined Gradation'!P35)/100)/((100-Bin6Rapac)/100),AggrWt*(('Combined Gradation'!P34-'Combined Gradation'!P35)/100))),0,IF(Bin6RAP="Yes",AggrWt*(('Combined Gradation'!P34-'Combined Gradation'!P35)/100)/((100-Bin6Rapac)/100),AggrWt*(('Combined Gradation'!P34-'Combined Gradation'!P35)/100)))</f>
        <v>0</v>
      </c>
      <c r="Q35" s="329"/>
      <c r="R35" s="328">
        <f>IF(ISERROR(IF(Bin7RAP="Yes",AggrWt*(('Combined Gradation'!R34-'Combined Gradation'!R35)/100)/((100-Bin7Rapac)/100),AggrWt*(('Combined Gradation'!R34-'Combined Gradation'!R35)/100))),0,IF(Bin7RAP="Yes",AggrWt*(('Combined Gradation'!R34-'Combined Gradation'!R35)/100)/((100-Bin7Rapac)/100),AggrWt*(('Combined Gradation'!R34-'Combined Gradation'!R35)/100)))</f>
        <v>0</v>
      </c>
      <c r="S35" s="329"/>
      <c r="T35" s="114">
        <f t="shared" si="0"/>
        <v>1182.24</v>
      </c>
      <c r="U35" s="102">
        <f t="shared" si="1"/>
        <v>7.388999999999999</v>
      </c>
      <c r="V35" s="102">
        <f>SUM($U$29:$U35)</f>
        <v>80.269</v>
      </c>
      <c r="X35" s="68"/>
      <c r="Y35" s="67"/>
      <c r="Z35" s="67"/>
    </row>
    <row r="36" spans="2:26" ht="15" customHeight="1">
      <c r="B36" s="326"/>
      <c r="C36" s="55" t="str">
        <f ca="1">IF(ISERROR(INDEX(INDIRECT(Grade),7,IF(specyear="1993",2,3))),"",INDEX(INDIRECT(Grade),7,IF(specyear="1993",2,3)))</f>
        <v>No. 30</v>
      </c>
      <c r="D36" s="63" t="s">
        <v>83</v>
      </c>
      <c r="E36" s="55" t="str">
        <f ca="1">IF(ISERROR(INDEX(INDIRECT(Grade),8,IF(specyear="1993",2,3))),"Pan",INDEX(INDIRECT(Grade),8,IF(specyear="1993",2,3)))</f>
        <v>No. 50</v>
      </c>
      <c r="F36" s="328">
        <f>IF(ISERROR(IF(Bin1RAP="Yes",AggrWt*(('Combined Gradation'!F35-'Combined Gradation'!F36)/100)/((100-BIN1rapac)/100),AggrWt*(('Combined Gradation'!F35-'Combined Gradation'!F36)/100))),0,IF(Bin1RAP="Yes",AggrWt*(('Combined Gradation'!F35-'Combined Gradation'!F36)/100)/((100-BIN1rapac)/100),AggrWt*(('Combined Gradation'!F35-'Combined Gradation'!F36)/100)))</f>
        <v>0</v>
      </c>
      <c r="G36" s="329"/>
      <c r="H36" s="328">
        <f>IF(ISERROR(IF(Bin2RAP="Yes",AggrWt*(('Combined Gradation'!H35-'Combined Gradation'!H36)/100)/((100-BIN2Rapac)/100),AggrWt*(('Combined Gradation'!H35-'Combined Gradation'!H36)/100))),0,IF(Bin2RAP="Yes",AggrWt*(('Combined Gradation'!H35-'Combined Gradation'!H36)/100)/((100-BIN2Rapac)/100),AggrWt*(('Combined Gradation'!H35-'Combined Gradation'!H36)/100)))</f>
        <v>669.2799999999996</v>
      </c>
      <c r="I36" s="329"/>
      <c r="J36" s="328">
        <f>IF(ISERROR(IF(Bin3RAP="Yes",AggrWt*(('Combined Gradation'!J35-'Combined Gradation'!J36)/100)/((100-Bin3Rapac)/100),AggrWt*(('Combined Gradation'!J35-'Combined Gradation'!J36)/100))),0,IF(Bin3RAP="Yes",AggrWt*(('Combined Gradation'!J35-'Combined Gradation'!J36)/100)/((100-Bin3Rapac)/100),AggrWt*(('Combined Gradation'!J35-'Combined Gradation'!J36)/100)))</f>
        <v>0</v>
      </c>
      <c r="K36" s="329"/>
      <c r="L36" s="328">
        <f>IF(ISERROR(IF(Bin4RAP="Yes",AggrWt*(('Combined Gradation'!L35-'Combined Gradation'!L36)/100)/((100-Bin4Rapac)/100),AggrWt*(('Combined Gradation'!L35-'Combined Gradation'!L36)/100))),0,IF(Bin4RAP="Yes",AggrWt*(('Combined Gradation'!L35-'Combined Gradation'!L36)/100)/((100-Bin4Rapac)/100),AggrWt*(('Combined Gradation'!L35-'Combined Gradation'!L36)/100)))</f>
        <v>0</v>
      </c>
      <c r="M36" s="329"/>
      <c r="N36" s="328">
        <f>IF(ISERROR(IF(Bin5RAP="Yes",AggrWt*(('Combined Gradation'!N35-'Combined Gradation'!N36)/100)/((100-Bin5Rapac)/100),AggrWt*(('Combined Gradation'!N35-'Combined Gradation'!N36)/100))),0,IF(Bin5RAP="Yes",AggrWt*(('Combined Gradation'!N35-'Combined Gradation'!N36)/100)/((100-Bin5Rapac)/100),AggrWt*(('Combined Gradation'!N35-'Combined Gradation'!N36)/100)))</f>
        <v>0</v>
      </c>
      <c r="O36" s="329"/>
      <c r="P36" s="328">
        <f>IF(ISERROR(IF(Bin6RAP="Yes",AggrWt*(('Combined Gradation'!P35-'Combined Gradation'!P36)/100)/((100-Bin6Rapac)/100),AggrWt*(('Combined Gradation'!P35-'Combined Gradation'!P36)/100))),0,IF(Bin6RAP="Yes",AggrWt*(('Combined Gradation'!P35-'Combined Gradation'!P36)/100)/((100-Bin6Rapac)/100),AggrWt*(('Combined Gradation'!P35-'Combined Gradation'!P36)/100)))</f>
        <v>0</v>
      </c>
      <c r="Q36" s="329"/>
      <c r="R36" s="328">
        <f>IF(ISERROR(IF(Bin7RAP="Yes",AggrWt*(('Combined Gradation'!R35-'Combined Gradation'!R36)/100)/((100-Bin7Rapac)/100),AggrWt*(('Combined Gradation'!R35-'Combined Gradation'!R36)/100))),0,IF(Bin7RAP="Yes",AggrWt*(('Combined Gradation'!R35-'Combined Gradation'!R36)/100)/((100-Bin7Rapac)/100),AggrWt*(('Combined Gradation'!R35-'Combined Gradation'!R36)/100)))</f>
        <v>0</v>
      </c>
      <c r="S36" s="329"/>
      <c r="T36" s="114">
        <f t="shared" si="0"/>
        <v>669.2799999999996</v>
      </c>
      <c r="U36" s="102">
        <f t="shared" si="1"/>
        <v>4.182999999999998</v>
      </c>
      <c r="V36" s="102">
        <f>SUM($U$29:$U36)</f>
        <v>84.452</v>
      </c>
      <c r="X36" s="68"/>
      <c r="Y36" s="67"/>
      <c r="Z36" s="67"/>
    </row>
    <row r="37" spans="2:26" ht="15" customHeight="1">
      <c r="B37" s="326"/>
      <c r="C37" s="55" t="str">
        <f ca="1">IF(ISERROR(INDEX(INDIRECT(Grade),8,IF(specyear="1993",2,3))),"",INDEX(INDIRECT(Grade),8,IF(specyear="1993",2,3)))</f>
        <v>No. 50</v>
      </c>
      <c r="D37" s="63" t="s">
        <v>83</v>
      </c>
      <c r="E37" s="55" t="str">
        <f ca="1">IF(ISERROR(INDEX(INDIRECT(Grade),9,IF(specyear="1993",2,3))),"Pan",INDEX(INDIRECT(Grade),9,IF(specyear="1993",2,3)))</f>
        <v>No. 200</v>
      </c>
      <c r="F37" s="328">
        <f>IF(ISERROR(IF(Bin1RAP="Yes",AggrWt*(('Combined Gradation'!F36-'Combined Gradation'!F37)/100)/((100-BIN1rapac)/100),AggrWt*(('Combined Gradation'!F36-'Combined Gradation'!F37)/100))),0,IF(Bin1RAP="Yes",AggrWt*(('Combined Gradation'!F36-'Combined Gradation'!F37)/100)/((100-BIN1rapac)/100),AggrWt*(('Combined Gradation'!F36-'Combined Gradation'!F37)/100)))</f>
        <v>8.319999999999999</v>
      </c>
      <c r="G37" s="329"/>
      <c r="H37" s="328">
        <f>IF(ISERROR(IF(Bin2RAP="Yes",AggrWt*(('Combined Gradation'!H36-'Combined Gradation'!H37)/100)/((100-BIN2Rapac)/100),AggrWt*(('Combined Gradation'!H36-'Combined Gradation'!H37)/100))),0,IF(Bin2RAP="Yes",AggrWt*(('Combined Gradation'!H36-'Combined Gradation'!H37)/100)/((100-BIN2Rapac)/100),AggrWt*(('Combined Gradation'!H36-'Combined Gradation'!H37)/100)))</f>
        <v>1368.6399999999999</v>
      </c>
      <c r="I37" s="329"/>
      <c r="J37" s="328">
        <f>IF(ISERROR(IF(Bin3RAP="Yes",AggrWt*(('Combined Gradation'!J36-'Combined Gradation'!J37)/100)/((100-Bin3Rapac)/100),AggrWt*(('Combined Gradation'!J36-'Combined Gradation'!J37)/100))),0,IF(Bin3RAP="Yes",AggrWt*(('Combined Gradation'!J36-'Combined Gradation'!J37)/100)/((100-Bin3Rapac)/100),AggrWt*(('Combined Gradation'!J36-'Combined Gradation'!J37)/100)))</f>
        <v>0</v>
      </c>
      <c r="K37" s="329"/>
      <c r="L37" s="328">
        <f>IF(ISERROR(IF(Bin4RAP="Yes",AggrWt*(('Combined Gradation'!L36-'Combined Gradation'!L37)/100)/((100-Bin4Rapac)/100),AggrWt*(('Combined Gradation'!L36-'Combined Gradation'!L37)/100))),0,IF(Bin4RAP="Yes",AggrWt*(('Combined Gradation'!L36-'Combined Gradation'!L37)/100)/((100-Bin4Rapac)/100),AggrWt*(('Combined Gradation'!L36-'Combined Gradation'!L37)/100)))</f>
        <v>0</v>
      </c>
      <c r="M37" s="329"/>
      <c r="N37" s="328">
        <f>IF(ISERROR(IF(Bin5RAP="Yes",AggrWt*(('Combined Gradation'!N36-'Combined Gradation'!N37)/100)/((100-Bin5Rapac)/100),AggrWt*(('Combined Gradation'!N36-'Combined Gradation'!N37)/100))),0,IF(Bin5RAP="Yes",AggrWt*(('Combined Gradation'!N36-'Combined Gradation'!N37)/100)/((100-Bin5Rapac)/100),AggrWt*(('Combined Gradation'!N36-'Combined Gradation'!N37)/100)))</f>
        <v>0</v>
      </c>
      <c r="O37" s="329"/>
      <c r="P37" s="328">
        <f>IF(ISERROR(IF(Bin6RAP="Yes",AggrWt*(('Combined Gradation'!P36-'Combined Gradation'!P37)/100)/((100-Bin6Rapac)/100),AggrWt*(('Combined Gradation'!P36-'Combined Gradation'!P37)/100))),0,IF(Bin6RAP="Yes",AggrWt*(('Combined Gradation'!P36-'Combined Gradation'!P37)/100)/((100-Bin6Rapac)/100),AggrWt*(('Combined Gradation'!P36-'Combined Gradation'!P37)/100)))</f>
        <v>0</v>
      </c>
      <c r="Q37" s="329"/>
      <c r="R37" s="328">
        <f>IF(ISERROR(IF(Bin7RAP="Yes",AggrWt*(('Combined Gradation'!R36-'Combined Gradation'!R37)/100)/((100-Bin7Rapac)/100),AggrWt*(('Combined Gradation'!R36-'Combined Gradation'!R37)/100))),0,IF(Bin7RAP="Yes",AggrWt*(('Combined Gradation'!R36-'Combined Gradation'!R37)/100)/((100-Bin7Rapac)/100),AggrWt*(('Combined Gradation'!R36-'Combined Gradation'!R37)/100)))</f>
        <v>0</v>
      </c>
      <c r="S37" s="329"/>
      <c r="T37" s="114">
        <f t="shared" si="0"/>
        <v>1376.9599999999998</v>
      </c>
      <c r="U37" s="102">
        <f t="shared" si="1"/>
        <v>8.605999999999998</v>
      </c>
      <c r="V37" s="102">
        <f>SUM($U$29:$U37)</f>
        <v>93.05799999999999</v>
      </c>
      <c r="X37" s="68"/>
      <c r="Y37" s="67"/>
      <c r="Z37" s="67"/>
    </row>
    <row r="38" spans="2:26" ht="15" customHeight="1">
      <c r="B38" s="326"/>
      <c r="C38" s="55" t="str">
        <f ca="1">IF(ISERROR(INDEX(INDIRECT(Grade),9,IF(specyear="1993",2,3))),"",INDEX(INDIRECT(Grade),9,IF(specyear="1993",2,3)))</f>
        <v>No. 200</v>
      </c>
      <c r="D38" s="63" t="s">
        <v>83</v>
      </c>
      <c r="E38" s="55" t="s">
        <v>166</v>
      </c>
      <c r="F38" s="328">
        <f>IF(ISERROR(IF(Bin1RAP="Yes",AggrWt*(('Combined Gradation'!F37-'Combined Gradation'!F38)/100)/((100-BIN1rapac)/100),AggrWt*(('Combined Gradation'!F37-'Combined Gradation'!F38)/100))),0,IF(Bin1RAP="Yes",AggrWt*(('Combined Gradation'!F37-'Combined Gradation'!F38)/100)/((100-BIN1rapac)/100),AggrWt*(('Combined Gradation'!F37-'Combined Gradation'!F38)/100)))</f>
        <v>33.28</v>
      </c>
      <c r="G38" s="329"/>
      <c r="H38" s="328">
        <f>IF(ISERROR(IF(Bin2RAP="Yes",AggrWt*(('Combined Gradation'!H37-'Combined Gradation'!H38)/100)/((100-BIN2Rapac)/100),AggrWt*(('Combined Gradation'!H37-'Combined Gradation'!H38)/100))),0,IF(Bin2RAP="Yes",AggrWt*(('Combined Gradation'!H37-'Combined Gradation'!H38)/100)/((100-BIN2Rapac)/100),AggrWt*(('Combined Gradation'!H37-'Combined Gradation'!H38)/100)))</f>
        <v>917.4399999999998</v>
      </c>
      <c r="I38" s="329"/>
      <c r="J38" s="328">
        <f>IF(ISERROR(IF(Bin3RAP="Yes",AggrWt*(('Combined Gradation'!J37-'Combined Gradation'!J38)/100)/((100-Bin3Rapac)/100),AggrWt*(('Combined Gradation'!J37-'Combined Gradation'!J38)/100))),0,IF(Bin3RAP="Yes",AggrWt*(('Combined Gradation'!J37-'Combined Gradation'!J38)/100)/((100-Bin3Rapac)/100),AggrWt*(('Combined Gradation'!J37-'Combined Gradation'!J38)/100)))</f>
        <v>160</v>
      </c>
      <c r="K38" s="329"/>
      <c r="L38" s="328">
        <f>IF(ISERROR(IF(Bin4RAP="Yes",AggrWt*(('Combined Gradation'!L37-'Combined Gradation'!L38)/100)/((100-Bin4Rapac)/100),AggrWt*(('Combined Gradation'!L37-'Combined Gradation'!L38)/100))),0,IF(Bin4RAP="Yes",AggrWt*(('Combined Gradation'!L37-'Combined Gradation'!L38)/100)/((100-Bin4Rapac)/100),AggrWt*(('Combined Gradation'!L37-'Combined Gradation'!L38)/100)))</f>
        <v>0</v>
      </c>
      <c r="M38" s="329"/>
      <c r="N38" s="328">
        <f>IF(ISERROR(IF(Bin5RAP="Yes",AggrWt*(('Combined Gradation'!N37-'Combined Gradation'!N38)/100)/((100-Bin5Rapac)/100),AggrWt*(('Combined Gradation'!N37-'Combined Gradation'!N38)/100))),0,IF(Bin5RAP="Yes",AggrWt*(('Combined Gradation'!N37-'Combined Gradation'!N38)/100)/((100-Bin5Rapac)/100),AggrWt*(('Combined Gradation'!N37-'Combined Gradation'!N38)/100)))</f>
        <v>0</v>
      </c>
      <c r="O38" s="329"/>
      <c r="P38" s="328">
        <f>IF(ISERROR(IF(Bin6RAP="Yes",AggrWt*(('Combined Gradation'!P37-'Combined Gradation'!P38)/100)/((100-Bin6Rapac)/100),AggrWt*(('Combined Gradation'!P37-'Combined Gradation'!P38)/100))),0,IF(Bin6RAP="Yes",AggrWt*(('Combined Gradation'!P37-'Combined Gradation'!P38)/100)/((100-Bin6Rapac)/100),AggrWt*(('Combined Gradation'!P37-'Combined Gradation'!P38)/100)))</f>
        <v>0</v>
      </c>
      <c r="Q38" s="329"/>
      <c r="R38" s="328">
        <f>IF(ISERROR(IF(Bin7RAP="Yes",AggrWt*(('Combined Gradation'!R37-'Combined Gradation'!R38)/100)/((100-Bin7Rapac)/100),AggrWt*(('Combined Gradation'!R37-'Combined Gradation'!R38)/100))),0,IF(Bin7RAP="Yes",AggrWt*(('Combined Gradation'!R37-'Combined Gradation'!R38)/100)/((100-Bin7Rapac)/100),AggrWt*(('Combined Gradation'!R37-'Combined Gradation'!R38)/100)))</f>
        <v>0</v>
      </c>
      <c r="S38" s="329"/>
      <c r="T38" s="114">
        <f t="shared" si="0"/>
        <v>1110.7199999999998</v>
      </c>
      <c r="U38" s="102">
        <f t="shared" si="1"/>
        <v>6.941999999999998</v>
      </c>
      <c r="V38" s="102">
        <f>SUM($U$29:$U38)</f>
        <v>99.99999999999999</v>
      </c>
      <c r="X38" s="68"/>
      <c r="Y38" s="67"/>
      <c r="Z38" s="67"/>
    </row>
    <row r="39" spans="2:26" ht="15" customHeight="1">
      <c r="B39" s="327"/>
      <c r="C39" s="348" t="s">
        <v>86</v>
      </c>
      <c r="D39" s="349"/>
      <c r="E39" s="350"/>
      <c r="F39" s="328">
        <f>SUM(F29:F38)</f>
        <v>8320</v>
      </c>
      <c r="G39" s="329"/>
      <c r="H39" s="328">
        <f>SUM(H29:H38)</f>
        <v>7519.999999999999</v>
      </c>
      <c r="I39" s="329"/>
      <c r="J39" s="328">
        <f>SUM(J29:J38)</f>
        <v>160</v>
      </c>
      <c r="K39" s="329"/>
      <c r="L39" s="328">
        <f>SUM(L29:L38)</f>
        <v>0</v>
      </c>
      <c r="M39" s="329"/>
      <c r="N39" s="328">
        <f>SUM(N29:N38)</f>
        <v>0</v>
      </c>
      <c r="O39" s="329"/>
      <c r="P39" s="328">
        <f>SUM(P29:P38)</f>
        <v>0</v>
      </c>
      <c r="Q39" s="329"/>
      <c r="R39" s="328">
        <f>SUM(R29:R38)</f>
        <v>0</v>
      </c>
      <c r="S39" s="329"/>
      <c r="T39" s="152">
        <f>IF(ISERROR(SUM(F39,H39,J39,L39,N39,P39,R39)),0,SUM(F39,H39,J39,L39,N39,P39,R39))</f>
        <v>16000</v>
      </c>
      <c r="U39" s="151" t="s">
        <v>175</v>
      </c>
      <c r="V39"/>
      <c r="X39" s="68"/>
      <c r="Y39" s="67"/>
      <c r="Z39" s="67"/>
    </row>
    <row r="40" spans="3:29" ht="6.75" customHeight="1">
      <c r="C40" s="58"/>
      <c r="D40" s="58"/>
      <c r="E40" s="58"/>
      <c r="F40" s="59"/>
      <c r="G40" s="59"/>
      <c r="H40" s="59"/>
      <c r="I40" s="59"/>
      <c r="J40" s="59"/>
      <c r="K40" s="59"/>
      <c r="L40" s="59"/>
      <c r="M40" s="59"/>
      <c r="N40" s="59"/>
      <c r="O40" s="59"/>
      <c r="P40" s="59"/>
      <c r="Q40" s="59"/>
      <c r="R40" s="59"/>
      <c r="S40" s="59"/>
      <c r="T40" s="60"/>
      <c r="U40"/>
      <c r="V40"/>
      <c r="W40" s="61"/>
      <c r="X40" s="61"/>
      <c r="Y40" s="61"/>
      <c r="Z40" s="61"/>
      <c r="AA40" s="61"/>
      <c r="AB40" s="62"/>
      <c r="AC40" s="62"/>
    </row>
    <row r="41" spans="2:27" ht="17.25" customHeight="1">
      <c r="B41" s="159"/>
      <c r="C41" s="346" t="s">
        <v>183</v>
      </c>
      <c r="D41" s="347"/>
      <c r="E41" s="209"/>
      <c r="F41" s="344" t="str">
        <f>IF(Bin1Frac="","","Bin No.1 = "&amp;Bin1Frac&amp;" %")</f>
        <v>Bin No.1 = 52 %</v>
      </c>
      <c r="G41" s="345"/>
      <c r="H41" s="344" t="str">
        <f>IF(Bin2Frac="","","Bin No.2 = "&amp;Bin2Frac&amp;" %")</f>
        <v>Bin No.2 = 47 %</v>
      </c>
      <c r="I41" s="345"/>
      <c r="J41" s="344" t="str">
        <f>IF(Bin3Frac="","","Bin No.3 = "&amp;Bin3Frac&amp;" %")</f>
        <v>Bin No.3 = 1 %</v>
      </c>
      <c r="K41" s="345"/>
      <c r="L41" s="344" t="str">
        <f>IF(Bin4Frac="","","Bin No.4 = "&amp;Bin4Frac&amp;" %")</f>
        <v>Bin No.4 = 0 %</v>
      </c>
      <c r="M41" s="345"/>
      <c r="N41" s="344">
        <f>IF(Bin5Frac="","","Bin No.5 = "&amp;Bin5Frac&amp;" %")</f>
      </c>
      <c r="O41" s="345"/>
      <c r="P41" s="344">
        <f>IF(Bin6Frac="","","Bin No.6 = "&amp;Bin6Frac&amp;" %")</f>
      </c>
      <c r="Q41" s="345"/>
      <c r="R41" s="344">
        <f>IF(Bin7Frac="","","Bin No.7 = "&amp;Bin7Frac&amp;" %")</f>
      </c>
      <c r="S41" s="345"/>
      <c r="Y41" s="368"/>
      <c r="Z41" s="368"/>
      <c r="AA41" s="368"/>
    </row>
    <row r="42" spans="2:27" ht="17.25" customHeight="1">
      <c r="B42" s="325" t="s">
        <v>88</v>
      </c>
      <c r="C42" s="269" t="s">
        <v>173</v>
      </c>
      <c r="D42" s="269"/>
      <c r="E42" s="269"/>
      <c r="F42" s="315" t="str">
        <f>IF(Bin1Source="","",Bin1Source)</f>
        <v>Duininck</v>
      </c>
      <c r="G42" s="316"/>
      <c r="H42" s="317" t="str">
        <f>IF(Bin2Source="","",Bin2Source)</f>
        <v>Kiewit</v>
      </c>
      <c r="I42" s="318"/>
      <c r="J42" s="317" t="str">
        <f>IF(Bin3Source="","",Bin3Source)</f>
        <v>Texas Lime</v>
      </c>
      <c r="K42" s="318"/>
      <c r="L42" s="317">
        <f>IF(Bin4Source="","",Bin4Source)</f>
      </c>
      <c r="M42" s="318"/>
      <c r="N42" s="317">
        <f>IF(Bin5Source="","",Bin5Source)</f>
      </c>
      <c r="O42" s="318"/>
      <c r="P42" s="317">
        <f>IF(Bin6Source="","",Bin6Source)</f>
      </c>
      <c r="Q42" s="318"/>
      <c r="R42" s="317">
        <f>IF(Bin7Source="","",Bin7Source)</f>
      </c>
      <c r="S42" s="318"/>
      <c r="T42"/>
      <c r="U42"/>
      <c r="V42"/>
      <c r="W42"/>
      <c r="Y42" s="368"/>
      <c r="Z42" s="368"/>
      <c r="AA42" s="368"/>
    </row>
    <row r="43" spans="2:27" ht="17.25" customHeight="1">
      <c r="B43" s="326"/>
      <c r="C43" s="269" t="s">
        <v>174</v>
      </c>
      <c r="D43" s="269"/>
      <c r="E43" s="269"/>
      <c r="F43" s="315">
        <f>IF(Bin1Aggr="","",Bin1Aggr)</f>
      </c>
      <c r="G43" s="316"/>
      <c r="H43" s="317">
        <f>IF(Bin2Aggr="","",Bin2Aggr)</f>
      </c>
      <c r="I43" s="318"/>
      <c r="J43" s="317">
        <f>IF(Bin3Aggr="","",Bin3Aggr)</f>
      </c>
      <c r="K43" s="318"/>
      <c r="L43" s="317">
        <f>IF(Bin4Aggr="","",Bin4Aggr)</f>
      </c>
      <c r="M43" s="318"/>
      <c r="N43" s="317">
        <f>IF(Bin5Aggr="","",Bin5Aggr)</f>
      </c>
      <c r="O43" s="318"/>
      <c r="P43" s="317">
        <f>IF(Bin6Aggr="","",Bin6Aggr)</f>
      </c>
      <c r="Q43" s="318"/>
      <c r="R43" s="317">
        <f>IF(Bin7Aggr="","",Bin7Aggr)</f>
      </c>
      <c r="S43" s="318"/>
      <c r="T43" s="369" t="s">
        <v>85</v>
      </c>
      <c r="U43"/>
      <c r="V43"/>
      <c r="W43"/>
      <c r="Y43" s="368"/>
      <c r="Z43" s="368"/>
      <c r="AA43" s="368"/>
    </row>
    <row r="44" spans="2:27" ht="17.25" customHeight="1">
      <c r="B44" s="326"/>
      <c r="C44" s="269" t="s">
        <v>160</v>
      </c>
      <c r="D44" s="269"/>
      <c r="E44" s="269"/>
      <c r="F44" s="315" t="str">
        <f>IF(Bin1samp="","",Bin1samp)</f>
        <v>F Rock</v>
      </c>
      <c r="G44" s="316"/>
      <c r="H44" s="317" t="str">
        <f>IF(Bin2Samp="","",Bin2Samp)</f>
        <v>#7-#16</v>
      </c>
      <c r="I44" s="318"/>
      <c r="J44" s="317" t="str">
        <f>IF(Bin3Samp="","",Bin3Samp)</f>
        <v>Lime</v>
      </c>
      <c r="K44" s="318"/>
      <c r="L44" s="317">
        <f>IF(Bin4Samp="","",Bin4Samp)</f>
      </c>
      <c r="M44" s="318"/>
      <c r="N44" s="317">
        <f>IF(Bin5Samp="","",Bin5Samp)</f>
      </c>
      <c r="O44" s="318"/>
      <c r="P44" s="317">
        <f>IF(Bin6Samp="","",Bin6Samp)</f>
      </c>
      <c r="Q44" s="318"/>
      <c r="R44" s="317">
        <f>IF(Bin7Samp="","",Bin7Samp)</f>
      </c>
      <c r="S44" s="318"/>
      <c r="T44" s="370"/>
      <c r="U44"/>
      <c r="V44"/>
      <c r="W44"/>
      <c r="Y44" s="64"/>
      <c r="Z44" s="64"/>
      <c r="AA44" s="64"/>
    </row>
    <row r="45" spans="2:27" ht="6" customHeight="1">
      <c r="B45" s="326"/>
      <c r="C45" s="133"/>
      <c r="D45" s="134"/>
      <c r="E45" s="135"/>
      <c r="F45" s="136"/>
      <c r="G45" s="137"/>
      <c r="H45" s="136"/>
      <c r="I45" s="138"/>
      <c r="J45" s="136"/>
      <c r="K45" s="138"/>
      <c r="L45" s="136"/>
      <c r="M45" s="138"/>
      <c r="N45" s="136"/>
      <c r="O45" s="138"/>
      <c r="P45" s="136"/>
      <c r="Q45" s="138"/>
      <c r="R45" s="136"/>
      <c r="S45" s="138"/>
      <c r="T45" s="370"/>
      <c r="U45"/>
      <c r="V45"/>
      <c r="W45"/>
      <c r="Y45" s="64"/>
      <c r="Z45" s="64"/>
      <c r="AA45" s="64"/>
    </row>
    <row r="46" spans="2:27" ht="17.25" customHeight="1">
      <c r="B46" s="326"/>
      <c r="C46" s="303" t="s">
        <v>4</v>
      </c>
      <c r="D46" s="330"/>
      <c r="E46" s="304"/>
      <c r="F46" s="331" t="str">
        <f>IF(F41="","",IF(Bin1RAP="Yes","RAP Weight","Aggregate Weight"))</f>
        <v>Aggregate Weight</v>
      </c>
      <c r="G46" s="332"/>
      <c r="H46" s="331" t="str">
        <f>IF(H41="","",IF(Bin2RAP="Yes","RAP Weight","Aggregate Weight"))</f>
        <v>Aggregate Weight</v>
      </c>
      <c r="I46" s="332"/>
      <c r="J46" s="331" t="str">
        <f>IF(J41="","",IF(Bin3RAP="Yes","RAP Weight","Aggregate Weight"))</f>
        <v>Aggregate Weight</v>
      </c>
      <c r="K46" s="332"/>
      <c r="L46" s="331" t="str">
        <f>IF(L41="","",IF(Bin4RAP="Yes","RAP Weight","Aggregate Weight"))</f>
        <v>Aggregate Weight</v>
      </c>
      <c r="M46" s="332"/>
      <c r="N46" s="331">
        <f>IF(N41="","",IF(Bin5RAP="Yes","RAP Weight","Aggregate Weight"))</f>
      </c>
      <c r="O46" s="332"/>
      <c r="P46" s="331">
        <f>IF(P41="","",IF(Bin6RAP="Yes","RAP Weight","Aggregate Weight"))</f>
      </c>
      <c r="Q46" s="332"/>
      <c r="R46" s="331">
        <f>IF(R41="","",IF(Bin7RAP="Yes","RAP Weight","Aggregate Weight"))</f>
      </c>
      <c r="S46" s="332"/>
      <c r="T46" s="370"/>
      <c r="U46"/>
      <c r="V46"/>
      <c r="W46"/>
      <c r="Y46" s="64"/>
      <c r="Z46" s="64"/>
      <c r="AA46" s="64"/>
    </row>
    <row r="47" spans="2:27" ht="17.25" customHeight="1">
      <c r="B47" s="326"/>
      <c r="C47" s="335" t="s">
        <v>169</v>
      </c>
      <c r="D47" s="336"/>
      <c r="E47" s="337"/>
      <c r="F47" s="333"/>
      <c r="G47" s="334"/>
      <c r="H47" s="333"/>
      <c r="I47" s="334"/>
      <c r="J47" s="333"/>
      <c r="K47" s="334"/>
      <c r="L47" s="333"/>
      <c r="M47" s="334"/>
      <c r="N47" s="333"/>
      <c r="O47" s="334"/>
      <c r="P47" s="333"/>
      <c r="Q47" s="334"/>
      <c r="R47" s="333"/>
      <c r="S47" s="334"/>
      <c r="T47" s="371"/>
      <c r="U47"/>
      <c r="V47"/>
      <c r="W47"/>
      <c r="Y47" s="64"/>
      <c r="Z47" s="64"/>
      <c r="AA47" s="64"/>
    </row>
    <row r="48" spans="2:27" ht="15" customHeight="1">
      <c r="B48" s="326"/>
      <c r="C48" s="65"/>
      <c r="D48" s="63" t="s">
        <v>83</v>
      </c>
      <c r="E48" s="63" t="str">
        <f ca="1">IF(ISERROR(INDEX(INDIRECT(Grade),1,IF(specyear="1993",2,3))),"Pan",INDEX(INDIRECT(Grade),1,IF(specyear="1993",2,3)))</f>
        <v>3/4"</v>
      </c>
      <c r="F48" s="328">
        <f>IF(Bin1Frac="","",F29)</f>
        <v>0</v>
      </c>
      <c r="G48" s="329"/>
      <c r="H48" s="328">
        <f>IF(Bin2Frac="","",IF(RunningT="No",H29,F57+H29))</f>
        <v>8320</v>
      </c>
      <c r="I48" s="329"/>
      <c r="J48" s="328">
        <f>IF(Bin3Frac="","",IF(RunningT="No",J29,H57+J29))</f>
        <v>15840</v>
      </c>
      <c r="K48" s="329"/>
      <c r="L48" s="328">
        <f>IF(Bin4Frac="","",IF(RunningT="No",L29,J57+L29))</f>
        <v>16000</v>
      </c>
      <c r="M48" s="329"/>
      <c r="N48" s="328">
        <f>IF(Bin5Frac="","",IF(RunningT="No",N29,L57+N29))</f>
      </c>
      <c r="O48" s="329"/>
      <c r="P48" s="328">
        <f>IF(Bin6Frac="","",IF(RunningT="No",P29,N57+P29))</f>
      </c>
      <c r="Q48" s="329"/>
      <c r="R48" s="328">
        <f>IF(Bin7Frac="","",IF(RunningT="No",R29,P57+R29))</f>
      </c>
      <c r="S48" s="329"/>
      <c r="T48" s="139">
        <f>SUM(T$29:T29)</f>
        <v>0</v>
      </c>
      <c r="U48"/>
      <c r="V48"/>
      <c r="W48"/>
      <c r="Y48" s="68"/>
      <c r="Z48" s="67"/>
      <c r="AA48" s="67"/>
    </row>
    <row r="49" spans="2:27" ht="15" customHeight="1">
      <c r="B49" s="326"/>
      <c r="C49" s="63" t="str">
        <f ca="1">IF(ISERROR(INDEX(INDIRECT(Grade),1,IF(specyear="1993",2,3))),"",INDEX(INDIRECT(Grade),1,IF(specyear="1993",2,3)))</f>
        <v>3/4"</v>
      </c>
      <c r="D49" s="63" t="s">
        <v>83</v>
      </c>
      <c r="E49" s="55" t="str">
        <f ca="1">IF(ISERROR(INDEX(INDIRECT(Grade),2,IF(specyear="1993",2,3))),"Pan",INDEX(INDIRECT(Grade),2,IF(specyear="1993",2,3)))</f>
        <v>1/2"</v>
      </c>
      <c r="F49" s="328">
        <f>IF(Bin1Frac="","",SUM(F$29:G30))</f>
        <v>0</v>
      </c>
      <c r="G49" s="329"/>
      <c r="H49" s="328">
        <f>IF(Bin2Frac="","",IF(RunningT="No",SUM(H$29:H30),H48+H30))</f>
        <v>8320</v>
      </c>
      <c r="I49" s="329"/>
      <c r="J49" s="328">
        <f>IF(Bin3Frac="","",IF(RunningT="No",SUM(J$29:J30),J48+J30))</f>
        <v>15840</v>
      </c>
      <c r="K49" s="329"/>
      <c r="L49" s="328">
        <f>IF(Bin4Frac="","",IF(RunningT="No",SUM(L$29:L30),L48+L30))</f>
        <v>16000</v>
      </c>
      <c r="M49" s="329"/>
      <c r="N49" s="328">
        <f>IF(Bin5Frac="","",IF(RunningT="No",SUM(N$29:N30),N48+N30))</f>
      </c>
      <c r="O49" s="329"/>
      <c r="P49" s="328">
        <f>IF(Bin6Frac="","",IF(RunningT="No",SUM(P$29:P30),P48+P30))</f>
      </c>
      <c r="Q49" s="329"/>
      <c r="R49" s="328">
        <f>IF(Bin7Frac="","",IF(RunningT="No",SUM(R$29:R30),R48+R30))</f>
      </c>
      <c r="S49" s="329"/>
      <c r="T49" s="139">
        <f>SUM(T$29:T30)</f>
        <v>0</v>
      </c>
      <c r="U49"/>
      <c r="V49"/>
      <c r="W49"/>
      <c r="Y49" s="68"/>
      <c r="Z49" s="67"/>
      <c r="AA49" s="67"/>
    </row>
    <row r="50" spans="2:27" ht="15" customHeight="1">
      <c r="B50" s="326"/>
      <c r="C50" s="55" t="str">
        <f ca="1">IF(ISERROR(INDEX(INDIRECT(Grade),2,IF(specyear="1993",2,3))),"",INDEX(INDIRECT(Grade),2,IF(specyear="1993",2,3)))</f>
        <v>1/2"</v>
      </c>
      <c r="D50" s="63" t="s">
        <v>83</v>
      </c>
      <c r="E50" s="55" t="str">
        <f ca="1">IF(ISERROR(INDEX(INDIRECT(Grade),3,IF(specyear="1993",2,3))),"Pan",INDEX(INDIRECT(Grade),3,IF(specyear="1993",2,3)))</f>
        <v>3/8"</v>
      </c>
      <c r="F50" s="328">
        <f>IF(Bin1Frac="","",SUM(F$29:G31))</f>
        <v>0</v>
      </c>
      <c r="G50" s="329"/>
      <c r="H50" s="328">
        <f>IF(Bin2Frac="","",IF(RunningT="No",SUM(H$29:H31),H49+H31))</f>
        <v>8320</v>
      </c>
      <c r="I50" s="329"/>
      <c r="J50" s="328">
        <f>IF(Bin3Frac="","",IF(RunningT="No",SUM(J$29:J31),J49+J31))</f>
        <v>15840</v>
      </c>
      <c r="K50" s="329"/>
      <c r="L50" s="328">
        <f>IF(Bin4Frac="","",IF(RunningT="No",SUM(L$29:L31),L49+L31))</f>
        <v>16000</v>
      </c>
      <c r="M50" s="329"/>
      <c r="N50" s="328">
        <f>IF(Bin5Frac="","",IF(RunningT="No",SUM(N$29:N31),N49+N31))</f>
      </c>
      <c r="O50" s="329"/>
      <c r="P50" s="328">
        <f>IF(Bin6Frac="","",IF(RunningT="No",SUM(P$29:P31),P49+P31))</f>
      </c>
      <c r="Q50" s="329"/>
      <c r="R50" s="328">
        <f>IF(Bin7Frac="","",IF(RunningT="No",SUM(R$29:R31),R49+R31))</f>
      </c>
      <c r="S50" s="329"/>
      <c r="T50" s="139">
        <f>SUM(T$29:T31)</f>
        <v>0</v>
      </c>
      <c r="U50"/>
      <c r="V50"/>
      <c r="W50"/>
      <c r="Y50" s="68"/>
      <c r="Z50" s="67"/>
      <c r="AA50" s="67"/>
    </row>
    <row r="51" spans="2:27" ht="15" customHeight="1">
      <c r="B51" s="326"/>
      <c r="C51" s="55" t="str">
        <f ca="1">IF(ISERROR(INDEX(INDIRECT(Grade),3,IF(specyear="1993",2,3))),"",INDEX(INDIRECT(Grade),3,IF(specyear="1993",2,3)))</f>
        <v>3/8"</v>
      </c>
      <c r="D51" s="63" t="s">
        <v>83</v>
      </c>
      <c r="E51" s="55" t="str">
        <f ca="1">IF(ISERROR(INDEX(INDIRECT(Grade),4,IF(specyear="1993",2,3))),"Pan",INDEX(INDIRECT(Grade),4,IF(specyear="1993",2,3)))</f>
        <v>No. 4</v>
      </c>
      <c r="F51" s="328">
        <f>IF(Bin1Frac="","",SUM(F$29:G32))</f>
        <v>3261.44</v>
      </c>
      <c r="G51" s="329"/>
      <c r="H51" s="328">
        <f>IF(Bin2Frac="","",IF(RunningT="No",SUM(H$29:H32),H50+H32))</f>
        <v>8327.52</v>
      </c>
      <c r="I51" s="329"/>
      <c r="J51" s="328">
        <f>IF(Bin3Frac="","",IF(RunningT="No",SUM(J$29:J32),J50+J32))</f>
        <v>15840</v>
      </c>
      <c r="K51" s="329"/>
      <c r="L51" s="328">
        <f>IF(Bin4Frac="","",IF(RunningT="No",SUM(L$29:L32),L50+L32))</f>
        <v>16000</v>
      </c>
      <c r="M51" s="329"/>
      <c r="N51" s="328">
        <f>IF(Bin5Frac="","",IF(RunningT="No",SUM(N$29:N32),N50+N32))</f>
      </c>
      <c r="O51" s="329"/>
      <c r="P51" s="328">
        <f>IF(Bin6Frac="","",IF(RunningT="No",SUM(P$29:P32),P50+P32))</f>
      </c>
      <c r="Q51" s="329"/>
      <c r="R51" s="328">
        <f>IF(Bin7Frac="","",IF(RunningT="No",SUM(R$29:R32),R50+R32))</f>
      </c>
      <c r="S51" s="329"/>
      <c r="T51" s="139">
        <f>SUM(T$29:T32)</f>
        <v>3268.9599999999996</v>
      </c>
      <c r="U51"/>
      <c r="V51"/>
      <c r="W51"/>
      <c r="Y51" s="68"/>
      <c r="Z51" s="67"/>
      <c r="AA51" s="67"/>
    </row>
    <row r="52" spans="2:27" ht="15" customHeight="1">
      <c r="B52" s="326"/>
      <c r="C52" s="55" t="str">
        <f ca="1">IF(ISERROR(INDEX(INDIRECT(Grade),4,IF(specyear="1993",2,3))),"",INDEX(INDIRECT(Grade),4,IF(specyear="1993",2,3)))</f>
        <v>No. 4</v>
      </c>
      <c r="D52" s="63" t="s">
        <v>83</v>
      </c>
      <c r="E52" s="55" t="str">
        <f ca="1">IF(ISERROR(INDEX(INDIRECT(Grade),5,IF(specyear="1993",2,3))),"Pan",INDEX(INDIRECT(Grade),5,IF(specyear="1993",2,3)))</f>
        <v>No. 8</v>
      </c>
      <c r="F52" s="328">
        <f>IF(Bin1Frac="","",SUM(F$29:G33))</f>
        <v>8153.6</v>
      </c>
      <c r="G52" s="329"/>
      <c r="H52" s="328">
        <f>IF(Bin2Frac="","",IF(RunningT="No",SUM(H$29:H33),H51+H33))</f>
        <v>9432.960000000001</v>
      </c>
      <c r="I52" s="329"/>
      <c r="J52" s="328">
        <f>IF(Bin3Frac="","",IF(RunningT="No",SUM(J$29:J33),J51+J33))</f>
        <v>15840</v>
      </c>
      <c r="K52" s="329"/>
      <c r="L52" s="328">
        <f>IF(Bin4Frac="","",IF(RunningT="No",SUM(L$29:L33),L51+L33))</f>
        <v>16000</v>
      </c>
      <c r="M52" s="329"/>
      <c r="N52" s="328">
        <f>IF(Bin5Frac="","",IF(RunningT="No",SUM(N$29:N33),N51+N33))</f>
      </c>
      <c r="O52" s="329"/>
      <c r="P52" s="328">
        <f>IF(Bin6Frac="","",IF(RunningT="No",SUM(P$29:P33),P51+P33))</f>
      </c>
      <c r="Q52" s="329"/>
      <c r="R52" s="328">
        <f>IF(Bin7Frac="","",IF(RunningT="No",SUM(R$29:R33),R51+R33))</f>
      </c>
      <c r="S52" s="329"/>
      <c r="T52" s="139">
        <f>SUM(T$29:T33)</f>
        <v>9266.560000000001</v>
      </c>
      <c r="U52"/>
      <c r="V52"/>
      <c r="W52"/>
      <c r="Y52" s="68"/>
      <c r="Z52" s="67"/>
      <c r="AA52" s="67"/>
    </row>
    <row r="53" spans="2:27" ht="15" customHeight="1">
      <c r="B53" s="326"/>
      <c r="C53" s="55" t="str">
        <f ca="1">IF(ISERROR(INDEX(INDIRECT(Grade),5,IF(specyear="1993",2,3))),"",INDEX(INDIRECT(Grade),5,IF(specyear="1993",2,3)))</f>
        <v>No. 8</v>
      </c>
      <c r="D53" s="63" t="s">
        <v>83</v>
      </c>
      <c r="E53" s="55" t="str">
        <f ca="1">IF(ISERROR(INDEX(INDIRECT(Grade),6,IF(specyear="1993",2,3))),"Pan",INDEX(INDIRECT(Grade),6,IF(specyear="1993",2,3)))</f>
        <v>No. 16</v>
      </c>
      <c r="F53" s="328">
        <f>IF(Bin1Frac="","",SUM(F$29:G34))</f>
        <v>8261.76</v>
      </c>
      <c r="G53" s="329"/>
      <c r="H53" s="328">
        <f>IF(Bin2Frac="","",IF(RunningT="No",SUM(H$29:H34),H52+H34))</f>
        <v>11719.04</v>
      </c>
      <c r="I53" s="329"/>
      <c r="J53" s="328">
        <f>IF(Bin3Frac="","",IF(RunningT="No",SUM(J$29:J34),J52+J34))</f>
        <v>15840</v>
      </c>
      <c r="K53" s="329"/>
      <c r="L53" s="328">
        <f>IF(Bin4Frac="","",IF(RunningT="No",SUM(L$29:L34),L52+L34))</f>
        <v>16000</v>
      </c>
      <c r="M53" s="329"/>
      <c r="N53" s="328">
        <f>IF(Bin5Frac="","",IF(RunningT="No",SUM(N$29:N34),N52+N34))</f>
      </c>
      <c r="O53" s="329"/>
      <c r="P53" s="328">
        <f>IF(Bin6Frac="","",IF(RunningT="No",SUM(P$29:P34),P52+P34))</f>
      </c>
      <c r="Q53" s="329"/>
      <c r="R53" s="328">
        <f>IF(Bin7Frac="","",IF(RunningT="No",SUM(R$29:R34),R52+R34))</f>
      </c>
      <c r="S53" s="329"/>
      <c r="T53" s="139">
        <f>SUM(T$29:T34)</f>
        <v>11660.800000000001</v>
      </c>
      <c r="U53"/>
      <c r="V53"/>
      <c r="W53"/>
      <c r="Y53" s="68"/>
      <c r="Z53" s="67"/>
      <c r="AA53" s="67"/>
    </row>
    <row r="54" spans="2:27" ht="15" customHeight="1">
      <c r="B54" s="326"/>
      <c r="C54" s="55" t="str">
        <f ca="1">IF(ISERROR(INDEX(INDIRECT(Grade),6,IF(specyear="1993",2,3))),"",INDEX(INDIRECT(Grade),6,IF(specyear="1993",2,3)))</f>
        <v>No. 16</v>
      </c>
      <c r="D54" s="63" t="s">
        <v>83</v>
      </c>
      <c r="E54" s="55" t="str">
        <f ca="1">IF(ISERROR(INDEX(INDIRECT(Grade),7,IF(specyear="1993",2,3))),"Pan",INDEX(INDIRECT(Grade),7,IF(specyear="1993",2,3)))</f>
        <v>No. 30</v>
      </c>
      <c r="F54" s="328">
        <f>IF(Bin1Frac="","",SUM(F$29:G35))</f>
        <v>8278.4</v>
      </c>
      <c r="G54" s="329"/>
      <c r="H54" s="328">
        <f>IF(Bin2Frac="","",IF(RunningT="No",SUM(H$29:H35),H53+H35))</f>
        <v>12884.640000000001</v>
      </c>
      <c r="I54" s="329"/>
      <c r="J54" s="328">
        <f>IF(Bin3Frac="","",IF(RunningT="No",SUM(J$29:J35),J53+J35))</f>
        <v>15840</v>
      </c>
      <c r="K54" s="329"/>
      <c r="L54" s="328">
        <f>IF(Bin4Frac="","",IF(RunningT="No",SUM(L$29:L35),L53+L35))</f>
        <v>16000</v>
      </c>
      <c r="M54" s="329"/>
      <c r="N54" s="328">
        <f>IF(Bin5Frac="","",IF(RunningT="No",SUM(N$29:N35),N53+N35))</f>
      </c>
      <c r="O54" s="329"/>
      <c r="P54" s="328">
        <f>IF(Bin6Frac="","",IF(RunningT="No",SUM(P$29:P35),P53+P35))</f>
      </c>
      <c r="Q54" s="329"/>
      <c r="R54" s="328">
        <f>IF(Bin7Frac="","",IF(RunningT="No",SUM(R$29:R35),R53+R35))</f>
      </c>
      <c r="S54" s="329"/>
      <c r="T54" s="139">
        <f>SUM(T$29:T35)</f>
        <v>12843.04</v>
      </c>
      <c r="U54"/>
      <c r="V54"/>
      <c r="W54"/>
      <c r="Y54" s="68"/>
      <c r="Z54" s="67"/>
      <c r="AA54" s="67"/>
    </row>
    <row r="55" spans="2:27" ht="15" customHeight="1">
      <c r="B55" s="326"/>
      <c r="C55" s="55" t="str">
        <f ca="1">IF(ISERROR(INDEX(INDIRECT(Grade),7,IF(specyear="1993",2,3))),"",INDEX(INDIRECT(Grade),7,IF(specyear="1993",2,3)))</f>
        <v>No. 30</v>
      </c>
      <c r="D55" s="63" t="s">
        <v>83</v>
      </c>
      <c r="E55" s="55" t="str">
        <f ca="1">IF(ISERROR(INDEX(INDIRECT(Grade),8,IF(specyear="1993",2,3))),"Pan",INDEX(INDIRECT(Grade),8,IF(specyear="1993",2,3)))</f>
        <v>No. 50</v>
      </c>
      <c r="F55" s="328">
        <f>IF(Bin1Frac="","",SUM(F$29:G36))</f>
        <v>8278.4</v>
      </c>
      <c r="G55" s="329"/>
      <c r="H55" s="328">
        <f>IF(Bin2Frac="","",IF(RunningT="No",SUM(H$29:H36),H54+H36))</f>
        <v>13553.92</v>
      </c>
      <c r="I55" s="329"/>
      <c r="J55" s="328">
        <f>IF(Bin3Frac="","",IF(RunningT="No",SUM(J$29:J36),J54+J36))</f>
        <v>15840</v>
      </c>
      <c r="K55" s="329"/>
      <c r="L55" s="328">
        <f>IF(Bin4Frac="","",IF(RunningT="No",SUM(L$29:L36),L54+L36))</f>
        <v>16000</v>
      </c>
      <c r="M55" s="329"/>
      <c r="N55" s="328">
        <f>IF(Bin5Frac="","",IF(RunningT="No",SUM(N$29:N36),N54+N36))</f>
      </c>
      <c r="O55" s="329"/>
      <c r="P55" s="328">
        <f>IF(Bin6Frac="","",IF(RunningT="No",SUM(P$29:P36),P54+P36))</f>
      </c>
      <c r="Q55" s="329"/>
      <c r="R55" s="328">
        <f>IF(Bin7Frac="","",IF(RunningT="No",SUM(R$29:R36),R54+R36))</f>
      </c>
      <c r="S55" s="329"/>
      <c r="T55" s="139">
        <f>SUM(T$29:T36)</f>
        <v>13512.32</v>
      </c>
      <c r="U55"/>
      <c r="V55"/>
      <c r="W55"/>
      <c r="Y55" s="68"/>
      <c r="Z55" s="67"/>
      <c r="AA55" s="67"/>
    </row>
    <row r="56" spans="2:27" ht="15" customHeight="1">
      <c r="B56" s="326"/>
      <c r="C56" s="55" t="str">
        <f ca="1">IF(ISERROR(INDEX(INDIRECT(Grade),8,IF(specyear="1993",2,3))),"",INDEX(INDIRECT(Grade),8,IF(specyear="1993",2,3)))</f>
        <v>No. 50</v>
      </c>
      <c r="D56" s="63" t="s">
        <v>83</v>
      </c>
      <c r="E56" s="55" t="str">
        <f ca="1">IF(ISERROR(INDEX(INDIRECT(Grade),9,IF(specyear="1993",2,3))),"Pan",INDEX(INDIRECT(Grade),9,IF(specyear="1993",2,3)))</f>
        <v>No. 200</v>
      </c>
      <c r="F56" s="328">
        <f>IF(Bin1Frac="","",SUM(F$29:G37))</f>
        <v>8286.72</v>
      </c>
      <c r="G56" s="329"/>
      <c r="H56" s="328">
        <f>IF(Bin2Frac="","",IF(RunningT="No",SUM(H$29:H37),H55+H37))</f>
        <v>14922.56</v>
      </c>
      <c r="I56" s="329"/>
      <c r="J56" s="328">
        <f>IF(Bin3Frac="","",IF(RunningT="No",SUM(J$29:J37),J55+J37))</f>
        <v>15840</v>
      </c>
      <c r="K56" s="329"/>
      <c r="L56" s="328">
        <f>IF(Bin4Frac="","",IF(RunningT="No",SUM(L$29:L37),L55+L37))</f>
        <v>16000</v>
      </c>
      <c r="M56" s="329"/>
      <c r="N56" s="328">
        <f>IF(Bin5Frac="","",IF(RunningT="No",SUM(N$29:N37),N55+N37))</f>
      </c>
      <c r="O56" s="329"/>
      <c r="P56" s="328">
        <f>IF(Bin6Frac="","",IF(RunningT="No",SUM(P$29:P37),P55+P37))</f>
      </c>
      <c r="Q56" s="329"/>
      <c r="R56" s="328">
        <f>IF(Bin7Frac="","",IF(RunningT="No",SUM(R$29:R37),R55+R37))</f>
      </c>
      <c r="S56" s="329"/>
      <c r="T56" s="139">
        <f>SUM(T$29:T37)</f>
        <v>14889.279999999999</v>
      </c>
      <c r="U56" s="160"/>
      <c r="V56"/>
      <c r="W56"/>
      <c r="Y56" s="68"/>
      <c r="Z56" s="67"/>
      <c r="AA56" s="67"/>
    </row>
    <row r="57" spans="2:27" ht="15" customHeight="1">
      <c r="B57" s="327"/>
      <c r="C57" s="55" t="str">
        <f ca="1">IF(ISERROR(INDEX(INDIRECT(Grade),9,IF(specyear="1993",2,3))),"",INDEX(INDIRECT(Grade),9,IF(specyear="1993",2,3)))</f>
        <v>No. 200</v>
      </c>
      <c r="D57" s="63" t="s">
        <v>83</v>
      </c>
      <c r="E57" s="55" t="s">
        <v>166</v>
      </c>
      <c r="F57" s="328">
        <f>IF(Bin1Frac="","",SUM(F$29:G38))</f>
        <v>8320</v>
      </c>
      <c r="G57" s="329"/>
      <c r="H57" s="328">
        <f>IF(Bin2Frac="","",IF(RunningT="No",SUM(H$29:H38),H56+H38))</f>
        <v>15840</v>
      </c>
      <c r="I57" s="329"/>
      <c r="J57" s="328">
        <f>IF(Bin3Frac="","",IF(RunningT="No",SUM(J$29:J38),J56+J38))</f>
        <v>16000</v>
      </c>
      <c r="K57" s="329"/>
      <c r="L57" s="328">
        <f>IF(Bin4Frac="","",IF(RunningT="No",SUM(L$29:L38),L56+L38))</f>
        <v>16000</v>
      </c>
      <c r="M57" s="329"/>
      <c r="N57" s="328">
        <f>IF(Bin5Frac="","",IF(RunningT="No",SUM(N$29:N38),N56+N38))</f>
      </c>
      <c r="O57" s="329"/>
      <c r="P57" s="328">
        <f>IF(Bin6Frac="","",IF(RunningT="No",SUM(P$29:P38),P56+P38))</f>
      </c>
      <c r="Q57" s="329"/>
      <c r="R57" s="328">
        <f>IF(Bin7Frac="","",IF(RunningT="No",SUM(R$29:R38),R56+R38))</f>
      </c>
      <c r="S57" s="329"/>
      <c r="T57" s="152">
        <f>SUM(T$29:T38)</f>
        <v>15999.999999999998</v>
      </c>
      <c r="U57" s="158" t="s">
        <v>175</v>
      </c>
      <c r="V57"/>
      <c r="W57"/>
      <c r="Y57" s="68"/>
      <c r="Z57" s="67"/>
      <c r="AA57" s="67"/>
    </row>
    <row r="58" spans="3:29" ht="6" customHeight="1">
      <c r="C58" s="58"/>
      <c r="D58" s="58"/>
      <c r="E58" s="58"/>
      <c r="F58" s="59"/>
      <c r="G58" s="59"/>
      <c r="H58" s="59"/>
      <c r="I58" s="59"/>
      <c r="J58" s="59"/>
      <c r="K58" s="59"/>
      <c r="L58" s="59"/>
      <c r="M58" s="59"/>
      <c r="N58" s="59"/>
      <c r="O58" s="59"/>
      <c r="P58" s="59"/>
      <c r="Q58" s="59"/>
      <c r="R58" s="59"/>
      <c r="S58" s="59"/>
      <c r="T58"/>
      <c r="U58"/>
      <c r="V58"/>
      <c r="W58"/>
      <c r="X58" s="61"/>
      <c r="Y58" s="61"/>
      <c r="Z58" s="61"/>
      <c r="AA58" s="61"/>
      <c r="AB58" s="62"/>
      <c r="AC58" s="62"/>
    </row>
    <row r="59" spans="2:23" s="1" customFormat="1" ht="12.75" customHeight="1">
      <c r="B59" s="16" t="s">
        <v>5</v>
      </c>
      <c r="E59" s="17">
        <f ca="1">NOW()</f>
        <v>40500.65580810185</v>
      </c>
      <c r="F59" s="10"/>
      <c r="U59"/>
      <c r="V59"/>
      <c r="W59"/>
    </row>
    <row r="60" spans="1:13" ht="15" customHeight="1">
      <c r="A60" s="1"/>
      <c r="B60" s="309"/>
      <c r="C60" s="310"/>
      <c r="D60" s="310"/>
      <c r="E60" s="310"/>
      <c r="F60" s="310"/>
      <c r="G60" s="310"/>
      <c r="H60" s="310"/>
      <c r="I60" s="310"/>
      <c r="J60" s="310"/>
      <c r="K60" s="310"/>
      <c r="L60" s="310"/>
      <c r="M60" s="311"/>
    </row>
    <row r="61" spans="1:13" ht="15" customHeight="1">
      <c r="A61" s="1"/>
      <c r="B61" s="312"/>
      <c r="C61" s="313"/>
      <c r="D61" s="313"/>
      <c r="E61" s="313"/>
      <c r="F61" s="313"/>
      <c r="G61" s="313"/>
      <c r="H61" s="313"/>
      <c r="I61" s="313"/>
      <c r="J61" s="313"/>
      <c r="K61" s="313"/>
      <c r="L61" s="313"/>
      <c r="M61" s="314"/>
    </row>
    <row r="62" spans="14:19" ht="3" customHeight="1">
      <c r="N62"/>
      <c r="O62"/>
      <c r="P62"/>
      <c r="Q62"/>
      <c r="R62"/>
      <c r="S62"/>
    </row>
    <row r="63" ht="12.75" customHeight="1"/>
    <row r="64" ht="15" customHeight="1"/>
    <row r="65" ht="12.75" customHeight="1"/>
    <row r="66" ht="15" customHeight="1"/>
    <row r="67" ht="12.75" customHeight="1"/>
    <row r="68" ht="15" customHeight="1"/>
    <row r="69" ht="15" customHeight="1"/>
  </sheetData>
  <sheetProtection sheet="1" objects="1" scenarios="1"/>
  <mergeCells count="293">
    <mergeCell ref="V24:V28"/>
    <mergeCell ref="U24:U28"/>
    <mergeCell ref="T24:T28"/>
    <mergeCell ref="R29:S29"/>
    <mergeCell ref="R30:S30"/>
    <mergeCell ref="R31:S31"/>
    <mergeCell ref="R37:S37"/>
    <mergeCell ref="R32:S32"/>
    <mergeCell ref="R33:S33"/>
    <mergeCell ref="R34:S34"/>
    <mergeCell ref="R35:S35"/>
    <mergeCell ref="R36:S36"/>
    <mergeCell ref="R38:S38"/>
    <mergeCell ref="R39:S39"/>
    <mergeCell ref="P39:Q39"/>
    <mergeCell ref="P38:Q38"/>
    <mergeCell ref="P35:Q35"/>
    <mergeCell ref="P36:Q36"/>
    <mergeCell ref="P32:Q32"/>
    <mergeCell ref="P33:Q33"/>
    <mergeCell ref="P34:Q34"/>
    <mergeCell ref="N37:O37"/>
    <mergeCell ref="N38:O38"/>
    <mergeCell ref="N39:O39"/>
    <mergeCell ref="P29:Q29"/>
    <mergeCell ref="P30:Q30"/>
    <mergeCell ref="P31:Q31"/>
    <mergeCell ref="P37:Q37"/>
    <mergeCell ref="N33:O33"/>
    <mergeCell ref="N34:O34"/>
    <mergeCell ref="N35:O35"/>
    <mergeCell ref="N36:O36"/>
    <mergeCell ref="N29:O29"/>
    <mergeCell ref="N30:O30"/>
    <mergeCell ref="N31:O31"/>
    <mergeCell ref="N32:O32"/>
    <mergeCell ref="L36:M36"/>
    <mergeCell ref="L37:M37"/>
    <mergeCell ref="L38:M38"/>
    <mergeCell ref="L39:M39"/>
    <mergeCell ref="G19:H19"/>
    <mergeCell ref="F35:G35"/>
    <mergeCell ref="F34:G34"/>
    <mergeCell ref="F30:G30"/>
    <mergeCell ref="H33:I33"/>
    <mergeCell ref="H34:I34"/>
    <mergeCell ref="F31:G31"/>
    <mergeCell ref="F32:G32"/>
    <mergeCell ref="F33:G33"/>
    <mergeCell ref="H35:I35"/>
    <mergeCell ref="C23:E23"/>
    <mergeCell ref="F36:G36"/>
    <mergeCell ref="N22:O22"/>
    <mergeCell ref="N23:O23"/>
    <mergeCell ref="H36:I36"/>
    <mergeCell ref="J29:K29"/>
    <mergeCell ref="J30:K30"/>
    <mergeCell ref="J31:K31"/>
    <mergeCell ref="J32:K32"/>
    <mergeCell ref="J33:K33"/>
    <mergeCell ref="F38:G38"/>
    <mergeCell ref="F39:G39"/>
    <mergeCell ref="F29:G29"/>
    <mergeCell ref="H37:I37"/>
    <mergeCell ref="H38:I38"/>
    <mergeCell ref="H39:I39"/>
    <mergeCell ref="H30:I30"/>
    <mergeCell ref="H31:I31"/>
    <mergeCell ref="L33:M33"/>
    <mergeCell ref="L34:M34"/>
    <mergeCell ref="L35:M35"/>
    <mergeCell ref="G20:H20"/>
    <mergeCell ref="R22:S22"/>
    <mergeCell ref="P22:Q22"/>
    <mergeCell ref="P25:Q25"/>
    <mergeCell ref="R23:S23"/>
    <mergeCell ref="R24:S24"/>
    <mergeCell ref="R25:S25"/>
    <mergeCell ref="P23:Q23"/>
    <mergeCell ref="P24:Q24"/>
    <mergeCell ref="Z41:Z43"/>
    <mergeCell ref="AA41:AA43"/>
    <mergeCell ref="X22:X24"/>
    <mergeCell ref="Z22:Z24"/>
    <mergeCell ref="Y22:Y24"/>
    <mergeCell ref="N46:O47"/>
    <mergeCell ref="R46:S47"/>
    <mergeCell ref="R44:S44"/>
    <mergeCell ref="N44:O44"/>
    <mergeCell ref="P42:Q42"/>
    <mergeCell ref="Y41:Y43"/>
    <mergeCell ref="R43:S43"/>
    <mergeCell ref="T43:T47"/>
    <mergeCell ref="P44:Q44"/>
    <mergeCell ref="P43:Q43"/>
    <mergeCell ref="N43:O43"/>
    <mergeCell ref="N42:O42"/>
    <mergeCell ref="H6:J6"/>
    <mergeCell ref="H7:J7"/>
    <mergeCell ref="J25:K25"/>
    <mergeCell ref="L25:M25"/>
    <mergeCell ref="N41:O41"/>
    <mergeCell ref="H27:I28"/>
    <mergeCell ref="J27:K28"/>
    <mergeCell ref="N25:O25"/>
    <mergeCell ref="P19:Q19"/>
    <mergeCell ref="H32:I32"/>
    <mergeCell ref="L22:M22"/>
    <mergeCell ref="L24:M24"/>
    <mergeCell ref="H22:I22"/>
    <mergeCell ref="N27:O28"/>
    <mergeCell ref="J23:K23"/>
    <mergeCell ref="H25:I25"/>
    <mergeCell ref="J22:K22"/>
    <mergeCell ref="J24:K24"/>
    <mergeCell ref="B6:D6"/>
    <mergeCell ref="B7:D7"/>
    <mergeCell ref="E6:G6"/>
    <mergeCell ref="E7:G7"/>
    <mergeCell ref="F57:G57"/>
    <mergeCell ref="P18:Q18"/>
    <mergeCell ref="P20:Q20"/>
    <mergeCell ref="B20:F20"/>
    <mergeCell ref="B19:F19"/>
    <mergeCell ref="G18:H18"/>
    <mergeCell ref="B18:F18"/>
    <mergeCell ref="N24:O24"/>
    <mergeCell ref="L23:M23"/>
    <mergeCell ref="F22:G22"/>
    <mergeCell ref="N48:O48"/>
    <mergeCell ref="F51:G51"/>
    <mergeCell ref="F52:G52"/>
    <mergeCell ref="L49:M49"/>
    <mergeCell ref="N49:O49"/>
    <mergeCell ref="L51:M51"/>
    <mergeCell ref="N51:O51"/>
    <mergeCell ref="H52:I52"/>
    <mergeCell ref="J52:K52"/>
    <mergeCell ref="H51:I51"/>
    <mergeCell ref="F54:G54"/>
    <mergeCell ref="F55:G55"/>
    <mergeCell ref="F56:G56"/>
    <mergeCell ref="F53:G53"/>
    <mergeCell ref="J51:K51"/>
    <mergeCell ref="L48:M48"/>
    <mergeCell ref="L42:M42"/>
    <mergeCell ref="L44:M44"/>
    <mergeCell ref="L43:M43"/>
    <mergeCell ref="L46:M47"/>
    <mergeCell ref="J48:K48"/>
    <mergeCell ref="J49:K49"/>
    <mergeCell ref="J50:K50"/>
    <mergeCell ref="L50:M50"/>
    <mergeCell ref="P51:Q51"/>
    <mergeCell ref="N50:O50"/>
    <mergeCell ref="R50:S50"/>
    <mergeCell ref="R51:S51"/>
    <mergeCell ref="P50:Q50"/>
    <mergeCell ref="L52:M52"/>
    <mergeCell ref="N52:O52"/>
    <mergeCell ref="P52:Q52"/>
    <mergeCell ref="R52:S52"/>
    <mergeCell ref="R54:S54"/>
    <mergeCell ref="N53:O53"/>
    <mergeCell ref="H54:I54"/>
    <mergeCell ref="J54:K54"/>
    <mergeCell ref="L54:M54"/>
    <mergeCell ref="N54:O54"/>
    <mergeCell ref="P53:Q53"/>
    <mergeCell ref="R53:S53"/>
    <mergeCell ref="J53:K53"/>
    <mergeCell ref="L53:M53"/>
    <mergeCell ref="R55:S55"/>
    <mergeCell ref="H56:I56"/>
    <mergeCell ref="J56:K56"/>
    <mergeCell ref="L56:M56"/>
    <mergeCell ref="N56:O56"/>
    <mergeCell ref="P56:Q56"/>
    <mergeCell ref="R56:S56"/>
    <mergeCell ref="H55:I55"/>
    <mergeCell ref="J55:K55"/>
    <mergeCell ref="L55:M55"/>
    <mergeCell ref="H57:I57"/>
    <mergeCell ref="J57:K57"/>
    <mergeCell ref="L57:M57"/>
    <mergeCell ref="N57:O57"/>
    <mergeCell ref="P55:Q55"/>
    <mergeCell ref="H53:I53"/>
    <mergeCell ref="N55:O55"/>
    <mergeCell ref="P54:Q54"/>
    <mergeCell ref="P57:Q57"/>
    <mergeCell ref="R57:S57"/>
    <mergeCell ref="R41:S41"/>
    <mergeCell ref="P41:Q41"/>
    <mergeCell ref="R42:S42"/>
    <mergeCell ref="P48:Q48"/>
    <mergeCell ref="R48:S48"/>
    <mergeCell ref="P49:Q49"/>
    <mergeCell ref="R49:S49"/>
    <mergeCell ref="P46:Q47"/>
    <mergeCell ref="B12:D12"/>
    <mergeCell ref="B13:D13"/>
    <mergeCell ref="E12:G12"/>
    <mergeCell ref="H12:J12"/>
    <mergeCell ref="E13:M13"/>
    <mergeCell ref="B14:D14"/>
    <mergeCell ref="E14:G14"/>
    <mergeCell ref="H14:J14"/>
    <mergeCell ref="K14:M14"/>
    <mergeCell ref="P27:Q28"/>
    <mergeCell ref="R27:S28"/>
    <mergeCell ref="F16:G16"/>
    <mergeCell ref="B23:B39"/>
    <mergeCell ref="F27:G28"/>
    <mergeCell ref="C24:E24"/>
    <mergeCell ref="C25:E25"/>
    <mergeCell ref="C39:E39"/>
    <mergeCell ref="L27:M28"/>
    <mergeCell ref="H24:I24"/>
    <mergeCell ref="C27:E27"/>
    <mergeCell ref="C28:E28"/>
    <mergeCell ref="H29:I29"/>
    <mergeCell ref="J37:K37"/>
    <mergeCell ref="J36:K36"/>
    <mergeCell ref="J35:K35"/>
    <mergeCell ref="J34:K34"/>
    <mergeCell ref="F37:G37"/>
    <mergeCell ref="J38:K38"/>
    <mergeCell ref="J39:K39"/>
    <mergeCell ref="L29:M29"/>
    <mergeCell ref="C42:E42"/>
    <mergeCell ref="H42:I42"/>
    <mergeCell ref="J42:K42"/>
    <mergeCell ref="C41:D41"/>
    <mergeCell ref="L30:M30"/>
    <mergeCell ref="L31:M31"/>
    <mergeCell ref="L32:M32"/>
    <mergeCell ref="C43:E43"/>
    <mergeCell ref="H43:I43"/>
    <mergeCell ref="J43:K43"/>
    <mergeCell ref="J18:O18"/>
    <mergeCell ref="J19:O19"/>
    <mergeCell ref="J20:O20"/>
    <mergeCell ref="F41:G41"/>
    <mergeCell ref="H41:I41"/>
    <mergeCell ref="J41:K41"/>
    <mergeCell ref="L41:M41"/>
    <mergeCell ref="J46:K47"/>
    <mergeCell ref="C47:E47"/>
    <mergeCell ref="C44:E44"/>
    <mergeCell ref="H44:I44"/>
    <mergeCell ref="J44:K44"/>
    <mergeCell ref="B42:B57"/>
    <mergeCell ref="F48:G48"/>
    <mergeCell ref="H48:I48"/>
    <mergeCell ref="F49:G49"/>
    <mergeCell ref="H49:I49"/>
    <mergeCell ref="F50:G50"/>
    <mergeCell ref="H50:I50"/>
    <mergeCell ref="C46:E46"/>
    <mergeCell ref="F46:G47"/>
    <mergeCell ref="H46:I47"/>
    <mergeCell ref="B8:D8"/>
    <mergeCell ref="B9:D9"/>
    <mergeCell ref="B10:D10"/>
    <mergeCell ref="B11:D11"/>
    <mergeCell ref="H9:J9"/>
    <mergeCell ref="H10:J10"/>
    <mergeCell ref="H11:J11"/>
    <mergeCell ref="E8:G8"/>
    <mergeCell ref="E9:G9"/>
    <mergeCell ref="E10:G10"/>
    <mergeCell ref="E11:G11"/>
    <mergeCell ref="B16:D16"/>
    <mergeCell ref="J16:K16"/>
    <mergeCell ref="K6:M6"/>
    <mergeCell ref="K7:M7"/>
    <mergeCell ref="K8:M8"/>
    <mergeCell ref="K9:M9"/>
    <mergeCell ref="K10:M10"/>
    <mergeCell ref="K11:M11"/>
    <mergeCell ref="K12:M12"/>
    <mergeCell ref="H8:J8"/>
    <mergeCell ref="H16:I16"/>
    <mergeCell ref="L16:M16"/>
    <mergeCell ref="B60:M61"/>
    <mergeCell ref="F23:G23"/>
    <mergeCell ref="F24:G24"/>
    <mergeCell ref="F25:G25"/>
    <mergeCell ref="F42:G42"/>
    <mergeCell ref="F43:G43"/>
    <mergeCell ref="F44:G44"/>
    <mergeCell ref="H23:I23"/>
  </mergeCells>
  <conditionalFormatting sqref="J58 H58 P58 N58 L58 W40:AA40 C58:F58 R58 R40 X58:AA58 L40 N40 P40 H40 J40 C40:F40">
    <cfRule type="expression" priority="1" dxfId="0" stopIfTrue="1">
      <formula>(SUM(SSize9,MixDes9,JMFDes9)=0)</formula>
    </cfRule>
  </conditionalFormatting>
  <conditionalFormatting sqref="O58 Q58 K58 O40 G40 S58 I58 M58 I40 G58 S40:T40 M40 K40 Q40">
    <cfRule type="expression" priority="2" dxfId="0" stopIfTrue="1">
      <formula>(SUM(SSize1,MixDes1,JMFDes1)=0)</formula>
    </cfRule>
  </conditionalFormatting>
  <conditionalFormatting sqref="C38:E38 C57:T57">
    <cfRule type="expression" priority="3" dxfId="0" stopIfTrue="1">
      <formula>SSize9=0</formula>
    </cfRule>
  </conditionalFormatting>
  <conditionalFormatting sqref="C37:E37 C56:S56">
    <cfRule type="expression" priority="4" dxfId="0" stopIfTrue="1">
      <formula>SSize8=0</formula>
    </cfRule>
  </conditionalFormatting>
  <conditionalFormatting sqref="C36:E36 C55:T55">
    <cfRule type="expression" priority="5" dxfId="0" stopIfTrue="1">
      <formula>SSize7=0</formula>
    </cfRule>
  </conditionalFormatting>
  <conditionalFormatting sqref="C34:E35 C53:T54">
    <cfRule type="expression" priority="6" dxfId="0" stopIfTrue="1">
      <formula>SSize5=0</formula>
    </cfRule>
  </conditionalFormatting>
  <conditionalFormatting sqref="C33:E33 C52:T52">
    <cfRule type="expression" priority="7" dxfId="0" stopIfTrue="1">
      <formula>SSize4=0</formula>
    </cfRule>
  </conditionalFormatting>
  <conditionalFormatting sqref="C32:E32 C51:T51">
    <cfRule type="expression" priority="8" dxfId="0" stopIfTrue="1">
      <formula>SSize3=0</formula>
    </cfRule>
  </conditionalFormatting>
  <conditionalFormatting sqref="C31:E31 C50:T50">
    <cfRule type="expression" priority="9" dxfId="0" stopIfTrue="1">
      <formula>SSize2=0</formula>
    </cfRule>
  </conditionalFormatting>
  <conditionalFormatting sqref="C30:E30 C49:T49">
    <cfRule type="expression" priority="10" dxfId="0" stopIfTrue="1">
      <formula>SSize1=0</formula>
    </cfRule>
  </conditionalFormatting>
  <conditionalFormatting sqref="J19:R19">
    <cfRule type="expression" priority="11" dxfId="0" stopIfTrue="1">
      <formula>AND(Bin1RAP&lt;&gt;"yes",Bin2RAP&lt;&gt;"yes",Bin3RAP&lt;&gt;"yes",Bin4RAP&lt;&gt;"yes",Bin5RAP&lt;&gt;"yes",Bin6RAP&lt;&gt;"yes",Bin7RAP&lt;&gt;"yes")</formula>
    </cfRule>
  </conditionalFormatting>
  <conditionalFormatting sqref="U39 U57">
    <cfRule type="expression" priority="12" dxfId="0" stopIfTrue="1">
      <formula>AND(Bin1RAP&lt;&gt;"yes",Bin2RAP&lt;&gt;"yes",Bin3RAP&lt;&gt;"yes",Bin4RAP&lt;&gt;"yes",Bin5RAP&lt;&gt;"yes",Bin6RAP&lt;&gt;"yes",Bin7RAP&lt;&gt;"yes")</formula>
    </cfRule>
  </conditionalFormatting>
  <conditionalFormatting sqref="F30:V30">
    <cfRule type="expression" priority="13" dxfId="0" stopIfTrue="1">
      <formula>SSize1=0</formula>
    </cfRule>
  </conditionalFormatting>
  <conditionalFormatting sqref="F31:V31">
    <cfRule type="expression" priority="14" dxfId="0" stopIfTrue="1">
      <formula>SSize2=0</formula>
    </cfRule>
  </conditionalFormatting>
  <conditionalFormatting sqref="F32:V32">
    <cfRule type="expression" priority="15" dxfId="0" stopIfTrue="1">
      <formula>SSize3=0</formula>
    </cfRule>
  </conditionalFormatting>
  <conditionalFormatting sqref="F33:V33">
    <cfRule type="expression" priority="16" dxfId="0" stopIfTrue="1">
      <formula>SSize4=0</formula>
    </cfRule>
  </conditionalFormatting>
  <conditionalFormatting sqref="F34:V34">
    <cfRule type="expression" priority="17" dxfId="0" stopIfTrue="1">
      <formula>SSize5=0</formula>
    </cfRule>
  </conditionalFormatting>
  <conditionalFormatting sqref="F36:V36">
    <cfRule type="expression" priority="18" dxfId="0" stopIfTrue="1">
      <formula>SSize7=0</formula>
    </cfRule>
  </conditionalFormatting>
  <conditionalFormatting sqref="F37:V37 T56">
    <cfRule type="expression" priority="19" dxfId="0" stopIfTrue="1">
      <formula>SSize8=0</formula>
    </cfRule>
  </conditionalFormatting>
  <conditionalFormatting sqref="F38:V38">
    <cfRule type="expression" priority="20" dxfId="0" stopIfTrue="1">
      <formula>SSize9=0</formula>
    </cfRule>
  </conditionalFormatting>
  <conditionalFormatting sqref="F35:V35">
    <cfRule type="expression" priority="21" dxfId="0" stopIfTrue="1">
      <formula>SSize6=0</formula>
    </cfRule>
  </conditionalFormatting>
  <dataValidations count="2">
    <dataValidation type="textLength" operator="lessThan" allowBlank="1" showInputMessage="1" showErrorMessage="1" errorTitle="Text Length" error="Please limit the text length to 200 characters." sqref="B60:M61">
      <formula1>201</formula1>
    </dataValidation>
    <dataValidation type="list" allowBlank="1" showInputMessage="1" showErrorMessage="1" sqref="E41">
      <formula1>"Yes"</formula1>
    </dataValidation>
  </dataValidations>
  <printOptions/>
  <pageMargins left="0.25" right="0.25" top="0.26" bottom="0.3" header="0.17" footer="0.2"/>
  <pageSetup fitToHeight="1" fitToWidth="1" horizontalDpi="600" verticalDpi="600" orientation="landscape" scale="67" r:id="rId3"/>
  <legacy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A1:BC43"/>
  <sheetViews>
    <sheetView showGridLines="0" showZeros="0" workbookViewId="0" topLeftCell="A4">
      <selection activeCell="N47" sqref="N47"/>
    </sheetView>
  </sheetViews>
  <sheetFormatPr defaultColWidth="9.140625" defaultRowHeight="15" customHeight="1"/>
  <cols>
    <col min="1" max="1" width="1.28515625" style="20" customWidth="1"/>
    <col min="2" max="6" width="8.00390625" style="10" customWidth="1"/>
    <col min="7" max="8" width="8.00390625" style="10" hidden="1" customWidth="1"/>
    <col min="9" max="10" width="8.00390625" style="10" customWidth="1"/>
    <col min="11" max="12" width="8.00390625" style="10" hidden="1" customWidth="1"/>
    <col min="13" max="14" width="8.00390625" style="10" customWidth="1"/>
    <col min="15" max="16" width="8.00390625" style="10" hidden="1" customWidth="1"/>
    <col min="17" max="18" width="8.00390625" style="10" customWidth="1"/>
    <col min="19" max="19" width="8.00390625" style="10" hidden="1" customWidth="1"/>
    <col min="20" max="20" width="7.7109375" style="10" hidden="1" customWidth="1"/>
    <col min="21" max="22" width="7.7109375" style="10" customWidth="1"/>
    <col min="23" max="24" width="7.7109375" style="10" hidden="1" customWidth="1"/>
    <col min="25" max="26" width="7.7109375" style="10" customWidth="1"/>
    <col min="27" max="28" width="7.7109375" style="10" hidden="1" customWidth="1"/>
    <col min="29" max="30" width="7.7109375" style="10" customWidth="1"/>
    <col min="31" max="32" width="7.7109375" style="10" hidden="1" customWidth="1"/>
    <col min="33" max="50" width="7.7109375" style="10" customWidth="1"/>
    <col min="51" max="16384" width="6.7109375" style="10" customWidth="1"/>
  </cols>
  <sheetData>
    <row r="1" spans="1:53" s="5" customFormat="1" ht="15" customHeight="1">
      <c r="A1" s="18"/>
      <c r="B1" s="176" t="s">
        <v>0</v>
      </c>
      <c r="C1" s="2"/>
      <c r="D1" s="2"/>
      <c r="E1" s="2"/>
      <c r="F1" s="2"/>
      <c r="G1" s="3"/>
      <c r="H1" s="3"/>
      <c r="I1" s="3"/>
      <c r="J1" s="3"/>
      <c r="K1" s="3"/>
      <c r="L1" s="3"/>
      <c r="M1" s="3"/>
      <c r="N1" s="3"/>
      <c r="O1" s="3"/>
      <c r="P1" s="3"/>
      <c r="Q1" s="3"/>
      <c r="R1" s="3"/>
      <c r="S1" s="3"/>
      <c r="T1" s="3"/>
      <c r="U1" s="3"/>
      <c r="V1" s="18"/>
      <c r="W1" s="18"/>
      <c r="X1" s="18"/>
      <c r="Y1" s="18"/>
      <c r="Z1" s="18"/>
      <c r="AA1" s="18"/>
      <c r="AB1" s="18"/>
      <c r="AC1" s="18"/>
      <c r="AD1" s="18"/>
      <c r="AE1"/>
      <c r="AF1"/>
      <c r="AG1" s="93"/>
      <c r="AH1" s="93"/>
      <c r="AI1" s="18"/>
      <c r="AJ1" s="18"/>
      <c r="AK1" s="18"/>
      <c r="AL1" s="18"/>
      <c r="AM1" s="18"/>
      <c r="AN1" s="18"/>
      <c r="AO1" s="18"/>
      <c r="AP1" s="18"/>
      <c r="AQ1" s="18"/>
      <c r="AR1" s="18"/>
      <c r="AS1" s="40"/>
      <c r="AT1" s="40"/>
      <c r="AU1" s="93"/>
      <c r="AV1" s="93"/>
      <c r="AW1" s="93"/>
      <c r="AX1" s="93"/>
      <c r="AY1" s="93"/>
      <c r="BA1" s="6"/>
    </row>
    <row r="2" spans="1:53" s="5" customFormat="1" ht="15" customHeight="1">
      <c r="A2" s="18"/>
      <c r="B2" s="2">
        <f>IF(location="","",location)</f>
      </c>
      <c r="C2" s="2"/>
      <c r="D2" s="2"/>
      <c r="E2" s="2"/>
      <c r="F2" s="2"/>
      <c r="G2" s="3"/>
      <c r="H2" s="3"/>
      <c r="I2" s="3"/>
      <c r="J2" s="3"/>
      <c r="K2" s="3"/>
      <c r="L2" s="3"/>
      <c r="M2" s="3"/>
      <c r="N2" s="3"/>
      <c r="O2" s="3"/>
      <c r="P2" s="3"/>
      <c r="Q2" s="3"/>
      <c r="R2" s="3"/>
      <c r="S2" s="3"/>
      <c r="T2" s="3"/>
      <c r="U2" s="3"/>
      <c r="V2" s="19"/>
      <c r="W2" s="19"/>
      <c r="X2" s="19"/>
      <c r="Y2" s="19"/>
      <c r="Z2" s="19"/>
      <c r="AA2" s="19"/>
      <c r="AB2" s="19"/>
      <c r="AC2" s="18"/>
      <c r="AD2" s="18"/>
      <c r="AE2"/>
      <c r="AF2"/>
      <c r="AG2" s="93"/>
      <c r="AH2" s="93"/>
      <c r="AI2" s="4"/>
      <c r="AJ2" s="4"/>
      <c r="AK2" s="4"/>
      <c r="AL2" s="4"/>
      <c r="AM2" s="4"/>
      <c r="AN2" s="4"/>
      <c r="AO2" s="4"/>
      <c r="AP2" s="4"/>
      <c r="AQ2" s="4"/>
      <c r="AR2" s="4"/>
      <c r="AS2" s="4"/>
      <c r="AT2" s="4"/>
      <c r="AU2" s="95"/>
      <c r="AV2" s="95"/>
      <c r="AW2" s="6"/>
      <c r="AX2" s="6"/>
      <c r="AY2" s="6"/>
      <c r="AZ2" s="6"/>
      <c r="BA2" s="96"/>
    </row>
    <row r="3" spans="1:54" s="5" customFormat="1" ht="5.25" customHeight="1">
      <c r="A3" s="19"/>
      <c r="B3" s="8"/>
      <c r="C3" s="8"/>
      <c r="D3" s="8"/>
      <c r="E3" s="8"/>
      <c r="F3" s="8"/>
      <c r="G3" s="3"/>
      <c r="H3" s="3"/>
      <c r="I3" s="3"/>
      <c r="J3" s="3"/>
      <c r="K3" s="3"/>
      <c r="L3" s="3"/>
      <c r="M3" s="3"/>
      <c r="N3" s="3"/>
      <c r="O3" s="3"/>
      <c r="P3" s="3"/>
      <c r="Q3" s="3"/>
      <c r="R3" s="3"/>
      <c r="S3" s="3"/>
      <c r="T3" s="3"/>
      <c r="U3" s="3"/>
      <c r="V3" s="19"/>
      <c r="W3" s="19"/>
      <c r="X3" s="19"/>
      <c r="Y3" s="19"/>
      <c r="Z3" s="19"/>
      <c r="AA3" s="19"/>
      <c r="AB3" s="19"/>
      <c r="AC3" s="19"/>
      <c r="AD3" s="19"/>
      <c r="AE3"/>
      <c r="AF3"/>
      <c r="AG3" s="19"/>
      <c r="AH3" s="19"/>
      <c r="AI3" s="3"/>
      <c r="AJ3" s="3"/>
      <c r="AK3" s="3"/>
      <c r="AL3" s="3"/>
      <c r="AM3" s="3"/>
      <c r="AN3" s="3"/>
      <c r="AO3" s="3"/>
      <c r="AP3" s="3"/>
      <c r="AQ3" s="3"/>
      <c r="AR3" s="3"/>
      <c r="AS3" s="3"/>
      <c r="AT3" s="3"/>
      <c r="AU3" s="97"/>
      <c r="AV3" s="97"/>
      <c r="AW3" s="6"/>
      <c r="AX3" s="6"/>
      <c r="AY3" s="6"/>
      <c r="AZ3" s="6"/>
      <c r="BA3" s="96"/>
      <c r="BB3" s="7"/>
    </row>
    <row r="4" spans="1:53" s="5" customFormat="1" ht="14.25" customHeight="1">
      <c r="A4" s="18"/>
      <c r="B4" s="9" t="s">
        <v>192</v>
      </c>
      <c r="C4" s="9"/>
      <c r="D4" s="9"/>
      <c r="E4" s="9"/>
      <c r="F4" s="9"/>
      <c r="G4" s="3"/>
      <c r="H4" s="3"/>
      <c r="I4" s="3"/>
      <c r="J4" s="3"/>
      <c r="K4" s="3"/>
      <c r="L4" s="3"/>
      <c r="M4" s="3"/>
      <c r="N4" s="3"/>
      <c r="O4" s="4"/>
      <c r="P4" s="4"/>
      <c r="Q4" s="4"/>
      <c r="R4" s="4"/>
      <c r="S4" s="4"/>
      <c r="T4" s="4"/>
      <c r="U4" s="4"/>
      <c r="V4" s="18"/>
      <c r="W4" s="18"/>
      <c r="X4" s="18"/>
      <c r="Y4" s="18"/>
      <c r="Z4" s="18"/>
      <c r="AA4" s="18"/>
      <c r="AB4" s="18"/>
      <c r="AC4" s="18"/>
      <c r="AD4" s="18"/>
      <c r="AE4"/>
      <c r="AF4"/>
      <c r="AG4" s="98"/>
      <c r="AH4" s="98"/>
      <c r="AI4" s="18"/>
      <c r="AJ4" s="18"/>
      <c r="AK4" s="18"/>
      <c r="AL4" s="18"/>
      <c r="AM4" s="18"/>
      <c r="AN4" s="18"/>
      <c r="AO4" s="40"/>
      <c r="AP4" s="40"/>
      <c r="AQ4" s="93"/>
      <c r="AR4" s="93"/>
      <c r="AS4" s="94"/>
      <c r="AT4" s="94"/>
      <c r="AU4" s="93"/>
      <c r="AV4" s="93"/>
      <c r="AX4" s="6"/>
      <c r="AY4" s="6"/>
      <c r="AZ4" s="6"/>
      <c r="BA4" s="6"/>
    </row>
    <row r="5" spans="1:41" s="5" customFormat="1" ht="10.5" customHeight="1">
      <c r="A5" s="18"/>
      <c r="F5" s="1"/>
      <c r="G5" s="1"/>
      <c r="H5" s="1"/>
      <c r="I5" s="1"/>
      <c r="J5" s="1"/>
      <c r="K5" s="1"/>
      <c r="L5" s="1"/>
      <c r="M5" s="1"/>
      <c r="N5" s="1"/>
      <c r="P5"/>
      <c r="Q5"/>
      <c r="R5"/>
      <c r="S5"/>
      <c r="T5"/>
      <c r="U5" s="91" t="str">
        <f>"File Version: "&amp;TEXT(MID(sn,SEARCH("::",sn,1)+2,20),"mm/dd/yy hh:mm:ss")</f>
        <v>File Version: 01/28/04 14:02:18</v>
      </c>
      <c r="V5"/>
      <c r="W5"/>
      <c r="X5"/>
      <c r="Y5"/>
      <c r="Z5"/>
      <c r="AA5"/>
      <c r="AB5"/>
      <c r="AE5" s="6"/>
      <c r="AF5" s="6"/>
      <c r="AG5" s="7"/>
      <c r="AH5" s="7"/>
      <c r="AI5" s="6"/>
      <c r="AJ5" s="6"/>
      <c r="AK5" s="6"/>
      <c r="AL5" s="6"/>
      <c r="AM5" s="6"/>
      <c r="AN5" s="6"/>
      <c r="AO5" s="6"/>
    </row>
    <row r="6" spans="1:55" s="5" customFormat="1" ht="15" customHeight="1">
      <c r="A6" s="18"/>
      <c r="B6" s="270" t="s">
        <v>67</v>
      </c>
      <c r="C6" s="271"/>
      <c r="D6" s="272"/>
      <c r="E6" s="319" t="str">
        <f>IF(sampleid="","",sampleid)</f>
        <v>TTI_ Lubbock</v>
      </c>
      <c r="F6" s="320"/>
      <c r="G6" s="320"/>
      <c r="H6" s="320"/>
      <c r="I6" s="321"/>
      <c r="J6" s="351" t="s">
        <v>146</v>
      </c>
      <c r="K6" s="352"/>
      <c r="L6" s="352"/>
      <c r="M6" s="352"/>
      <c r="N6" s="353"/>
      <c r="O6" s="143"/>
      <c r="P6" s="143"/>
      <c r="Q6" s="255" t="str">
        <f>IF(sampleddate="","",sampleddate)</f>
        <v>03/01/2009</v>
      </c>
      <c r="R6" s="255"/>
      <c r="S6" s="255"/>
      <c r="T6" s="255"/>
      <c r="U6" s="255"/>
      <c r="V6"/>
      <c r="W6"/>
      <c r="X6"/>
      <c r="Y6"/>
      <c r="Z6"/>
      <c r="AA6"/>
      <c r="AB6"/>
      <c r="AC6"/>
      <c r="AD6"/>
      <c r="AE6"/>
      <c r="AF6"/>
      <c r="AG6"/>
      <c r="AH6"/>
      <c r="AI6"/>
      <c r="AJ6"/>
      <c r="AK6"/>
      <c r="AL6"/>
      <c r="AM6"/>
      <c r="AN6"/>
      <c r="AO6"/>
      <c r="AP6"/>
      <c r="AW6" s="6"/>
      <c r="AX6" s="6"/>
      <c r="AY6" s="6"/>
      <c r="AZ6" s="6"/>
      <c r="BA6" s="6"/>
      <c r="BB6" s="6"/>
      <c r="BC6" s="6"/>
    </row>
    <row r="7" spans="1:55" s="5" customFormat="1" ht="15" customHeight="1">
      <c r="A7" s="40"/>
      <c r="B7" s="270" t="s">
        <v>68</v>
      </c>
      <c r="C7" s="271"/>
      <c r="D7" s="272"/>
      <c r="E7" s="319">
        <f>IF(testnumber="","",testnumber)</f>
      </c>
      <c r="F7" s="320"/>
      <c r="G7" s="320"/>
      <c r="H7" s="320"/>
      <c r="I7" s="321"/>
      <c r="J7" s="351" t="s">
        <v>69</v>
      </c>
      <c r="K7" s="352"/>
      <c r="L7" s="352"/>
      <c r="M7" s="352"/>
      <c r="N7" s="353"/>
      <c r="O7" s="143"/>
      <c r="P7" s="143"/>
      <c r="Q7" s="255" t="str">
        <f>IF(lettingdate="","",lettingdate)</f>
        <v>September 2004</v>
      </c>
      <c r="R7" s="255"/>
      <c r="S7" s="255"/>
      <c r="T7" s="255"/>
      <c r="U7" s="255"/>
      <c r="V7"/>
      <c r="W7"/>
      <c r="X7"/>
      <c r="Y7"/>
      <c r="Z7"/>
      <c r="AA7"/>
      <c r="AB7"/>
      <c r="AC7"/>
      <c r="AD7"/>
      <c r="AE7"/>
      <c r="AF7"/>
      <c r="AW7" s="6"/>
      <c r="AX7" s="6"/>
      <c r="AY7" s="6"/>
      <c r="AZ7" s="6"/>
      <c r="BA7" s="6"/>
      <c r="BB7" s="6"/>
      <c r="BC7" s="6"/>
    </row>
    <row r="8" spans="1:55" s="5" customFormat="1" ht="15" customHeight="1">
      <c r="A8" s="40"/>
      <c r="B8" s="270" t="s">
        <v>70</v>
      </c>
      <c r="C8" s="271"/>
      <c r="D8" s="272"/>
      <c r="E8" s="319">
        <f>IF(status="","",status)</f>
      </c>
      <c r="F8" s="320"/>
      <c r="G8" s="320"/>
      <c r="H8" s="320"/>
      <c r="I8" s="321"/>
      <c r="J8" s="351" t="s">
        <v>71</v>
      </c>
      <c r="K8" s="352"/>
      <c r="L8" s="352"/>
      <c r="M8" s="352"/>
      <c r="N8" s="353"/>
      <c r="O8" s="143"/>
      <c r="P8" s="143"/>
      <c r="Q8" s="255" t="str">
        <f>IF(ccsj="","",ccsj)</f>
        <v>1006-02-005</v>
      </c>
      <c r="R8" s="255"/>
      <c r="S8" s="255"/>
      <c r="T8" s="255"/>
      <c r="U8" s="255"/>
      <c r="V8"/>
      <c r="W8"/>
      <c r="X8"/>
      <c r="Y8"/>
      <c r="Z8"/>
      <c r="AA8"/>
      <c r="AB8"/>
      <c r="AC8"/>
      <c r="AD8"/>
      <c r="AE8"/>
      <c r="AF8"/>
      <c r="AW8" s="6"/>
      <c r="AX8" s="6"/>
      <c r="AY8" s="6"/>
      <c r="AZ8" s="6"/>
      <c r="BA8" s="6"/>
      <c r="BB8" s="6"/>
      <c r="BC8" s="6"/>
    </row>
    <row r="9" spans="1:40" s="5" customFormat="1" ht="15" customHeight="1">
      <c r="A9" s="40"/>
      <c r="B9" s="270" t="s">
        <v>72</v>
      </c>
      <c r="C9" s="271"/>
      <c r="D9" s="272"/>
      <c r="E9" s="319">
        <f>IF(county="","",county)</f>
      </c>
      <c r="F9" s="320"/>
      <c r="G9" s="320"/>
      <c r="H9" s="320"/>
      <c r="I9" s="321"/>
      <c r="J9" s="351" t="s">
        <v>73</v>
      </c>
      <c r="K9" s="352"/>
      <c r="L9" s="352"/>
      <c r="M9" s="352"/>
      <c r="N9" s="353"/>
      <c r="O9" s="143"/>
      <c r="P9" s="143"/>
      <c r="Q9" s="255">
        <f>IF(county="","",county)</f>
      </c>
      <c r="R9" s="255"/>
      <c r="S9" s="255"/>
      <c r="T9" s="255"/>
      <c r="U9" s="255"/>
      <c r="V9"/>
      <c r="W9"/>
      <c r="X9"/>
      <c r="Y9"/>
      <c r="Z9"/>
      <c r="AA9"/>
      <c r="AB9"/>
      <c r="AC9"/>
      <c r="AD9"/>
      <c r="AE9"/>
      <c r="AF9"/>
      <c r="AH9" s="10"/>
      <c r="AI9" s="10"/>
      <c r="AJ9" s="10"/>
      <c r="AK9" s="10"/>
      <c r="AL9" s="10"/>
      <c r="AM9" s="10"/>
      <c r="AN9" s="10"/>
    </row>
    <row r="10" spans="1:32" s="5" customFormat="1" ht="15" customHeight="1">
      <c r="A10" s="40"/>
      <c r="B10" s="270" t="s">
        <v>74</v>
      </c>
      <c r="C10" s="271"/>
      <c r="D10" s="272"/>
      <c r="E10" s="319" t="str">
        <f>IF(sampledby="","",sampledby)</f>
        <v>Xiaodi</v>
      </c>
      <c r="F10" s="320"/>
      <c r="G10" s="320"/>
      <c r="H10" s="320"/>
      <c r="I10" s="321"/>
      <c r="J10" s="270" t="s">
        <v>75</v>
      </c>
      <c r="K10" s="271"/>
      <c r="L10" s="271"/>
      <c r="M10" s="271"/>
      <c r="N10" s="272"/>
      <c r="O10" s="149"/>
      <c r="P10" s="149"/>
      <c r="Q10" s="255">
        <f>IF(specitem="","",specitem)</f>
      </c>
      <c r="R10" s="255"/>
      <c r="S10" s="255"/>
      <c r="T10" s="255"/>
      <c r="U10" s="255"/>
      <c r="V10"/>
      <c r="W10"/>
      <c r="X10"/>
      <c r="Y10"/>
      <c r="Z10"/>
      <c r="AA10"/>
      <c r="AB10"/>
      <c r="AC10"/>
      <c r="AD10"/>
      <c r="AE10"/>
      <c r="AF10"/>
    </row>
    <row r="11" spans="1:21" ht="15" customHeight="1">
      <c r="A11" s="40"/>
      <c r="B11" s="270" t="s">
        <v>76</v>
      </c>
      <c r="C11" s="271"/>
      <c r="D11" s="272"/>
      <c r="E11" s="319">
        <f>IF(samplelocation="","",samplelocation)</f>
      </c>
      <c r="F11" s="320"/>
      <c r="G11" s="320"/>
      <c r="H11" s="320"/>
      <c r="I11" s="321"/>
      <c r="J11" s="351" t="s">
        <v>77</v>
      </c>
      <c r="K11" s="352"/>
      <c r="L11" s="352"/>
      <c r="M11" s="352"/>
      <c r="N11" s="353"/>
      <c r="O11" s="143"/>
      <c r="P11" s="143"/>
      <c r="Q11" s="382" t="str">
        <f>IF(specialprovision="","",specialprovision)</f>
        <v>NONE</v>
      </c>
      <c r="R11" s="382"/>
      <c r="S11" s="382"/>
      <c r="T11" s="382"/>
      <c r="U11" s="382"/>
    </row>
    <row r="12" spans="1:21" ht="15" customHeight="1">
      <c r="A12" s="40"/>
      <c r="B12" s="270" t="s">
        <v>78</v>
      </c>
      <c r="C12" s="271"/>
      <c r="D12" s="272"/>
      <c r="E12" s="319" t="str">
        <f>IF(material="","",material)</f>
        <v>CAM </v>
      </c>
      <c r="F12" s="320"/>
      <c r="G12" s="320"/>
      <c r="H12" s="320"/>
      <c r="I12" s="321"/>
      <c r="J12" s="270" t="s">
        <v>79</v>
      </c>
      <c r="K12" s="271"/>
      <c r="L12" s="271"/>
      <c r="M12" s="271"/>
      <c r="N12" s="272"/>
      <c r="O12" s="149"/>
      <c r="P12" s="149"/>
      <c r="Q12" s="382" t="str">
        <f>IF(Grade="","",Grade)</f>
        <v>Other</v>
      </c>
      <c r="R12" s="382"/>
      <c r="S12" s="382"/>
      <c r="T12" s="382"/>
      <c r="U12" s="382"/>
    </row>
    <row r="13" spans="1:21" ht="15" customHeight="1">
      <c r="A13" s="40"/>
      <c r="B13" s="270" t="s">
        <v>80</v>
      </c>
      <c r="C13" s="271"/>
      <c r="D13" s="272"/>
      <c r="E13" s="357" t="str">
        <f>IF(producer="","",producer)</f>
        <v>TTI Lab Design</v>
      </c>
      <c r="F13" s="358"/>
      <c r="G13" s="358"/>
      <c r="H13" s="358"/>
      <c r="I13" s="358"/>
      <c r="J13" s="358"/>
      <c r="K13" s="358"/>
      <c r="L13" s="358"/>
      <c r="M13" s="358"/>
      <c r="N13" s="358"/>
      <c r="O13" s="358"/>
      <c r="P13" s="358"/>
      <c r="Q13" s="358"/>
      <c r="R13" s="358"/>
      <c r="S13" s="358"/>
      <c r="T13" s="358"/>
      <c r="U13" s="359"/>
    </row>
    <row r="14" spans="1:21" ht="15" customHeight="1">
      <c r="A14" s="40"/>
      <c r="B14" s="270" t="s">
        <v>81</v>
      </c>
      <c r="C14" s="271"/>
      <c r="D14" s="272"/>
      <c r="E14" s="319">
        <f>IF(areaengineer="","",areaengineer)</f>
      </c>
      <c r="F14" s="320"/>
      <c r="G14" s="320"/>
      <c r="H14" s="320"/>
      <c r="I14" s="321"/>
      <c r="J14" s="351" t="s">
        <v>82</v>
      </c>
      <c r="K14" s="352"/>
      <c r="L14" s="352"/>
      <c r="M14" s="352"/>
      <c r="N14" s="353"/>
      <c r="O14" s="143"/>
      <c r="P14" s="143"/>
      <c r="Q14" s="354">
        <f>IF(projectmanager="","",projectmanager)</f>
      </c>
      <c r="R14" s="355"/>
      <c r="S14" s="355"/>
      <c r="T14" s="355"/>
      <c r="U14" s="356"/>
    </row>
    <row r="15" spans="1:17" ht="6" customHeight="1">
      <c r="A15" s="40"/>
      <c r="B15" s="11"/>
      <c r="C15" s="11"/>
      <c r="D15" s="11"/>
      <c r="E15" s="11"/>
      <c r="F15" s="12"/>
      <c r="G15" s="12"/>
      <c r="H15" s="12"/>
      <c r="I15" s="12"/>
      <c r="J15" s="12"/>
      <c r="K15" s="12"/>
      <c r="L15" s="12"/>
      <c r="M15" s="12"/>
      <c r="N15" s="12"/>
      <c r="O15" s="12"/>
      <c r="P15" s="12"/>
      <c r="Q15" s="12"/>
    </row>
    <row r="16" spans="1:21" ht="15" customHeight="1">
      <c r="A16" s="40"/>
      <c r="B16" s="270" t="s">
        <v>1</v>
      </c>
      <c r="C16" s="271"/>
      <c r="D16" s="272"/>
      <c r="E16" s="144">
        <f>IF(courselift="","",courselift)</f>
      </c>
      <c r="F16" s="244" t="s">
        <v>2</v>
      </c>
      <c r="G16" s="380"/>
      <c r="H16" s="380"/>
      <c r="I16" s="240"/>
      <c r="J16" s="307">
        <f>IF(station="","",station)</f>
      </c>
      <c r="K16" s="381"/>
      <c r="L16" s="381"/>
      <c r="M16" s="308"/>
      <c r="N16" s="380" t="s">
        <v>3</v>
      </c>
      <c r="O16" s="380"/>
      <c r="P16" s="380"/>
      <c r="Q16" s="240"/>
      <c r="R16" s="377">
        <f>IF(distfromcl="","",distfromcl)</f>
      </c>
      <c r="S16" s="378"/>
      <c r="T16" s="378"/>
      <c r="U16" s="379"/>
    </row>
    <row r="17" ht="15" customHeight="1"/>
    <row r="18" spans="1:40" s="128" customFormat="1" ht="17.25" customHeight="1">
      <c r="A18" s="127"/>
      <c r="E18" s="344" t="str">
        <f>IF(Bin1Frac="","","Bin No.1 = "&amp;Bin1Frac&amp;" %")</f>
        <v>Bin No.1 = 52 %</v>
      </c>
      <c r="F18" s="345"/>
      <c r="G18" s="75"/>
      <c r="H18" s="75"/>
      <c r="I18" s="344" t="str">
        <f>IF(Bin2Frac="","","Bin No.2 = "&amp;Bin2Frac&amp;" %")</f>
        <v>Bin No.2 = 47 %</v>
      </c>
      <c r="J18" s="345"/>
      <c r="K18" s="75"/>
      <c r="L18" s="75"/>
      <c r="M18" s="344" t="str">
        <f>IF(Bin3Frac="","","Bin No.3 = "&amp;Bin3Frac&amp;" %")</f>
        <v>Bin No.3 = 1 %</v>
      </c>
      <c r="N18" s="345"/>
      <c r="O18" s="75"/>
      <c r="P18" s="75"/>
      <c r="Q18" s="344" t="str">
        <f>IF(Bin4Frac="","","Bin No.4 = "&amp;Bin4Frac&amp;" %")</f>
        <v>Bin No.4 = 0 %</v>
      </c>
      <c r="R18" s="345"/>
      <c r="S18" s="75"/>
      <c r="T18" s="75"/>
      <c r="U18" s="344">
        <f>IF(Bin5Frac="","","Bin No.5 = "&amp;Bin5Frac&amp;" %")</f>
      </c>
      <c r="V18" s="345"/>
      <c r="W18" s="75"/>
      <c r="X18" s="75"/>
      <c r="Y18" s="344">
        <f>IF(Bin6Frac="","","Bin No.6 = "&amp;Bin6Frac&amp;" %")</f>
      </c>
      <c r="Z18" s="345"/>
      <c r="AA18" s="75"/>
      <c r="AB18" s="75"/>
      <c r="AC18" s="344">
        <f>IF(Bin7Frac="","","Bin No.7 = "&amp;Bin7Frac&amp;" %")</f>
      </c>
      <c r="AD18" s="345"/>
      <c r="AE18" s="56"/>
      <c r="AF18" s="69"/>
      <c r="AG18" s="69"/>
      <c r="AH18" s="69"/>
      <c r="AI18" s="129"/>
      <c r="AJ18" s="129"/>
      <c r="AL18" s="390"/>
      <c r="AM18" s="390"/>
      <c r="AN18" s="390"/>
    </row>
    <row r="19" spans="1:40" ht="17.25" customHeight="1">
      <c r="A19" s="72"/>
      <c r="B19" s="269" t="s">
        <v>173</v>
      </c>
      <c r="C19" s="269"/>
      <c r="D19" s="269"/>
      <c r="E19" s="315" t="str">
        <f>IF(Bin1Source="","",Bin1Source)</f>
        <v>Duininck</v>
      </c>
      <c r="F19" s="316"/>
      <c r="G19" s="66"/>
      <c r="H19" s="66"/>
      <c r="I19" s="317" t="str">
        <f>IF(Bin2Source="","",Bin2Source)</f>
        <v>Kiewit</v>
      </c>
      <c r="J19" s="318"/>
      <c r="K19" s="317"/>
      <c r="L19" s="318"/>
      <c r="M19" s="317" t="str">
        <f>IF(Bin3Source="","",Bin3Source)</f>
        <v>Texas Lime</v>
      </c>
      <c r="N19" s="318"/>
      <c r="O19" s="317"/>
      <c r="P19" s="318"/>
      <c r="Q19" s="317">
        <f>IF(Bin4Source="","",Bin4Source)</f>
      </c>
      <c r="R19" s="318"/>
      <c r="S19" s="317"/>
      <c r="T19" s="318"/>
      <c r="U19" s="317">
        <f>IF(Bin5Source="","",Bin5Source)</f>
      </c>
      <c r="V19" s="318"/>
      <c r="W19" s="317"/>
      <c r="X19" s="318"/>
      <c r="Y19" s="317">
        <f>IF(Bin6Source="","",Bin6Source)</f>
      </c>
      <c r="Z19" s="318"/>
      <c r="AA19" s="317"/>
      <c r="AB19" s="318"/>
      <c r="AC19" s="317">
        <f>IF(Bin7Source="","",Bin7Source)</f>
      </c>
      <c r="AD19" s="318"/>
      <c r="AE19" s="71"/>
      <c r="AF19" s="68"/>
      <c r="AG19" s="68"/>
      <c r="AH19" s="68"/>
      <c r="AI19" s="70"/>
      <c r="AJ19" s="70"/>
      <c r="AL19" s="390"/>
      <c r="AM19" s="390"/>
      <c r="AN19" s="390"/>
    </row>
    <row r="20" spans="1:40" ht="17.25" customHeight="1">
      <c r="A20" s="72"/>
      <c r="B20" s="269" t="s">
        <v>174</v>
      </c>
      <c r="C20" s="269"/>
      <c r="D20" s="269"/>
      <c r="E20" s="315">
        <f>IF(Bin1Aggr="","",Bin1Aggr)</f>
      </c>
      <c r="F20" s="316"/>
      <c r="G20" s="66"/>
      <c r="H20" s="66"/>
      <c r="I20" s="317">
        <f>IF(Bin2Aggr="","",Bin2Aggr)</f>
      </c>
      <c r="J20" s="318"/>
      <c r="K20" s="317"/>
      <c r="L20" s="318"/>
      <c r="M20" s="317">
        <f>IF(Bin3Aggr="","",Bin3Aggr)</f>
      </c>
      <c r="N20" s="318"/>
      <c r="O20" s="317"/>
      <c r="P20" s="318"/>
      <c r="Q20" s="317">
        <f>IF(Bin4Aggr="","",Bin4Aggr)</f>
      </c>
      <c r="R20" s="318"/>
      <c r="S20" s="317"/>
      <c r="T20" s="318"/>
      <c r="U20" s="317">
        <f>IF(Bin5Aggr="","",Bin5Aggr)</f>
      </c>
      <c r="V20" s="318"/>
      <c r="W20" s="317"/>
      <c r="X20" s="318"/>
      <c r="Y20" s="317">
        <f>IF(Bin6Aggr="","",Bin6Aggr)</f>
      </c>
      <c r="Z20" s="318"/>
      <c r="AA20" s="317"/>
      <c r="AB20" s="318"/>
      <c r="AC20" s="317">
        <f>IF(Bin7Aggr="","",Bin7Aggr)</f>
      </c>
      <c r="AD20" s="318"/>
      <c r="AE20" s="56"/>
      <c r="AF20" s="69"/>
      <c r="AG20" s="69"/>
      <c r="AH20" s="69"/>
      <c r="AI20" s="70"/>
      <c r="AJ20" s="70"/>
      <c r="AL20" s="390"/>
      <c r="AM20" s="390"/>
      <c r="AN20" s="390"/>
    </row>
    <row r="21" spans="1:40" ht="17.25" customHeight="1">
      <c r="A21" s="72"/>
      <c r="B21" s="269" t="s">
        <v>160</v>
      </c>
      <c r="C21" s="269"/>
      <c r="D21" s="269"/>
      <c r="E21" s="315" t="str">
        <f>IF(Bin1samp="","",Bin1samp)</f>
        <v>F Rock</v>
      </c>
      <c r="F21" s="316"/>
      <c r="G21" s="66"/>
      <c r="H21" s="66"/>
      <c r="I21" s="317" t="str">
        <f>IF(Bin2Samp="","",Bin2Samp)</f>
        <v>#7-#16</v>
      </c>
      <c r="J21" s="318"/>
      <c r="K21" s="317"/>
      <c r="L21" s="318"/>
      <c r="M21" s="317" t="str">
        <f>IF(Bin3Samp="","",Bin3Samp)</f>
        <v>Lime</v>
      </c>
      <c r="N21" s="318"/>
      <c r="O21" s="317"/>
      <c r="P21" s="318"/>
      <c r="Q21" s="317">
        <f>IF(Bin4Samp="","",Bin4Samp)</f>
      </c>
      <c r="R21" s="318"/>
      <c r="S21" s="317"/>
      <c r="T21" s="318"/>
      <c r="U21" s="317">
        <f>IF(Bin5Samp="","",Bin5Samp)</f>
      </c>
      <c r="V21" s="318"/>
      <c r="W21" s="317"/>
      <c r="X21" s="318"/>
      <c r="Y21" s="317">
        <f>IF(Bin6Samp="","",Bin6Samp)</f>
      </c>
      <c r="Z21" s="318"/>
      <c r="AA21" s="317"/>
      <c r="AB21" s="318"/>
      <c r="AC21" s="317">
        <f>IF(Bin7Samp="","",Bin7Samp)</f>
      </c>
      <c r="AD21" s="318"/>
      <c r="AE21" s="71"/>
      <c r="AF21" s="68"/>
      <c r="AG21" s="68"/>
      <c r="AH21" s="68"/>
      <c r="AI21" s="70"/>
      <c r="AJ21" s="70"/>
      <c r="AL21" s="64"/>
      <c r="AM21" s="64"/>
      <c r="AN21" s="64"/>
    </row>
    <row r="22" spans="2:30" ht="6" customHeight="1">
      <c r="B22" s="130"/>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2"/>
    </row>
    <row r="23" spans="1:40" ht="17.25" customHeight="1">
      <c r="A23" s="72"/>
      <c r="B23" s="303" t="s">
        <v>4</v>
      </c>
      <c r="C23" s="330"/>
      <c r="D23" s="304"/>
      <c r="E23" s="383" t="s">
        <v>170</v>
      </c>
      <c r="F23" s="385" t="s">
        <v>171</v>
      </c>
      <c r="G23" s="73"/>
      <c r="H23" s="73"/>
      <c r="I23" s="383" t="s">
        <v>170</v>
      </c>
      <c r="J23" s="385" t="s">
        <v>171</v>
      </c>
      <c r="K23" s="383"/>
      <c r="L23" s="385"/>
      <c r="M23" s="383" t="s">
        <v>170</v>
      </c>
      <c r="N23" s="385" t="s">
        <v>171</v>
      </c>
      <c r="O23" s="383"/>
      <c r="P23" s="385"/>
      <c r="Q23" s="383" t="s">
        <v>170</v>
      </c>
      <c r="R23" s="385" t="s">
        <v>171</v>
      </c>
      <c r="S23" s="383"/>
      <c r="T23" s="385"/>
      <c r="U23" s="383" t="s">
        <v>170</v>
      </c>
      <c r="V23" s="385" t="s">
        <v>171</v>
      </c>
      <c r="W23" s="383"/>
      <c r="X23" s="385"/>
      <c r="Y23" s="383" t="s">
        <v>170</v>
      </c>
      <c r="Z23" s="385" t="s">
        <v>171</v>
      </c>
      <c r="AA23" s="383"/>
      <c r="AB23" s="385"/>
      <c r="AC23" s="383" t="s">
        <v>170</v>
      </c>
      <c r="AD23" s="385" t="s">
        <v>171</v>
      </c>
      <c r="AE23" s="71"/>
      <c r="AF23" s="68"/>
      <c r="AG23" s="68"/>
      <c r="AH23" s="68"/>
      <c r="AI23" s="70"/>
      <c r="AJ23" s="70"/>
      <c r="AL23" s="64"/>
      <c r="AM23" s="64"/>
      <c r="AN23" s="64"/>
    </row>
    <row r="24" spans="1:40" ht="17.25" customHeight="1">
      <c r="A24" s="72"/>
      <c r="B24" s="335" t="s">
        <v>169</v>
      </c>
      <c r="C24" s="336"/>
      <c r="D24" s="337"/>
      <c r="E24" s="384"/>
      <c r="F24" s="386"/>
      <c r="G24" s="126"/>
      <c r="H24" s="126"/>
      <c r="I24" s="384"/>
      <c r="J24" s="386"/>
      <c r="K24" s="384"/>
      <c r="L24" s="386"/>
      <c r="M24" s="384"/>
      <c r="N24" s="386"/>
      <c r="O24" s="384"/>
      <c r="P24" s="386"/>
      <c r="Q24" s="384"/>
      <c r="R24" s="386"/>
      <c r="S24" s="384"/>
      <c r="T24" s="386"/>
      <c r="U24" s="384"/>
      <c r="V24" s="386"/>
      <c r="W24" s="384"/>
      <c r="X24" s="386"/>
      <c r="Y24" s="384"/>
      <c r="Z24" s="386"/>
      <c r="AA24" s="384"/>
      <c r="AB24" s="386"/>
      <c r="AC24" s="384"/>
      <c r="AD24" s="386"/>
      <c r="AE24" s="71"/>
      <c r="AF24" s="68"/>
      <c r="AG24" s="68"/>
      <c r="AH24" s="68"/>
      <c r="AI24" s="70"/>
      <c r="AJ24" s="70"/>
      <c r="AL24" s="64"/>
      <c r="AM24" s="64"/>
      <c r="AN24" s="64"/>
    </row>
    <row r="25" spans="1:40" ht="15" customHeight="1">
      <c r="A25" s="72"/>
      <c r="B25" s="125"/>
      <c r="C25" s="63" t="s">
        <v>83</v>
      </c>
      <c r="D25" s="63" t="str">
        <f ca="1">IF(ISERROR(INDEX(INDIRECT(Grade),1,IF(specyear="1993",2,3))),"Pan",INDEX(INDIRECT(Grade),1,IF(specyear="1993",2,3)))</f>
        <v>3/4"</v>
      </c>
      <c r="E25" s="104">
        <f>IF('Combined Gradation'!E29="",0,100-'Combined Gradation'!E29)</f>
        <v>0</v>
      </c>
      <c r="F25" s="210"/>
      <c r="G25" s="116">
        <f aca="true" t="shared" si="0" ref="G25:G34">IF(ISERROR(E25/F25),0,(E25/F25))</f>
        <v>0</v>
      </c>
      <c r="H25" s="116">
        <f>IF(F25&lt;&gt;"",E25,0)</f>
        <v>0</v>
      </c>
      <c r="I25" s="104">
        <f>IF('Combined Gradation'!G29="",0,100-'Combined Gradation'!G29)</f>
        <v>0</v>
      </c>
      <c r="J25" s="210"/>
      <c r="K25" s="116">
        <f>IF(ISERROR(I25/J25),0,(I25/J25))</f>
        <v>0</v>
      </c>
      <c r="L25" s="116">
        <f>IF(J25&lt;&gt;"",I25,0)</f>
        <v>0</v>
      </c>
      <c r="M25" s="104">
        <f>IF('Combined Gradation'!I29="",0,100-'Combined Gradation'!I29)</f>
        <v>0</v>
      </c>
      <c r="N25" s="210"/>
      <c r="O25" s="116">
        <f>IF(ISERROR(M25/N25),0,(M25/N25))</f>
        <v>0</v>
      </c>
      <c r="P25" s="116">
        <f>IF(N25&lt;&gt;"",M25,0)</f>
        <v>0</v>
      </c>
      <c r="Q25" s="104">
        <f>IF('Combined Gradation'!K29="",0,100-'Combined Gradation'!K29)</f>
        <v>0</v>
      </c>
      <c r="R25" s="210"/>
      <c r="S25" s="116">
        <f>IF(ISERROR(Q25/R25),0,(Q25/R25))</f>
        <v>0</v>
      </c>
      <c r="T25" s="116">
        <f>IF(R25&lt;&gt;"",Q25,0)</f>
        <v>0</v>
      </c>
      <c r="U25" s="104">
        <f>IF('Combined Gradation'!M29="",0,100-'Combined Gradation'!M29)</f>
        <v>0</v>
      </c>
      <c r="V25" s="210"/>
      <c r="W25" s="116">
        <f>IF(ISERROR(U25/V25),0,(U25/V25))</f>
        <v>0</v>
      </c>
      <c r="X25" s="116">
        <f>IF(V25&lt;&gt;"",U25,0)</f>
        <v>0</v>
      </c>
      <c r="Y25" s="104">
        <f>IF('Combined Gradation'!O29="",0,100-'Combined Gradation'!O29)</f>
        <v>0</v>
      </c>
      <c r="Z25" s="210"/>
      <c r="AA25" s="116">
        <f>IF(ISERROR(Y25/Z25),0,(Y25/Z25))</f>
        <v>0</v>
      </c>
      <c r="AB25" s="116">
        <f>IF(Z25&lt;&gt;"",Y25,0)</f>
        <v>0</v>
      </c>
      <c r="AC25" s="104">
        <f>IF('Combined Gradation'!Q29="",0,100-'Combined Gradation'!Q29)</f>
        <v>0</v>
      </c>
      <c r="AD25" s="210"/>
      <c r="AE25" s="118">
        <f>IF(ISERROR(AC25/AD25),0,(AC25/AD25))</f>
        <v>0</v>
      </c>
      <c r="AF25" s="118">
        <f>IF(AD25&lt;&gt;"",AC25,0)</f>
        <v>0</v>
      </c>
      <c r="AG25" s="59"/>
      <c r="AH25" s="59"/>
      <c r="AI25" s="74"/>
      <c r="AJ25" s="74"/>
      <c r="AL25" s="68"/>
      <c r="AM25" s="67"/>
      <c r="AN25" s="67"/>
    </row>
    <row r="26" spans="1:40" ht="15" customHeight="1">
      <c r="A26" s="72"/>
      <c r="B26" s="63" t="str">
        <f ca="1">IF(ISERROR(INDEX(INDIRECT(Grade),1,IF(specyear="1993",2,3))),"",INDEX(INDIRECT(Grade),1,IF(specyear="1993",2,3)))</f>
        <v>3/4"</v>
      </c>
      <c r="C26" s="63" t="s">
        <v>83</v>
      </c>
      <c r="D26" s="55" t="str">
        <f ca="1">IF(ISERROR(INDEX(INDIRECT(Grade),2,IF(specyear="1993",2,3))),"Pan",INDEX(INDIRECT(Grade),2,IF(specyear="1993",2,3)))</f>
        <v>1/2"</v>
      </c>
      <c r="E26" s="104">
        <f>('Combined Gradation'!E29-'Combined Gradation'!E30)</f>
        <v>0</v>
      </c>
      <c r="F26" s="210"/>
      <c r="G26" s="116">
        <f t="shared" si="0"/>
        <v>0</v>
      </c>
      <c r="H26" s="116">
        <f aca="true" t="shared" si="1" ref="H26:H34">IF(F26&lt;&gt;"",E26,0)</f>
        <v>0</v>
      </c>
      <c r="I26" s="104">
        <f>('Combined Gradation'!G29-'Combined Gradation'!G30)</f>
        <v>0</v>
      </c>
      <c r="J26" s="210"/>
      <c r="K26" s="116">
        <f aca="true" t="shared" si="2" ref="K26:K34">IF(ISERROR(I26/J26),0,(I26/J26))</f>
        <v>0</v>
      </c>
      <c r="L26" s="116">
        <f aca="true" t="shared" si="3" ref="L26:L34">IF(J26&lt;&gt;"",I26,0)</f>
        <v>0</v>
      </c>
      <c r="M26" s="104">
        <f>('Combined Gradation'!I29-'Combined Gradation'!I30)</f>
        <v>0</v>
      </c>
      <c r="N26" s="210"/>
      <c r="O26" s="116">
        <f aca="true" t="shared" si="4" ref="O26:O34">IF(ISERROR(M26/N26),0,(M26/N26))</f>
        <v>0</v>
      </c>
      <c r="P26" s="116">
        <f aca="true" t="shared" si="5" ref="P26:P34">IF(N26&lt;&gt;"",M26,0)</f>
        <v>0</v>
      </c>
      <c r="Q26" s="104">
        <f>('Combined Gradation'!K29-'Combined Gradation'!K30)</f>
        <v>0</v>
      </c>
      <c r="R26" s="210"/>
      <c r="S26" s="116">
        <f aca="true" t="shared" si="6" ref="S26:S34">IF(ISERROR(Q26/R26),0,(Q26/R26))</f>
        <v>0</v>
      </c>
      <c r="T26" s="116">
        <f aca="true" t="shared" si="7" ref="T26:T34">IF(R26&lt;&gt;"",Q26,0)</f>
        <v>0</v>
      </c>
      <c r="U26" s="104">
        <f>('Combined Gradation'!M29-'Combined Gradation'!M30)</f>
        <v>0</v>
      </c>
      <c r="V26" s="210"/>
      <c r="W26" s="116">
        <f aca="true" t="shared" si="8" ref="W26:W34">IF(ISERROR(U26/V26),0,(U26/V26))</f>
        <v>0</v>
      </c>
      <c r="X26" s="116">
        <f aca="true" t="shared" si="9" ref="X26:X34">IF(V26&lt;&gt;"",U26,0)</f>
        <v>0</v>
      </c>
      <c r="Y26" s="104">
        <f>('Combined Gradation'!O29-'Combined Gradation'!O30)</f>
        <v>0</v>
      </c>
      <c r="Z26" s="210"/>
      <c r="AA26" s="116">
        <f aca="true" t="shared" si="10" ref="AA26:AA34">IF(ISERROR(Y26/Z26),0,(Y26/Z26))</f>
        <v>0</v>
      </c>
      <c r="AB26" s="116">
        <f aca="true" t="shared" si="11" ref="AB26:AB34">IF(Z26&lt;&gt;"",Y26,0)</f>
        <v>0</v>
      </c>
      <c r="AC26" s="104">
        <f>('Combined Gradation'!Q29-'Combined Gradation'!Q30)</f>
        <v>0</v>
      </c>
      <c r="AD26" s="210"/>
      <c r="AE26" s="116">
        <f aca="true" t="shared" si="12" ref="AE26:AE34">IF(ISERROR(AC26/AD26),0,(AC26/AD26))</f>
        <v>0</v>
      </c>
      <c r="AF26" s="116">
        <f aca="true" t="shared" si="13" ref="AF26:AF34">IF(AD26&lt;&gt;"",AC26,0)</f>
        <v>0</v>
      </c>
      <c r="AG26" s="59"/>
      <c r="AH26" s="59"/>
      <c r="AI26" s="74"/>
      <c r="AJ26" s="74"/>
      <c r="AL26" s="68"/>
      <c r="AM26" s="67"/>
      <c r="AN26" s="67"/>
    </row>
    <row r="27" spans="1:40" ht="15" customHeight="1">
      <c r="A27" s="72"/>
      <c r="B27" s="55" t="str">
        <f ca="1">IF(ISERROR(INDEX(INDIRECT(Grade),2,IF(specyear="1993",2,3))),"",INDEX(INDIRECT(Grade),2,IF(specyear="1993",2,3)))</f>
        <v>1/2"</v>
      </c>
      <c r="C27" s="63" t="s">
        <v>83</v>
      </c>
      <c r="D27" s="55" t="str">
        <f ca="1">IF(ISERROR(INDEX(INDIRECT(Grade),3,IF(specyear="1993",2,3))),"Pan",INDEX(INDIRECT(Grade),3,IF(specyear="1993",2,3)))</f>
        <v>3/8"</v>
      </c>
      <c r="E27" s="104">
        <f>('Combined Gradation'!E30-'Combined Gradation'!E31)</f>
        <v>0</v>
      </c>
      <c r="F27" s="210"/>
      <c r="G27" s="116">
        <f t="shared" si="0"/>
        <v>0</v>
      </c>
      <c r="H27" s="116">
        <f t="shared" si="1"/>
        <v>0</v>
      </c>
      <c r="I27" s="104">
        <f>('Combined Gradation'!G30-'Combined Gradation'!G31)</f>
        <v>0</v>
      </c>
      <c r="J27" s="210"/>
      <c r="K27" s="116">
        <f t="shared" si="2"/>
        <v>0</v>
      </c>
      <c r="L27" s="116">
        <f t="shared" si="3"/>
        <v>0</v>
      </c>
      <c r="M27" s="104">
        <f>('Combined Gradation'!I30-'Combined Gradation'!I31)</f>
        <v>0</v>
      </c>
      <c r="N27" s="210"/>
      <c r="O27" s="116">
        <f t="shared" si="4"/>
        <v>0</v>
      </c>
      <c r="P27" s="116">
        <f t="shared" si="5"/>
        <v>0</v>
      </c>
      <c r="Q27" s="104">
        <f>('Combined Gradation'!K30-'Combined Gradation'!K31)</f>
        <v>0</v>
      </c>
      <c r="R27" s="210"/>
      <c r="S27" s="116">
        <f t="shared" si="6"/>
        <v>0</v>
      </c>
      <c r="T27" s="116">
        <f t="shared" si="7"/>
        <v>0</v>
      </c>
      <c r="U27" s="104">
        <f>('Combined Gradation'!M30-'Combined Gradation'!M31)</f>
        <v>0</v>
      </c>
      <c r="V27" s="210"/>
      <c r="W27" s="116">
        <f t="shared" si="8"/>
        <v>0</v>
      </c>
      <c r="X27" s="116">
        <f t="shared" si="9"/>
        <v>0</v>
      </c>
      <c r="Y27" s="104">
        <f>('Combined Gradation'!O30-'Combined Gradation'!O31)</f>
        <v>0</v>
      </c>
      <c r="Z27" s="210"/>
      <c r="AA27" s="116">
        <f t="shared" si="10"/>
        <v>0</v>
      </c>
      <c r="AB27" s="116">
        <f t="shared" si="11"/>
        <v>0</v>
      </c>
      <c r="AC27" s="104">
        <f>('Combined Gradation'!Q30-'Combined Gradation'!Q31)</f>
        <v>0</v>
      </c>
      <c r="AD27" s="210"/>
      <c r="AE27" s="116">
        <f t="shared" si="12"/>
        <v>0</v>
      </c>
      <c r="AF27" s="116">
        <f t="shared" si="13"/>
        <v>0</v>
      </c>
      <c r="AG27" s="59"/>
      <c r="AH27" s="59"/>
      <c r="AI27" s="74"/>
      <c r="AJ27" s="74"/>
      <c r="AL27" s="68"/>
      <c r="AM27" s="67"/>
      <c r="AN27" s="67"/>
    </row>
    <row r="28" spans="1:40" ht="15" customHeight="1">
      <c r="A28" s="72"/>
      <c r="B28" s="55" t="str">
        <f ca="1">IF(ISERROR(INDEX(INDIRECT(Grade),3,IF(specyear="1993",2,3))),"",INDEX(INDIRECT(Grade),3,IF(specyear="1993",2,3)))</f>
        <v>3/8"</v>
      </c>
      <c r="C28" s="63" t="s">
        <v>83</v>
      </c>
      <c r="D28" s="55" t="str">
        <f ca="1">IF(ISERROR(INDEX(INDIRECT(Grade),4,IF(specyear="1993",2,3))),"Pan",INDEX(INDIRECT(Grade),4,IF(specyear="1993",2,3)))</f>
        <v>No. 4</v>
      </c>
      <c r="E28" s="104">
        <f>('Combined Gradation'!E31-'Combined Gradation'!E32)</f>
        <v>39.2</v>
      </c>
      <c r="F28" s="210">
        <v>2.699</v>
      </c>
      <c r="G28" s="116">
        <f t="shared" si="0"/>
        <v>14.52389773990367</v>
      </c>
      <c r="H28" s="116">
        <f t="shared" si="1"/>
        <v>39.2</v>
      </c>
      <c r="I28" s="104">
        <f>('Combined Gradation'!G31-'Combined Gradation'!G32)</f>
        <v>0.09999999999999432</v>
      </c>
      <c r="J28" s="210">
        <v>2.68</v>
      </c>
      <c r="K28" s="116">
        <f t="shared" si="2"/>
        <v>0.03731343283581877</v>
      </c>
      <c r="L28" s="116">
        <f t="shared" si="3"/>
        <v>0.09999999999999432</v>
      </c>
      <c r="M28" s="104">
        <f>('Combined Gradation'!I31-'Combined Gradation'!I32)</f>
        <v>0</v>
      </c>
      <c r="N28" s="210"/>
      <c r="O28" s="116">
        <f t="shared" si="4"/>
        <v>0</v>
      </c>
      <c r="P28" s="116">
        <f t="shared" si="5"/>
        <v>0</v>
      </c>
      <c r="Q28" s="104">
        <f>('Combined Gradation'!K31-'Combined Gradation'!K32)</f>
        <v>0</v>
      </c>
      <c r="R28" s="210"/>
      <c r="S28" s="116">
        <f t="shared" si="6"/>
        <v>0</v>
      </c>
      <c r="T28" s="116">
        <f t="shared" si="7"/>
        <v>0</v>
      </c>
      <c r="U28" s="104">
        <f>('Combined Gradation'!M31-'Combined Gradation'!M32)</f>
        <v>0</v>
      </c>
      <c r="V28" s="210"/>
      <c r="W28" s="116">
        <f t="shared" si="8"/>
        <v>0</v>
      </c>
      <c r="X28" s="116">
        <f t="shared" si="9"/>
        <v>0</v>
      </c>
      <c r="Y28" s="104">
        <f>('Combined Gradation'!O31-'Combined Gradation'!O32)</f>
        <v>0</v>
      </c>
      <c r="Z28" s="210"/>
      <c r="AA28" s="116">
        <f t="shared" si="10"/>
        <v>0</v>
      </c>
      <c r="AB28" s="116">
        <f t="shared" si="11"/>
        <v>0</v>
      </c>
      <c r="AC28" s="104">
        <f>('Combined Gradation'!Q31-'Combined Gradation'!Q32)</f>
        <v>0</v>
      </c>
      <c r="AD28" s="210"/>
      <c r="AE28" s="116">
        <f t="shared" si="12"/>
        <v>0</v>
      </c>
      <c r="AF28" s="116">
        <f t="shared" si="13"/>
        <v>0</v>
      </c>
      <c r="AG28" s="59"/>
      <c r="AH28" s="59"/>
      <c r="AI28" s="74"/>
      <c r="AJ28" s="74"/>
      <c r="AL28" s="68"/>
      <c r="AM28" s="67"/>
      <c r="AN28" s="67"/>
    </row>
    <row r="29" spans="1:40" ht="15" customHeight="1">
      <c r="A29" s="72"/>
      <c r="B29" s="55" t="str">
        <f ca="1">IF(ISERROR(INDEX(INDIRECT(Grade),4,IF(specyear="1993",2,3))),"",INDEX(INDIRECT(Grade),4,IF(specyear="1993",2,3)))</f>
        <v>No. 4</v>
      </c>
      <c r="C29" s="63" t="s">
        <v>83</v>
      </c>
      <c r="D29" s="55" t="str">
        <f ca="1">IF(ISERROR(INDEX(INDIRECT(Grade),5,IF(specyear="1993",2,3))),"Pan",INDEX(INDIRECT(Grade),5,IF(specyear="1993",2,3)))</f>
        <v>No. 8</v>
      </c>
      <c r="E29" s="104">
        <f>('Combined Gradation'!E32-'Combined Gradation'!E33)</f>
        <v>58.8</v>
      </c>
      <c r="F29" s="210">
        <v>2.692</v>
      </c>
      <c r="G29" s="116">
        <f t="shared" si="0"/>
        <v>21.842496285289744</v>
      </c>
      <c r="H29" s="116">
        <f t="shared" si="1"/>
        <v>58.8</v>
      </c>
      <c r="I29" s="104">
        <f>('Combined Gradation'!G32-'Combined Gradation'!G33)</f>
        <v>14.700000000000003</v>
      </c>
      <c r="J29" s="210">
        <v>2.68</v>
      </c>
      <c r="K29" s="116">
        <f t="shared" si="2"/>
        <v>5.485074626865672</v>
      </c>
      <c r="L29" s="116">
        <f t="shared" si="3"/>
        <v>14.700000000000003</v>
      </c>
      <c r="M29" s="104">
        <f>('Combined Gradation'!I32-'Combined Gradation'!I33)</f>
        <v>0</v>
      </c>
      <c r="N29" s="210"/>
      <c r="O29" s="116">
        <f t="shared" si="4"/>
        <v>0</v>
      </c>
      <c r="P29" s="116">
        <f t="shared" si="5"/>
        <v>0</v>
      </c>
      <c r="Q29" s="104">
        <f>('Combined Gradation'!K32-'Combined Gradation'!K33)</f>
        <v>0</v>
      </c>
      <c r="R29" s="210"/>
      <c r="S29" s="116">
        <f t="shared" si="6"/>
        <v>0</v>
      </c>
      <c r="T29" s="116">
        <f t="shared" si="7"/>
        <v>0</v>
      </c>
      <c r="U29" s="104">
        <f>('Combined Gradation'!M32-'Combined Gradation'!M33)</f>
        <v>0</v>
      </c>
      <c r="V29" s="210"/>
      <c r="W29" s="116">
        <f t="shared" si="8"/>
        <v>0</v>
      </c>
      <c r="X29" s="116">
        <f t="shared" si="9"/>
        <v>0</v>
      </c>
      <c r="Y29" s="104">
        <f>('Combined Gradation'!O32-'Combined Gradation'!O33)</f>
        <v>0</v>
      </c>
      <c r="Z29" s="210"/>
      <c r="AA29" s="116">
        <f t="shared" si="10"/>
        <v>0</v>
      </c>
      <c r="AB29" s="116">
        <f t="shared" si="11"/>
        <v>0</v>
      </c>
      <c r="AC29" s="104">
        <f>('Combined Gradation'!Q32-'Combined Gradation'!Q33)</f>
        <v>0</v>
      </c>
      <c r="AD29" s="210"/>
      <c r="AE29" s="116">
        <f t="shared" si="12"/>
        <v>0</v>
      </c>
      <c r="AF29" s="116">
        <f t="shared" si="13"/>
        <v>0</v>
      </c>
      <c r="AG29" s="59"/>
      <c r="AH29" s="59"/>
      <c r="AI29" s="74"/>
      <c r="AJ29" s="74"/>
      <c r="AL29" s="68"/>
      <c r="AM29" s="67"/>
      <c r="AN29" s="67"/>
    </row>
    <row r="30" spans="1:40" ht="15" customHeight="1">
      <c r="A30" s="72"/>
      <c r="B30" s="55" t="str">
        <f ca="1">IF(ISERROR(INDEX(INDIRECT(Grade),5,IF(specyear="1993",2,3))),"",INDEX(INDIRECT(Grade),5,IF(specyear="1993",2,3)))</f>
        <v>No. 8</v>
      </c>
      <c r="C30" s="63" t="s">
        <v>83</v>
      </c>
      <c r="D30" s="55" t="str">
        <f ca="1">IF(ISERROR(INDEX(INDIRECT(Grade),6,IF(specyear="1993",2,3))),"Pan",INDEX(INDIRECT(Grade),6,IF(specyear="1993",2,3)))</f>
        <v>No. 16</v>
      </c>
      <c r="E30" s="104">
        <f>('Combined Gradation'!E33-'Combined Gradation'!E34)</f>
        <v>1.3</v>
      </c>
      <c r="F30" s="210">
        <v>2.692</v>
      </c>
      <c r="G30" s="116">
        <f t="shared" si="0"/>
        <v>0.48291233283803864</v>
      </c>
      <c r="H30" s="116">
        <f t="shared" si="1"/>
        <v>1.3</v>
      </c>
      <c r="I30" s="104">
        <f>('Combined Gradation'!G33-'Combined Gradation'!G34)</f>
        <v>30.400000000000006</v>
      </c>
      <c r="J30" s="210">
        <v>2.68</v>
      </c>
      <c r="K30" s="116">
        <f t="shared" si="2"/>
        <v>11.343283582089553</v>
      </c>
      <c r="L30" s="116">
        <f t="shared" si="3"/>
        <v>30.400000000000006</v>
      </c>
      <c r="M30" s="104">
        <f>('Combined Gradation'!I33-'Combined Gradation'!I34)</f>
        <v>0</v>
      </c>
      <c r="N30" s="210"/>
      <c r="O30" s="116">
        <f t="shared" si="4"/>
        <v>0</v>
      </c>
      <c r="P30" s="116">
        <f t="shared" si="5"/>
        <v>0</v>
      </c>
      <c r="Q30" s="104">
        <f>('Combined Gradation'!K33-'Combined Gradation'!K34)</f>
        <v>0</v>
      </c>
      <c r="R30" s="210"/>
      <c r="S30" s="116">
        <f t="shared" si="6"/>
        <v>0</v>
      </c>
      <c r="T30" s="116">
        <f t="shared" si="7"/>
        <v>0</v>
      </c>
      <c r="U30" s="104">
        <f>('Combined Gradation'!M33-'Combined Gradation'!M34)</f>
        <v>0</v>
      </c>
      <c r="V30" s="210"/>
      <c r="W30" s="116">
        <f t="shared" si="8"/>
        <v>0</v>
      </c>
      <c r="X30" s="116">
        <f t="shared" si="9"/>
        <v>0</v>
      </c>
      <c r="Y30" s="104">
        <f>('Combined Gradation'!O33-'Combined Gradation'!O34)</f>
        <v>0</v>
      </c>
      <c r="Z30" s="210"/>
      <c r="AA30" s="116">
        <f t="shared" si="10"/>
        <v>0</v>
      </c>
      <c r="AB30" s="116">
        <f t="shared" si="11"/>
        <v>0</v>
      </c>
      <c r="AC30" s="104">
        <f>('Combined Gradation'!Q33-'Combined Gradation'!Q34)</f>
        <v>0</v>
      </c>
      <c r="AD30" s="210"/>
      <c r="AE30" s="116">
        <f t="shared" si="12"/>
        <v>0</v>
      </c>
      <c r="AF30" s="116">
        <f t="shared" si="13"/>
        <v>0</v>
      </c>
      <c r="AG30" s="59"/>
      <c r="AH30" s="59"/>
      <c r="AI30" s="74"/>
      <c r="AJ30" s="74"/>
      <c r="AL30" s="68"/>
      <c r="AM30" s="67"/>
      <c r="AN30" s="67"/>
    </row>
    <row r="31" spans="1:40" ht="15" customHeight="1">
      <c r="A31" s="72"/>
      <c r="B31" s="55" t="str">
        <f ca="1">IF(ISERROR(INDEX(INDIRECT(Grade),6,IF(specyear="1993",2,3))),"",INDEX(INDIRECT(Grade),6,IF(specyear="1993",2,3)))</f>
        <v>No. 16</v>
      </c>
      <c r="C31" s="63" t="s">
        <v>83</v>
      </c>
      <c r="D31" s="55" t="str">
        <f ca="1">IF(ISERROR(INDEX(INDIRECT(Grade),7,IF(specyear="1993",2,3))),"Pan",INDEX(INDIRECT(Grade),7,IF(specyear="1993",2,3)))</f>
        <v>No. 30</v>
      </c>
      <c r="E31" s="104">
        <f>('Combined Gradation'!E34-'Combined Gradation'!E35)</f>
        <v>0.19999999999999996</v>
      </c>
      <c r="F31" s="210">
        <v>2.692</v>
      </c>
      <c r="G31" s="116">
        <f t="shared" si="0"/>
        <v>0.07429420505200592</v>
      </c>
      <c r="H31" s="116">
        <f t="shared" si="1"/>
        <v>0.19999999999999996</v>
      </c>
      <c r="I31" s="104">
        <f>('Combined Gradation'!G34-'Combined Gradation'!G35)</f>
        <v>15.5</v>
      </c>
      <c r="J31" s="210">
        <v>2.68</v>
      </c>
      <c r="K31" s="116">
        <f t="shared" si="2"/>
        <v>5.7835820895522385</v>
      </c>
      <c r="L31" s="116">
        <f t="shared" si="3"/>
        <v>15.5</v>
      </c>
      <c r="M31" s="104">
        <f>('Combined Gradation'!I34-'Combined Gradation'!I35)</f>
        <v>0</v>
      </c>
      <c r="N31" s="210"/>
      <c r="O31" s="116">
        <f t="shared" si="4"/>
        <v>0</v>
      </c>
      <c r="P31" s="116">
        <f t="shared" si="5"/>
        <v>0</v>
      </c>
      <c r="Q31" s="104">
        <f>('Combined Gradation'!K34-'Combined Gradation'!K35)</f>
        <v>0</v>
      </c>
      <c r="R31" s="210"/>
      <c r="S31" s="116">
        <f t="shared" si="6"/>
        <v>0</v>
      </c>
      <c r="T31" s="116">
        <f t="shared" si="7"/>
        <v>0</v>
      </c>
      <c r="U31" s="104">
        <f>('Combined Gradation'!M34-'Combined Gradation'!M35)</f>
        <v>0</v>
      </c>
      <c r="V31" s="210"/>
      <c r="W31" s="116">
        <f t="shared" si="8"/>
        <v>0</v>
      </c>
      <c r="X31" s="116">
        <f t="shared" si="9"/>
        <v>0</v>
      </c>
      <c r="Y31" s="104">
        <f>('Combined Gradation'!O34-'Combined Gradation'!O35)</f>
        <v>0</v>
      </c>
      <c r="Z31" s="210"/>
      <c r="AA31" s="116">
        <f t="shared" si="10"/>
        <v>0</v>
      </c>
      <c r="AB31" s="116">
        <f t="shared" si="11"/>
        <v>0</v>
      </c>
      <c r="AC31" s="104">
        <f>('Combined Gradation'!Q34-'Combined Gradation'!Q35)</f>
        <v>0</v>
      </c>
      <c r="AD31" s="210"/>
      <c r="AE31" s="116">
        <f t="shared" si="12"/>
        <v>0</v>
      </c>
      <c r="AF31" s="116">
        <f t="shared" si="13"/>
        <v>0</v>
      </c>
      <c r="AG31" s="59"/>
      <c r="AH31" s="59"/>
      <c r="AI31" s="74"/>
      <c r="AJ31" s="74"/>
      <c r="AL31" s="68"/>
      <c r="AM31" s="67"/>
      <c r="AN31" s="67"/>
    </row>
    <row r="32" spans="1:40" ht="15" customHeight="1">
      <c r="A32" s="72"/>
      <c r="B32" s="55" t="str">
        <f ca="1">IF(ISERROR(INDEX(INDIRECT(Grade),7,IF(specyear="1993",2,3))),"",INDEX(INDIRECT(Grade),7,IF(specyear="1993",2,3)))</f>
        <v>No. 30</v>
      </c>
      <c r="C32" s="63" t="s">
        <v>83</v>
      </c>
      <c r="D32" s="55" t="str">
        <f ca="1">IF(ISERROR(INDEX(INDIRECT(Grade),8,IF(specyear="1993",2,3))),"Pan",INDEX(INDIRECT(Grade),8,IF(specyear="1993",2,3)))</f>
        <v>No. 50</v>
      </c>
      <c r="E32" s="104">
        <f>('Combined Gradation'!E35-'Combined Gradation'!E36)</f>
        <v>0</v>
      </c>
      <c r="F32" s="210">
        <v>2.692</v>
      </c>
      <c r="G32" s="116">
        <f t="shared" si="0"/>
        <v>0</v>
      </c>
      <c r="H32" s="116">
        <f t="shared" si="1"/>
        <v>0</v>
      </c>
      <c r="I32" s="104">
        <f>('Combined Gradation'!G35-'Combined Gradation'!G36)</f>
        <v>8.899999999999999</v>
      </c>
      <c r="J32" s="210">
        <v>2.68</v>
      </c>
      <c r="K32" s="116">
        <f t="shared" si="2"/>
        <v>3.320895522388059</v>
      </c>
      <c r="L32" s="116">
        <f t="shared" si="3"/>
        <v>8.899999999999999</v>
      </c>
      <c r="M32" s="104">
        <f>('Combined Gradation'!I35-'Combined Gradation'!I36)</f>
        <v>0</v>
      </c>
      <c r="N32" s="210"/>
      <c r="O32" s="116">
        <f t="shared" si="4"/>
        <v>0</v>
      </c>
      <c r="P32" s="116">
        <f t="shared" si="5"/>
        <v>0</v>
      </c>
      <c r="Q32" s="104">
        <f>('Combined Gradation'!K35-'Combined Gradation'!K36)</f>
        <v>0</v>
      </c>
      <c r="R32" s="210"/>
      <c r="S32" s="116">
        <f t="shared" si="6"/>
        <v>0</v>
      </c>
      <c r="T32" s="116">
        <f t="shared" si="7"/>
        <v>0</v>
      </c>
      <c r="U32" s="104">
        <f>('Combined Gradation'!M35-'Combined Gradation'!M36)</f>
        <v>0</v>
      </c>
      <c r="V32" s="210"/>
      <c r="W32" s="116">
        <f t="shared" si="8"/>
        <v>0</v>
      </c>
      <c r="X32" s="116">
        <f t="shared" si="9"/>
        <v>0</v>
      </c>
      <c r="Y32" s="104">
        <f>('Combined Gradation'!O35-'Combined Gradation'!O36)</f>
        <v>0</v>
      </c>
      <c r="Z32" s="210"/>
      <c r="AA32" s="116">
        <f t="shared" si="10"/>
        <v>0</v>
      </c>
      <c r="AB32" s="116">
        <f t="shared" si="11"/>
        <v>0</v>
      </c>
      <c r="AC32" s="104">
        <f>('Combined Gradation'!Q35-'Combined Gradation'!Q36)</f>
        <v>0</v>
      </c>
      <c r="AD32" s="210"/>
      <c r="AE32" s="116">
        <f t="shared" si="12"/>
        <v>0</v>
      </c>
      <c r="AF32" s="116">
        <f t="shared" si="13"/>
        <v>0</v>
      </c>
      <c r="AG32" s="59"/>
      <c r="AH32" s="59"/>
      <c r="AI32" s="74"/>
      <c r="AJ32" s="74"/>
      <c r="AL32" s="68"/>
      <c r="AM32" s="67"/>
      <c r="AN32" s="67"/>
    </row>
    <row r="33" spans="1:40" ht="15" customHeight="1">
      <c r="A33" s="72"/>
      <c r="B33" s="55" t="str">
        <f ca="1">IF(ISERROR(INDEX(INDIRECT(Grade),8,IF(specyear="1993",2,3))),"",INDEX(INDIRECT(Grade),8,IF(specyear="1993",2,3)))</f>
        <v>No. 50</v>
      </c>
      <c r="C33" s="63" t="s">
        <v>83</v>
      </c>
      <c r="D33" s="55" t="str">
        <f ca="1">IF(ISERROR(INDEX(INDIRECT(Grade),9,IF(specyear="1993",2,3))),"Pan",INDEX(INDIRECT(Grade),9,IF(specyear="1993",2,3)))</f>
        <v>No. 200</v>
      </c>
      <c r="E33" s="104">
        <f>('Combined Gradation'!E36-'Combined Gradation'!E37)</f>
        <v>0.09999999999999998</v>
      </c>
      <c r="F33" s="210">
        <v>2.692</v>
      </c>
      <c r="G33" s="116">
        <f t="shared" si="0"/>
        <v>0.03714710252600296</v>
      </c>
      <c r="H33" s="116">
        <f t="shared" si="1"/>
        <v>0.09999999999999998</v>
      </c>
      <c r="I33" s="104">
        <f>('Combined Gradation'!G36-'Combined Gradation'!G37)</f>
        <v>18.2</v>
      </c>
      <c r="J33" s="210">
        <v>2.68</v>
      </c>
      <c r="K33" s="116">
        <f t="shared" si="2"/>
        <v>6.791044776119402</v>
      </c>
      <c r="L33" s="116">
        <f t="shared" si="3"/>
        <v>18.2</v>
      </c>
      <c r="M33" s="104">
        <f>('Combined Gradation'!I36-'Combined Gradation'!I37)</f>
        <v>0</v>
      </c>
      <c r="N33" s="210"/>
      <c r="O33" s="116">
        <f t="shared" si="4"/>
        <v>0</v>
      </c>
      <c r="P33" s="116">
        <f t="shared" si="5"/>
        <v>0</v>
      </c>
      <c r="Q33" s="104">
        <f>('Combined Gradation'!K36-'Combined Gradation'!K37)</f>
        <v>0</v>
      </c>
      <c r="R33" s="210"/>
      <c r="S33" s="116">
        <f t="shared" si="6"/>
        <v>0</v>
      </c>
      <c r="T33" s="116">
        <f t="shared" si="7"/>
        <v>0</v>
      </c>
      <c r="U33" s="104">
        <f>('Combined Gradation'!M36-'Combined Gradation'!M37)</f>
        <v>0</v>
      </c>
      <c r="V33" s="210"/>
      <c r="W33" s="116">
        <f t="shared" si="8"/>
        <v>0</v>
      </c>
      <c r="X33" s="116">
        <f t="shared" si="9"/>
        <v>0</v>
      </c>
      <c r="Y33" s="104">
        <f>('Combined Gradation'!O36-'Combined Gradation'!O37)</f>
        <v>0</v>
      </c>
      <c r="Z33" s="210"/>
      <c r="AA33" s="116">
        <f t="shared" si="10"/>
        <v>0</v>
      </c>
      <c r="AB33" s="116">
        <f t="shared" si="11"/>
        <v>0</v>
      </c>
      <c r="AC33" s="104">
        <f>('Combined Gradation'!Q36-'Combined Gradation'!Q37)</f>
        <v>0</v>
      </c>
      <c r="AD33" s="210"/>
      <c r="AE33" s="116">
        <f t="shared" si="12"/>
        <v>0</v>
      </c>
      <c r="AF33" s="116">
        <f t="shared" si="13"/>
        <v>0</v>
      </c>
      <c r="AG33" s="59"/>
      <c r="AH33" s="59"/>
      <c r="AI33" s="74"/>
      <c r="AJ33" s="74"/>
      <c r="AL33" s="68"/>
      <c r="AM33" s="67"/>
      <c r="AN33" s="67"/>
    </row>
    <row r="34" spans="1:40" ht="15" customHeight="1">
      <c r="A34" s="72"/>
      <c r="B34" s="55" t="str">
        <f ca="1">IF(ISERROR(INDEX(INDIRECT(Grade),9,IF(specyear="1993",2,3))),"",INDEX(INDIRECT(Grade),9,IF(specyear="1993",2,3)))</f>
        <v>No. 200</v>
      </c>
      <c r="C34" s="63" t="s">
        <v>83</v>
      </c>
      <c r="D34" s="55" t="s">
        <v>166</v>
      </c>
      <c r="E34" s="104">
        <f>('Combined Gradation'!E37-'Combined Gradation'!E38)</f>
        <v>0.4</v>
      </c>
      <c r="F34" s="210">
        <v>2.692</v>
      </c>
      <c r="G34" s="116">
        <f t="shared" si="0"/>
        <v>0.1485884101040119</v>
      </c>
      <c r="H34" s="116">
        <f t="shared" si="1"/>
        <v>0.4</v>
      </c>
      <c r="I34" s="104">
        <f>('Combined Gradation'!G37-'Combined Gradation'!G38)</f>
        <v>12.2</v>
      </c>
      <c r="J34" s="210">
        <v>2.68</v>
      </c>
      <c r="K34" s="116">
        <f t="shared" si="2"/>
        <v>4.552238805970148</v>
      </c>
      <c r="L34" s="116">
        <f t="shared" si="3"/>
        <v>12.2</v>
      </c>
      <c r="M34" s="104">
        <f>('Combined Gradation'!I37-'Combined Gradation'!I38)</f>
        <v>100</v>
      </c>
      <c r="N34" s="210"/>
      <c r="O34" s="116">
        <f t="shared" si="4"/>
        <v>0</v>
      </c>
      <c r="P34" s="116">
        <f t="shared" si="5"/>
        <v>0</v>
      </c>
      <c r="Q34" s="104">
        <f>('Combined Gradation'!K37-'Combined Gradation'!K38)</f>
        <v>0</v>
      </c>
      <c r="R34" s="210"/>
      <c r="S34" s="116">
        <f t="shared" si="6"/>
        <v>0</v>
      </c>
      <c r="T34" s="116">
        <f t="shared" si="7"/>
        <v>0</v>
      </c>
      <c r="U34" s="104">
        <f>('Combined Gradation'!M37-'Combined Gradation'!M38)</f>
        <v>0</v>
      </c>
      <c r="V34" s="210"/>
      <c r="W34" s="116">
        <f t="shared" si="8"/>
        <v>0</v>
      </c>
      <c r="X34" s="116">
        <f t="shared" si="9"/>
        <v>0</v>
      </c>
      <c r="Y34" s="104">
        <f>('Combined Gradation'!O37-'Combined Gradation'!O38)</f>
        <v>0</v>
      </c>
      <c r="Z34" s="210"/>
      <c r="AA34" s="116">
        <f t="shared" si="10"/>
        <v>0</v>
      </c>
      <c r="AB34" s="116">
        <f t="shared" si="11"/>
        <v>0</v>
      </c>
      <c r="AC34" s="104">
        <f>('Combined Gradation'!Q37-'Combined Gradation'!Q38)</f>
        <v>0</v>
      </c>
      <c r="AD34" s="210"/>
      <c r="AE34" s="116">
        <f t="shared" si="12"/>
        <v>0</v>
      </c>
      <c r="AF34" s="116">
        <f t="shared" si="13"/>
        <v>0</v>
      </c>
      <c r="AG34" s="59"/>
      <c r="AH34" s="59"/>
      <c r="AI34" s="74"/>
      <c r="AJ34" s="74"/>
      <c r="AL34" s="68"/>
      <c r="AM34" s="67"/>
      <c r="AN34" s="67"/>
    </row>
    <row r="35" spans="1:33" ht="15" customHeight="1">
      <c r="A35" s="72"/>
      <c r="B35" s="348" t="s">
        <v>86</v>
      </c>
      <c r="C35" s="349"/>
      <c r="D35" s="350"/>
      <c r="E35" s="106">
        <f>SUM(E25:E34)</f>
        <v>100</v>
      </c>
      <c r="F35" s="117">
        <f>IF(ISERROR(SUM(H25:H34)/SUM(G25:G34)),0,SUM(H25:H34)/SUM(G25:G34))</f>
        <v>2.6947396686368057</v>
      </c>
      <c r="G35" s="154"/>
      <c r="H35" s="154"/>
      <c r="I35" s="106">
        <f>SUM(I25:I34)</f>
        <v>100</v>
      </c>
      <c r="J35" s="117">
        <f>IF(ISERROR(SUM(L25:L34)/SUM(K25:K34)),0,SUM(L25:L34)/SUM(K25:K34))</f>
        <v>2.6799999999999997</v>
      </c>
      <c r="K35" s="154"/>
      <c r="L35" s="154"/>
      <c r="M35" s="106">
        <f>SUM(M25:M34)</f>
        <v>100</v>
      </c>
      <c r="N35" s="117">
        <f>IF(ISERROR(SUM(P25:P34)/SUM(O25:O34)),0,SUM(P25:P34)/SUM(O25:O34))</f>
        <v>0</v>
      </c>
      <c r="O35" s="154"/>
      <c r="P35" s="154"/>
      <c r="Q35" s="106">
        <f>SUM(Q25:Q34)</f>
        <v>0</v>
      </c>
      <c r="R35" s="117">
        <f>IF(ISERROR(SUM(T25:T34)/SUM(S25:S34)),0,SUM(T25:T34)/SUM(S25:S34))</f>
        <v>0</v>
      </c>
      <c r="S35" s="154"/>
      <c r="T35" s="154"/>
      <c r="U35" s="106">
        <f>SUM(U25:U34)</f>
        <v>0</v>
      </c>
      <c r="V35" s="117">
        <f>IF(ISERROR(SUM(X25:X34)/SUM(W25:W34)),0,SUM(X25:X34)/SUM(W25:W34))</f>
        <v>0</v>
      </c>
      <c r="W35" s="154"/>
      <c r="X35" s="154"/>
      <c r="Y35" s="106">
        <f>SUM(Y25:Y34)</f>
        <v>0</v>
      </c>
      <c r="Z35" s="117">
        <f>IF(ISERROR(SUM(AB25:AB34)/SUM(AA25:AA34)),0,SUM(AB25:AB34)/SUM(AA25:AA34))</f>
        <v>0</v>
      </c>
      <c r="AA35" s="154"/>
      <c r="AB35" s="154"/>
      <c r="AC35" s="106">
        <f>SUM(AC25:AC34)</f>
        <v>0</v>
      </c>
      <c r="AD35" s="117">
        <f>IF(ISERROR(SUM(AF25:AF34)/SUM(AE25:AE34)),0,SUM(AF25:AF34)/SUM(AE25:AE34))</f>
        <v>0</v>
      </c>
      <c r="AE35" s="115"/>
      <c r="AF35" s="115"/>
      <c r="AG35" s="59"/>
    </row>
    <row r="36" spans="1:33" s="148" customFormat="1" ht="15" customHeight="1">
      <c r="A36" s="155"/>
      <c r="E36" s="156"/>
      <c r="F36" s="156">
        <f>IF(ISERROR(Bin1Frac/F35),0,(Bin1Frac/F35))</f>
        <v>19.29685475937101</v>
      </c>
      <c r="G36" s="156"/>
      <c r="H36" s="156"/>
      <c r="I36" s="156"/>
      <c r="J36" s="156">
        <f>IF(ISERROR(Bin2Frac/J35),0,(Bin2Frac/J35))</f>
        <v>17.537313432835823</v>
      </c>
      <c r="K36" s="156"/>
      <c r="L36" s="156"/>
      <c r="M36" s="156"/>
      <c r="N36" s="156">
        <f>IF(ISERROR(Bin3Frac/N35),0,(Bin3Frac/N35))</f>
        <v>0</v>
      </c>
      <c r="O36" s="156"/>
      <c r="P36" s="156"/>
      <c r="Q36" s="156"/>
      <c r="R36" s="156">
        <f>IF(ISERROR(Bin4Frac/R35),0,(Bin4Frac/R35))</f>
        <v>0</v>
      </c>
      <c r="S36" s="156"/>
      <c r="T36" s="156"/>
      <c r="U36" s="156"/>
      <c r="V36" s="156">
        <f>IF(ISERROR(Bin5Frac/V35),0,(Bin5Frac/V35))</f>
        <v>0</v>
      </c>
      <c r="W36" s="156"/>
      <c r="X36" s="156"/>
      <c r="Y36" s="156"/>
      <c r="Z36" s="156">
        <f>IF(ISERROR(Bin6Frac/Z35),0,(Bin6Frac/Z35))</f>
        <v>0</v>
      </c>
      <c r="AA36" s="156"/>
      <c r="AB36" s="156"/>
      <c r="AC36" s="156"/>
      <c r="AD36" s="156">
        <f>IF(ISERROR(Bin7Frac/AD35),0,(Bin7Frac/AD35))</f>
        <v>0</v>
      </c>
      <c r="AE36" s="157"/>
      <c r="AF36" s="157"/>
      <c r="AG36" s="157"/>
    </row>
    <row r="37" spans="2:33" ht="15" customHeight="1">
      <c r="B37" s="58"/>
      <c r="C37" s="58"/>
      <c r="D37" s="58"/>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row>
    <row r="38" spans="1:33" ht="17.25" customHeight="1">
      <c r="A38" s="119"/>
      <c r="B38" s="120"/>
      <c r="E38" s="387" t="s">
        <v>172</v>
      </c>
      <c r="F38" s="388"/>
      <c r="G38" s="388"/>
      <c r="H38" s="388"/>
      <c r="I38" s="388"/>
      <c r="J38" s="389"/>
      <c r="K38" s="111"/>
      <c r="L38" s="112"/>
      <c r="M38" s="124">
        <f>IF(ISERROR((IF(F36&gt;0,Bin1Frac,0)+IF(J36&gt;0,Bin2Frac,0)+IF(N36&gt;0,Bin3Frac,0)+IF(R36&gt;0,Bin4Frac,0)+IF(V36&gt;0,Bin5Frac,0)+IF(Z36&gt;0,Bin6Frac,0)+IF(AD36&gt;0,Bin7Frac,0))/SUM(F36,J36,N36,R36,V36,Z36,AD36)),"",(IF(F36&gt;0,Bin1Frac,0)+IF(J36&gt;0,Bin2Frac,0)+IF(N36&gt;0,Bin3Frac,0)+IF(R36&gt;0,Bin4Frac,0)+IF(V36&gt;0,Bin5Frac,0)+IF(Z36&gt;0,Bin6Frac,0)+IF(AD36&gt;0,Bin7Frac,0))/SUM(F36,J36,N36,R36,V36,Z36,AD36))</f>
        <v>2.687721885924001</v>
      </c>
      <c r="O38" s="120"/>
      <c r="P38" s="120"/>
      <c r="Q38" s="387" t="s">
        <v>161</v>
      </c>
      <c r="R38" s="388"/>
      <c r="S38" s="388"/>
      <c r="T38" s="388"/>
      <c r="U38" s="388"/>
      <c r="V38" s="389"/>
      <c r="W38" s="120"/>
      <c r="X38" s="120"/>
      <c r="Y38" s="124">
        <f>SGAsph</f>
        <v>1.03</v>
      </c>
      <c r="Z38" s="120"/>
      <c r="AA38" s="120"/>
      <c r="AB38" s="120"/>
      <c r="AD38" s="120"/>
      <c r="AE38" s="120"/>
      <c r="AF38" s="121"/>
      <c r="AG38" s="120"/>
    </row>
    <row r="39" spans="1:47" s="120" customFormat="1" ht="17.25" customHeight="1">
      <c r="A39" s="119"/>
      <c r="AC39" s="121"/>
      <c r="AD39" s="121"/>
      <c r="AE39" s="121"/>
      <c r="AF39" s="121"/>
      <c r="AG39" s="121"/>
      <c r="AH39" s="121"/>
      <c r="AI39" s="121"/>
      <c r="AJ39" s="121"/>
      <c r="AK39" s="122"/>
      <c r="AL39" s="122"/>
      <c r="AM39" s="121"/>
      <c r="AN39" s="121"/>
      <c r="AO39" s="121"/>
      <c r="AP39" s="121"/>
      <c r="AQ39" s="121"/>
      <c r="AR39" s="121"/>
      <c r="AS39" s="121"/>
      <c r="AT39" s="123"/>
      <c r="AU39" s="123"/>
    </row>
    <row r="40" spans="1:40" ht="6" customHeight="1">
      <c r="A40" s="40"/>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row>
    <row r="41" spans="1:9" s="1" customFormat="1" ht="12.75" customHeight="1">
      <c r="A41" s="18"/>
      <c r="B41" s="16" t="s">
        <v>5</v>
      </c>
      <c r="E41" s="17">
        <f ca="1">NOW()</f>
        <v>40500.65580787037</v>
      </c>
      <c r="F41" s="10"/>
      <c r="G41" s="10"/>
      <c r="H41" s="10"/>
      <c r="I41" s="10"/>
    </row>
    <row r="42" spans="1:32" ht="15" customHeight="1">
      <c r="A42" s="18"/>
      <c r="B42" s="309"/>
      <c r="C42" s="310"/>
      <c r="D42" s="310"/>
      <c r="E42" s="310"/>
      <c r="F42" s="310"/>
      <c r="G42" s="310"/>
      <c r="H42" s="310"/>
      <c r="I42" s="310"/>
      <c r="J42" s="310"/>
      <c r="K42" s="310"/>
      <c r="L42" s="310"/>
      <c r="M42" s="310"/>
      <c r="N42" s="310"/>
      <c r="O42" s="310"/>
      <c r="P42" s="310"/>
      <c r="Q42" s="310"/>
      <c r="R42" s="310"/>
      <c r="S42" s="310"/>
      <c r="T42" s="310"/>
      <c r="U42" s="311"/>
      <c r="AE42" s="211"/>
      <c r="AF42" s="211"/>
    </row>
    <row r="43" spans="1:32" ht="15" customHeight="1">
      <c r="A43" s="18"/>
      <c r="B43" s="312"/>
      <c r="C43" s="313"/>
      <c r="D43" s="313"/>
      <c r="E43" s="313"/>
      <c r="F43" s="313"/>
      <c r="G43" s="313"/>
      <c r="H43" s="313"/>
      <c r="I43" s="313"/>
      <c r="J43" s="313"/>
      <c r="K43" s="313"/>
      <c r="L43" s="313"/>
      <c r="M43" s="313"/>
      <c r="N43" s="313"/>
      <c r="O43" s="313"/>
      <c r="P43" s="313"/>
      <c r="Q43" s="313"/>
      <c r="R43" s="313"/>
      <c r="S43" s="313"/>
      <c r="T43" s="313"/>
      <c r="U43" s="314"/>
      <c r="AE43" s="212"/>
      <c r="AF43" s="212"/>
    </row>
    <row r="44" ht="3" customHeight="1"/>
    <row r="45" ht="12.75" customHeight="1"/>
    <row r="46" ht="15" customHeight="1"/>
    <row r="47" ht="12.75" customHeight="1"/>
    <row r="48" ht="15" customHeight="1"/>
    <row r="49" ht="12.75" customHeight="1"/>
    <row r="50" ht="15" customHeight="1"/>
    <row r="51" ht="15" customHeight="1"/>
    <row r="52" ht="15" customHeight="1"/>
    <row r="53" ht="15" customHeight="1"/>
  </sheetData>
  <sheetProtection sheet="1" objects="1" scenarios="1"/>
  <mergeCells count="118">
    <mergeCell ref="B35:D35"/>
    <mergeCell ref="AC18:AD18"/>
    <mergeCell ref="M18:N18"/>
    <mergeCell ref="B19:D19"/>
    <mergeCell ref="B20:D20"/>
    <mergeCell ref="B21:D21"/>
    <mergeCell ref="E21:F21"/>
    <mergeCell ref="Y20:Z20"/>
    <mergeCell ref="E20:F20"/>
    <mergeCell ref="Y21:Z21"/>
    <mergeCell ref="B6:D6"/>
    <mergeCell ref="B7:D7"/>
    <mergeCell ref="B8:D8"/>
    <mergeCell ref="B9:D9"/>
    <mergeCell ref="AM18:AM20"/>
    <mergeCell ref="AC21:AD21"/>
    <mergeCell ref="AA21:AB21"/>
    <mergeCell ref="AA19:AB19"/>
    <mergeCell ref="AC19:AD19"/>
    <mergeCell ref="AA20:AB20"/>
    <mergeCell ref="AC20:AD20"/>
    <mergeCell ref="AN18:AN20"/>
    <mergeCell ref="E19:F19"/>
    <mergeCell ref="Y19:Z19"/>
    <mergeCell ref="AL18:AL20"/>
    <mergeCell ref="Q18:R18"/>
    <mergeCell ref="U18:V18"/>
    <mergeCell ref="Y18:Z18"/>
    <mergeCell ref="E18:F18"/>
    <mergeCell ref="I18:J18"/>
    <mergeCell ref="Q19:R19"/>
    <mergeCell ref="E38:J38"/>
    <mergeCell ref="L23:L24"/>
    <mergeCell ref="M23:M24"/>
    <mergeCell ref="N23:N24"/>
    <mergeCell ref="J23:J24"/>
    <mergeCell ref="K23:K24"/>
    <mergeCell ref="O23:O24"/>
    <mergeCell ref="P23:P24"/>
    <mergeCell ref="Q23:Q24"/>
    <mergeCell ref="Q38:V38"/>
    <mergeCell ref="V23:V24"/>
    <mergeCell ref="R23:R24"/>
    <mergeCell ref="S23:S24"/>
    <mergeCell ref="T23:T24"/>
    <mergeCell ref="U23:U24"/>
    <mergeCell ref="J8:N8"/>
    <mergeCell ref="J9:N9"/>
    <mergeCell ref="J6:N6"/>
    <mergeCell ref="J7:N7"/>
    <mergeCell ref="B12:D12"/>
    <mergeCell ref="B13:D13"/>
    <mergeCell ref="B14:D14"/>
    <mergeCell ref="J10:N10"/>
    <mergeCell ref="J11:N11"/>
    <mergeCell ref="B10:D10"/>
    <mergeCell ref="B11:D11"/>
    <mergeCell ref="E10:I10"/>
    <mergeCell ref="E11:I11"/>
    <mergeCell ref="E12:I12"/>
    <mergeCell ref="S19:T19"/>
    <mergeCell ref="U19:V19"/>
    <mergeCell ref="W19:X19"/>
    <mergeCell ref="I19:J19"/>
    <mergeCell ref="K19:L19"/>
    <mergeCell ref="M19:N19"/>
    <mergeCell ref="O19:P19"/>
    <mergeCell ref="I20:J20"/>
    <mergeCell ref="K20:L20"/>
    <mergeCell ref="M20:N20"/>
    <mergeCell ref="O20:P20"/>
    <mergeCell ref="Q20:R20"/>
    <mergeCell ref="S20:T20"/>
    <mergeCell ref="U20:V20"/>
    <mergeCell ref="W20:X20"/>
    <mergeCell ref="I21:J21"/>
    <mergeCell ref="K21:L21"/>
    <mergeCell ref="M21:N21"/>
    <mergeCell ref="O21:P21"/>
    <mergeCell ref="Q21:R21"/>
    <mergeCell ref="S21:T21"/>
    <mergeCell ref="U21:V21"/>
    <mergeCell ref="W21:X21"/>
    <mergeCell ref="W23:W24"/>
    <mergeCell ref="AD23:AD24"/>
    <mergeCell ref="Z23:Z24"/>
    <mergeCell ref="AA23:AA24"/>
    <mergeCell ref="AB23:AB24"/>
    <mergeCell ref="AC23:AC24"/>
    <mergeCell ref="X23:X24"/>
    <mergeCell ref="Y23:Y24"/>
    <mergeCell ref="E6:I6"/>
    <mergeCell ref="E7:I7"/>
    <mergeCell ref="E8:I8"/>
    <mergeCell ref="E9:I9"/>
    <mergeCell ref="J12:N12"/>
    <mergeCell ref="J14:N14"/>
    <mergeCell ref="B42:U43"/>
    <mergeCell ref="F16:I16"/>
    <mergeCell ref="B16:D16"/>
    <mergeCell ref="B23:D23"/>
    <mergeCell ref="B24:D24"/>
    <mergeCell ref="E23:E24"/>
    <mergeCell ref="F23:F24"/>
    <mergeCell ref="I23:I24"/>
    <mergeCell ref="Q6:U6"/>
    <mergeCell ref="Q7:U7"/>
    <mergeCell ref="Q8:U8"/>
    <mergeCell ref="Q9:U9"/>
    <mergeCell ref="Q10:U10"/>
    <mergeCell ref="Q11:U11"/>
    <mergeCell ref="Q12:U12"/>
    <mergeCell ref="Q14:U14"/>
    <mergeCell ref="R16:U16"/>
    <mergeCell ref="E13:U13"/>
    <mergeCell ref="N16:Q16"/>
    <mergeCell ref="J16:M16"/>
    <mergeCell ref="E14:I14"/>
  </mergeCells>
  <conditionalFormatting sqref="AE39 U37 AI39 E36:E37 O36:P37 AN39:AS39 AF36:AF39 AE36:AE37 Z36:Z37 J36:J37 D35 B37:D37">
    <cfRule type="expression" priority="1" dxfId="0" stopIfTrue="1">
      <formula>(SUM(SSize9,MixDes9,JMFDes9)=0)</formula>
    </cfRule>
  </conditionalFormatting>
  <conditionalFormatting sqref="B35">
    <cfRule type="expression" priority="2" dxfId="0" stopIfTrue="1">
      <formula>(SUM(SSize8,MixDes8,JMFDes8)=0)</formula>
    </cfRule>
  </conditionalFormatting>
  <conditionalFormatting sqref="AG39:AH39 E35 M38 Y38 AC39:AD39 AE25:AF35 AG36:AG37 O35:AD35 J35 K35:N37 F35:I37 AK25:AM34 R36:T37 V36:Y37 AA36:AD37 Q37 AH25:AH34 AJ39:AM39 C35">
    <cfRule type="expression" priority="3" dxfId="0" stopIfTrue="1">
      <formula>(SUM(SSize1,MixDes1,JMFDes1)=0)</formula>
    </cfRule>
  </conditionalFormatting>
  <conditionalFormatting sqref="B34:I34 K34:AD34">
    <cfRule type="expression" priority="4" dxfId="0" stopIfTrue="1">
      <formula>AND(SSize9=0,SUM($F34,$J34,$N34,$R34,$V34,$Z34,$AD34)=0)</formula>
    </cfRule>
  </conditionalFormatting>
  <conditionalFormatting sqref="B33:I33 K33:AD33">
    <cfRule type="expression" priority="5" dxfId="0" stopIfTrue="1">
      <formula>AND(SSize8=0,SUM($F33,$J33,$N33,$R33,$V33,$Z33,$AD33)=0)</formula>
    </cfRule>
  </conditionalFormatting>
  <conditionalFormatting sqref="B32:I32 K32:AD32">
    <cfRule type="expression" priority="6" dxfId="0" stopIfTrue="1">
      <formula>AND(SSize7=0,SUM($F32,$J32,$N32,$R32,$V32,$Z32,$AD32)=0)</formula>
    </cfRule>
  </conditionalFormatting>
  <conditionalFormatting sqref="B31:I31 K31:AD31">
    <cfRule type="expression" priority="7" dxfId="0" stopIfTrue="1">
      <formula>AND(SSize6=0,SUM($F31,$J31,$N31,$R31,$V31,$Z31,$AD31)=0)</formula>
    </cfRule>
  </conditionalFormatting>
  <conditionalFormatting sqref="B30:I30 K30:AD30">
    <cfRule type="expression" priority="8" dxfId="0" stopIfTrue="1">
      <formula>AND(SSize5=0,SUM($F30,$J30,$N30,$R30,$V30,$Z30,$AD30)=0)</formula>
    </cfRule>
  </conditionalFormatting>
  <conditionalFormatting sqref="B29:I29 K29:AD29">
    <cfRule type="expression" priority="9" dxfId="0" stopIfTrue="1">
      <formula>AND(SSize4=0,SUM($F29,$J29,$N29,$R29,$V29,$Z29,$AD29)=0)</formula>
    </cfRule>
  </conditionalFormatting>
  <conditionalFormatting sqref="B28:AD28 J29:J34">
    <cfRule type="expression" priority="10" dxfId="0" stopIfTrue="1">
      <formula>AND(SSize3=0,SUM($F28,$J28,$N28,$R28,$V28,$Z28,$AD28)=0)</formula>
    </cfRule>
  </conditionalFormatting>
  <conditionalFormatting sqref="B27:AD27">
    <cfRule type="expression" priority="11" dxfId="0" stopIfTrue="1">
      <formula>AND(SSize2=0,SUM($F27,$J27,$N27,$R27,$V27,$Z27,$AD27)=0)</formula>
    </cfRule>
  </conditionalFormatting>
  <conditionalFormatting sqref="B26:AD26">
    <cfRule type="expression" priority="12" dxfId="0" stopIfTrue="1">
      <formula>AND(SSize1=0,SUM($F26,$J26,$N26,$R26,$V26,$Z26,$AD26)=0)</formula>
    </cfRule>
  </conditionalFormatting>
  <dataValidations count="10">
    <dataValidation type="textLength" operator="lessThan" allowBlank="1" showInputMessage="1" showErrorMessage="1" errorTitle="Text Length" error="Please limit the text length to 200 characters." sqref="AE42:AF43 B42:U43">
      <formula1>201</formula1>
    </dataValidation>
    <dataValidation type="custom" allowBlank="1" showInputMessage="1" showErrorMessage="1" sqref="F34 AD34 N34 R34 V34 Z34">
      <formula1>SSize9&lt;&gt;0</formula1>
    </dataValidation>
    <dataValidation type="custom" allowBlank="1" showInputMessage="1" showErrorMessage="1" sqref="F33 AD33 N33 R33 V33 Z33">
      <formula1>SSize8&lt;&gt;0</formula1>
    </dataValidation>
    <dataValidation type="custom" allowBlank="1" showInputMessage="1" showErrorMessage="1" sqref="F32 AD32 N32 R32 V32 Z32">
      <formula1>SSize7&lt;&gt;0</formula1>
    </dataValidation>
    <dataValidation type="custom" allowBlank="1" showInputMessage="1" showErrorMessage="1" sqref="F31 AD31 N31 R31 V31 Z31">
      <formula1>SSize6&lt;&gt;0</formula1>
    </dataValidation>
    <dataValidation type="custom" allowBlank="1" showInputMessage="1" showErrorMessage="1" sqref="F30 AD30 N30 R30 V30 Z30">
      <formula1>SSize5&lt;&gt;0</formula1>
    </dataValidation>
    <dataValidation type="custom" allowBlank="1" showInputMessage="1" showErrorMessage="1" sqref="F29 AD29 N29 R29 V29 Z29">
      <formula1>SSize4&lt;&gt;0</formula1>
    </dataValidation>
    <dataValidation type="custom" allowBlank="1" showInputMessage="1" showErrorMessage="1" sqref="F28 J28:J34 N28 R28 V28 Z28 AD28">
      <formula1>SSize3&lt;&gt;0</formula1>
    </dataValidation>
    <dataValidation type="custom" allowBlank="1" showInputMessage="1" showErrorMessage="1" sqref="F27 J27 N27 R27 V27 Z27 AD27">
      <formula1>SSize2&lt;&gt;0</formula1>
    </dataValidation>
    <dataValidation type="custom" allowBlank="1" showInputMessage="1" showErrorMessage="1" sqref="F26 J26 N26 R26 V26 Z26 AD26">
      <formula1>SSize1&lt;&gt;0</formula1>
    </dataValidation>
  </dataValidations>
  <printOptions/>
  <pageMargins left="0.25" right="0.25" top="0.32" bottom="0.4" header="0.17" footer="0.23"/>
  <pageSetup fitToHeight="1" fitToWidth="1" horizontalDpi="600" verticalDpi="600" orientation="landscape" scale="93"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AS56"/>
  <sheetViews>
    <sheetView showGridLines="0" showZeros="0" workbookViewId="0" topLeftCell="A1">
      <selection activeCell="AE29" sqref="AE29"/>
    </sheetView>
  </sheetViews>
  <sheetFormatPr defaultColWidth="9.140625" defaultRowHeight="15" customHeight="1"/>
  <cols>
    <col min="1" max="1" width="1.28515625" style="20" customWidth="1"/>
    <col min="2" max="6" width="8.00390625" style="10" customWidth="1"/>
    <col min="7" max="7" width="8.140625" style="10" customWidth="1"/>
    <col min="8" max="13" width="8.00390625" style="10" customWidth="1"/>
    <col min="14" max="20" width="7.7109375" style="10" hidden="1" customWidth="1"/>
    <col min="21" max="16384" width="7.7109375" style="10" customWidth="1"/>
  </cols>
  <sheetData>
    <row r="1" spans="1:44" s="5" customFormat="1" ht="15" customHeight="1">
      <c r="A1" s="18"/>
      <c r="B1" s="176" t="s">
        <v>0</v>
      </c>
      <c r="C1" s="2"/>
      <c r="D1" s="2"/>
      <c r="E1" s="2"/>
      <c r="F1" s="2"/>
      <c r="G1" s="3"/>
      <c r="H1" s="3"/>
      <c r="I1" s="3"/>
      <c r="J1" s="3"/>
      <c r="K1" s="3"/>
      <c r="L1" s="3"/>
      <c r="M1" s="3"/>
      <c r="N1"/>
      <c r="O1"/>
      <c r="P1"/>
      <c r="Q1"/>
      <c r="R1"/>
      <c r="S1"/>
      <c r="T1"/>
      <c r="U1"/>
      <c r="V1"/>
      <c r="W1"/>
      <c r="X1"/>
      <c r="Y1" s="18"/>
      <c r="Z1" s="18"/>
      <c r="AA1" s="142"/>
      <c r="AB1" s="93"/>
      <c r="AC1" s="18"/>
      <c r="AD1" s="18"/>
      <c r="AE1" s="18"/>
      <c r="AF1" s="18"/>
      <c r="AG1" s="18"/>
      <c r="AH1" s="18"/>
      <c r="AI1" s="18"/>
      <c r="AJ1" s="40"/>
      <c r="AK1" s="40"/>
      <c r="AL1" s="93"/>
      <c r="AM1" s="93"/>
      <c r="AN1" s="93"/>
      <c r="AO1" s="93"/>
      <c r="AP1" s="93"/>
      <c r="AR1" s="6"/>
    </row>
    <row r="2" spans="1:44" s="5" customFormat="1" ht="15" customHeight="1">
      <c r="A2" s="18"/>
      <c r="B2" s="2">
        <f>IF(location="","",location)</f>
      </c>
      <c r="C2" s="2"/>
      <c r="D2" s="2"/>
      <c r="E2" s="2"/>
      <c r="F2" s="2"/>
      <c r="G2" s="3"/>
      <c r="H2" s="3"/>
      <c r="I2" s="3"/>
      <c r="J2" s="3"/>
      <c r="K2" s="3"/>
      <c r="L2" s="3"/>
      <c r="M2" s="3"/>
      <c r="N2"/>
      <c r="O2"/>
      <c r="P2"/>
      <c r="Q2"/>
      <c r="R2"/>
      <c r="S2"/>
      <c r="T2"/>
      <c r="U2"/>
      <c r="V2"/>
      <c r="W2"/>
      <c r="X2"/>
      <c r="Y2" s="19"/>
      <c r="Z2" s="18"/>
      <c r="AA2" s="142"/>
      <c r="AB2" s="93"/>
      <c r="AC2" s="4"/>
      <c r="AD2" s="4"/>
      <c r="AE2" s="4"/>
      <c r="AF2" s="4"/>
      <c r="AG2" s="4"/>
      <c r="AH2" s="4"/>
      <c r="AI2" s="4"/>
      <c r="AJ2" s="4"/>
      <c r="AK2" s="4"/>
      <c r="AL2" s="95"/>
      <c r="AM2" s="95"/>
      <c r="AN2" s="6"/>
      <c r="AO2" s="6"/>
      <c r="AP2" s="6"/>
      <c r="AQ2" s="6"/>
      <c r="AR2" s="96"/>
    </row>
    <row r="3" spans="1:45" s="5" customFormat="1" ht="5.25" customHeight="1">
      <c r="A3" s="19"/>
      <c r="B3" s="8"/>
      <c r="C3" s="8"/>
      <c r="D3" s="8"/>
      <c r="E3" s="8"/>
      <c r="F3" s="8"/>
      <c r="G3" s="3"/>
      <c r="H3" s="3"/>
      <c r="I3" s="3"/>
      <c r="J3" s="3"/>
      <c r="K3" s="3"/>
      <c r="L3" s="3"/>
      <c r="M3" s="3"/>
      <c r="N3"/>
      <c r="O3"/>
      <c r="P3"/>
      <c r="Q3"/>
      <c r="R3"/>
      <c r="S3"/>
      <c r="T3"/>
      <c r="U3"/>
      <c r="V3"/>
      <c r="W3"/>
      <c r="X3"/>
      <c r="Y3" s="19"/>
      <c r="Z3" s="19"/>
      <c r="AA3" s="142"/>
      <c r="AB3" s="19"/>
      <c r="AC3" s="3"/>
      <c r="AD3" s="3"/>
      <c r="AE3" s="3"/>
      <c r="AF3" s="3"/>
      <c r="AG3" s="3"/>
      <c r="AH3" s="3"/>
      <c r="AI3" s="3"/>
      <c r="AJ3" s="3"/>
      <c r="AK3" s="3"/>
      <c r="AL3" s="97"/>
      <c r="AM3" s="97"/>
      <c r="AN3" s="6"/>
      <c r="AO3" s="6"/>
      <c r="AP3" s="6"/>
      <c r="AQ3" s="6"/>
      <c r="AR3" s="96"/>
      <c r="AS3" s="7"/>
    </row>
    <row r="4" spans="1:44" s="5" customFormat="1" ht="14.25" customHeight="1">
      <c r="A4" s="18"/>
      <c r="B4" s="9" t="s">
        <v>193</v>
      </c>
      <c r="C4" s="9"/>
      <c r="D4" s="9"/>
      <c r="E4" s="9"/>
      <c r="F4" s="9"/>
      <c r="G4" s="3"/>
      <c r="H4" s="3"/>
      <c r="I4" s="3"/>
      <c r="J4" s="3"/>
      <c r="K4" s="4"/>
      <c r="L4" s="4"/>
      <c r="M4" s="4"/>
      <c r="N4"/>
      <c r="O4"/>
      <c r="P4"/>
      <c r="Q4"/>
      <c r="R4"/>
      <c r="S4"/>
      <c r="T4"/>
      <c r="U4"/>
      <c r="V4"/>
      <c r="W4"/>
      <c r="X4"/>
      <c r="Y4" s="18"/>
      <c r="Z4" s="18"/>
      <c r="AA4" s="142"/>
      <c r="AB4" s="98"/>
      <c r="AC4" s="18"/>
      <c r="AD4" s="18"/>
      <c r="AE4" s="18"/>
      <c r="AF4" s="40"/>
      <c r="AG4" s="40"/>
      <c r="AH4" s="93"/>
      <c r="AI4" s="93"/>
      <c r="AJ4" s="94"/>
      <c r="AK4" s="94"/>
      <c r="AL4" s="93"/>
      <c r="AM4" s="93"/>
      <c r="AO4" s="6"/>
      <c r="AP4" s="6"/>
      <c r="AQ4" s="6"/>
      <c r="AR4" s="6"/>
    </row>
    <row r="5" spans="1:42" s="5" customFormat="1" ht="10.5" customHeight="1">
      <c r="A5" s="18"/>
      <c r="G5" s="1"/>
      <c r="H5" s="1"/>
      <c r="I5" s="1"/>
      <c r="J5" s="1"/>
      <c r="K5" s="1"/>
      <c r="L5" s="1"/>
      <c r="M5" s="91" t="str">
        <f>"File Version: "&amp;TEXT(MID(sn,SEARCH("::",sn,1)+2,20),"mm/dd/yy hh:mm:ss")</f>
        <v>File Version: 01/28/04 14:02:18</v>
      </c>
      <c r="N5"/>
      <c r="O5"/>
      <c r="P5"/>
      <c r="Q5"/>
      <c r="R5"/>
      <c r="S5"/>
      <c r="T5"/>
      <c r="U5"/>
      <c r="V5"/>
      <c r="W5"/>
      <c r="X5"/>
      <c r="Y5"/>
      <c r="Z5"/>
      <c r="AA5"/>
      <c r="AB5"/>
      <c r="AC5"/>
      <c r="AF5" s="6"/>
      <c r="AG5" s="6"/>
      <c r="AH5" s="7"/>
      <c r="AI5" s="7"/>
      <c r="AJ5" s="6"/>
      <c r="AK5" s="6"/>
      <c r="AL5" s="6"/>
      <c r="AM5" s="6"/>
      <c r="AN5" s="6"/>
      <c r="AO5" s="6"/>
      <c r="AP5" s="6"/>
    </row>
    <row r="6" spans="1:41" s="5" customFormat="1" ht="15" customHeight="1">
      <c r="A6" s="18"/>
      <c r="B6" s="270" t="s">
        <v>67</v>
      </c>
      <c r="C6" s="271"/>
      <c r="D6" s="272"/>
      <c r="E6" s="255" t="str">
        <f>IF(sampleid="","",sampleid)</f>
        <v>TTI_ Lubbock</v>
      </c>
      <c r="F6" s="255"/>
      <c r="G6" s="255"/>
      <c r="H6" s="351" t="s">
        <v>146</v>
      </c>
      <c r="I6" s="352"/>
      <c r="J6" s="353"/>
      <c r="K6" s="319" t="str">
        <f>IF(sampleddate="","",sampleddate)</f>
        <v>03/01/2009</v>
      </c>
      <c r="L6" s="320"/>
      <c r="M6" s="321"/>
      <c r="N6"/>
      <c r="O6"/>
      <c r="P6"/>
      <c r="Q6"/>
      <c r="R6"/>
      <c r="S6"/>
      <c r="T6"/>
      <c r="U6"/>
      <c r="V6"/>
      <c r="W6"/>
      <c r="X6"/>
      <c r="Y6"/>
      <c r="Z6"/>
      <c r="AA6"/>
      <c r="AB6"/>
      <c r="AI6" s="6"/>
      <c r="AJ6" s="6"/>
      <c r="AK6" s="6"/>
      <c r="AL6" s="6"/>
      <c r="AM6" s="6"/>
      <c r="AN6" s="6"/>
      <c r="AO6" s="6"/>
    </row>
    <row r="7" spans="1:41" s="5" customFormat="1" ht="15" customHeight="1">
      <c r="A7" s="40"/>
      <c r="B7" s="270" t="s">
        <v>68</v>
      </c>
      <c r="C7" s="271"/>
      <c r="D7" s="272"/>
      <c r="E7" s="255">
        <f>IF(testnumber="","",testnumber)</f>
      </c>
      <c r="F7" s="255"/>
      <c r="G7" s="255"/>
      <c r="H7" s="351" t="s">
        <v>69</v>
      </c>
      <c r="I7" s="352"/>
      <c r="J7" s="353"/>
      <c r="K7" s="319" t="str">
        <f>IF(lettingdate="","",lettingdate)</f>
        <v>September 2004</v>
      </c>
      <c r="L7" s="320"/>
      <c r="M7" s="321"/>
      <c r="N7"/>
      <c r="O7"/>
      <c r="P7"/>
      <c r="Q7"/>
      <c r="R7"/>
      <c r="S7"/>
      <c r="T7"/>
      <c r="U7"/>
      <c r="V7"/>
      <c r="W7"/>
      <c r="X7"/>
      <c r="AI7" s="6"/>
      <c r="AJ7" s="6"/>
      <c r="AK7" s="6"/>
      <c r="AL7" s="6"/>
      <c r="AM7" s="6"/>
      <c r="AN7" s="6"/>
      <c r="AO7" s="6"/>
    </row>
    <row r="8" spans="1:41" s="5" customFormat="1" ht="15" customHeight="1">
      <c r="A8" s="40"/>
      <c r="B8" s="270" t="s">
        <v>70</v>
      </c>
      <c r="C8" s="271"/>
      <c r="D8" s="272"/>
      <c r="E8" s="255">
        <f>IF(status="","",status)</f>
      </c>
      <c r="F8" s="255"/>
      <c r="G8" s="255"/>
      <c r="H8" s="351" t="s">
        <v>71</v>
      </c>
      <c r="I8" s="352"/>
      <c r="J8" s="353"/>
      <c r="K8" s="319" t="str">
        <f>IF(ccsj="","",ccsj)</f>
        <v>1006-02-005</v>
      </c>
      <c r="L8" s="320"/>
      <c r="M8" s="321"/>
      <c r="N8"/>
      <c r="O8"/>
      <c r="P8"/>
      <c r="Q8"/>
      <c r="R8"/>
      <c r="S8"/>
      <c r="T8"/>
      <c r="U8"/>
      <c r="V8"/>
      <c r="W8"/>
      <c r="X8"/>
      <c r="AI8" s="6"/>
      <c r="AJ8" s="6"/>
      <c r="AK8" s="6"/>
      <c r="AL8" s="6"/>
      <c r="AM8" s="6"/>
      <c r="AN8" s="6"/>
      <c r="AO8" s="6"/>
    </row>
    <row r="9" spans="1:28" s="5" customFormat="1" ht="15" customHeight="1">
      <c r="A9" s="40"/>
      <c r="B9" s="270" t="s">
        <v>72</v>
      </c>
      <c r="C9" s="271"/>
      <c r="D9" s="272"/>
      <c r="E9" s="255">
        <f>IF(county="","",county)</f>
      </c>
      <c r="F9" s="255"/>
      <c r="G9" s="255"/>
      <c r="H9" s="351" t="s">
        <v>73</v>
      </c>
      <c r="I9" s="352"/>
      <c r="J9" s="353"/>
      <c r="K9" s="319">
        <f>IF(county="","",county)</f>
      </c>
      <c r="L9" s="320"/>
      <c r="M9" s="321"/>
      <c r="N9"/>
      <c r="O9"/>
      <c r="P9"/>
      <c r="Q9"/>
      <c r="R9"/>
      <c r="S9"/>
      <c r="T9"/>
      <c r="U9"/>
      <c r="V9"/>
      <c r="W9"/>
      <c r="X9"/>
      <c r="Y9" s="10"/>
      <c r="Z9" s="10"/>
      <c r="AA9" s="10"/>
      <c r="AB9" s="10"/>
    </row>
    <row r="10" spans="1:24" s="5" customFormat="1" ht="15" customHeight="1">
      <c r="A10" s="40"/>
      <c r="B10" s="270" t="s">
        <v>74</v>
      </c>
      <c r="C10" s="271"/>
      <c r="D10" s="272"/>
      <c r="E10" s="255" t="str">
        <f>IF(sampledby="","",sampledby)</f>
        <v>Xiaodi</v>
      </c>
      <c r="F10" s="255"/>
      <c r="G10" s="255"/>
      <c r="H10" s="270" t="s">
        <v>75</v>
      </c>
      <c r="I10" s="271"/>
      <c r="J10" s="272"/>
      <c r="K10" s="319">
        <f>IF(specitem="","",specitem)</f>
      </c>
      <c r="L10" s="320"/>
      <c r="M10" s="321"/>
      <c r="N10"/>
      <c r="O10"/>
      <c r="P10"/>
      <c r="Q10"/>
      <c r="R10"/>
      <c r="S10"/>
      <c r="T10"/>
      <c r="U10"/>
      <c r="V10"/>
      <c r="W10"/>
      <c r="X10"/>
    </row>
    <row r="11" spans="1:13" ht="15" customHeight="1">
      <c r="A11" s="40"/>
      <c r="B11" s="270" t="s">
        <v>76</v>
      </c>
      <c r="C11" s="271"/>
      <c r="D11" s="272"/>
      <c r="E11" s="255">
        <f>IF(samplelocation="","",samplelocation)</f>
      </c>
      <c r="F11" s="255"/>
      <c r="G11" s="255"/>
      <c r="H11" s="351" t="s">
        <v>77</v>
      </c>
      <c r="I11" s="352"/>
      <c r="J11" s="353"/>
      <c r="K11" s="322" t="str">
        <f>IF(specialprovision="","",specialprovision)</f>
        <v>NONE</v>
      </c>
      <c r="L11" s="323"/>
      <c r="M11" s="324"/>
    </row>
    <row r="12" spans="1:13" ht="15" customHeight="1">
      <c r="A12" s="40"/>
      <c r="B12" s="270" t="s">
        <v>78</v>
      </c>
      <c r="C12" s="271"/>
      <c r="D12" s="272"/>
      <c r="E12" s="255" t="str">
        <f>IF(material="","",material)</f>
        <v>CAM </v>
      </c>
      <c r="F12" s="255"/>
      <c r="G12" s="255"/>
      <c r="H12" s="270" t="s">
        <v>79</v>
      </c>
      <c r="I12" s="271"/>
      <c r="J12" s="272"/>
      <c r="K12" s="322" t="str">
        <f>IF(Grade="","",Grade)</f>
        <v>Other</v>
      </c>
      <c r="L12" s="323"/>
      <c r="M12" s="324"/>
    </row>
    <row r="13" spans="1:13" ht="15" customHeight="1">
      <c r="A13" s="40"/>
      <c r="B13" s="270" t="s">
        <v>80</v>
      </c>
      <c r="C13" s="271"/>
      <c r="D13" s="272"/>
      <c r="E13" s="357" t="str">
        <f>IF(producer="","",producer)</f>
        <v>TTI Lab Design</v>
      </c>
      <c r="F13" s="358"/>
      <c r="G13" s="358"/>
      <c r="H13" s="358"/>
      <c r="I13" s="358"/>
      <c r="J13" s="358"/>
      <c r="K13" s="358"/>
      <c r="L13" s="358"/>
      <c r="M13" s="359"/>
    </row>
    <row r="14" spans="1:13" ht="15" customHeight="1">
      <c r="A14" s="40"/>
      <c r="B14" s="270" t="s">
        <v>81</v>
      </c>
      <c r="C14" s="271"/>
      <c r="D14" s="272"/>
      <c r="E14" s="255">
        <f>IF(areaengineer="","",areaengineer)</f>
      </c>
      <c r="F14" s="255"/>
      <c r="G14" s="255"/>
      <c r="H14" s="254" t="s">
        <v>82</v>
      </c>
      <c r="I14" s="254"/>
      <c r="J14" s="254"/>
      <c r="K14" s="354">
        <f>IF(projectmanager="","",projectmanager)</f>
      </c>
      <c r="L14" s="355"/>
      <c r="M14" s="356"/>
    </row>
    <row r="15" spans="1:13" ht="6" customHeight="1">
      <c r="A15" s="40"/>
      <c r="B15" s="11"/>
      <c r="C15" s="11"/>
      <c r="D15" s="11"/>
      <c r="E15" s="11"/>
      <c r="F15" s="12"/>
      <c r="G15" s="12"/>
      <c r="H15" s="12"/>
      <c r="I15" s="12"/>
      <c r="J15" s="12"/>
      <c r="K15" s="12"/>
      <c r="L15" s="12"/>
      <c r="M15" s="12"/>
    </row>
    <row r="16" spans="1:13" ht="15" customHeight="1">
      <c r="A16" s="40"/>
      <c r="B16" s="270" t="s">
        <v>1</v>
      </c>
      <c r="C16" s="271"/>
      <c r="D16" s="272"/>
      <c r="E16" s="150">
        <f>IF(courselift="","",courselift)</f>
      </c>
      <c r="F16" s="244" t="s">
        <v>2</v>
      </c>
      <c r="G16" s="240"/>
      <c r="H16" s="307">
        <f>IF(station="","",station)</f>
      </c>
      <c r="I16" s="308"/>
      <c r="J16" s="244" t="s">
        <v>3</v>
      </c>
      <c r="K16" s="240"/>
      <c r="L16" s="307">
        <f>IF(distfromcl="","",distfromcl)</f>
      </c>
      <c r="M16" s="308"/>
    </row>
    <row r="17" ht="15" customHeight="1">
      <c r="S17" s="10"/>
    </row>
    <row r="18" spans="1:40" s="5" customFormat="1" ht="15" customHeight="1">
      <c r="A18" s="40"/>
      <c r="B18" s="402" t="s">
        <v>181</v>
      </c>
      <c r="C18" s="403"/>
      <c r="D18" s="347"/>
      <c r="E18" s="404"/>
      <c r="F18" s="405"/>
      <c r="G18" s="113" t="s">
        <v>64</v>
      </c>
      <c r="H18"/>
      <c r="I18" s="68"/>
      <c r="J18" s="68"/>
      <c r="K18" s="68"/>
      <c r="L18" s="68"/>
      <c r="M18" s="68"/>
      <c r="N18" s="68"/>
      <c r="O18" s="68"/>
      <c r="P18" s="68"/>
      <c r="Q18" s="68"/>
      <c r="R18" s="68"/>
      <c r="U18" s="15"/>
      <c r="V18" s="15"/>
      <c r="W18" s="15"/>
      <c r="X18" s="15"/>
      <c r="Y18" s="15"/>
      <c r="Z18" s="15"/>
      <c r="AA18" s="15"/>
      <c r="AB18" s="15"/>
      <c r="AC18" s="15"/>
      <c r="AD18" s="15"/>
      <c r="AE18" s="15"/>
      <c r="AF18" s="15"/>
      <c r="AG18" s="15"/>
      <c r="AH18" s="15"/>
      <c r="AI18" s="15"/>
      <c r="AJ18" s="15"/>
      <c r="AK18" s="15"/>
      <c r="AL18" s="15"/>
      <c r="AM18" s="15"/>
      <c r="AN18" s="15"/>
    </row>
    <row r="19" spans="1:40" s="5" customFormat="1" ht="15" customHeight="1">
      <c r="A19" s="40"/>
      <c r="B19" s="414" t="s">
        <v>307</v>
      </c>
      <c r="C19" s="415"/>
      <c r="D19" s="416"/>
      <c r="E19" s="404"/>
      <c r="F19" s="405"/>
      <c r="G19" s="113"/>
      <c r="H19"/>
      <c r="I19" s="68"/>
      <c r="J19" s="68"/>
      <c r="K19" s="68"/>
      <c r="L19" s="68"/>
      <c r="M19" s="68"/>
      <c r="N19" s="68"/>
      <c r="O19" s="68"/>
      <c r="P19" s="68"/>
      <c r="Q19" s="68"/>
      <c r="R19" s="68"/>
      <c r="U19" s="15"/>
      <c r="V19" s="15"/>
      <c r="W19" s="15"/>
      <c r="X19" s="15"/>
      <c r="Y19" s="15"/>
      <c r="Z19" s="15"/>
      <c r="AA19" s="15"/>
      <c r="AB19" s="15"/>
      <c r="AC19" s="15"/>
      <c r="AD19" s="15"/>
      <c r="AE19" s="15"/>
      <c r="AF19" s="15"/>
      <c r="AG19" s="15"/>
      <c r="AH19" s="15"/>
      <c r="AI19" s="15"/>
      <c r="AJ19" s="15"/>
      <c r="AK19" s="15"/>
      <c r="AL19" s="15"/>
      <c r="AM19" s="15"/>
      <c r="AN19" s="15"/>
    </row>
    <row r="20" spans="1:40" s="5" customFormat="1" ht="15" customHeight="1">
      <c r="A20" s="40"/>
      <c r="D20" s="14"/>
      <c r="E20" s="14"/>
      <c r="F20" s="14"/>
      <c r="G20" s="14"/>
      <c r="H20" s="14"/>
      <c r="I20" s="15"/>
      <c r="J20" s="15"/>
      <c r="K20" s="15"/>
      <c r="L20" s="15"/>
      <c r="M20" s="15"/>
      <c r="N20" s="15"/>
      <c r="O20" s="15"/>
      <c r="P20" s="15"/>
      <c r="Q20" s="15"/>
      <c r="R20" s="15"/>
      <c r="S20" s="15"/>
      <c r="U20" s="15"/>
      <c r="V20" s="15"/>
      <c r="W20" s="443" t="s">
        <v>301</v>
      </c>
      <c r="X20" s="444"/>
      <c r="Y20" s="423" t="s">
        <v>298</v>
      </c>
      <c r="Z20" s="424"/>
      <c r="AA20" s="424"/>
      <c r="AB20" s="425"/>
      <c r="AC20" s="15"/>
      <c r="AD20" s="15"/>
      <c r="AE20" s="15"/>
      <c r="AF20" s="15"/>
      <c r="AG20" s="15"/>
      <c r="AH20" s="15"/>
      <c r="AI20" s="15"/>
      <c r="AJ20" s="15"/>
      <c r="AK20" s="15"/>
      <c r="AL20" s="15"/>
      <c r="AM20" s="15"/>
      <c r="AN20" s="15"/>
    </row>
    <row r="21" spans="1:40" s="5" customFormat="1" ht="15" customHeight="1">
      <c r="A21" s="40"/>
      <c r="B21" s="426" t="s">
        <v>89</v>
      </c>
      <c r="C21" s="427"/>
      <c r="D21" s="419" t="s">
        <v>201</v>
      </c>
      <c r="E21" s="420"/>
      <c r="F21" s="419" t="s">
        <v>204</v>
      </c>
      <c r="G21" s="420"/>
      <c r="H21" s="419" t="s">
        <v>200</v>
      </c>
      <c r="I21" s="420"/>
      <c r="J21" s="419" t="s">
        <v>199</v>
      </c>
      <c r="K21" s="420"/>
      <c r="L21" s="419" t="s">
        <v>91</v>
      </c>
      <c r="M21" s="420"/>
      <c r="N21" s="180"/>
      <c r="O21" s="180"/>
      <c r="P21" s="180"/>
      <c r="Q21" s="182"/>
      <c r="R21" s="182"/>
      <c r="S21" s="430" t="s">
        <v>202</v>
      </c>
      <c r="T21" s="430" t="s">
        <v>199</v>
      </c>
      <c r="U21" s="419" t="s">
        <v>90</v>
      </c>
      <c r="V21" s="420"/>
      <c r="W21" s="419" t="s">
        <v>299</v>
      </c>
      <c r="X21" s="420"/>
      <c r="Y21" s="419" t="s">
        <v>297</v>
      </c>
      <c r="Z21" s="420"/>
      <c r="AA21" s="419" t="s">
        <v>300</v>
      </c>
      <c r="AB21" s="420"/>
      <c r="AC21" s="15"/>
      <c r="AD21" s="15"/>
      <c r="AE21" s="15"/>
      <c r="AF21" s="15"/>
      <c r="AG21" s="15"/>
      <c r="AH21" s="15"/>
      <c r="AI21" s="15"/>
      <c r="AJ21" s="15"/>
      <c r="AK21" s="15"/>
      <c r="AL21" s="15"/>
      <c r="AM21" s="15"/>
      <c r="AN21" s="15"/>
    </row>
    <row r="22" spans="1:40" s="5" customFormat="1" ht="29.25" customHeight="1">
      <c r="A22" s="40"/>
      <c r="B22" s="428"/>
      <c r="C22" s="429"/>
      <c r="D22" s="421"/>
      <c r="E22" s="422"/>
      <c r="F22" s="421"/>
      <c r="G22" s="422"/>
      <c r="H22" s="421"/>
      <c r="I22" s="422"/>
      <c r="J22" s="421"/>
      <c r="K22" s="422"/>
      <c r="L22" s="421"/>
      <c r="M22" s="422"/>
      <c r="N22" s="181"/>
      <c r="O22" s="181"/>
      <c r="P22" s="181"/>
      <c r="Q22" s="183"/>
      <c r="R22" s="183"/>
      <c r="S22" s="431"/>
      <c r="T22" s="431"/>
      <c r="U22" s="421"/>
      <c r="V22" s="422"/>
      <c r="W22" s="421"/>
      <c r="X22" s="422"/>
      <c r="Y22" s="421"/>
      <c r="Z22" s="422"/>
      <c r="AA22" s="421"/>
      <c r="AB22" s="422"/>
      <c r="AC22" s="15"/>
      <c r="AD22" s="15"/>
      <c r="AE22" s="15"/>
      <c r="AF22" s="15"/>
      <c r="AG22" s="15"/>
      <c r="AH22" s="15"/>
      <c r="AI22" s="15"/>
      <c r="AJ22" s="15"/>
      <c r="AK22" s="15"/>
      <c r="AL22" s="15"/>
      <c r="AM22" s="15"/>
      <c r="AN22" s="15"/>
    </row>
    <row r="23" spans="1:40" s="5" customFormat="1" ht="15" customHeight="1">
      <c r="A23" s="40"/>
      <c r="B23" s="417">
        <v>6</v>
      </c>
      <c r="C23" s="418"/>
      <c r="D23" s="410"/>
      <c r="E23" s="411"/>
      <c r="F23" s="410">
        <v>2.324</v>
      </c>
      <c r="G23" s="411"/>
      <c r="H23" s="408">
        <f>IF(F23=0,0,(100-B23)/((100/F23)-(B23/SGAsph)))</f>
        <v>2.526608875314409</v>
      </c>
      <c r="I23" s="409"/>
      <c r="J23" s="408">
        <f>IF(OR(B23=0,B23=""),0,(100/(((100-B23)/EffSG)+(B23/SGAsph))))</f>
        <v>2.3231538666115346</v>
      </c>
      <c r="K23" s="356"/>
      <c r="L23" s="400">
        <f>IF(ISERROR(100*(D23/J23)),"",100*(D23/J23))</f>
        <v>0</v>
      </c>
      <c r="M23" s="401"/>
      <c r="N23" s="90">
        <f>IF(L23&gt;=TargDen,1,0)</f>
        <v>1</v>
      </c>
      <c r="O23" s="90">
        <f>IF(L23&lt;TargDen,1,0)</f>
        <v>0</v>
      </c>
      <c r="P23" s="90">
        <f>IF(AND(N23=1,O22=1),1,0)</f>
        <v>0</v>
      </c>
      <c r="Q23" s="90">
        <f>IF(P23=1,B23-((L23-TargDen)/(L23-L22)*(B23-B22)),0)</f>
        <v>0</v>
      </c>
      <c r="R23" s="90">
        <f>IF(P23=1,U23-((L23-TargDen)/(L23-L22)*(U23-U22)),0)</f>
        <v>0</v>
      </c>
      <c r="S23" s="177">
        <f>IF($P23=1,FORECAST(TargDen,F22:F23,$L22:$L23),"")</f>
      </c>
      <c r="T23" s="177">
        <f>IF($P23=1,FORECAST(TargDen,J22:J23,$L22:$L23),"")</f>
      </c>
      <c r="U23" s="400">
        <f>IF(OR(B23=0,B23=""),0,(100-D23*100/J23+D23*B23/SGAsph))</f>
        <v>100</v>
      </c>
      <c r="V23" s="401"/>
      <c r="W23" s="412">
        <v>52</v>
      </c>
      <c r="X23" s="413"/>
      <c r="Y23" s="412">
        <v>15000</v>
      </c>
      <c r="Z23" s="413"/>
      <c r="AA23" s="412">
        <v>1.5</v>
      </c>
      <c r="AB23" s="413"/>
      <c r="AC23" s="15"/>
      <c r="AD23" s="15"/>
      <c r="AE23" s="15"/>
      <c r="AF23" s="15"/>
      <c r="AG23" s="15"/>
      <c r="AH23" s="15"/>
      <c r="AI23" s="15"/>
      <c r="AJ23" s="15"/>
      <c r="AK23" s="15"/>
      <c r="AL23" s="15"/>
      <c r="AM23" s="15"/>
      <c r="AN23" s="15"/>
    </row>
    <row r="24" spans="1:40" s="5" customFormat="1" ht="15" customHeight="1">
      <c r="A24" s="40"/>
      <c r="B24" s="417">
        <v>6.5</v>
      </c>
      <c r="C24" s="418"/>
      <c r="D24" s="410"/>
      <c r="E24" s="411"/>
      <c r="F24" s="410">
        <v>2.309</v>
      </c>
      <c r="G24" s="411"/>
      <c r="H24" s="408">
        <f>IF(F24=0,0,(100-B24)/((100/F24)-(B24/SGAsph)))</f>
        <v>2.5271559752930686</v>
      </c>
      <c r="I24" s="409"/>
      <c r="J24" s="408">
        <f>IF(OR(B24=0,B24=""),0,(100/(((100-B24)/EffSG)+(B24/SGAsph))))</f>
        <v>2.3077424532846975</v>
      </c>
      <c r="K24" s="356"/>
      <c r="L24" s="400">
        <f>IF(ISERROR(100*(D24/J24)),"",100*(D24/J24))</f>
        <v>0</v>
      </c>
      <c r="M24" s="401"/>
      <c r="N24" s="90">
        <f>IF(L24&gt;=TargDen,1,0)</f>
        <v>1</v>
      </c>
      <c r="O24" s="90">
        <f>IF(L24&lt;TargDen,1,0)</f>
        <v>0</v>
      </c>
      <c r="P24" s="90">
        <f>IF(AND(N24=1,O23=1),1,0)</f>
        <v>0</v>
      </c>
      <c r="Q24" s="90">
        <f>IF(P24=1,B24-((L24-TargDen)/(L24-L23)*(B24-B23)),0)</f>
        <v>0</v>
      </c>
      <c r="R24" s="90">
        <f>IF(P24=1,U24-((L24-TargDen)/(L24-L23)*(U24-U23)),0)</f>
        <v>0</v>
      </c>
      <c r="S24" s="177">
        <f>IF($P24=1,FORECAST(TargDen,F23:F24,$L23:$L24),"")</f>
      </c>
      <c r="T24" s="177">
        <f>IF($P24=1,FORECAST(TargDen,J23:J24,$L23:$L24),"")</f>
      </c>
      <c r="U24" s="400">
        <f>IF(OR(B24=0,B24=""),0,(100-D24*100/J24+D24*B24/SGAsph))</f>
        <v>100</v>
      </c>
      <c r="V24" s="401"/>
      <c r="W24" s="412"/>
      <c r="X24" s="413"/>
      <c r="Y24" s="412">
        <v>15000</v>
      </c>
      <c r="Z24" s="413"/>
      <c r="AA24" s="412">
        <v>2.7</v>
      </c>
      <c r="AB24" s="413"/>
      <c r="AC24" s="15"/>
      <c r="AD24" s="15"/>
      <c r="AE24" s="15"/>
      <c r="AF24" s="15"/>
      <c r="AG24" s="15"/>
      <c r="AH24" s="15"/>
      <c r="AI24" s="15"/>
      <c r="AJ24" s="15"/>
      <c r="AK24" s="15"/>
      <c r="AL24" s="15"/>
      <c r="AM24" s="15"/>
      <c r="AN24" s="15"/>
    </row>
    <row r="25" spans="1:40" s="5" customFormat="1" ht="15" customHeight="1">
      <c r="A25" s="40"/>
      <c r="B25" s="417">
        <v>7</v>
      </c>
      <c r="C25" s="418"/>
      <c r="D25" s="410"/>
      <c r="E25" s="411"/>
      <c r="F25" s="410">
        <v>2.29</v>
      </c>
      <c r="G25" s="411"/>
      <c r="H25" s="408">
        <f>IF(F25=0,0,(100-B25)/((100/F25)-(B25/SGAsph)))</f>
        <v>2.522238703001035</v>
      </c>
      <c r="I25" s="409"/>
      <c r="J25" s="408">
        <f>IF(OR(B25=0,B25=""),0,(100/(((100-B25)/EffSG)+(B25/SGAsph))))</f>
        <v>2.2925341659195504</v>
      </c>
      <c r="K25" s="356"/>
      <c r="L25" s="400">
        <f>IF(ISERROR(100*(D25/J25)),"",100*(D25/J25))</f>
        <v>0</v>
      </c>
      <c r="M25" s="401"/>
      <c r="N25" s="90">
        <f>IF(L25&gt;=TargDen,1,0)</f>
        <v>1</v>
      </c>
      <c r="O25" s="90">
        <f>IF(L25&lt;TargDen,1,0)</f>
        <v>0</v>
      </c>
      <c r="P25" s="90">
        <f>IF(AND(N25=1,O24=1),1,0)</f>
        <v>0</v>
      </c>
      <c r="Q25" s="90">
        <f>IF(P25=1,B25-((L25-TargDen)/(L25-L24)*(B25-B24)),0)</f>
        <v>0</v>
      </c>
      <c r="R25" s="90">
        <f>IF(P25=1,U25-((L25-TargDen)/(L25-L24)*(U25-U24)),0)</f>
        <v>0</v>
      </c>
      <c r="S25" s="177">
        <f>IF($P25=1,FORECAST(TargDen,F24:F25,$L24:$L25),"")</f>
      </c>
      <c r="T25" s="177">
        <f>IF($P25=1,FORECAST(TargDen,J24:J25,$L24:$L25),"")</f>
      </c>
      <c r="U25" s="400">
        <f>IF(OR(B25=0,B25=""),0,(100-D25*100/J25+D25*B25/SGAsph))</f>
        <v>100</v>
      </c>
      <c r="V25" s="401"/>
      <c r="W25" s="412">
        <v>588</v>
      </c>
      <c r="X25" s="413"/>
      <c r="Y25" s="412">
        <v>15000</v>
      </c>
      <c r="Z25" s="413"/>
      <c r="AA25" s="412">
        <v>6.1</v>
      </c>
      <c r="AB25" s="413"/>
      <c r="AC25" s="15"/>
      <c r="AD25" s="15"/>
      <c r="AE25" s="15"/>
      <c r="AF25" s="15"/>
      <c r="AG25" s="15"/>
      <c r="AH25" s="15"/>
      <c r="AI25" s="15"/>
      <c r="AJ25" s="15"/>
      <c r="AK25" s="15"/>
      <c r="AL25" s="15"/>
      <c r="AM25" s="15"/>
      <c r="AN25" s="15"/>
    </row>
    <row r="26" spans="1:40" s="5" customFormat="1" ht="15" customHeight="1">
      <c r="A26" s="40"/>
      <c r="B26" s="417">
        <v>7.5</v>
      </c>
      <c r="C26" s="418"/>
      <c r="D26" s="410"/>
      <c r="E26" s="411"/>
      <c r="F26" s="410">
        <v>2.278</v>
      </c>
      <c r="G26" s="411"/>
      <c r="H26" s="408">
        <f>IF(F26=0,0,(100-B26)/((100/F26)-(B26/SGAsph)))</f>
        <v>2.526176453471454</v>
      </c>
      <c r="I26" s="409"/>
      <c r="J26" s="408">
        <f>IF(OR(B26=0,B26=""),0,(100/(((100-B26)/EffSG)+(B26/SGAsph))))</f>
        <v>2.2775250149377397</v>
      </c>
      <c r="K26" s="356"/>
      <c r="L26" s="400">
        <f>IF(ISERROR(100*(D26/J26)),"",100*(D26/J26))</f>
        <v>0</v>
      </c>
      <c r="M26" s="401"/>
      <c r="N26" s="90">
        <f>IF(L26&gt;=TargDen,1,0)</f>
        <v>1</v>
      </c>
      <c r="O26" s="90">
        <f>IF(L26&lt;TargDen,1,0)</f>
        <v>0</v>
      </c>
      <c r="P26" s="90">
        <f>IF(AND(N26=1,O25=1),1,0)</f>
        <v>0</v>
      </c>
      <c r="Q26" s="90">
        <f>IF(P26=1,B26-((L26-TargDen)/(L26-L25)*(B26-B25)),0)</f>
        <v>0</v>
      </c>
      <c r="R26" s="90">
        <f>IF(P26=1,U26-((L26-TargDen)/(L26-L25)*(U26-U25)),0)</f>
        <v>0</v>
      </c>
      <c r="S26" s="177">
        <f>IF($P26=1,FORECAST(TargDen,F25:F26,$L25:$L26),"")</f>
      </c>
      <c r="T26" s="177">
        <f>IF($P26=1,FORECAST(TargDen,J25:J26,$L25:$L26),"")</f>
      </c>
      <c r="U26" s="400">
        <f>IF(OR(B26=0,B26=""),0,(100-D26*100/J26+D26*B26/SGAsph))</f>
        <v>100</v>
      </c>
      <c r="V26" s="401"/>
      <c r="W26" s="412">
        <v>1883</v>
      </c>
      <c r="X26" s="413"/>
      <c r="Y26" s="412">
        <v>15000</v>
      </c>
      <c r="Z26" s="413"/>
      <c r="AA26" s="412">
        <v>16.1</v>
      </c>
      <c r="AB26" s="413"/>
      <c r="AC26" s="15"/>
      <c r="AD26" s="15"/>
      <c r="AE26" s="15"/>
      <c r="AF26" s="15"/>
      <c r="AG26" s="15"/>
      <c r="AH26" s="15"/>
      <c r="AI26" s="15"/>
      <c r="AJ26" s="15"/>
      <c r="AK26" s="15"/>
      <c r="AL26" s="15"/>
      <c r="AM26" s="15"/>
      <c r="AN26" s="15"/>
    </row>
    <row r="27" spans="1:40" s="5" customFormat="1" ht="15" customHeight="1">
      <c r="A27" s="40"/>
      <c r="B27" s="417"/>
      <c r="C27" s="418"/>
      <c r="D27" s="410"/>
      <c r="E27" s="411"/>
      <c r="F27" s="410"/>
      <c r="G27" s="411"/>
      <c r="H27" s="408">
        <f>IF(F27=0,0,(100-B27)/((100/F27)-(B27/SGAsph)))</f>
        <v>0</v>
      </c>
      <c r="I27" s="409"/>
      <c r="J27" s="408">
        <f>IF(OR(B27=0,B27=""),0,(100/(((100-B27)/EffSG)+(B27/SGAsph))))</f>
        <v>0</v>
      </c>
      <c r="K27" s="356"/>
      <c r="L27" s="400">
        <f>IF(ISERROR(100*(D27/J27)),"",100*(D27/J27))</f>
      </c>
      <c r="M27" s="401"/>
      <c r="N27" s="90">
        <f>IF(L27&gt;=TargDen,1,0)</f>
        <v>1</v>
      </c>
      <c r="O27" s="90">
        <f>IF(L27&lt;TargDen,1,0)</f>
        <v>0</v>
      </c>
      <c r="P27" s="90">
        <f>IF(AND(N27=1,O26=1),1,0)</f>
        <v>0</v>
      </c>
      <c r="Q27" s="90">
        <f>IF(P27=1,B27-((L27-TargDen)/(L27-L26)*(B27-B26)),0)</f>
        <v>0</v>
      </c>
      <c r="R27" s="90">
        <f>IF(P27=1,U27-((L27-TargDen)/(L27-L26)*(U27-U26)),0)</f>
        <v>0</v>
      </c>
      <c r="S27" s="177">
        <f>IF($P27=1,FORECAST(TargDen,F26:F27,$L26:$L27),"")</f>
      </c>
      <c r="T27" s="177">
        <f>IF($P27=1,FORECAST(TargDen,J26:J27,$L26:$L27),"")</f>
      </c>
      <c r="U27" s="400">
        <f>IF(OR(B27=0,B27=""),0,(100-D27*100/J27+D27*B27/SGAsph))</f>
        <v>0</v>
      </c>
      <c r="V27" s="401"/>
      <c r="W27" s="412"/>
      <c r="X27" s="413"/>
      <c r="Y27" s="412"/>
      <c r="Z27" s="413"/>
      <c r="AA27" s="412"/>
      <c r="AB27" s="413"/>
      <c r="AC27" s="15"/>
      <c r="AD27" s="15"/>
      <c r="AE27" s="15"/>
      <c r="AF27" s="15"/>
      <c r="AG27" s="15"/>
      <c r="AH27" s="15"/>
      <c r="AI27" s="15"/>
      <c r="AJ27" s="15"/>
      <c r="AK27" s="15"/>
      <c r="AL27" s="15"/>
      <c r="AM27" s="15"/>
      <c r="AN27" s="15"/>
    </row>
    <row r="28" spans="1:34" s="5" customFormat="1" ht="15" customHeight="1">
      <c r="A28" s="40"/>
      <c r="B28" s="14"/>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row>
    <row r="29" spans="1:40" s="5" customFormat="1" ht="15" customHeight="1">
      <c r="A29" s="40"/>
      <c r="B29" s="338" t="s">
        <v>176</v>
      </c>
      <c r="C29" s="403"/>
      <c r="D29" s="403"/>
      <c r="E29" s="347"/>
      <c r="F29" s="432">
        <f>IF(ISERROR(SUM(H23:I27)/(IF(OR(H23=0,H23=""),0,1)+IF(OR(H24=0,H24=""),0,1)+IF(OR(H25=0,H25=""),0,1)+IF(OR(H26=0,H26=""),0,1)+IF(OR(H27=0,H27=""),0,1))),"",SUM(H23:I27)/(IF(OR(H23=0,H23=""),0,1)+IF(OR(H24=0,H24=""),0,1)+IF(OR(H25=0,H25=""),0,1)+IF(OR(H26=0,H26=""),0,1)+IF(OR(H27=0,H27=""),0,1)))</f>
        <v>2.5255450017699914</v>
      </c>
      <c r="G29" s="433"/>
      <c r="H29" s="15"/>
      <c r="I29" s="15"/>
      <c r="J29" s="15"/>
      <c r="K29" s="15"/>
      <c r="L29" s="15"/>
      <c r="M29" s="15"/>
      <c r="S29"/>
      <c r="T29"/>
      <c r="U29"/>
      <c r="V29" s="15"/>
      <c r="W29" s="15"/>
      <c r="X29" s="15"/>
      <c r="Y29" s="15"/>
      <c r="Z29" s="15"/>
      <c r="AA29" s="15"/>
      <c r="AB29" s="15"/>
      <c r="AC29" s="15"/>
      <c r="AD29" s="15"/>
      <c r="AE29" s="15"/>
      <c r="AF29" s="15"/>
      <c r="AG29" s="15"/>
      <c r="AH29" s="15"/>
      <c r="AI29" s="15"/>
      <c r="AJ29" s="15"/>
      <c r="AK29" s="15"/>
      <c r="AL29" s="15"/>
      <c r="AM29" s="15"/>
      <c r="AN29" s="15"/>
    </row>
    <row r="30" spans="1:40" s="5" customFormat="1" ht="15" customHeight="1">
      <c r="A30" s="40"/>
      <c r="B30" s="77"/>
      <c r="C30" s="76"/>
      <c r="D30" s="76"/>
      <c r="E30" s="76"/>
      <c r="F30" s="78"/>
      <c r="G30" s="79"/>
      <c r="H30" s="15"/>
      <c r="I30" s="15"/>
      <c r="J30" s="15"/>
      <c r="K30" s="15"/>
      <c r="L30" s="15"/>
      <c r="M30" s="15"/>
      <c r="S30"/>
      <c r="T30"/>
      <c r="U30"/>
      <c r="V30" s="15"/>
      <c r="W30" s="15"/>
      <c r="X30" s="15"/>
      <c r="Y30" s="15"/>
      <c r="Z30" s="15"/>
      <c r="AA30" s="15"/>
      <c r="AB30" s="15"/>
      <c r="AC30" s="15"/>
      <c r="AD30" s="15"/>
      <c r="AE30" s="15"/>
      <c r="AF30" s="15"/>
      <c r="AG30" s="15"/>
      <c r="AH30" s="15"/>
      <c r="AI30" s="15"/>
      <c r="AJ30" s="15"/>
      <c r="AK30" s="15"/>
      <c r="AL30" s="15"/>
      <c r="AM30" s="15"/>
      <c r="AN30" s="15"/>
    </row>
    <row r="31" spans="1:40" s="5" customFormat="1" ht="15" customHeight="1">
      <c r="A31" s="40"/>
      <c r="B31" s="402" t="s">
        <v>177</v>
      </c>
      <c r="C31" s="434"/>
      <c r="D31" s="434"/>
      <c r="E31" s="435"/>
      <c r="F31" s="436" t="s">
        <v>328</v>
      </c>
      <c r="G31" s="437"/>
      <c r="H31" s="15"/>
      <c r="I31" s="15"/>
      <c r="J31" s="15"/>
      <c r="K31" s="15"/>
      <c r="L31" s="15"/>
      <c r="M31" s="15"/>
      <c r="S31"/>
      <c r="T31"/>
      <c r="U31"/>
      <c r="V31" s="15"/>
      <c r="W31" s="15"/>
      <c r="X31" s="15"/>
      <c r="Y31" s="15"/>
      <c r="Z31" s="15"/>
      <c r="AA31" s="15"/>
      <c r="AB31" s="15"/>
      <c r="AC31" s="15"/>
      <c r="AD31" s="15"/>
      <c r="AE31" s="15"/>
      <c r="AF31" s="15"/>
      <c r="AG31" s="15"/>
      <c r="AH31" s="15"/>
      <c r="AI31" s="15"/>
      <c r="AJ31" s="15"/>
      <c r="AK31" s="15"/>
      <c r="AL31" s="15"/>
      <c r="AM31" s="15"/>
      <c r="AN31" s="15"/>
    </row>
    <row r="32" spans="1:40" s="5" customFormat="1" ht="15" customHeight="1">
      <c r="A32" s="40"/>
      <c r="B32" s="402" t="s">
        <v>178</v>
      </c>
      <c r="C32" s="434"/>
      <c r="D32" s="434"/>
      <c r="E32" s="435"/>
      <c r="F32" s="438">
        <f>IF(ISERROR(MAX(R23:R27)),"",MAX(R23:R27))</f>
        <v>0</v>
      </c>
      <c r="G32" s="439"/>
      <c r="H32" s="15"/>
      <c r="I32" s="15"/>
      <c r="J32" s="15"/>
      <c r="K32" s="15"/>
      <c r="L32" s="15"/>
      <c r="M32" s="15"/>
      <c r="S32"/>
      <c r="T32"/>
      <c r="U32"/>
      <c r="V32" s="15"/>
      <c r="W32" s="15"/>
      <c r="X32" s="15"/>
      <c r="Y32" s="15"/>
      <c r="Z32" s="15"/>
      <c r="AA32" s="15"/>
      <c r="AB32" s="15"/>
      <c r="AC32" s="15"/>
      <c r="AD32" s="15"/>
      <c r="AE32" s="15"/>
      <c r="AF32" s="15"/>
      <c r="AG32" s="15"/>
      <c r="AH32" s="15"/>
      <c r="AI32" s="15"/>
      <c r="AJ32" s="15"/>
      <c r="AK32" s="15"/>
      <c r="AL32" s="15"/>
      <c r="AM32" s="15"/>
      <c r="AN32" s="15"/>
    </row>
    <row r="33" spans="1:40" s="5" customFormat="1" ht="15" customHeight="1">
      <c r="A33" s="40"/>
      <c r="B33" s="80"/>
      <c r="C33" s="81"/>
      <c r="D33" s="81"/>
      <c r="E33" s="81"/>
      <c r="F33" s="82"/>
      <c r="G33" s="68"/>
      <c r="H33" s="15"/>
      <c r="I33" s="15"/>
      <c r="J33" s="15"/>
      <c r="K33" s="15"/>
      <c r="L33" s="15"/>
      <c r="M33" s="15"/>
      <c r="N33" s="15"/>
      <c r="O33" s="15"/>
      <c r="P33" s="15"/>
      <c r="Q33" s="15"/>
      <c r="R33" s="15"/>
      <c r="S33"/>
      <c r="T33"/>
      <c r="U33"/>
      <c r="V33" s="15"/>
      <c r="W33" s="15"/>
      <c r="X33" s="15"/>
      <c r="Y33" s="15"/>
      <c r="Z33" s="15"/>
      <c r="AA33" s="15"/>
      <c r="AB33" s="15"/>
      <c r="AC33" s="15"/>
      <c r="AD33" s="15"/>
      <c r="AE33" s="15"/>
      <c r="AF33" s="15"/>
      <c r="AG33" s="15"/>
      <c r="AH33" s="15"/>
      <c r="AI33" s="15"/>
      <c r="AJ33" s="15"/>
      <c r="AK33" s="15"/>
      <c r="AL33" s="15"/>
      <c r="AM33" s="15"/>
      <c r="AN33" s="15"/>
    </row>
    <row r="34" spans="1:40" s="5" customFormat="1" ht="15" customHeight="1">
      <c r="A34" s="40"/>
      <c r="B34" s="414" t="s">
        <v>92</v>
      </c>
      <c r="C34" s="246"/>
      <c r="D34" s="246"/>
      <c r="E34" s="246"/>
      <c r="F34" s="246"/>
      <c r="G34" s="243"/>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row>
    <row r="35" spans="1:40" s="5" customFormat="1" ht="15" customHeight="1">
      <c r="A35" s="40"/>
      <c r="B35" s="402" t="s">
        <v>179</v>
      </c>
      <c r="C35" s="434"/>
      <c r="D35" s="434"/>
      <c r="E35" s="435"/>
      <c r="F35" s="440">
        <f>IF(ISERROR((TargDen/100)*((100/(((100-F31)/EffSG)+(F31/SGAsph))))),"",(TargDen/100)*((100/(((100-F31)/EffSG)+(F31/SGAsph)))))</f>
      </c>
      <c r="G35" s="441"/>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row>
    <row r="36" spans="1:40" s="5" customFormat="1" ht="15" customHeight="1">
      <c r="A36" s="40"/>
      <c r="B36" s="402" t="s">
        <v>180</v>
      </c>
      <c r="C36" s="434"/>
      <c r="D36" s="434"/>
      <c r="E36" s="435"/>
      <c r="F36" s="440">
        <f>IF(ISERROR(LARGE(S23:S27,1)),"",LARGE(S23:S27,1))</f>
      </c>
      <c r="G36" s="441"/>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spans="1:40" s="5" customFormat="1" ht="15" customHeight="1">
      <c r="A37" s="40"/>
      <c r="B37" s="402" t="s">
        <v>203</v>
      </c>
      <c r="C37" s="434"/>
      <c r="D37" s="434"/>
      <c r="E37" s="435"/>
      <c r="F37" s="440">
        <f>IF(ISERROR(LARGE(T23:T27,1)),"",LARGE(T23:T27,1))</f>
      </c>
      <c r="G37" s="441"/>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row>
    <row r="38" spans="1:39" s="5" customFormat="1" ht="15" customHeight="1">
      <c r="A38" s="40"/>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row>
    <row r="39" spans="1:25" ht="12.75" customHeight="1">
      <c r="A39" s="18"/>
      <c r="B39" s="16" t="s">
        <v>5</v>
      </c>
      <c r="C39" s="1"/>
      <c r="D39" s="1"/>
      <c r="E39" s="17">
        <f ca="1">NOW()</f>
        <v>40500.65580810185</v>
      </c>
      <c r="H39" s="1"/>
      <c r="I39" s="1"/>
      <c r="J39" s="1"/>
      <c r="K39" s="1"/>
      <c r="L39" s="1"/>
      <c r="M39" s="1"/>
      <c r="N39" s="1"/>
      <c r="O39" s="1"/>
      <c r="P39" s="1"/>
      <c r="Q39" s="1"/>
      <c r="R39" s="1"/>
      <c r="S39" s="1"/>
      <c r="T39" s="1"/>
      <c r="U39" s="1"/>
      <c r="V39" s="1"/>
      <c r="W39" s="1"/>
      <c r="X39" s="1"/>
      <c r="Y39" s="1"/>
    </row>
    <row r="40" spans="1:13" ht="15" customHeight="1">
      <c r="A40" s="18"/>
      <c r="B40" s="445"/>
      <c r="C40" s="445"/>
      <c r="D40" s="445"/>
      <c r="E40" s="445"/>
      <c r="F40" s="445"/>
      <c r="G40" s="445"/>
      <c r="H40" s="445"/>
      <c r="I40" s="445"/>
      <c r="J40" s="224"/>
      <c r="K40" s="224"/>
      <c r="L40" s="224"/>
      <c r="M40" s="224"/>
    </row>
    <row r="41" spans="1:13" ht="15" customHeight="1">
      <c r="A41" s="18"/>
      <c r="B41" s="445"/>
      <c r="C41" s="445"/>
      <c r="D41" s="445"/>
      <c r="E41" s="445"/>
      <c r="F41" s="445"/>
      <c r="G41" s="445"/>
      <c r="H41" s="445"/>
      <c r="I41" s="445"/>
      <c r="J41" s="224"/>
      <c r="K41" s="224"/>
      <c r="L41" s="224"/>
      <c r="M41" s="224"/>
    </row>
    <row r="42" ht="3" customHeight="1"/>
    <row r="43" ht="12.75" customHeight="1"/>
    <row r="44" spans="2:4" ht="15" customHeight="1">
      <c r="B44" s="399" t="s">
        <v>310</v>
      </c>
      <c r="C44" s="399"/>
      <c r="D44" s="399"/>
    </row>
    <row r="45" spans="2:11" ht="12.75" customHeight="1">
      <c r="B45" s="392" t="s">
        <v>89</v>
      </c>
      <c r="C45" s="392"/>
      <c r="D45" s="392" t="s">
        <v>311</v>
      </c>
      <c r="E45" s="392"/>
      <c r="F45" s="392" t="s">
        <v>312</v>
      </c>
      <c r="G45" s="406"/>
      <c r="H45" s="392" t="s">
        <v>313</v>
      </c>
      <c r="I45" s="392"/>
      <c r="J45" s="221"/>
      <c r="K45" s="221"/>
    </row>
    <row r="46" spans="2:11" ht="15" customHeight="1">
      <c r="B46" s="392"/>
      <c r="C46" s="392"/>
      <c r="D46" s="392"/>
      <c r="E46" s="392"/>
      <c r="F46" s="392"/>
      <c r="G46" s="406"/>
      <c r="H46" s="392"/>
      <c r="I46" s="392"/>
      <c r="J46" s="221"/>
      <c r="K46" s="221"/>
    </row>
    <row r="47" spans="2:11" ht="12.75" customHeight="1">
      <c r="B47" s="391">
        <f>Field211</f>
        <v>6</v>
      </c>
      <c r="C47" s="391"/>
      <c r="D47" s="396"/>
      <c r="E47" s="397"/>
      <c r="F47" s="396"/>
      <c r="G47" s="398"/>
      <c r="H47" s="442" t="s">
        <v>319</v>
      </c>
      <c r="I47" s="442"/>
      <c r="J47" s="221"/>
      <c r="K47" s="221"/>
    </row>
    <row r="48" spans="2:11" ht="15" customHeight="1">
      <c r="B48" s="391">
        <f>Field218</f>
        <v>6.5</v>
      </c>
      <c r="C48" s="391"/>
      <c r="D48" s="396"/>
      <c r="E48" s="397"/>
      <c r="F48" s="396"/>
      <c r="G48" s="398"/>
      <c r="H48" s="442"/>
      <c r="I48" s="442"/>
      <c r="J48" s="221"/>
      <c r="K48" s="221"/>
    </row>
    <row r="49" spans="2:11" ht="15" customHeight="1">
      <c r="B49" s="391">
        <f>Field225</f>
        <v>7</v>
      </c>
      <c r="C49" s="391"/>
      <c r="D49" s="396"/>
      <c r="E49" s="397"/>
      <c r="F49" s="396"/>
      <c r="G49" s="398"/>
      <c r="H49" s="442"/>
      <c r="I49" s="442"/>
      <c r="J49" s="221"/>
      <c r="K49" s="221"/>
    </row>
    <row r="50" spans="2:11" ht="15" customHeight="1">
      <c r="B50" s="391">
        <f>Field232</f>
        <v>7.5</v>
      </c>
      <c r="C50" s="391"/>
      <c r="D50" s="407"/>
      <c r="E50" s="407"/>
      <c r="F50" s="407"/>
      <c r="G50" s="407"/>
      <c r="H50" s="442"/>
      <c r="I50" s="442"/>
      <c r="J50" s="221"/>
      <c r="K50" s="221"/>
    </row>
    <row r="51" spans="2:11" ht="15" customHeight="1">
      <c r="B51" s="391">
        <f>Field239</f>
        <v>0</v>
      </c>
      <c r="C51" s="391"/>
      <c r="D51" s="407"/>
      <c r="E51" s="407"/>
      <c r="F51" s="407"/>
      <c r="G51" s="407"/>
      <c r="H51" s="442"/>
      <c r="I51" s="442"/>
      <c r="J51" s="221"/>
      <c r="K51" s="221"/>
    </row>
    <row r="53" spans="2:4" ht="15" customHeight="1">
      <c r="B53" s="223" t="s">
        <v>315</v>
      </c>
      <c r="C53" s="222"/>
      <c r="D53" s="222"/>
    </row>
    <row r="54" spans="2:10" ht="15" customHeight="1">
      <c r="B54" s="392" t="s">
        <v>320</v>
      </c>
      <c r="C54" s="392"/>
      <c r="D54" s="392" t="s">
        <v>316</v>
      </c>
      <c r="E54" s="392"/>
      <c r="F54" s="392" t="s">
        <v>313</v>
      </c>
      <c r="G54" s="392"/>
      <c r="H54" s="392"/>
      <c r="I54" s="392"/>
      <c r="J54" s="392"/>
    </row>
    <row r="55" spans="2:10" ht="15" customHeight="1">
      <c r="B55" s="392"/>
      <c r="C55" s="392"/>
      <c r="D55" s="392"/>
      <c r="E55" s="392"/>
      <c r="F55" s="392"/>
      <c r="G55" s="392"/>
      <c r="H55" s="392"/>
      <c r="I55" s="392"/>
      <c r="J55" s="392"/>
    </row>
    <row r="56" spans="2:10" ht="15" customHeight="1">
      <c r="B56" s="393">
        <v>7.2</v>
      </c>
      <c r="C56" s="393"/>
      <c r="D56" s="394">
        <v>93.7</v>
      </c>
      <c r="E56" s="395"/>
      <c r="F56" s="442" t="s">
        <v>318</v>
      </c>
      <c r="G56" s="442"/>
      <c r="H56" s="442"/>
      <c r="I56" s="442"/>
      <c r="J56" s="442"/>
    </row>
  </sheetData>
  <sheetProtection/>
  <mergeCells count="148">
    <mergeCell ref="F56:J56"/>
    <mergeCell ref="F54:J55"/>
    <mergeCell ref="W20:X20"/>
    <mergeCell ref="B36:E36"/>
    <mergeCell ref="F36:G36"/>
    <mergeCell ref="H47:I51"/>
    <mergeCell ref="B51:C51"/>
    <mergeCell ref="D51:E51"/>
    <mergeCell ref="F51:G51"/>
    <mergeCell ref="B40:I41"/>
    <mergeCell ref="B37:E37"/>
    <mergeCell ref="F37:G37"/>
    <mergeCell ref="F35:G35"/>
    <mergeCell ref="B34:G34"/>
    <mergeCell ref="B35:E35"/>
    <mergeCell ref="B31:E31"/>
    <mergeCell ref="B32:E32"/>
    <mergeCell ref="F31:G31"/>
    <mergeCell ref="F32:G32"/>
    <mergeCell ref="B27:C27"/>
    <mergeCell ref="D26:E26"/>
    <mergeCell ref="F29:G29"/>
    <mergeCell ref="D25:E25"/>
    <mergeCell ref="F25:G25"/>
    <mergeCell ref="B29:E29"/>
    <mergeCell ref="F27:G27"/>
    <mergeCell ref="F26:G26"/>
    <mergeCell ref="B26:C26"/>
    <mergeCell ref="Y23:Z23"/>
    <mergeCell ref="Y21:Z22"/>
    <mergeCell ref="B21:C22"/>
    <mergeCell ref="F21:G22"/>
    <mergeCell ref="H21:I22"/>
    <mergeCell ref="D21:E22"/>
    <mergeCell ref="J21:K22"/>
    <mergeCell ref="W21:X22"/>
    <mergeCell ref="S21:S22"/>
    <mergeCell ref="T21:T22"/>
    <mergeCell ref="U24:V24"/>
    <mergeCell ref="AA21:AB22"/>
    <mergeCell ref="Y20:AB20"/>
    <mergeCell ref="B23:C23"/>
    <mergeCell ref="D23:E23"/>
    <mergeCell ref="F23:G23"/>
    <mergeCell ref="L23:M23"/>
    <mergeCell ref="U23:V23"/>
    <mergeCell ref="L21:M22"/>
    <mergeCell ref="U21:V22"/>
    <mergeCell ref="U27:V27"/>
    <mergeCell ref="L25:M25"/>
    <mergeCell ref="L26:M26"/>
    <mergeCell ref="J27:K27"/>
    <mergeCell ref="U25:V25"/>
    <mergeCell ref="U26:V26"/>
    <mergeCell ref="J26:K26"/>
    <mergeCell ref="L27:M27"/>
    <mergeCell ref="B19:D19"/>
    <mergeCell ref="E19:F19"/>
    <mergeCell ref="H25:I25"/>
    <mergeCell ref="J25:K25"/>
    <mergeCell ref="J24:K24"/>
    <mergeCell ref="B24:C24"/>
    <mergeCell ref="B25:C25"/>
    <mergeCell ref="D24:E24"/>
    <mergeCell ref="F24:G24"/>
    <mergeCell ref="H24:I24"/>
    <mergeCell ref="W27:X27"/>
    <mergeCell ref="Y27:Z27"/>
    <mergeCell ref="AA26:AB26"/>
    <mergeCell ref="W25:X25"/>
    <mergeCell ref="AA27:AB27"/>
    <mergeCell ref="W26:X26"/>
    <mergeCell ref="Y26:Z26"/>
    <mergeCell ref="Y25:Z25"/>
    <mergeCell ref="H11:J11"/>
    <mergeCell ref="H12:J12"/>
    <mergeCell ref="H10:J10"/>
    <mergeCell ref="AA25:AB25"/>
    <mergeCell ref="AA23:AB23"/>
    <mergeCell ref="W24:X24"/>
    <mergeCell ref="Y24:Z24"/>
    <mergeCell ref="AA24:AB24"/>
    <mergeCell ref="W23:X23"/>
    <mergeCell ref="J23:K23"/>
    <mergeCell ref="F16:G16"/>
    <mergeCell ref="E13:M13"/>
    <mergeCell ref="J16:K16"/>
    <mergeCell ref="L16:M16"/>
    <mergeCell ref="H14:J14"/>
    <mergeCell ref="H16:I16"/>
    <mergeCell ref="K14:M14"/>
    <mergeCell ref="B6:D6"/>
    <mergeCell ref="B7:D7"/>
    <mergeCell ref="B8:D8"/>
    <mergeCell ref="B9:D9"/>
    <mergeCell ref="E6:G6"/>
    <mergeCell ref="E7:G7"/>
    <mergeCell ref="E8:G8"/>
    <mergeCell ref="E9:G9"/>
    <mergeCell ref="B16:D16"/>
    <mergeCell ref="E10:G10"/>
    <mergeCell ref="E11:G11"/>
    <mergeCell ref="E12:G12"/>
    <mergeCell ref="E14:G14"/>
    <mergeCell ref="B13:D13"/>
    <mergeCell ref="B14:D14"/>
    <mergeCell ref="B10:D10"/>
    <mergeCell ref="B11:D11"/>
    <mergeCell ref="B12:D12"/>
    <mergeCell ref="H6:J6"/>
    <mergeCell ref="H7:J7"/>
    <mergeCell ref="H8:J8"/>
    <mergeCell ref="H9:J9"/>
    <mergeCell ref="K10:M10"/>
    <mergeCell ref="K11:M11"/>
    <mergeCell ref="K12:M12"/>
    <mergeCell ref="K6:M6"/>
    <mergeCell ref="K7:M7"/>
    <mergeCell ref="K8:M8"/>
    <mergeCell ref="K9:M9"/>
    <mergeCell ref="H26:I26"/>
    <mergeCell ref="D27:E27"/>
    <mergeCell ref="H23:I23"/>
    <mergeCell ref="H27:I27"/>
    <mergeCell ref="L24:M24"/>
    <mergeCell ref="B18:D18"/>
    <mergeCell ref="E18:F18"/>
    <mergeCell ref="B50:C50"/>
    <mergeCell ref="D45:E46"/>
    <mergeCell ref="F45:G46"/>
    <mergeCell ref="D50:E50"/>
    <mergeCell ref="F50:G50"/>
    <mergeCell ref="B45:C46"/>
    <mergeCell ref="B47:C47"/>
    <mergeCell ref="H45:I46"/>
    <mergeCell ref="B44:D44"/>
    <mergeCell ref="D47:E47"/>
    <mergeCell ref="D48:E48"/>
    <mergeCell ref="F47:G47"/>
    <mergeCell ref="F48:G48"/>
    <mergeCell ref="F49:G49"/>
    <mergeCell ref="B48:C48"/>
    <mergeCell ref="B49:C49"/>
    <mergeCell ref="D54:E55"/>
    <mergeCell ref="B56:C56"/>
    <mergeCell ref="D56:E56"/>
    <mergeCell ref="B54:C55"/>
    <mergeCell ref="D49:E49"/>
  </mergeCells>
  <dataValidations count="1">
    <dataValidation type="textLength" operator="lessThan" allowBlank="1" showInputMessage="1" showErrorMessage="1" errorTitle="Text Length" error="Please limit the text length to 200 characters." sqref="J40:M41 B40">
      <formula1>201</formula1>
    </dataValidation>
  </dataValidations>
  <printOptions/>
  <pageMargins left="0.33" right="0.24" top="0.35" bottom="0.49" header="0.18" footer="0.27"/>
  <pageSetup fitToHeight="1" fitToWidth="1" horizontalDpi="600" verticalDpi="600" orientation="landscape" scale="57" r:id="rId2"/>
  <drawing r:id="rId1"/>
</worksheet>
</file>

<file path=xl/worksheets/sheet5.xml><?xml version="1.0" encoding="utf-8"?>
<worksheet xmlns="http://schemas.openxmlformats.org/spreadsheetml/2006/main" xmlns:r="http://schemas.openxmlformats.org/officeDocument/2006/relationships">
  <sheetPr codeName="Sheet6"/>
  <dimension ref="A1:CU51"/>
  <sheetViews>
    <sheetView showGridLines="0" workbookViewId="0" topLeftCell="B1">
      <selection activeCell="O37" sqref="O37"/>
    </sheetView>
  </sheetViews>
  <sheetFormatPr defaultColWidth="9.140625" defaultRowHeight="15" customHeight="1"/>
  <cols>
    <col min="1" max="1" width="1.1484375" style="20" hidden="1" customWidth="1"/>
    <col min="2" max="13" width="8.00390625" style="10" customWidth="1"/>
    <col min="14" max="16384" width="7.7109375" style="10" customWidth="1"/>
  </cols>
  <sheetData>
    <row r="1" spans="1:39" s="5" customFormat="1" ht="15" customHeight="1">
      <c r="A1" s="18"/>
      <c r="B1" s="176" t="s">
        <v>0</v>
      </c>
      <c r="C1" s="2"/>
      <c r="D1" s="2"/>
      <c r="E1" s="2"/>
      <c r="F1" s="3"/>
      <c r="G1" s="3"/>
      <c r="H1" s="3"/>
      <c r="I1" s="3"/>
      <c r="J1" s="3"/>
      <c r="K1" s="3"/>
      <c r="L1" s="3"/>
      <c r="M1" s="3"/>
      <c r="N1" s="18"/>
      <c r="O1" s="18"/>
      <c r="P1" s="18"/>
      <c r="Q1" s="18"/>
      <c r="R1" s="18"/>
      <c r="S1" s="142"/>
      <c r="T1" s="93"/>
      <c r="U1" s="18"/>
      <c r="V1" s="18"/>
      <c r="W1" s="18"/>
      <c r="X1" s="18"/>
      <c r="Y1" s="18"/>
      <c r="Z1" s="18"/>
      <c r="AA1" s="18"/>
      <c r="AB1" s="18"/>
      <c r="AC1" s="18"/>
      <c r="AD1" s="18"/>
      <c r="AE1" s="40"/>
      <c r="AF1" s="40"/>
      <c r="AG1" s="93"/>
      <c r="AH1" s="93"/>
      <c r="AI1" s="93"/>
      <c r="AJ1" s="93"/>
      <c r="AK1" s="93"/>
      <c r="AM1" s="6"/>
    </row>
    <row r="2" spans="1:39" s="5" customFormat="1" ht="15" customHeight="1">
      <c r="A2" s="18"/>
      <c r="B2" s="2">
        <f>IF(location="","",location)</f>
      </c>
      <c r="C2" s="2"/>
      <c r="D2" s="2"/>
      <c r="E2" s="2"/>
      <c r="F2" s="3"/>
      <c r="G2" s="3"/>
      <c r="H2" s="3"/>
      <c r="I2" s="3"/>
      <c r="J2" s="3"/>
      <c r="K2" s="3"/>
      <c r="L2" s="3"/>
      <c r="M2" s="3"/>
      <c r="N2" s="19"/>
      <c r="O2" s="19"/>
      <c r="P2" s="19"/>
      <c r="Q2" s="19"/>
      <c r="R2" s="18"/>
      <c r="S2" s="142"/>
      <c r="T2" s="93"/>
      <c r="U2" s="4"/>
      <c r="V2" s="4"/>
      <c r="W2" s="4"/>
      <c r="X2" s="4"/>
      <c r="Y2" s="4"/>
      <c r="Z2" s="4"/>
      <c r="AA2" s="4"/>
      <c r="AB2" s="4"/>
      <c r="AC2" s="4"/>
      <c r="AD2" s="4"/>
      <c r="AE2" s="4"/>
      <c r="AF2" s="4"/>
      <c r="AG2" s="95"/>
      <c r="AH2" s="95"/>
      <c r="AI2" s="6"/>
      <c r="AJ2" s="6"/>
      <c r="AK2" s="6"/>
      <c r="AL2" s="6"/>
      <c r="AM2" s="96"/>
    </row>
    <row r="3" spans="1:40" s="5" customFormat="1" ht="5.25" customHeight="1">
      <c r="A3" s="19"/>
      <c r="B3" s="8"/>
      <c r="C3" s="8"/>
      <c r="D3" s="8"/>
      <c r="E3" s="8"/>
      <c r="F3" s="3"/>
      <c r="G3" s="3"/>
      <c r="H3" s="3"/>
      <c r="I3" s="3"/>
      <c r="J3" s="3"/>
      <c r="K3" s="3"/>
      <c r="L3" s="3"/>
      <c r="M3" s="3"/>
      <c r="N3" s="19"/>
      <c r="O3" s="19"/>
      <c r="P3" s="19"/>
      <c r="Q3" s="19"/>
      <c r="R3" s="19"/>
      <c r="S3" s="142"/>
      <c r="T3" s="19"/>
      <c r="U3" s="3"/>
      <c r="V3" s="3"/>
      <c r="W3" s="3"/>
      <c r="X3" s="3"/>
      <c r="Y3" s="3"/>
      <c r="Z3" s="3"/>
      <c r="AA3" s="3"/>
      <c r="AB3" s="3"/>
      <c r="AC3" s="3"/>
      <c r="AD3" s="3"/>
      <c r="AE3" s="3"/>
      <c r="AF3" s="3"/>
      <c r="AG3" s="97"/>
      <c r="AH3" s="97"/>
      <c r="AI3" s="6"/>
      <c r="AJ3" s="6"/>
      <c r="AK3" s="6"/>
      <c r="AL3" s="6"/>
      <c r="AM3" s="96"/>
      <c r="AN3" s="7"/>
    </row>
    <row r="4" spans="1:37" s="5" customFormat="1" ht="14.25" customHeight="1">
      <c r="A4" s="18"/>
      <c r="B4" s="9" t="s">
        <v>194</v>
      </c>
      <c r="C4" s="9"/>
      <c r="D4" s="9"/>
      <c r="E4" s="9"/>
      <c r="F4" s="3"/>
      <c r="G4" s="3"/>
      <c r="H4" s="3"/>
      <c r="I4" s="3"/>
      <c r="J4" s="4"/>
      <c r="K4" s="4"/>
      <c r="L4" s="4"/>
      <c r="M4" s="4"/>
      <c r="N4" s="18"/>
      <c r="O4" s="18"/>
      <c r="P4" s="18"/>
      <c r="Q4" s="142"/>
      <c r="R4" s="98"/>
      <c r="S4" s="18"/>
      <c r="T4" s="18"/>
      <c r="U4" s="18"/>
      <c r="V4" s="18"/>
      <c r="W4" s="18"/>
      <c r="X4" s="18"/>
      <c r="Y4" s="40"/>
      <c r="Z4" s="40"/>
      <c r="AA4" s="93"/>
      <c r="AB4" s="93"/>
      <c r="AC4" s="94"/>
      <c r="AD4" s="94"/>
      <c r="AE4" s="93"/>
      <c r="AF4" s="93"/>
      <c r="AH4" s="6"/>
      <c r="AI4" s="6"/>
      <c r="AJ4" s="6"/>
      <c r="AK4" s="6"/>
    </row>
    <row r="5" spans="1:38" s="5" customFormat="1" ht="10.5" customHeight="1">
      <c r="A5" s="18"/>
      <c r="E5" s="1"/>
      <c r="F5" s="1"/>
      <c r="G5" s="1"/>
      <c r="H5" s="1"/>
      <c r="I5" s="1"/>
      <c r="J5" s="1"/>
      <c r="M5" s="91" t="str">
        <f>"File Version: "&amp;TEXT(MID(sn,SEARCH("::",sn,1)+2,20),"mm/dd/yy hh:mm:ss")</f>
        <v>File Version: 01/28/04 14:02:18</v>
      </c>
      <c r="N5" s="40"/>
      <c r="O5" s="142"/>
      <c r="P5" s="142"/>
      <c r="Q5" s="142"/>
      <c r="R5" s="142"/>
      <c r="S5" s="142"/>
      <c r="T5"/>
      <c r="U5"/>
      <c r="V5"/>
      <c r="W5"/>
      <c r="X5"/>
      <c r="Y5"/>
      <c r="AB5" s="6"/>
      <c r="AC5" s="6"/>
      <c r="AD5" s="7"/>
      <c r="AE5" s="7"/>
      <c r="AF5" s="6"/>
      <c r="AG5" s="6"/>
      <c r="AH5" s="6"/>
      <c r="AI5" s="6"/>
      <c r="AJ5" s="6"/>
      <c r="AK5" s="6"/>
      <c r="AL5" s="6"/>
    </row>
    <row r="6" spans="2:38" s="5" customFormat="1" ht="15" customHeight="1">
      <c r="B6" s="270" t="s">
        <v>67</v>
      </c>
      <c r="C6" s="271"/>
      <c r="D6" s="272"/>
      <c r="E6" s="319" t="str">
        <f>IF(sampleid="","",sampleid)</f>
        <v>TTI_ Lubbock</v>
      </c>
      <c r="F6" s="320"/>
      <c r="G6" s="321"/>
      <c r="H6" s="254" t="s">
        <v>146</v>
      </c>
      <c r="I6" s="254"/>
      <c r="J6" s="254"/>
      <c r="K6" s="319" t="str">
        <f>IF(sampleddate="","",sampleddate)</f>
        <v>03/01/2009</v>
      </c>
      <c r="L6" s="320"/>
      <c r="M6" s="321"/>
      <c r="N6"/>
      <c r="O6"/>
      <c r="P6"/>
      <c r="Q6"/>
      <c r="R6"/>
      <c r="S6"/>
      <c r="T6"/>
      <c r="U6"/>
      <c r="V6"/>
      <c r="W6"/>
      <c r="X6"/>
      <c r="Y6"/>
      <c r="AF6" s="6"/>
      <c r="AG6" s="6"/>
      <c r="AH6" s="6"/>
      <c r="AI6" s="6"/>
      <c r="AJ6" s="6"/>
      <c r="AK6" s="6"/>
      <c r="AL6" s="6"/>
    </row>
    <row r="7" spans="2:38" s="5" customFormat="1" ht="15" customHeight="1">
      <c r="B7" s="270" t="s">
        <v>68</v>
      </c>
      <c r="C7" s="271"/>
      <c r="D7" s="272"/>
      <c r="E7" s="319">
        <f>IF(testnumber="","",testnumber)</f>
      </c>
      <c r="F7" s="320"/>
      <c r="G7" s="321"/>
      <c r="H7" s="254" t="s">
        <v>69</v>
      </c>
      <c r="I7" s="254"/>
      <c r="J7" s="254"/>
      <c r="K7" s="319" t="str">
        <f>IF(lettingdate="","",lettingdate)</f>
        <v>September 2004</v>
      </c>
      <c r="L7" s="320"/>
      <c r="M7" s="321"/>
      <c r="N7"/>
      <c r="P7"/>
      <c r="AF7" s="6"/>
      <c r="AG7" s="6"/>
      <c r="AH7" s="6"/>
      <c r="AI7" s="6"/>
      <c r="AJ7" s="6"/>
      <c r="AK7" s="6"/>
      <c r="AL7" s="6"/>
    </row>
    <row r="8" spans="2:38" s="5" customFormat="1" ht="15" customHeight="1">
      <c r="B8" s="270" t="s">
        <v>70</v>
      </c>
      <c r="C8" s="271"/>
      <c r="D8" s="272"/>
      <c r="E8" s="319">
        <f>IF(status="","",status)</f>
      </c>
      <c r="F8" s="320"/>
      <c r="G8" s="321"/>
      <c r="H8" s="254" t="s">
        <v>71</v>
      </c>
      <c r="I8" s="254"/>
      <c r="J8" s="254"/>
      <c r="K8" s="319" t="str">
        <f>IF(ccsj="","",ccsj)</f>
        <v>1006-02-005</v>
      </c>
      <c r="L8" s="320"/>
      <c r="M8" s="321"/>
      <c r="N8"/>
      <c r="AF8" s="6"/>
      <c r="AG8" s="6"/>
      <c r="AH8" s="6"/>
      <c r="AI8" s="6"/>
      <c r="AJ8" s="6"/>
      <c r="AK8" s="6"/>
      <c r="AL8" s="6"/>
    </row>
    <row r="9" spans="2:23" s="5" customFormat="1" ht="15" customHeight="1">
      <c r="B9" s="270" t="s">
        <v>72</v>
      </c>
      <c r="C9" s="271"/>
      <c r="D9" s="272"/>
      <c r="E9" s="319">
        <f>IF(county="","",county)</f>
      </c>
      <c r="F9" s="320"/>
      <c r="G9" s="321"/>
      <c r="H9" s="254" t="s">
        <v>73</v>
      </c>
      <c r="I9" s="254"/>
      <c r="J9" s="254"/>
      <c r="K9" s="319">
        <f>IF(county="","",county)</f>
      </c>
      <c r="L9" s="320"/>
      <c r="M9" s="321"/>
      <c r="N9"/>
      <c r="Q9" s="10"/>
      <c r="R9" s="10"/>
      <c r="S9" s="10"/>
      <c r="T9" s="10"/>
      <c r="U9" s="10"/>
      <c r="V9" s="10"/>
      <c r="W9" s="10"/>
    </row>
    <row r="10" spans="2:14" s="5" customFormat="1" ht="15" customHeight="1">
      <c r="B10" s="270" t="s">
        <v>74</v>
      </c>
      <c r="C10" s="271"/>
      <c r="D10" s="272"/>
      <c r="E10" s="319" t="str">
        <f>IF(sampledby="","",sampledby)</f>
        <v>Xiaodi</v>
      </c>
      <c r="F10" s="320"/>
      <c r="G10" s="321"/>
      <c r="H10" s="253" t="s">
        <v>75</v>
      </c>
      <c r="I10" s="253"/>
      <c r="J10" s="253"/>
      <c r="K10" s="319">
        <f>IF(specitem="","",specitem)</f>
      </c>
      <c r="L10" s="320"/>
      <c r="M10" s="321"/>
      <c r="N10"/>
    </row>
    <row r="11" spans="1:13" ht="15" customHeight="1">
      <c r="A11" s="10"/>
      <c r="B11" s="270" t="s">
        <v>76</v>
      </c>
      <c r="C11" s="271"/>
      <c r="D11" s="272"/>
      <c r="E11" s="319">
        <f>IF(samplelocation="","",samplelocation)</f>
      </c>
      <c r="F11" s="320"/>
      <c r="G11" s="321"/>
      <c r="H11" s="254" t="s">
        <v>77</v>
      </c>
      <c r="I11" s="254"/>
      <c r="J11" s="254"/>
      <c r="K11" s="322" t="str">
        <f>IF(specialprovision="","",specialprovision)</f>
        <v>NONE</v>
      </c>
      <c r="L11" s="323"/>
      <c r="M11" s="324"/>
    </row>
    <row r="12" spans="1:13" ht="15" customHeight="1">
      <c r="A12" s="10"/>
      <c r="B12" s="270" t="s">
        <v>78</v>
      </c>
      <c r="C12" s="271"/>
      <c r="D12" s="272"/>
      <c r="E12" s="319" t="str">
        <f>IF(material="","",material)</f>
        <v>CAM </v>
      </c>
      <c r="F12" s="320"/>
      <c r="G12" s="321"/>
      <c r="H12" s="253" t="s">
        <v>79</v>
      </c>
      <c r="I12" s="253"/>
      <c r="J12" s="253"/>
      <c r="K12" s="322" t="str">
        <f>IF(Grade="","",Grade)</f>
        <v>Other</v>
      </c>
      <c r="L12" s="323"/>
      <c r="M12" s="324"/>
    </row>
    <row r="13" spans="1:13" ht="15" customHeight="1">
      <c r="A13" s="10"/>
      <c r="B13" s="270" t="s">
        <v>80</v>
      </c>
      <c r="C13" s="271"/>
      <c r="D13" s="272"/>
      <c r="E13" s="357" t="str">
        <f>IF(producer="","",producer)</f>
        <v>TTI Lab Design</v>
      </c>
      <c r="F13" s="358"/>
      <c r="G13" s="358"/>
      <c r="H13" s="358"/>
      <c r="I13" s="358"/>
      <c r="J13" s="358"/>
      <c r="K13" s="358"/>
      <c r="L13" s="358"/>
      <c r="M13" s="359"/>
    </row>
    <row r="14" spans="1:13" ht="15" customHeight="1">
      <c r="A14" s="10"/>
      <c r="B14" s="270" t="s">
        <v>81</v>
      </c>
      <c r="C14" s="271"/>
      <c r="D14" s="272"/>
      <c r="E14" s="319">
        <f>IF(areaengineer="","",areaengineer)</f>
      </c>
      <c r="F14" s="320"/>
      <c r="G14" s="321"/>
      <c r="H14" s="351" t="s">
        <v>82</v>
      </c>
      <c r="I14" s="352"/>
      <c r="J14" s="353"/>
      <c r="K14" s="354">
        <f>IF(projectmanager="","",projectmanager)</f>
      </c>
      <c r="L14" s="355"/>
      <c r="M14" s="356"/>
    </row>
    <row r="15" spans="1:16" ht="6" customHeight="1">
      <c r="A15" s="40"/>
      <c r="B15" s="11"/>
      <c r="C15" s="11"/>
      <c r="D15" s="11"/>
      <c r="E15" s="12"/>
      <c r="F15" s="12"/>
      <c r="G15" s="12"/>
      <c r="H15" s="12"/>
      <c r="I15" s="12"/>
      <c r="J15" s="12"/>
      <c r="K15" s="12"/>
      <c r="L15" s="12"/>
      <c r="M15" s="13"/>
      <c r="N15" s="13"/>
      <c r="O15" s="13"/>
      <c r="P15" s="13"/>
    </row>
    <row r="16" spans="1:13" ht="15" customHeight="1">
      <c r="A16" s="40"/>
      <c r="B16" s="270" t="s">
        <v>1</v>
      </c>
      <c r="C16" s="271"/>
      <c r="D16" s="272"/>
      <c r="E16" s="144">
        <f>IF(courselift="","",courselift)</f>
      </c>
      <c r="F16" s="244" t="s">
        <v>2</v>
      </c>
      <c r="G16" s="240"/>
      <c r="H16" s="307">
        <f>IF(station="","",station)</f>
      </c>
      <c r="I16" s="308"/>
      <c r="J16" s="244" t="s">
        <v>3</v>
      </c>
      <c r="K16" s="240"/>
      <c r="L16" s="307">
        <f>IF(distfromcl="","",distfromcl)</f>
      </c>
      <c r="M16" s="308"/>
    </row>
    <row r="17" ht="15" customHeight="1"/>
    <row r="18" spans="1:40" ht="17.25" customHeight="1">
      <c r="A18" s="72"/>
      <c r="L18" s="344" t="str">
        <f>IF(Bin1Frac="","","Bin No.1 = "&amp;Bin1Frac&amp;" %")</f>
        <v>Bin No.1 = 52 %</v>
      </c>
      <c r="M18" s="476"/>
      <c r="N18" s="345"/>
      <c r="O18" s="344" t="str">
        <f>IF(Bin2Frac="","","Bin No.2 = "&amp;Bin2Frac&amp;" %")</f>
        <v>Bin No.2 = 47 %</v>
      </c>
      <c r="P18" s="476"/>
      <c r="Q18" s="345"/>
      <c r="R18" s="344" t="str">
        <f>IF(Bin3Frac="","","Bin No.3 = "&amp;Bin3Frac&amp;" %")</f>
        <v>Bin No.3 = 1 %</v>
      </c>
      <c r="S18" s="476"/>
      <c r="T18" s="345"/>
      <c r="U18" s="344" t="str">
        <f>IF(Bin4Frac="","","Bin No.4 = "&amp;Bin4Frac&amp;" %")</f>
        <v>Bin No.4 = 0 %</v>
      </c>
      <c r="V18" s="476"/>
      <c r="W18" s="345"/>
      <c r="X18" s="344">
        <f>IF(Bin5Frac="","","Bin No.5 = "&amp;Bin5Frac&amp;" %")</f>
      </c>
      <c r="Y18" s="476"/>
      <c r="Z18" s="345"/>
      <c r="AA18" s="344">
        <f>IF(Bin6Frac="","","Bin No.6 = "&amp;Bin6Frac&amp;" %")</f>
      </c>
      <c r="AB18" s="476"/>
      <c r="AC18" s="345"/>
      <c r="AD18" s="484">
        <f>IF(Bin7Frac="","","Bin No.7 = "&amp;Bin7Frac&amp;" %")</f>
      </c>
      <c r="AE18" s="484"/>
      <c r="AF18" s="484"/>
      <c r="AG18" s="69"/>
      <c r="AH18" s="69"/>
      <c r="AI18" s="70"/>
      <c r="AJ18" s="70"/>
      <c r="AL18" s="368"/>
      <c r="AM18" s="368"/>
      <c r="AN18" s="368"/>
    </row>
    <row r="19" spans="1:40" ht="17.25" customHeight="1">
      <c r="A19" s="72"/>
      <c r="B19"/>
      <c r="C19"/>
      <c r="D19"/>
      <c r="E19"/>
      <c r="I19" s="269" t="s">
        <v>173</v>
      </c>
      <c r="J19" s="269"/>
      <c r="K19" s="269"/>
      <c r="L19" s="317" t="str">
        <f>IF(Bin1Source="","",Bin1Source)</f>
        <v>Duininck</v>
      </c>
      <c r="M19" s="475"/>
      <c r="N19" s="318"/>
      <c r="O19" s="317" t="str">
        <f>IF(Bin2Source="","",Bin2Source)</f>
        <v>Kiewit</v>
      </c>
      <c r="P19" s="475"/>
      <c r="Q19" s="318"/>
      <c r="R19" s="317" t="str">
        <f>IF(Bin3Source="","",Bin3Source)</f>
        <v>Texas Lime</v>
      </c>
      <c r="S19" s="475"/>
      <c r="T19" s="318"/>
      <c r="U19" s="317">
        <f>IF(Bin4Source="","",Bin4Source)</f>
      </c>
      <c r="V19" s="475"/>
      <c r="W19" s="318"/>
      <c r="X19" s="317">
        <f>IF(Bin5Source="","",Bin5Source)</f>
      </c>
      <c r="Y19" s="475"/>
      <c r="Z19" s="318"/>
      <c r="AA19" s="317">
        <f>IF(Bin6Source="","",Bin6Source)</f>
      </c>
      <c r="AB19" s="475"/>
      <c r="AC19" s="318"/>
      <c r="AD19" s="315">
        <f>IF(Bin7Source="","",Bin7Source)</f>
      </c>
      <c r="AE19" s="315"/>
      <c r="AF19" s="315"/>
      <c r="AG19" s="68"/>
      <c r="AH19" s="68"/>
      <c r="AI19" s="70"/>
      <c r="AJ19" s="70"/>
      <c r="AL19" s="368"/>
      <c r="AM19" s="368"/>
      <c r="AN19" s="368"/>
    </row>
    <row r="20" spans="1:40" ht="17.25" customHeight="1">
      <c r="A20" s="72"/>
      <c r="I20" s="269" t="s">
        <v>174</v>
      </c>
      <c r="J20" s="269"/>
      <c r="K20" s="269"/>
      <c r="L20" s="317">
        <f>IF(Bin1Aggr="","",Bin1Aggr)</f>
      </c>
      <c r="M20" s="475"/>
      <c r="N20" s="318"/>
      <c r="O20" s="317">
        <f>IF(Bin2Aggr="","",Bin2Aggr)</f>
      </c>
      <c r="P20" s="475"/>
      <c r="Q20" s="318"/>
      <c r="R20" s="317">
        <f>IF(Bin3Aggr="","",Bin3Aggr)</f>
      </c>
      <c r="S20" s="475"/>
      <c r="T20" s="318"/>
      <c r="U20" s="317">
        <f>IF(Bin4Aggr="","",Bin4Aggr)</f>
      </c>
      <c r="V20" s="475"/>
      <c r="W20" s="318"/>
      <c r="X20" s="317">
        <f>IF(Bin5Aggr="","",Bin5Aggr)</f>
      </c>
      <c r="Y20" s="475"/>
      <c r="Z20" s="318"/>
      <c r="AA20" s="317">
        <f>IF(Bin6Aggr="","",Bin6Aggr)</f>
      </c>
      <c r="AB20" s="475"/>
      <c r="AC20" s="318"/>
      <c r="AD20" s="315">
        <f>IF(Bin7Aggr="","",Bin7Aggr)</f>
      </c>
      <c r="AE20" s="315"/>
      <c r="AF20" s="315"/>
      <c r="AG20" s="69"/>
      <c r="AH20" s="69"/>
      <c r="AI20" s="70"/>
      <c r="AJ20" s="70"/>
      <c r="AL20" s="368"/>
      <c r="AM20" s="368"/>
      <c r="AN20" s="368"/>
    </row>
    <row r="21" spans="1:40" ht="21" customHeight="1">
      <c r="A21"/>
      <c r="B21"/>
      <c r="C21"/>
      <c r="D21"/>
      <c r="E21"/>
      <c r="I21" s="269" t="s">
        <v>160</v>
      </c>
      <c r="J21" s="269"/>
      <c r="K21" s="269"/>
      <c r="L21" s="317" t="str">
        <f>IF(Bin1samp="","",Bin1samp)</f>
        <v>F Rock</v>
      </c>
      <c r="M21" s="475"/>
      <c r="N21" s="318"/>
      <c r="O21" s="317" t="str">
        <f>IF(Bin2Samp="","",Bin2Samp)</f>
        <v>#7-#16</v>
      </c>
      <c r="P21" s="475"/>
      <c r="Q21" s="318"/>
      <c r="R21" s="317" t="str">
        <f>IF(Bin3Samp="","",Bin3Samp)</f>
        <v>Lime</v>
      </c>
      <c r="S21" s="475"/>
      <c r="T21" s="318"/>
      <c r="U21" s="317">
        <f>IF(Bin4Samp="","",Bin4Samp)</f>
      </c>
      <c r="V21" s="475"/>
      <c r="W21" s="318"/>
      <c r="X21" s="317">
        <f>IF(Bin5Samp="","",Bin5Samp)</f>
      </c>
      <c r="Y21" s="475"/>
      <c r="Z21" s="318"/>
      <c r="AA21" s="317">
        <f>IF(Bin6Samp="","",Bin6Samp)</f>
      </c>
      <c r="AB21" s="475"/>
      <c r="AC21" s="318"/>
      <c r="AD21" s="315">
        <f>IF(Bin7Samp="","",Bin7Samp)</f>
      </c>
      <c r="AE21" s="315"/>
      <c r="AF21" s="315"/>
      <c r="AG21" s="68"/>
      <c r="AH21" s="68"/>
      <c r="AI21" s="70"/>
      <c r="AJ21" s="70"/>
      <c r="AL21" s="64"/>
      <c r="AM21" s="64"/>
      <c r="AN21" s="64"/>
    </row>
    <row r="22" ht="6" customHeight="1"/>
    <row r="23" spans="2:32" ht="30" customHeight="1">
      <c r="B23" s="469" t="s">
        <v>107</v>
      </c>
      <c r="C23" s="477"/>
      <c r="D23" s="477"/>
      <c r="E23" s="470"/>
      <c r="F23" s="478" t="s">
        <v>108</v>
      </c>
      <c r="G23" s="420"/>
      <c r="H23" s="478" t="s">
        <v>6</v>
      </c>
      <c r="I23" s="420"/>
      <c r="J23" s="469" t="s">
        <v>114</v>
      </c>
      <c r="K23" s="470"/>
      <c r="L23" s="473" t="s">
        <v>117</v>
      </c>
      <c r="M23" s="469" t="s">
        <v>118</v>
      </c>
      <c r="N23" s="470"/>
      <c r="O23" s="473" t="s">
        <v>117</v>
      </c>
      <c r="P23" s="469" t="s">
        <v>118</v>
      </c>
      <c r="Q23" s="470"/>
      <c r="R23" s="473" t="s">
        <v>117</v>
      </c>
      <c r="S23" s="469" t="s">
        <v>118</v>
      </c>
      <c r="T23" s="470"/>
      <c r="U23" s="473" t="s">
        <v>117</v>
      </c>
      <c r="V23" s="469" t="s">
        <v>118</v>
      </c>
      <c r="W23" s="470"/>
      <c r="X23" s="473" t="s">
        <v>117</v>
      </c>
      <c r="Y23" s="469" t="s">
        <v>118</v>
      </c>
      <c r="Z23" s="470"/>
      <c r="AA23" s="473" t="s">
        <v>117</v>
      </c>
      <c r="AB23" s="469" t="s">
        <v>118</v>
      </c>
      <c r="AC23" s="470"/>
      <c r="AD23" s="473" t="s">
        <v>117</v>
      </c>
      <c r="AE23" s="469" t="s">
        <v>118</v>
      </c>
      <c r="AF23" s="470"/>
    </row>
    <row r="24" spans="2:32" ht="17.25" customHeight="1" thickBot="1">
      <c r="B24" s="449" t="s">
        <v>93</v>
      </c>
      <c r="C24" s="450"/>
      <c r="D24" s="450"/>
      <c r="E24" s="451"/>
      <c r="F24" s="451"/>
      <c r="G24" s="451"/>
      <c r="H24" s="451"/>
      <c r="I24" s="451"/>
      <c r="J24" s="451"/>
      <c r="K24" s="452"/>
      <c r="L24" s="474"/>
      <c r="M24" s="471"/>
      <c r="N24" s="472"/>
      <c r="O24" s="474"/>
      <c r="P24" s="471"/>
      <c r="Q24" s="472"/>
      <c r="R24" s="474"/>
      <c r="S24" s="471"/>
      <c r="T24" s="472"/>
      <c r="U24" s="474"/>
      <c r="V24" s="471"/>
      <c r="W24" s="472"/>
      <c r="X24" s="474"/>
      <c r="Y24" s="471"/>
      <c r="Z24" s="472"/>
      <c r="AA24" s="474"/>
      <c r="AB24" s="471"/>
      <c r="AC24" s="472"/>
      <c r="AD24" s="474"/>
      <c r="AE24" s="471"/>
      <c r="AF24" s="472"/>
    </row>
    <row r="25" spans="1:40" ht="15" customHeight="1" thickTop="1">
      <c r="A25" s="72"/>
      <c r="B25" s="481" t="s">
        <v>94</v>
      </c>
      <c r="C25" s="482"/>
      <c r="D25" s="482"/>
      <c r="E25" s="483"/>
      <c r="F25" s="479" t="s">
        <v>97</v>
      </c>
      <c r="G25" s="480"/>
      <c r="H25" s="479" t="s">
        <v>95</v>
      </c>
      <c r="I25" s="480"/>
      <c r="J25" s="213">
        <v>1.5</v>
      </c>
      <c r="K25" s="63" t="s">
        <v>115</v>
      </c>
      <c r="L25" s="214">
        <v>0.2</v>
      </c>
      <c r="M25" s="446"/>
      <c r="N25" s="447"/>
      <c r="O25" s="214" t="s">
        <v>289</v>
      </c>
      <c r="P25" s="446"/>
      <c r="Q25" s="447"/>
      <c r="R25" s="214" t="s">
        <v>289</v>
      </c>
      <c r="S25" s="446"/>
      <c r="T25" s="447"/>
      <c r="U25" s="214"/>
      <c r="V25" s="446"/>
      <c r="W25" s="447"/>
      <c r="X25" s="214"/>
      <c r="Y25" s="446"/>
      <c r="Z25" s="447"/>
      <c r="AA25" s="214"/>
      <c r="AB25" s="446"/>
      <c r="AC25" s="447"/>
      <c r="AD25" s="214"/>
      <c r="AE25" s="448"/>
      <c r="AF25" s="448"/>
      <c r="AG25" s="68"/>
      <c r="AH25" s="68"/>
      <c r="AI25" s="70"/>
      <c r="AJ25" s="70"/>
      <c r="AL25" s="64"/>
      <c r="AM25" s="64"/>
      <c r="AN25" s="64"/>
    </row>
    <row r="26" spans="1:40" ht="15" customHeight="1">
      <c r="A26" s="72"/>
      <c r="B26" s="485" t="s">
        <v>96</v>
      </c>
      <c r="C26" s="486"/>
      <c r="D26" s="486"/>
      <c r="E26" s="487"/>
      <c r="F26" s="277" t="s">
        <v>97</v>
      </c>
      <c r="G26" s="278"/>
      <c r="H26" s="277" t="s">
        <v>95</v>
      </c>
      <c r="I26" s="278"/>
      <c r="J26" s="209">
        <v>1.5</v>
      </c>
      <c r="K26" s="55" t="s">
        <v>115</v>
      </c>
      <c r="L26" s="214">
        <v>0</v>
      </c>
      <c r="M26" s="446"/>
      <c r="N26" s="447"/>
      <c r="O26" s="214" t="s">
        <v>289</v>
      </c>
      <c r="P26" s="446"/>
      <c r="Q26" s="447"/>
      <c r="R26" s="214" t="s">
        <v>289</v>
      </c>
      <c r="S26" s="446"/>
      <c r="T26" s="447"/>
      <c r="U26" s="214"/>
      <c r="V26" s="446"/>
      <c r="W26" s="447"/>
      <c r="X26" s="214"/>
      <c r="Y26" s="446"/>
      <c r="Z26" s="447"/>
      <c r="AA26" s="214"/>
      <c r="AB26" s="446"/>
      <c r="AC26" s="447"/>
      <c r="AD26" s="214"/>
      <c r="AE26" s="448"/>
      <c r="AF26" s="448"/>
      <c r="AG26" s="68"/>
      <c r="AH26" s="68"/>
      <c r="AI26" s="70"/>
      <c r="AJ26" s="70"/>
      <c r="AL26" s="64"/>
      <c r="AM26" s="64"/>
      <c r="AN26" s="64"/>
    </row>
    <row r="27" spans="1:40" s="84" customFormat="1" ht="24" customHeight="1">
      <c r="A27" s="83"/>
      <c r="B27" s="488" t="s">
        <v>135</v>
      </c>
      <c r="C27" s="489"/>
      <c r="D27" s="489"/>
      <c r="E27" s="490"/>
      <c r="F27" s="277" t="s">
        <v>98</v>
      </c>
      <c r="G27" s="278"/>
      <c r="H27" s="348" t="s">
        <v>109</v>
      </c>
      <c r="I27" s="350"/>
      <c r="J27" s="215" t="s">
        <v>288</v>
      </c>
      <c r="K27" s="55" t="s">
        <v>116</v>
      </c>
      <c r="L27" s="214" t="s">
        <v>288</v>
      </c>
      <c r="M27" s="446"/>
      <c r="N27" s="447"/>
      <c r="O27" s="214" t="s">
        <v>288</v>
      </c>
      <c r="P27" s="446"/>
      <c r="Q27" s="447"/>
      <c r="R27" s="214" t="s">
        <v>289</v>
      </c>
      <c r="S27" s="446"/>
      <c r="T27" s="447"/>
      <c r="U27" s="214"/>
      <c r="V27" s="446"/>
      <c r="W27" s="447"/>
      <c r="X27" s="214"/>
      <c r="Y27" s="446"/>
      <c r="Z27" s="447"/>
      <c r="AA27" s="214"/>
      <c r="AB27" s="446"/>
      <c r="AC27" s="447"/>
      <c r="AD27" s="214"/>
      <c r="AE27" s="448"/>
      <c r="AF27" s="448"/>
      <c r="AG27" s="59"/>
      <c r="AH27" s="59"/>
      <c r="AI27" s="85"/>
      <c r="AJ27" s="85"/>
      <c r="AL27" s="86"/>
      <c r="AM27" s="62"/>
      <c r="AN27" s="62"/>
    </row>
    <row r="28" spans="1:40" s="84" customFormat="1" ht="15" customHeight="1">
      <c r="A28" s="83"/>
      <c r="B28" s="485" t="s">
        <v>99</v>
      </c>
      <c r="C28" s="486"/>
      <c r="D28" s="486"/>
      <c r="E28" s="487"/>
      <c r="F28" s="277" t="s">
        <v>100</v>
      </c>
      <c r="G28" s="278"/>
      <c r="H28" s="277" t="s">
        <v>110</v>
      </c>
      <c r="I28" s="278"/>
      <c r="J28" s="209">
        <v>25</v>
      </c>
      <c r="K28" s="55" t="s">
        <v>115</v>
      </c>
      <c r="L28" s="214">
        <v>8</v>
      </c>
      <c r="M28" s="446"/>
      <c r="N28" s="447"/>
      <c r="O28" s="214" t="s">
        <v>289</v>
      </c>
      <c r="P28" s="446"/>
      <c r="Q28" s="447"/>
      <c r="R28" s="214" t="s">
        <v>289</v>
      </c>
      <c r="S28" s="446"/>
      <c r="T28" s="447"/>
      <c r="U28" s="214"/>
      <c r="V28" s="446"/>
      <c r="W28" s="447"/>
      <c r="X28" s="214"/>
      <c r="Y28" s="446"/>
      <c r="Z28" s="447"/>
      <c r="AA28" s="214"/>
      <c r="AB28" s="446"/>
      <c r="AC28" s="447"/>
      <c r="AD28" s="214"/>
      <c r="AE28" s="448"/>
      <c r="AF28" s="448"/>
      <c r="AG28" s="59"/>
      <c r="AH28" s="59"/>
      <c r="AI28" s="85"/>
      <c r="AJ28" s="85"/>
      <c r="AL28" s="86"/>
      <c r="AM28" s="62"/>
      <c r="AN28" s="62"/>
    </row>
    <row r="29" spans="1:40" s="84" customFormat="1" ht="15" customHeight="1">
      <c r="A29" s="83"/>
      <c r="B29" s="485" t="s">
        <v>101</v>
      </c>
      <c r="C29" s="486"/>
      <c r="D29" s="486"/>
      <c r="E29" s="487"/>
      <c r="F29" s="277" t="s">
        <v>102</v>
      </c>
      <c r="G29" s="278"/>
      <c r="H29" s="277" t="s">
        <v>111</v>
      </c>
      <c r="I29" s="278"/>
      <c r="J29" s="209">
        <v>35</v>
      </c>
      <c r="K29" s="55" t="s">
        <v>115</v>
      </c>
      <c r="L29" s="214">
        <v>16</v>
      </c>
      <c r="M29" s="446"/>
      <c r="N29" s="447"/>
      <c r="O29" s="214" t="s">
        <v>289</v>
      </c>
      <c r="P29" s="446"/>
      <c r="Q29" s="447"/>
      <c r="R29" s="214" t="s">
        <v>289</v>
      </c>
      <c r="S29" s="446"/>
      <c r="T29" s="447"/>
      <c r="U29" s="214"/>
      <c r="V29" s="446"/>
      <c r="W29" s="447"/>
      <c r="X29" s="214"/>
      <c r="Y29" s="446"/>
      <c r="Z29" s="447"/>
      <c r="AA29" s="214"/>
      <c r="AB29" s="446"/>
      <c r="AC29" s="447"/>
      <c r="AD29" s="214"/>
      <c r="AE29" s="448"/>
      <c r="AF29" s="448"/>
      <c r="AG29" s="59"/>
      <c r="AH29" s="59"/>
      <c r="AI29" s="85"/>
      <c r="AJ29" s="85"/>
      <c r="AL29" s="86"/>
      <c r="AM29" s="62"/>
      <c r="AN29" s="62"/>
    </row>
    <row r="30" spans="1:40" s="84" customFormat="1" ht="15" customHeight="1">
      <c r="A30" s="83"/>
      <c r="B30" s="485" t="s">
        <v>103</v>
      </c>
      <c r="C30" s="486"/>
      <c r="D30" s="486"/>
      <c r="E30" s="487"/>
      <c r="F30" s="277" t="s">
        <v>104</v>
      </c>
      <c r="G30" s="278"/>
      <c r="H30" s="277" t="s">
        <v>112</v>
      </c>
      <c r="I30" s="278"/>
      <c r="J30" s="209">
        <v>95</v>
      </c>
      <c r="K30" s="55" t="s">
        <v>116</v>
      </c>
      <c r="L30" s="214">
        <v>100</v>
      </c>
      <c r="M30" s="446"/>
      <c r="N30" s="447"/>
      <c r="O30" s="214" t="s">
        <v>289</v>
      </c>
      <c r="P30" s="446"/>
      <c r="Q30" s="447"/>
      <c r="R30" s="214" t="s">
        <v>289</v>
      </c>
      <c r="S30" s="446"/>
      <c r="T30" s="447"/>
      <c r="U30" s="214"/>
      <c r="V30" s="446"/>
      <c r="W30" s="447"/>
      <c r="X30" s="214"/>
      <c r="Y30" s="446"/>
      <c r="Z30" s="447"/>
      <c r="AA30" s="214"/>
      <c r="AB30" s="446"/>
      <c r="AC30" s="447"/>
      <c r="AD30" s="214"/>
      <c r="AE30" s="448"/>
      <c r="AF30" s="448"/>
      <c r="AG30" s="59"/>
      <c r="AH30" s="59"/>
      <c r="AI30" s="85"/>
      <c r="AJ30" s="85"/>
      <c r="AL30" s="86"/>
      <c r="AM30" s="62"/>
      <c r="AN30" s="62"/>
    </row>
    <row r="31" spans="1:40" s="84" customFormat="1" ht="15" customHeight="1">
      <c r="A31" s="83"/>
      <c r="B31" s="485" t="s">
        <v>105</v>
      </c>
      <c r="C31" s="486"/>
      <c r="D31" s="486"/>
      <c r="E31" s="487"/>
      <c r="F31" s="277" t="s">
        <v>106</v>
      </c>
      <c r="G31" s="278"/>
      <c r="H31" s="277" t="s">
        <v>113</v>
      </c>
      <c r="I31" s="278"/>
      <c r="J31" s="209">
        <v>10</v>
      </c>
      <c r="K31" s="55" t="s">
        <v>115</v>
      </c>
      <c r="L31" s="214">
        <v>0</v>
      </c>
      <c r="M31" s="446"/>
      <c r="N31" s="447"/>
      <c r="O31" s="214" t="s">
        <v>289</v>
      </c>
      <c r="P31" s="446"/>
      <c r="Q31" s="447"/>
      <c r="R31" s="214" t="s">
        <v>289</v>
      </c>
      <c r="S31" s="446"/>
      <c r="T31" s="447"/>
      <c r="U31" s="214"/>
      <c r="V31" s="446"/>
      <c r="W31" s="447"/>
      <c r="X31" s="214"/>
      <c r="Y31" s="446"/>
      <c r="Z31" s="447"/>
      <c r="AA31" s="214"/>
      <c r="AB31" s="446"/>
      <c r="AC31" s="447"/>
      <c r="AD31" s="214"/>
      <c r="AE31" s="448"/>
      <c r="AF31" s="448"/>
      <c r="AG31" s="59"/>
      <c r="AH31" s="59"/>
      <c r="AI31" s="85"/>
      <c r="AJ31" s="85"/>
      <c r="AL31" s="86"/>
      <c r="AM31" s="62"/>
      <c r="AN31" s="62"/>
    </row>
    <row r="32" spans="1:40" s="84" customFormat="1" ht="15" customHeight="1" thickBot="1">
      <c r="A32" s="83"/>
      <c r="B32" s="449" t="s">
        <v>119</v>
      </c>
      <c r="C32" s="450"/>
      <c r="D32" s="450"/>
      <c r="E32" s="451"/>
      <c r="F32" s="451"/>
      <c r="G32" s="451"/>
      <c r="H32" s="451"/>
      <c r="I32" s="451"/>
      <c r="J32" s="451"/>
      <c r="K32" s="452"/>
      <c r="L32" s="453"/>
      <c r="M32" s="454"/>
      <c r="N32" s="454"/>
      <c r="O32" s="454"/>
      <c r="P32" s="454"/>
      <c r="Q32" s="454"/>
      <c r="R32" s="454"/>
      <c r="S32" s="454"/>
      <c r="T32" s="454"/>
      <c r="U32" s="454"/>
      <c r="V32" s="454"/>
      <c r="W32" s="454"/>
      <c r="X32" s="454"/>
      <c r="Y32" s="454"/>
      <c r="Z32" s="454"/>
      <c r="AA32" s="454"/>
      <c r="AB32" s="454"/>
      <c r="AC32" s="454"/>
      <c r="AD32" s="454"/>
      <c r="AE32" s="454"/>
      <c r="AF32" s="455"/>
      <c r="AG32" s="59"/>
      <c r="AH32" s="59"/>
      <c r="AI32" s="85"/>
      <c r="AJ32" s="85"/>
      <c r="AL32" s="86"/>
      <c r="AM32" s="62"/>
      <c r="AN32" s="62"/>
    </row>
    <row r="33" spans="1:40" s="84" customFormat="1" ht="15" customHeight="1" thickTop="1">
      <c r="A33" s="83"/>
      <c r="B33" s="481" t="s">
        <v>120</v>
      </c>
      <c r="C33" s="482"/>
      <c r="D33" s="482"/>
      <c r="E33" s="483"/>
      <c r="F33" s="479" t="s">
        <v>121</v>
      </c>
      <c r="G33" s="480"/>
      <c r="H33" s="479" t="s">
        <v>122</v>
      </c>
      <c r="I33" s="480"/>
      <c r="J33" s="213">
        <v>3</v>
      </c>
      <c r="K33" s="63" t="s">
        <v>115</v>
      </c>
      <c r="L33" s="214" t="s">
        <v>289</v>
      </c>
      <c r="M33" s="446"/>
      <c r="N33" s="447"/>
      <c r="O33" s="214">
        <v>0</v>
      </c>
      <c r="P33" s="446"/>
      <c r="Q33" s="447"/>
      <c r="R33" s="214">
        <v>0</v>
      </c>
      <c r="S33" s="446"/>
      <c r="T33" s="447"/>
      <c r="U33" s="214"/>
      <c r="V33" s="446"/>
      <c r="W33" s="447"/>
      <c r="X33" s="214"/>
      <c r="Y33" s="446"/>
      <c r="Z33" s="447"/>
      <c r="AA33" s="214"/>
      <c r="AB33" s="446"/>
      <c r="AC33" s="447"/>
      <c r="AD33" s="214"/>
      <c r="AE33" s="446"/>
      <c r="AF33" s="447"/>
      <c r="AG33" s="59"/>
      <c r="AH33" s="59"/>
      <c r="AI33" s="85"/>
      <c r="AJ33" s="85"/>
      <c r="AL33" s="86"/>
      <c r="AM33" s="62"/>
      <c r="AN33" s="62"/>
    </row>
    <row r="34" spans="1:40" s="84" customFormat="1" ht="15" customHeight="1" thickBot="1">
      <c r="A34" s="83"/>
      <c r="B34" s="449" t="s">
        <v>123</v>
      </c>
      <c r="C34" s="450"/>
      <c r="D34" s="450"/>
      <c r="E34" s="451"/>
      <c r="F34" s="451"/>
      <c r="G34" s="451"/>
      <c r="H34" s="451"/>
      <c r="I34" s="451"/>
      <c r="J34" s="451"/>
      <c r="K34" s="452"/>
      <c r="L34" s="453"/>
      <c r="M34" s="454"/>
      <c r="N34" s="454"/>
      <c r="O34" s="454"/>
      <c r="P34" s="454"/>
      <c r="Q34" s="454"/>
      <c r="R34" s="454"/>
      <c r="S34" s="454"/>
      <c r="T34" s="454"/>
      <c r="U34" s="454"/>
      <c r="V34" s="454"/>
      <c r="W34" s="454"/>
      <c r="X34" s="454"/>
      <c r="Y34" s="454"/>
      <c r="Z34" s="454"/>
      <c r="AA34" s="454"/>
      <c r="AB34" s="454"/>
      <c r="AC34" s="454"/>
      <c r="AD34" s="454"/>
      <c r="AE34" s="454"/>
      <c r="AF34" s="455"/>
      <c r="AG34" s="59"/>
      <c r="AH34" s="59"/>
      <c r="AI34" s="85"/>
      <c r="AJ34" s="85"/>
      <c r="AL34" s="86"/>
      <c r="AM34" s="62"/>
      <c r="AN34" s="62"/>
    </row>
    <row r="35" spans="1:40" s="84" customFormat="1" ht="15" customHeight="1" thickTop="1">
      <c r="A35" s="83"/>
      <c r="B35" s="481" t="s">
        <v>124</v>
      </c>
      <c r="C35" s="482"/>
      <c r="D35" s="482"/>
      <c r="E35" s="483"/>
      <c r="F35" s="479" t="s">
        <v>125</v>
      </c>
      <c r="G35" s="480"/>
      <c r="H35" s="479" t="s">
        <v>126</v>
      </c>
      <c r="I35" s="480"/>
      <c r="J35" s="213">
        <v>45</v>
      </c>
      <c r="K35" s="63" t="s">
        <v>116</v>
      </c>
      <c r="L35" s="214" t="s">
        <v>289</v>
      </c>
      <c r="M35" s="446"/>
      <c r="N35" s="447"/>
      <c r="O35" s="214" t="s">
        <v>289</v>
      </c>
      <c r="P35" s="446"/>
      <c r="Q35" s="447"/>
      <c r="R35" s="214" t="s">
        <v>289</v>
      </c>
      <c r="S35" s="446"/>
      <c r="T35" s="447"/>
      <c r="U35" s="214">
        <v>71</v>
      </c>
      <c r="V35" s="446" t="s">
        <v>290</v>
      </c>
      <c r="W35" s="447"/>
      <c r="X35" s="214"/>
      <c r="Y35" s="446"/>
      <c r="Z35" s="447"/>
      <c r="AA35" s="214"/>
      <c r="AB35" s="446"/>
      <c r="AC35" s="447"/>
      <c r="AD35" s="214"/>
      <c r="AE35" s="446"/>
      <c r="AF35" s="447"/>
      <c r="AG35" s="59"/>
      <c r="AH35" s="59"/>
      <c r="AI35" s="85"/>
      <c r="AJ35" s="85"/>
      <c r="AL35" s="86"/>
      <c r="AM35" s="62"/>
      <c r="AN35" s="62"/>
    </row>
    <row r="36" spans="1:40" s="84" customFormat="1" ht="16.5" customHeight="1" thickBot="1">
      <c r="A36" s="83"/>
      <c r="B36" s="449" t="s">
        <v>127</v>
      </c>
      <c r="C36" s="450"/>
      <c r="D36" s="450"/>
      <c r="E36" s="451"/>
      <c r="F36" s="451"/>
      <c r="G36" s="451"/>
      <c r="H36" s="451"/>
      <c r="I36" s="451"/>
      <c r="J36" s="451"/>
      <c r="K36" s="452"/>
      <c r="L36" s="453"/>
      <c r="M36" s="454"/>
      <c r="N36" s="454"/>
      <c r="O36" s="454"/>
      <c r="P36" s="454"/>
      <c r="Q36" s="454"/>
      <c r="R36" s="454"/>
      <c r="S36" s="454"/>
      <c r="T36" s="454"/>
      <c r="U36" s="454"/>
      <c r="V36" s="454"/>
      <c r="W36" s="454"/>
      <c r="X36" s="454"/>
      <c r="Y36" s="454"/>
      <c r="Z36" s="454"/>
      <c r="AA36" s="454"/>
      <c r="AB36" s="454"/>
      <c r="AC36" s="454"/>
      <c r="AD36" s="454"/>
      <c r="AE36" s="454"/>
      <c r="AF36" s="455"/>
      <c r="AG36" s="59"/>
      <c r="AH36" s="59"/>
      <c r="AI36" s="62"/>
      <c r="AJ36" s="62"/>
      <c r="AL36" s="86"/>
      <c r="AM36" s="62"/>
      <c r="AN36" s="62"/>
    </row>
    <row r="37" spans="1:42" s="84" customFormat="1" ht="15" customHeight="1" thickTop="1">
      <c r="A37" s="87"/>
      <c r="B37" s="481" t="s">
        <v>128</v>
      </c>
      <c r="C37" s="482"/>
      <c r="D37" s="482"/>
      <c r="E37" s="483"/>
      <c r="F37" s="479" t="s">
        <v>129</v>
      </c>
      <c r="G37" s="480"/>
      <c r="H37" s="479" t="s">
        <v>130</v>
      </c>
      <c r="I37" s="480"/>
      <c r="J37" s="213"/>
      <c r="K37" s="63" t="s">
        <v>116</v>
      </c>
      <c r="L37" s="214"/>
      <c r="M37" s="446"/>
      <c r="N37" s="447"/>
      <c r="O37" s="214"/>
      <c r="P37" s="446"/>
      <c r="Q37" s="447"/>
      <c r="R37" s="214"/>
      <c r="S37" s="446"/>
      <c r="T37" s="447"/>
      <c r="U37" s="214"/>
      <c r="V37" s="446"/>
      <c r="W37" s="447"/>
      <c r="X37" s="214"/>
      <c r="Y37" s="446"/>
      <c r="Z37" s="447"/>
      <c r="AA37" s="214"/>
      <c r="AB37" s="446"/>
      <c r="AC37" s="447"/>
      <c r="AD37" s="214"/>
      <c r="AE37" s="448"/>
      <c r="AF37" s="448"/>
      <c r="AG37" s="59"/>
      <c r="AH37" s="59"/>
      <c r="AI37" s="61"/>
      <c r="AJ37" s="61"/>
      <c r="AK37" s="61"/>
      <c r="AL37" s="61"/>
      <c r="AM37" s="61"/>
      <c r="AN37" s="61"/>
      <c r="AO37" s="62"/>
      <c r="AP37" s="62"/>
    </row>
    <row r="38" spans="1:42" s="84" customFormat="1" ht="15" customHeight="1">
      <c r="A38" s="87"/>
      <c r="B38" s="485" t="s">
        <v>131</v>
      </c>
      <c r="C38" s="486"/>
      <c r="D38" s="486"/>
      <c r="E38" s="487"/>
      <c r="F38" s="277" t="s">
        <v>132</v>
      </c>
      <c r="G38" s="278"/>
      <c r="H38" s="277" t="s">
        <v>12</v>
      </c>
      <c r="I38" s="278"/>
      <c r="J38" s="209"/>
      <c r="K38" s="55" t="s">
        <v>115</v>
      </c>
      <c r="L38" s="214"/>
      <c r="M38" s="446"/>
      <c r="N38" s="447"/>
      <c r="O38" s="214"/>
      <c r="P38" s="446"/>
      <c r="Q38" s="447"/>
      <c r="R38" s="214"/>
      <c r="S38" s="446"/>
      <c r="T38" s="447"/>
      <c r="U38" s="214"/>
      <c r="V38" s="446"/>
      <c r="W38" s="447"/>
      <c r="X38" s="214"/>
      <c r="Y38" s="446"/>
      <c r="Z38" s="447"/>
      <c r="AA38" s="214"/>
      <c r="AB38" s="446"/>
      <c r="AC38" s="447"/>
      <c r="AD38" s="214"/>
      <c r="AE38" s="448"/>
      <c r="AF38" s="448"/>
      <c r="AG38" s="59"/>
      <c r="AH38" s="59"/>
      <c r="AI38" s="61"/>
      <c r="AJ38" s="61"/>
      <c r="AK38" s="61"/>
      <c r="AL38" s="61"/>
      <c r="AM38" s="61"/>
      <c r="AN38" s="61"/>
      <c r="AO38" s="62"/>
      <c r="AP38" s="62"/>
    </row>
    <row r="39" spans="1:42" s="84" customFormat="1" ht="15" customHeight="1">
      <c r="A39" s="87"/>
      <c r="B39" s="485" t="s">
        <v>133</v>
      </c>
      <c r="C39" s="486"/>
      <c r="D39" s="486"/>
      <c r="E39" s="487"/>
      <c r="F39" s="277" t="s">
        <v>136</v>
      </c>
      <c r="G39" s="278"/>
      <c r="H39" s="277" t="s">
        <v>134</v>
      </c>
      <c r="I39" s="278"/>
      <c r="J39" s="209"/>
      <c r="K39" s="55" t="s">
        <v>115</v>
      </c>
      <c r="L39" s="214"/>
      <c r="M39" s="446"/>
      <c r="N39" s="447"/>
      <c r="O39" s="214"/>
      <c r="P39" s="446"/>
      <c r="Q39" s="447"/>
      <c r="R39" s="214"/>
      <c r="S39" s="446"/>
      <c r="T39" s="447"/>
      <c r="U39" s="214"/>
      <c r="V39" s="446"/>
      <c r="W39" s="447"/>
      <c r="X39" s="214"/>
      <c r="Y39" s="446"/>
      <c r="Z39" s="447"/>
      <c r="AA39" s="214"/>
      <c r="AB39" s="446"/>
      <c r="AC39" s="447"/>
      <c r="AD39" s="214"/>
      <c r="AE39" s="448"/>
      <c r="AF39" s="448"/>
      <c r="AG39" s="59"/>
      <c r="AH39" s="59"/>
      <c r="AI39" s="61"/>
      <c r="AJ39" s="61"/>
      <c r="AK39" s="61"/>
      <c r="AL39" s="61"/>
      <c r="AM39" s="61"/>
      <c r="AN39" s="61"/>
      <c r="AO39" s="62"/>
      <c r="AP39" s="62"/>
    </row>
    <row r="40" ht="6.75" customHeight="1"/>
    <row r="41" spans="2:32" ht="17.25" customHeight="1" thickBot="1">
      <c r="B41" s="449" t="s">
        <v>248</v>
      </c>
      <c r="C41" s="450"/>
      <c r="D41" s="450"/>
      <c r="E41" s="451"/>
      <c r="F41" s="451"/>
      <c r="G41" s="451"/>
      <c r="H41" s="451"/>
      <c r="I41" s="451"/>
      <c r="J41" s="451"/>
      <c r="K41" s="452"/>
      <c r="L41" s="453"/>
      <c r="M41" s="454"/>
      <c r="N41" s="454"/>
      <c r="O41" s="454"/>
      <c r="P41" s="454"/>
      <c r="Q41" s="454"/>
      <c r="R41" s="454"/>
      <c r="S41" s="454"/>
      <c r="T41" s="454"/>
      <c r="U41" s="454"/>
      <c r="V41" s="454"/>
      <c r="W41" s="454"/>
      <c r="X41" s="454"/>
      <c r="Y41" s="454"/>
      <c r="Z41" s="454"/>
      <c r="AA41" s="454"/>
      <c r="AB41" s="454"/>
      <c r="AC41" s="454"/>
      <c r="AD41" s="454"/>
      <c r="AE41" s="454"/>
      <c r="AF41" s="455"/>
    </row>
    <row r="42" spans="1:42" s="84" customFormat="1" ht="15" customHeight="1" thickTop="1">
      <c r="A42" s="87"/>
      <c r="B42" s="456" t="s">
        <v>249</v>
      </c>
      <c r="C42" s="457"/>
      <c r="D42" s="457"/>
      <c r="E42" s="457"/>
      <c r="F42" s="457"/>
      <c r="G42" s="458"/>
      <c r="H42" s="467"/>
      <c r="I42" s="468"/>
      <c r="J42" s="213"/>
      <c r="K42" s="213"/>
      <c r="L42" s="214"/>
      <c r="M42" s="446"/>
      <c r="N42" s="447"/>
      <c r="O42" s="214"/>
      <c r="P42" s="446"/>
      <c r="Q42" s="447"/>
      <c r="R42" s="214"/>
      <c r="S42" s="446"/>
      <c r="T42" s="447"/>
      <c r="U42" s="214"/>
      <c r="V42" s="446"/>
      <c r="W42" s="447"/>
      <c r="X42" s="214"/>
      <c r="Y42" s="446"/>
      <c r="Z42" s="447"/>
      <c r="AA42" s="214"/>
      <c r="AB42" s="446"/>
      <c r="AC42" s="447"/>
      <c r="AD42" s="214"/>
      <c r="AE42" s="448"/>
      <c r="AF42" s="448"/>
      <c r="AG42" s="59"/>
      <c r="AH42" s="59"/>
      <c r="AI42" s="61"/>
      <c r="AJ42" s="61"/>
      <c r="AK42" s="61"/>
      <c r="AL42" s="61"/>
      <c r="AM42" s="61"/>
      <c r="AN42" s="61"/>
      <c r="AO42" s="62"/>
      <c r="AP42" s="62"/>
    </row>
    <row r="43" spans="1:42" s="84" customFormat="1" ht="15" customHeight="1">
      <c r="A43" s="87"/>
      <c r="B43" s="459"/>
      <c r="C43" s="460"/>
      <c r="D43" s="460"/>
      <c r="E43" s="460"/>
      <c r="F43" s="460"/>
      <c r="G43" s="461"/>
      <c r="H43" s="465"/>
      <c r="I43" s="466"/>
      <c r="J43" s="209"/>
      <c r="K43" s="209"/>
      <c r="L43" s="214"/>
      <c r="M43" s="446"/>
      <c r="N43" s="447"/>
      <c r="O43" s="214"/>
      <c r="P43" s="446"/>
      <c r="Q43" s="447"/>
      <c r="R43" s="214"/>
      <c r="S43" s="446"/>
      <c r="T43" s="447"/>
      <c r="U43" s="214"/>
      <c r="V43" s="446"/>
      <c r="W43" s="447"/>
      <c r="X43" s="214"/>
      <c r="Y43" s="446"/>
      <c r="Z43" s="447"/>
      <c r="AA43" s="214"/>
      <c r="AB43" s="446"/>
      <c r="AC43" s="447"/>
      <c r="AD43" s="214"/>
      <c r="AE43" s="448"/>
      <c r="AF43" s="448"/>
      <c r="AG43" s="59"/>
      <c r="AH43" s="59"/>
      <c r="AI43" s="61"/>
      <c r="AJ43" s="61"/>
      <c r="AK43" s="61"/>
      <c r="AL43" s="61"/>
      <c r="AM43" s="61"/>
      <c r="AN43" s="61"/>
      <c r="AO43" s="62"/>
      <c r="AP43" s="62"/>
    </row>
    <row r="44" spans="1:42" s="84" customFormat="1" ht="15" customHeight="1">
      <c r="A44" s="87"/>
      <c r="B44" s="459"/>
      <c r="C44" s="460"/>
      <c r="D44" s="460"/>
      <c r="E44" s="460"/>
      <c r="F44" s="460"/>
      <c r="G44" s="461"/>
      <c r="H44" s="465"/>
      <c r="I44" s="466"/>
      <c r="J44" s="209"/>
      <c r="K44" s="209"/>
      <c r="L44" s="214"/>
      <c r="M44" s="446"/>
      <c r="N44" s="447"/>
      <c r="O44" s="214"/>
      <c r="P44" s="446"/>
      <c r="Q44" s="447"/>
      <c r="R44" s="214"/>
      <c r="S44" s="446"/>
      <c r="T44" s="447"/>
      <c r="U44" s="214"/>
      <c r="V44" s="446"/>
      <c r="W44" s="447"/>
      <c r="X44" s="214"/>
      <c r="Y44" s="446"/>
      <c r="Z44" s="447"/>
      <c r="AA44" s="214"/>
      <c r="AB44" s="446"/>
      <c r="AC44" s="447"/>
      <c r="AD44" s="214"/>
      <c r="AE44" s="448"/>
      <c r="AF44" s="448"/>
      <c r="AG44" s="59"/>
      <c r="AH44" s="59"/>
      <c r="AI44" s="61"/>
      <c r="AJ44" s="61"/>
      <c r="AK44" s="61"/>
      <c r="AL44" s="61"/>
      <c r="AM44" s="61"/>
      <c r="AN44" s="61"/>
      <c r="AO44" s="62"/>
      <c r="AP44" s="62"/>
    </row>
    <row r="45" spans="1:42" s="84" customFormat="1" ht="15" customHeight="1">
      <c r="A45" s="87"/>
      <c r="B45" s="459"/>
      <c r="C45" s="460"/>
      <c r="D45" s="460"/>
      <c r="E45" s="460"/>
      <c r="F45" s="460"/>
      <c r="G45" s="461"/>
      <c r="H45" s="465"/>
      <c r="I45" s="466"/>
      <c r="J45" s="209"/>
      <c r="K45" s="209"/>
      <c r="L45" s="214"/>
      <c r="M45" s="446"/>
      <c r="N45" s="447"/>
      <c r="O45" s="214"/>
      <c r="P45" s="446"/>
      <c r="Q45" s="447"/>
      <c r="R45" s="214"/>
      <c r="S45" s="446"/>
      <c r="T45" s="447"/>
      <c r="U45" s="214"/>
      <c r="V45" s="446"/>
      <c r="W45" s="447"/>
      <c r="X45" s="214"/>
      <c r="Y45" s="446"/>
      <c r="Z45" s="447"/>
      <c r="AA45" s="214"/>
      <c r="AB45" s="446"/>
      <c r="AC45" s="447"/>
      <c r="AD45" s="214"/>
      <c r="AE45" s="448"/>
      <c r="AF45" s="448"/>
      <c r="AG45" s="59"/>
      <c r="AH45" s="59"/>
      <c r="AI45" s="61"/>
      <c r="AJ45" s="61"/>
      <c r="AK45" s="61"/>
      <c r="AL45" s="61"/>
      <c r="AM45" s="61"/>
      <c r="AN45" s="61"/>
      <c r="AO45" s="62"/>
      <c r="AP45" s="62"/>
    </row>
    <row r="46" spans="1:42" s="84" customFormat="1" ht="15" customHeight="1">
      <c r="A46" s="87"/>
      <c r="B46" s="462"/>
      <c r="C46" s="463"/>
      <c r="D46" s="463"/>
      <c r="E46" s="463"/>
      <c r="F46" s="463"/>
      <c r="G46" s="464"/>
      <c r="H46" s="465"/>
      <c r="I46" s="466"/>
      <c r="J46" s="209"/>
      <c r="K46" s="209"/>
      <c r="L46" s="214"/>
      <c r="M46" s="446"/>
      <c r="N46" s="447"/>
      <c r="O46" s="214"/>
      <c r="P46" s="446"/>
      <c r="Q46" s="447"/>
      <c r="R46" s="214"/>
      <c r="S46" s="446"/>
      <c r="T46" s="447"/>
      <c r="U46" s="214"/>
      <c r="V46" s="446"/>
      <c r="W46" s="447"/>
      <c r="X46" s="214"/>
      <c r="Y46" s="446"/>
      <c r="Z46" s="447"/>
      <c r="AA46" s="214"/>
      <c r="AB46" s="446"/>
      <c r="AC46" s="447"/>
      <c r="AD46" s="214"/>
      <c r="AE46" s="448"/>
      <c r="AF46" s="448"/>
      <c r="AG46" s="59"/>
      <c r="AH46" s="59"/>
      <c r="AI46" s="61"/>
      <c r="AJ46" s="61"/>
      <c r="AK46" s="61"/>
      <c r="AL46" s="61"/>
      <c r="AM46" s="61"/>
      <c r="AN46" s="61"/>
      <c r="AO46" s="62"/>
      <c r="AP46" s="62"/>
    </row>
    <row r="47" spans="1:42" s="84" customFormat="1" ht="4.5" customHeight="1">
      <c r="A47" s="87"/>
      <c r="B47" s="58"/>
      <c r="C47" s="58"/>
      <c r="D47" s="58"/>
      <c r="E47" s="58"/>
      <c r="F47" s="58"/>
      <c r="G47" s="58"/>
      <c r="H47" s="58"/>
      <c r="I47" s="58"/>
      <c r="J47" s="58"/>
      <c r="L47" s="59"/>
      <c r="M47" s="59"/>
      <c r="N47" s="59"/>
      <c r="O47" s="59"/>
      <c r="P47" s="59"/>
      <c r="Q47" s="59"/>
      <c r="R47" s="59"/>
      <c r="S47" s="59"/>
      <c r="T47" s="59"/>
      <c r="U47" s="59"/>
      <c r="V47" s="59"/>
      <c r="W47" s="59"/>
      <c r="X47" s="59"/>
      <c r="Y47" s="59"/>
      <c r="Z47" s="59"/>
      <c r="AA47" s="59"/>
      <c r="AB47" s="59"/>
      <c r="AC47" s="59"/>
      <c r="AD47" s="59"/>
      <c r="AE47" s="59"/>
      <c r="AF47" s="59"/>
      <c r="AG47" s="59"/>
      <c r="AH47" s="59"/>
      <c r="AI47" s="61"/>
      <c r="AJ47" s="61"/>
      <c r="AK47" s="61"/>
      <c r="AL47" s="61"/>
      <c r="AM47" s="61"/>
      <c r="AN47" s="61"/>
      <c r="AO47" s="62"/>
      <c r="AP47" s="62"/>
    </row>
    <row r="48" spans="1:42" s="84" customFormat="1" ht="15" customHeight="1">
      <c r="A48" s="87"/>
      <c r="B48" s="5"/>
      <c r="C48" s="5"/>
      <c r="D48" s="5"/>
      <c r="E48" s="5"/>
      <c r="F48" s="5"/>
      <c r="G48" s="5"/>
      <c r="H48" s="5"/>
      <c r="I48" s="5"/>
      <c r="J48" s="5"/>
      <c r="K48" s="5"/>
      <c r="M48" s="58"/>
      <c r="N48" s="58"/>
      <c r="O48" s="86"/>
      <c r="P48" s="86"/>
      <c r="Q48" s="86"/>
      <c r="R48" s="86"/>
      <c r="S48" s="59"/>
      <c r="T48" s="59"/>
      <c r="U48" s="59"/>
      <c r="V48" s="59"/>
      <c r="W48" s="59"/>
      <c r="X48" s="59"/>
      <c r="Y48" s="59"/>
      <c r="Z48" s="59"/>
      <c r="AA48" s="59"/>
      <c r="AB48" s="59"/>
      <c r="AC48" s="59"/>
      <c r="AD48" s="59"/>
      <c r="AE48" s="59"/>
      <c r="AF48" s="59"/>
      <c r="AG48" s="59"/>
      <c r="AH48" s="59"/>
      <c r="AI48" s="61"/>
      <c r="AJ48" s="61"/>
      <c r="AK48" s="61"/>
      <c r="AL48" s="61"/>
      <c r="AM48" s="61"/>
      <c r="AN48" s="61"/>
      <c r="AO48" s="62"/>
      <c r="AP48" s="62"/>
    </row>
    <row r="49" spans="1:42" s="84" customFormat="1" ht="15" customHeight="1">
      <c r="A49" s="87"/>
      <c r="B49" s="16" t="s">
        <v>5</v>
      </c>
      <c r="C49" s="16"/>
      <c r="D49" s="16"/>
      <c r="E49" s="16"/>
      <c r="F49" s="1"/>
      <c r="G49" s="1"/>
      <c r="H49" s="1"/>
      <c r="I49" s="1"/>
      <c r="J49" s="1"/>
      <c r="K49" s="1"/>
      <c r="M49" s="58"/>
      <c r="N49" s="58"/>
      <c r="O49" s="86"/>
      <c r="P49" s="86"/>
      <c r="Q49" s="86"/>
      <c r="R49" s="86"/>
      <c r="S49" s="88"/>
      <c r="T49" s="88"/>
      <c r="U49" s="88"/>
      <c r="V49" s="59"/>
      <c r="W49" s="59"/>
      <c r="X49" s="59"/>
      <c r="Y49" s="59"/>
      <c r="Z49" s="59"/>
      <c r="AA49" s="59"/>
      <c r="AB49" s="59"/>
      <c r="AC49" s="59"/>
      <c r="AD49" s="59"/>
      <c r="AE49" s="59"/>
      <c r="AF49" s="59"/>
      <c r="AG49" s="59"/>
      <c r="AH49" s="59"/>
      <c r="AI49" s="61"/>
      <c r="AJ49" s="61"/>
      <c r="AK49" s="61"/>
      <c r="AL49" s="61"/>
      <c r="AM49" s="61"/>
      <c r="AN49" s="61"/>
      <c r="AO49" s="62"/>
      <c r="AP49" s="62"/>
    </row>
    <row r="50" spans="1:99" ht="15.75" customHeight="1">
      <c r="A50" s="40"/>
      <c r="B50" s="309"/>
      <c r="C50" s="310"/>
      <c r="D50" s="310"/>
      <c r="E50" s="310"/>
      <c r="F50" s="310"/>
      <c r="G50" s="310"/>
      <c r="H50" s="310"/>
      <c r="I50" s="310"/>
      <c r="J50" s="310"/>
      <c r="K50" s="310"/>
      <c r="L50" s="310"/>
      <c r="M50" s="311"/>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row>
    <row r="51" spans="1:99" s="1" customFormat="1" ht="16.5" customHeight="1">
      <c r="A51" s="18"/>
      <c r="B51" s="312"/>
      <c r="C51" s="313"/>
      <c r="D51" s="313"/>
      <c r="E51" s="313"/>
      <c r="F51" s="313"/>
      <c r="G51" s="313"/>
      <c r="H51" s="313"/>
      <c r="I51" s="313"/>
      <c r="J51" s="313"/>
      <c r="K51" s="313"/>
      <c r="L51" s="313"/>
      <c r="M51" s="314"/>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row>
    <row r="52" ht="12.75" customHeight="1"/>
    <row r="53" ht="12.75" customHeight="1"/>
    <row r="54" ht="9.75" customHeight="1"/>
    <row r="55" ht="12.75" customHeight="1"/>
    <row r="56" ht="15" customHeight="1"/>
    <row r="57" ht="12.75" customHeight="1"/>
    <row r="58" ht="15" customHeight="1"/>
    <row r="59" ht="12.75" customHeight="1"/>
    <row r="60" ht="15" customHeight="1"/>
  </sheetData>
  <sheetProtection sheet="1" objects="1" scenarios="1"/>
  <mergeCells count="262">
    <mergeCell ref="B39:E39"/>
    <mergeCell ref="B35:E35"/>
    <mergeCell ref="B36:K36"/>
    <mergeCell ref="B37:E37"/>
    <mergeCell ref="B38:E38"/>
    <mergeCell ref="F39:G39"/>
    <mergeCell ref="H37:I37"/>
    <mergeCell ref="H38:I38"/>
    <mergeCell ref="H39:I39"/>
    <mergeCell ref="F35:G35"/>
    <mergeCell ref="B31:E31"/>
    <mergeCell ref="F26:G26"/>
    <mergeCell ref="F27:G27"/>
    <mergeCell ref="B25:E25"/>
    <mergeCell ref="B26:E26"/>
    <mergeCell ref="B27:E27"/>
    <mergeCell ref="B29:E29"/>
    <mergeCell ref="F29:G29"/>
    <mergeCell ref="F30:G30"/>
    <mergeCell ref="F31:G31"/>
    <mergeCell ref="B28:E28"/>
    <mergeCell ref="B24:K24"/>
    <mergeCell ref="B30:E30"/>
    <mergeCell ref="F25:G25"/>
    <mergeCell ref="F28:G28"/>
    <mergeCell ref="H25:I25"/>
    <mergeCell ref="H26:I26"/>
    <mergeCell ref="H27:I27"/>
    <mergeCell ref="H28:I28"/>
    <mergeCell ref="AN18:AN20"/>
    <mergeCell ref="AM18:AM20"/>
    <mergeCell ref="AL18:AL20"/>
    <mergeCell ref="X18:Z18"/>
    <mergeCell ref="X19:Z19"/>
    <mergeCell ref="X20:Z20"/>
    <mergeCell ref="AD18:AF18"/>
    <mergeCell ref="AD19:AF19"/>
    <mergeCell ref="AD20:AF20"/>
    <mergeCell ref="F37:G37"/>
    <mergeCell ref="F38:G38"/>
    <mergeCell ref="B34:K34"/>
    <mergeCell ref="H29:I29"/>
    <mergeCell ref="H30:I30"/>
    <mergeCell ref="H31:I31"/>
    <mergeCell ref="H33:I33"/>
    <mergeCell ref="B32:K32"/>
    <mergeCell ref="B33:E33"/>
    <mergeCell ref="F33:G33"/>
    <mergeCell ref="U23:U24"/>
    <mergeCell ref="X23:X24"/>
    <mergeCell ref="S23:T24"/>
    <mergeCell ref="H35:I35"/>
    <mergeCell ref="L23:L24"/>
    <mergeCell ref="M28:N28"/>
    <mergeCell ref="M29:N29"/>
    <mergeCell ref="M30:N30"/>
    <mergeCell ref="M31:N31"/>
    <mergeCell ref="M33:N33"/>
    <mergeCell ref="AA23:AA24"/>
    <mergeCell ref="AD23:AD24"/>
    <mergeCell ref="AB23:AC24"/>
    <mergeCell ref="Y23:Z24"/>
    <mergeCell ref="I19:K19"/>
    <mergeCell ref="I20:K20"/>
    <mergeCell ref="I21:K21"/>
    <mergeCell ref="B23:E23"/>
    <mergeCell ref="F23:G23"/>
    <mergeCell ref="H23:I23"/>
    <mergeCell ref="J23:K23"/>
    <mergeCell ref="K11:M11"/>
    <mergeCell ref="H9:J9"/>
    <mergeCell ref="K9:M9"/>
    <mergeCell ref="L16:M16"/>
    <mergeCell ref="B50:M51"/>
    <mergeCell ref="B9:D9"/>
    <mergeCell ref="E9:G9"/>
    <mergeCell ref="B10:D10"/>
    <mergeCell ref="E10:G10"/>
    <mergeCell ref="B11:D11"/>
    <mergeCell ref="E11:G11"/>
    <mergeCell ref="H10:J10"/>
    <mergeCell ref="K10:M10"/>
    <mergeCell ref="H11:J11"/>
    <mergeCell ref="L19:N19"/>
    <mergeCell ref="L20:N20"/>
    <mergeCell ref="L21:N21"/>
    <mergeCell ref="O18:Q18"/>
    <mergeCell ref="O19:Q19"/>
    <mergeCell ref="O20:Q20"/>
    <mergeCell ref="O21:Q21"/>
    <mergeCell ref="L18:N18"/>
    <mergeCell ref="R18:T18"/>
    <mergeCell ref="R19:T19"/>
    <mergeCell ref="R20:T20"/>
    <mergeCell ref="R21:T21"/>
    <mergeCell ref="U18:W18"/>
    <mergeCell ref="U19:W19"/>
    <mergeCell ref="U20:W20"/>
    <mergeCell ref="U21:W21"/>
    <mergeCell ref="X21:Z21"/>
    <mergeCell ref="AA18:AC18"/>
    <mergeCell ref="AA19:AC19"/>
    <mergeCell ref="AA20:AC20"/>
    <mergeCell ref="AA21:AC21"/>
    <mergeCell ref="AD21:AF21"/>
    <mergeCell ref="M25:N25"/>
    <mergeCell ref="M26:N26"/>
    <mergeCell ref="M27:N27"/>
    <mergeCell ref="P25:Q25"/>
    <mergeCell ref="P26:Q26"/>
    <mergeCell ref="P27:Q27"/>
    <mergeCell ref="V23:W24"/>
    <mergeCell ref="V25:W25"/>
    <mergeCell ref="V26:W26"/>
    <mergeCell ref="M35:N35"/>
    <mergeCell ref="M37:N37"/>
    <mergeCell ref="M38:N38"/>
    <mergeCell ref="M39:N39"/>
    <mergeCell ref="P28:Q28"/>
    <mergeCell ref="P29:Q29"/>
    <mergeCell ref="P30:Q30"/>
    <mergeCell ref="P31:Q31"/>
    <mergeCell ref="P33:Q33"/>
    <mergeCell ref="P35:Q35"/>
    <mergeCell ref="P37:Q37"/>
    <mergeCell ref="P38:Q38"/>
    <mergeCell ref="S29:T29"/>
    <mergeCell ref="S30:T30"/>
    <mergeCell ref="S31:T31"/>
    <mergeCell ref="S33:T33"/>
    <mergeCell ref="S25:T25"/>
    <mergeCell ref="S26:T26"/>
    <mergeCell ref="S27:T27"/>
    <mergeCell ref="S28:T28"/>
    <mergeCell ref="S35:T35"/>
    <mergeCell ref="S37:T37"/>
    <mergeCell ref="S38:T38"/>
    <mergeCell ref="P39:Q39"/>
    <mergeCell ref="S39:T39"/>
    <mergeCell ref="V27:W27"/>
    <mergeCell ref="V35:W35"/>
    <mergeCell ref="V37:W37"/>
    <mergeCell ref="V38:W38"/>
    <mergeCell ref="V29:W29"/>
    <mergeCell ref="V30:W30"/>
    <mergeCell ref="V31:W31"/>
    <mergeCell ref="V28:W28"/>
    <mergeCell ref="Y29:Z29"/>
    <mergeCell ref="Y30:Z30"/>
    <mergeCell ref="Y31:Z31"/>
    <mergeCell ref="V33:W33"/>
    <mergeCell ref="Y25:Z25"/>
    <mergeCell ref="Y26:Z26"/>
    <mergeCell ref="Y27:Z27"/>
    <mergeCell ref="Y28:Z28"/>
    <mergeCell ref="AB30:AC30"/>
    <mergeCell ref="AB31:AC31"/>
    <mergeCell ref="Y39:Z39"/>
    <mergeCell ref="AB37:AC37"/>
    <mergeCell ref="AB38:AC38"/>
    <mergeCell ref="AB39:AC39"/>
    <mergeCell ref="Y33:Z33"/>
    <mergeCell ref="Y35:Z35"/>
    <mergeCell ref="Y37:Z37"/>
    <mergeCell ref="Y38:Z38"/>
    <mergeCell ref="AE25:AF25"/>
    <mergeCell ref="AE26:AF26"/>
    <mergeCell ref="AE23:AF24"/>
    <mergeCell ref="AB35:AC35"/>
    <mergeCell ref="AB33:AC33"/>
    <mergeCell ref="AB25:AC25"/>
    <mergeCell ref="AB26:AC26"/>
    <mergeCell ref="AB27:AC27"/>
    <mergeCell ref="AB28:AC28"/>
    <mergeCell ref="AB29:AC29"/>
    <mergeCell ref="AE27:AF27"/>
    <mergeCell ref="AE28:AF28"/>
    <mergeCell ref="AE29:AF29"/>
    <mergeCell ref="AE30:AF30"/>
    <mergeCell ref="AE31:AF31"/>
    <mergeCell ref="AE37:AF37"/>
    <mergeCell ref="AE38:AF38"/>
    <mergeCell ref="AE39:AF39"/>
    <mergeCell ref="AE35:AF35"/>
    <mergeCell ref="AE33:AF33"/>
    <mergeCell ref="L36:AF36"/>
    <mergeCell ref="L34:AF34"/>
    <mergeCell ref="L32:AF32"/>
    <mergeCell ref="V39:W39"/>
    <mergeCell ref="M23:N24"/>
    <mergeCell ref="O23:O24"/>
    <mergeCell ref="P23:Q24"/>
    <mergeCell ref="R23:R24"/>
    <mergeCell ref="B6:D6"/>
    <mergeCell ref="E6:G6"/>
    <mergeCell ref="H6:J6"/>
    <mergeCell ref="K6:M6"/>
    <mergeCell ref="B7:D7"/>
    <mergeCell ref="E7:G7"/>
    <mergeCell ref="H7:J7"/>
    <mergeCell ref="K7:M7"/>
    <mergeCell ref="B8:D8"/>
    <mergeCell ref="E8:G8"/>
    <mergeCell ref="H8:J8"/>
    <mergeCell ref="K8:M8"/>
    <mergeCell ref="B12:D12"/>
    <mergeCell ref="E12:G12"/>
    <mergeCell ref="H12:J12"/>
    <mergeCell ref="K12:M12"/>
    <mergeCell ref="B13:D13"/>
    <mergeCell ref="E13:M13"/>
    <mergeCell ref="B14:D14"/>
    <mergeCell ref="E14:G14"/>
    <mergeCell ref="H14:J14"/>
    <mergeCell ref="K14:M14"/>
    <mergeCell ref="B16:D16"/>
    <mergeCell ref="F16:G16"/>
    <mergeCell ref="H16:I16"/>
    <mergeCell ref="J16:K16"/>
    <mergeCell ref="P42:Q42"/>
    <mergeCell ref="S42:T42"/>
    <mergeCell ref="V42:W42"/>
    <mergeCell ref="Y42:Z42"/>
    <mergeCell ref="AB42:AC42"/>
    <mergeCell ref="AE42:AF42"/>
    <mergeCell ref="H43:I43"/>
    <mergeCell ref="M43:N43"/>
    <mergeCell ref="P43:Q43"/>
    <mergeCell ref="S43:T43"/>
    <mergeCell ref="V43:W43"/>
    <mergeCell ref="Y43:Z43"/>
    <mergeCell ref="H42:I42"/>
    <mergeCell ref="M42:N42"/>
    <mergeCell ref="AB43:AC43"/>
    <mergeCell ref="AE43:AF43"/>
    <mergeCell ref="H44:I44"/>
    <mergeCell ref="M44:N44"/>
    <mergeCell ref="P44:Q44"/>
    <mergeCell ref="S44:T44"/>
    <mergeCell ref="V44:W44"/>
    <mergeCell ref="Y44:Z44"/>
    <mergeCell ref="AE44:AF44"/>
    <mergeCell ref="AB44:AC44"/>
    <mergeCell ref="H45:I45"/>
    <mergeCell ref="M45:N45"/>
    <mergeCell ref="P45:Q45"/>
    <mergeCell ref="S45:T45"/>
    <mergeCell ref="V45:W45"/>
    <mergeCell ref="Y45:Z45"/>
    <mergeCell ref="S46:T46"/>
    <mergeCell ref="V46:W46"/>
    <mergeCell ref="Y46:Z46"/>
    <mergeCell ref="AB46:AC46"/>
    <mergeCell ref="AE46:AF46"/>
    <mergeCell ref="B41:K41"/>
    <mergeCell ref="L41:AF41"/>
    <mergeCell ref="B42:G46"/>
    <mergeCell ref="AB45:AC45"/>
    <mergeCell ref="AE45:AF45"/>
    <mergeCell ref="H46:I46"/>
    <mergeCell ref="M46:N46"/>
    <mergeCell ref="P46:Q46"/>
  </mergeCells>
  <conditionalFormatting sqref="AD47:AD49 AG47:AG49 P47:Q47 AI47:AI49 L47 Y47:Z49 U47 M48:N49 B47:J47 AN42:AS49 AN37:AS39">
    <cfRule type="expression" priority="1" dxfId="0" stopIfTrue="1">
      <formula>(SUM(SSize9,MixDes9,JMFDes9)=0)</formula>
    </cfRule>
  </conditionalFormatting>
  <conditionalFormatting sqref="K31 K33 K35 K42:K46 K37:K39">
    <cfRule type="expression" priority="2" dxfId="0" stopIfTrue="1">
      <formula>(SUM(SSize7,MixDes7,JMFDes7)=0)</formula>
    </cfRule>
  </conditionalFormatting>
  <conditionalFormatting sqref="K30">
    <cfRule type="expression" priority="3" dxfId="0" stopIfTrue="1">
      <formula>(SUM(SSize6,MixDes6,JMFDes6)=0)</formula>
    </cfRule>
  </conditionalFormatting>
  <conditionalFormatting sqref="K29">
    <cfRule type="expression" priority="4" dxfId="0" stopIfTrue="1">
      <formula>(SUM(SSize5,MixDes5,JMFDes5)=0)</formula>
    </cfRule>
  </conditionalFormatting>
  <conditionalFormatting sqref="K28">
    <cfRule type="expression" priority="5" dxfId="0" stopIfTrue="1">
      <formula>(SUM(SSize4,Mixdes4,JMFDes4)=0)</formula>
    </cfRule>
  </conditionalFormatting>
  <conditionalFormatting sqref="K27">
    <cfRule type="expression" priority="6" dxfId="0" stopIfTrue="1">
      <formula>(SUM(SSize3,MixDes3,JMFDes3)=0)</formula>
    </cfRule>
  </conditionalFormatting>
  <conditionalFormatting sqref="K26">
    <cfRule type="expression" priority="7" dxfId="0" stopIfTrue="1">
      <formula>(SUM(SSize2,Mixdes2,JMFDes2)=0)</formula>
    </cfRule>
  </conditionalFormatting>
  <conditionalFormatting sqref="AJ47:AJ49 R47:T47 V47:X49 F27:K27 AE47:AF49 AH47:AH49 AA47:AC49 L36 L41 F26:J31 F33:J33 F35:J35 M47:O47 L32 L34 AK27:AM39 H42:J46 AK42:AM49 F37:J39">
    <cfRule type="expression" priority="8" dxfId="0" stopIfTrue="1">
      <formula>(SUM(SSize1,MixDes1,JMFDes1)=0)</formula>
    </cfRule>
  </conditionalFormatting>
  <dataValidations count="1">
    <dataValidation type="textLength" operator="lessThan" allowBlank="1" showInputMessage="1" showErrorMessage="1" errorTitle="Text Length" error="Please limit the text length to 200 characters." sqref="B50:M51">
      <formula1>201</formula1>
    </dataValidation>
  </dataValidations>
  <printOptions/>
  <pageMargins left="0.26" right="0.28" top="0.36" bottom="1" header="0.17" footer="0.5"/>
  <pageSetup horizontalDpi="600" verticalDpi="600" orientation="landscape" scale="54"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BP45"/>
  <sheetViews>
    <sheetView showGridLines="0" workbookViewId="0" topLeftCell="A1">
      <selection activeCell="AC43" sqref="AC43"/>
    </sheetView>
  </sheetViews>
  <sheetFormatPr defaultColWidth="9.140625" defaultRowHeight="15" customHeight="1"/>
  <cols>
    <col min="1" max="1" width="1.28515625" style="20" customWidth="1"/>
    <col min="2" max="6" width="8.00390625" style="10" customWidth="1"/>
    <col min="7" max="8" width="8.28125" style="10" hidden="1" customWidth="1"/>
    <col min="9" max="10" width="8.00390625" style="10" customWidth="1"/>
    <col min="11" max="12" width="9.421875" style="10" hidden="1" customWidth="1"/>
    <col min="13" max="13" width="9.421875" style="10" customWidth="1"/>
    <col min="14" max="14" width="8.00390625" style="10" customWidth="1"/>
    <col min="15" max="16" width="8.28125" style="10" hidden="1" customWidth="1"/>
    <col min="17" max="18" width="8.00390625" style="10" customWidth="1"/>
    <col min="19" max="20" width="9.421875" style="10" hidden="1" customWidth="1"/>
    <col min="21" max="21" width="8.00390625" style="10" customWidth="1"/>
    <col min="22" max="22" width="8.28125" style="10" customWidth="1"/>
    <col min="23" max="24" width="8.28125" style="10" hidden="1" customWidth="1"/>
    <col min="25" max="26" width="8.28125" style="10" customWidth="1"/>
    <col min="27" max="28" width="8.28125" style="10" hidden="1" customWidth="1"/>
    <col min="29" max="30" width="8.28125" style="10" customWidth="1"/>
    <col min="31" max="32" width="8.28125" style="10" hidden="1" customWidth="1"/>
    <col min="33" max="35" width="8.28125" style="10" customWidth="1"/>
    <col min="36" max="64" width="7.7109375" style="10" customWidth="1"/>
    <col min="65" max="16384" width="6.7109375" style="10" customWidth="1"/>
  </cols>
  <sheetData>
    <row r="1" spans="1:67" s="5" customFormat="1" ht="15" customHeight="1">
      <c r="A1" s="18"/>
      <c r="B1" s="176" t="s">
        <v>0</v>
      </c>
      <c r="C1" s="2"/>
      <c r="D1" s="2"/>
      <c r="E1" s="2"/>
      <c r="F1" s="2"/>
      <c r="G1" s="2"/>
      <c r="H1" s="2"/>
      <c r="I1" s="3"/>
      <c r="J1" s="3"/>
      <c r="K1" s="3"/>
      <c r="L1" s="3"/>
      <c r="M1" s="3"/>
      <c r="N1" s="3"/>
      <c r="O1" s="3"/>
      <c r="P1" s="3"/>
      <c r="Q1" s="3"/>
      <c r="R1" s="3"/>
      <c r="S1" s="3"/>
      <c r="T1" s="3"/>
      <c r="U1" s="3"/>
      <c r="V1"/>
      <c r="W1"/>
      <c r="X1"/>
      <c r="Y1"/>
      <c r="Z1"/>
      <c r="AA1"/>
      <c r="AB1"/>
      <c r="AC1"/>
      <c r="AD1"/>
      <c r="AE1"/>
      <c r="AF1"/>
      <c r="AG1"/>
      <c r="AH1"/>
      <c r="AI1"/>
      <c r="AJ1" s="18"/>
      <c r="AK1" s="18"/>
      <c r="AL1" s="18"/>
      <c r="AM1" s="18"/>
      <c r="AN1" s="18"/>
      <c r="AO1" s="18"/>
      <c r="AP1" s="18"/>
      <c r="AQ1" s="18"/>
      <c r="AR1" s="18"/>
      <c r="AS1"/>
      <c r="AT1"/>
      <c r="AU1" s="93"/>
      <c r="AV1" s="93"/>
      <c r="AW1" s="18"/>
      <c r="AX1" s="18"/>
      <c r="AY1" s="18"/>
      <c r="AZ1" s="18"/>
      <c r="BA1" s="18"/>
      <c r="BB1" s="18"/>
      <c r="BC1" s="18"/>
      <c r="BD1" s="18"/>
      <c r="BE1" s="18"/>
      <c r="BF1" s="18"/>
      <c r="BG1" s="40"/>
      <c r="BH1" s="40"/>
      <c r="BI1" s="93"/>
      <c r="BJ1" s="93"/>
      <c r="BK1" s="93"/>
      <c r="BL1" s="93"/>
      <c r="BM1" s="93"/>
      <c r="BO1" s="6"/>
    </row>
    <row r="2" spans="1:67" s="5" customFormat="1" ht="15" customHeight="1">
      <c r="A2" s="18"/>
      <c r="B2" s="2">
        <f>IF(location="","",location)</f>
      </c>
      <c r="C2" s="2"/>
      <c r="D2" s="2"/>
      <c r="E2" s="2"/>
      <c r="F2" s="2"/>
      <c r="G2" s="2"/>
      <c r="H2" s="2"/>
      <c r="I2" s="3"/>
      <c r="J2" s="3"/>
      <c r="K2" s="3"/>
      <c r="L2" s="3"/>
      <c r="M2" s="3"/>
      <c r="N2" s="3"/>
      <c r="O2" s="3"/>
      <c r="P2" s="3"/>
      <c r="Q2" s="3"/>
      <c r="R2" s="3"/>
      <c r="S2" s="3"/>
      <c r="T2" s="3"/>
      <c r="U2" s="3"/>
      <c r="V2"/>
      <c r="W2"/>
      <c r="X2"/>
      <c r="Y2"/>
      <c r="Z2"/>
      <c r="AA2"/>
      <c r="AB2"/>
      <c r="AC2"/>
      <c r="AD2"/>
      <c r="AE2"/>
      <c r="AF2"/>
      <c r="AG2"/>
      <c r="AH2"/>
      <c r="AI2"/>
      <c r="AJ2" s="19"/>
      <c r="AK2" s="19"/>
      <c r="AL2" s="19"/>
      <c r="AM2" s="19"/>
      <c r="AN2" s="19"/>
      <c r="AO2" s="19"/>
      <c r="AP2" s="19"/>
      <c r="AQ2" s="18"/>
      <c r="AR2" s="18"/>
      <c r="AS2"/>
      <c r="AT2"/>
      <c r="AU2" s="93"/>
      <c r="AV2" s="93"/>
      <c r="AW2" s="4"/>
      <c r="AX2" s="4"/>
      <c r="AY2" s="4"/>
      <c r="AZ2" s="4"/>
      <c r="BA2" s="4"/>
      <c r="BB2" s="4"/>
      <c r="BC2" s="4"/>
      <c r="BD2" s="4"/>
      <c r="BE2" s="4"/>
      <c r="BF2" s="4"/>
      <c r="BG2" s="4"/>
      <c r="BH2" s="4"/>
      <c r="BI2" s="95"/>
      <c r="BJ2" s="95"/>
      <c r="BK2" s="6"/>
      <c r="BL2" s="6"/>
      <c r="BM2" s="6"/>
      <c r="BN2" s="6"/>
      <c r="BO2" s="96"/>
    </row>
    <row r="3" spans="1:68" s="5" customFormat="1" ht="5.25" customHeight="1">
      <c r="A3" s="19"/>
      <c r="B3" s="8"/>
      <c r="C3" s="8"/>
      <c r="D3" s="8"/>
      <c r="E3" s="8"/>
      <c r="F3" s="8"/>
      <c r="G3" s="8"/>
      <c r="H3" s="8"/>
      <c r="I3" s="3"/>
      <c r="J3" s="3"/>
      <c r="K3" s="3"/>
      <c r="L3" s="3"/>
      <c r="M3" s="3"/>
      <c r="N3" s="3"/>
      <c r="O3" s="3"/>
      <c r="P3" s="3"/>
      <c r="Q3" s="3"/>
      <c r="R3" s="3"/>
      <c r="S3" s="3"/>
      <c r="T3" s="3"/>
      <c r="U3" s="3"/>
      <c r="V3"/>
      <c r="W3"/>
      <c r="X3"/>
      <c r="Y3"/>
      <c r="Z3"/>
      <c r="AA3"/>
      <c r="AB3"/>
      <c r="AC3"/>
      <c r="AD3"/>
      <c r="AE3"/>
      <c r="AF3"/>
      <c r="AG3"/>
      <c r="AH3"/>
      <c r="AI3"/>
      <c r="AJ3" s="19"/>
      <c r="AK3" s="19"/>
      <c r="AL3" s="19"/>
      <c r="AM3" s="19"/>
      <c r="AN3" s="19"/>
      <c r="AO3" s="19"/>
      <c r="AP3" s="19"/>
      <c r="AQ3" s="19"/>
      <c r="AR3" s="19"/>
      <c r="AS3"/>
      <c r="AT3"/>
      <c r="AU3" s="19"/>
      <c r="AV3" s="19"/>
      <c r="AW3" s="3"/>
      <c r="AX3" s="3"/>
      <c r="AY3" s="3"/>
      <c r="AZ3" s="3"/>
      <c r="BA3" s="3"/>
      <c r="BB3" s="3"/>
      <c r="BC3" s="3"/>
      <c r="BD3" s="3"/>
      <c r="BE3" s="3"/>
      <c r="BF3" s="3"/>
      <c r="BG3" s="3"/>
      <c r="BH3" s="3"/>
      <c r="BI3" s="97"/>
      <c r="BJ3" s="97"/>
      <c r="BK3" s="6"/>
      <c r="BL3" s="6"/>
      <c r="BM3" s="6"/>
      <c r="BN3" s="6"/>
      <c r="BO3" s="96"/>
      <c r="BP3" s="7"/>
    </row>
    <row r="4" spans="1:67" s="5" customFormat="1" ht="14.25" customHeight="1">
      <c r="A4" s="18"/>
      <c r="B4" s="9" t="s">
        <v>250</v>
      </c>
      <c r="C4" s="9"/>
      <c r="D4" s="9"/>
      <c r="E4" s="9"/>
      <c r="F4" s="9"/>
      <c r="G4" s="9"/>
      <c r="H4" s="9"/>
      <c r="I4" s="3"/>
      <c r="J4" s="3"/>
      <c r="K4" s="3"/>
      <c r="L4" s="3"/>
      <c r="M4" s="3"/>
      <c r="N4" s="3"/>
      <c r="O4" s="3"/>
      <c r="P4" s="3"/>
      <c r="Q4" s="3"/>
      <c r="R4" s="3"/>
      <c r="S4" s="3"/>
      <c r="T4" s="3"/>
      <c r="U4" s="3"/>
      <c r="V4"/>
      <c r="W4"/>
      <c r="X4"/>
      <c r="Y4"/>
      <c r="Z4"/>
      <c r="AA4"/>
      <c r="AB4"/>
      <c r="AC4"/>
      <c r="AD4"/>
      <c r="AE4"/>
      <c r="AF4"/>
      <c r="AG4"/>
      <c r="AH4"/>
      <c r="AI4"/>
      <c r="AJ4" s="18"/>
      <c r="AK4" s="18"/>
      <c r="AL4" s="18"/>
      <c r="AM4" s="18"/>
      <c r="AN4" s="18"/>
      <c r="AO4" s="18"/>
      <c r="AP4" s="18"/>
      <c r="AQ4" s="18"/>
      <c r="AR4" s="18"/>
      <c r="AS4"/>
      <c r="AT4"/>
      <c r="AU4" s="98"/>
      <c r="AV4" s="98"/>
      <c r="AW4" s="18"/>
      <c r="AX4" s="18"/>
      <c r="AY4" s="18"/>
      <c r="AZ4" s="18"/>
      <c r="BA4" s="18"/>
      <c r="BB4" s="18"/>
      <c r="BC4" s="40"/>
      <c r="BD4" s="40"/>
      <c r="BE4" s="93"/>
      <c r="BF4" s="93"/>
      <c r="BG4" s="94"/>
      <c r="BH4" s="94"/>
      <c r="BI4" s="93"/>
      <c r="BJ4" s="93"/>
      <c r="BL4" s="6"/>
      <c r="BM4" s="6"/>
      <c r="BN4" s="6"/>
      <c r="BO4" s="6"/>
    </row>
    <row r="5" spans="1:55" s="5" customFormat="1" ht="10.5" customHeight="1">
      <c r="A5" s="18"/>
      <c r="H5" s="1"/>
      <c r="I5" s="1"/>
      <c r="J5" s="1"/>
      <c r="K5" s="1"/>
      <c r="L5" s="1"/>
      <c r="M5" s="1"/>
      <c r="N5" s="1"/>
      <c r="O5" s="1"/>
      <c r="P5" s="1"/>
      <c r="Q5" s="1"/>
      <c r="R5" s="1"/>
      <c r="S5" s="1"/>
      <c r="T5" s="1"/>
      <c r="U5" s="91" t="str">
        <f>"File Version: "&amp;TEXT(MID(sn,SEARCH("::",sn,1)+2,20),"mm/dd/yy hh:mm:ss")</f>
        <v>File Version: 01/28/04 14:02:18</v>
      </c>
      <c r="V5"/>
      <c r="W5"/>
      <c r="X5"/>
      <c r="Y5"/>
      <c r="Z5"/>
      <c r="AA5"/>
      <c r="AB5"/>
      <c r="AC5"/>
      <c r="AD5"/>
      <c r="AE5"/>
      <c r="AF5"/>
      <c r="AG5"/>
      <c r="AH5"/>
      <c r="AI5"/>
      <c r="AJ5"/>
      <c r="AK5"/>
      <c r="AL5"/>
      <c r="AM5"/>
      <c r="AN5"/>
      <c r="AO5"/>
      <c r="AP5"/>
      <c r="AS5" s="6"/>
      <c r="AT5" s="6"/>
      <c r="AU5" s="7"/>
      <c r="AV5" s="7"/>
      <c r="AW5" s="6"/>
      <c r="AX5" s="6"/>
      <c r="AY5" s="6"/>
      <c r="AZ5" s="6"/>
      <c r="BA5" s="6"/>
      <c r="BB5" s="6"/>
      <c r="BC5" s="6"/>
    </row>
    <row r="6" spans="1:64" s="5" customFormat="1" ht="15" customHeight="1">
      <c r="A6" s="18"/>
      <c r="B6" s="270" t="s">
        <v>67</v>
      </c>
      <c r="C6" s="271"/>
      <c r="D6" s="272"/>
      <c r="E6" s="319">
        <f>IF(sampleid="","",sampleid)</f>
      </c>
      <c r="F6" s="320"/>
      <c r="G6" s="320"/>
      <c r="H6" s="320"/>
      <c r="I6" s="321"/>
      <c r="J6" s="351" t="s">
        <v>146</v>
      </c>
      <c r="K6" s="352"/>
      <c r="L6" s="352"/>
      <c r="M6" s="352"/>
      <c r="N6" s="353"/>
      <c r="O6" s="514" t="str">
        <f>IF(sampleddate="","",sampleddate)</f>
        <v>03/01/2009</v>
      </c>
      <c r="P6" s="515"/>
      <c r="Q6" s="515"/>
      <c r="R6" s="515"/>
      <c r="S6" s="515"/>
      <c r="T6" s="515"/>
      <c r="U6" s="516"/>
      <c r="V6"/>
      <c r="W6"/>
      <c r="X6"/>
      <c r="Y6"/>
      <c r="Z6"/>
      <c r="AA6"/>
      <c r="AB6"/>
      <c r="AC6"/>
      <c r="AD6"/>
      <c r="AE6"/>
      <c r="AF6"/>
      <c r="AG6"/>
      <c r="AH6"/>
      <c r="AI6"/>
      <c r="AJ6"/>
      <c r="AK6"/>
      <c r="AL6"/>
      <c r="AM6"/>
      <c r="AN6"/>
      <c r="AO6"/>
      <c r="AP6"/>
      <c r="AQ6"/>
      <c r="AR6"/>
      <c r="AS6"/>
      <c r="AT6"/>
      <c r="AU6"/>
      <c r="AV6"/>
      <c r="AW6"/>
      <c r="AX6"/>
      <c r="AY6"/>
      <c r="BF6" s="6"/>
      <c r="BG6" s="6"/>
      <c r="BH6" s="6"/>
      <c r="BI6" s="6"/>
      <c r="BJ6" s="6"/>
      <c r="BK6" s="6"/>
      <c r="BL6" s="6"/>
    </row>
    <row r="7" spans="1:64" s="5" customFormat="1" ht="15" customHeight="1">
      <c r="A7" s="40"/>
      <c r="B7" s="270" t="s">
        <v>68</v>
      </c>
      <c r="C7" s="271"/>
      <c r="D7" s="272"/>
      <c r="E7" s="319">
        <f>IF(testnumber="","",testnumber)</f>
      </c>
      <c r="F7" s="320"/>
      <c r="G7" s="320"/>
      <c r="H7" s="320"/>
      <c r="I7" s="321"/>
      <c r="J7" s="351" t="s">
        <v>69</v>
      </c>
      <c r="K7" s="352"/>
      <c r="L7" s="352"/>
      <c r="M7" s="352"/>
      <c r="N7" s="353"/>
      <c r="O7" s="319" t="str">
        <f>IF(lettingdate="","",lettingdate)</f>
        <v>September 2004</v>
      </c>
      <c r="P7" s="320"/>
      <c r="Q7" s="320"/>
      <c r="R7" s="320"/>
      <c r="S7" s="320"/>
      <c r="T7" s="320"/>
      <c r="U7" s="321"/>
      <c r="V7"/>
      <c r="W7"/>
      <c r="X7"/>
      <c r="Y7"/>
      <c r="Z7"/>
      <c r="AA7"/>
      <c r="AB7"/>
      <c r="AC7"/>
      <c r="AD7"/>
      <c r="AE7"/>
      <c r="AF7"/>
      <c r="AG7"/>
      <c r="AH7"/>
      <c r="AI7"/>
      <c r="AJ7"/>
      <c r="AK7"/>
      <c r="AL7"/>
      <c r="AM7"/>
      <c r="AN7"/>
      <c r="AO7"/>
      <c r="BF7" s="6"/>
      <c r="BG7" s="6"/>
      <c r="BH7" s="6"/>
      <c r="BI7" s="6"/>
      <c r="BJ7" s="6"/>
      <c r="BK7" s="6"/>
      <c r="BL7" s="6"/>
    </row>
    <row r="8" spans="1:64" s="5" customFormat="1" ht="15" customHeight="1">
      <c r="A8" s="40"/>
      <c r="B8" s="270" t="s">
        <v>70</v>
      </c>
      <c r="C8" s="271"/>
      <c r="D8" s="272"/>
      <c r="E8" s="319">
        <f>IF(status="","",status)</f>
      </c>
      <c r="F8" s="320"/>
      <c r="G8" s="320"/>
      <c r="H8" s="320"/>
      <c r="I8" s="321"/>
      <c r="J8" s="351" t="s">
        <v>71</v>
      </c>
      <c r="K8" s="352"/>
      <c r="L8" s="352"/>
      <c r="M8" s="352"/>
      <c r="N8" s="353"/>
      <c r="O8" s="319" t="str">
        <f>IF(ccsj="","",ccsj)</f>
        <v>1006-02-005</v>
      </c>
      <c r="P8" s="320"/>
      <c r="Q8" s="320"/>
      <c r="R8" s="320"/>
      <c r="S8" s="320"/>
      <c r="T8" s="320"/>
      <c r="U8" s="321"/>
      <c r="V8"/>
      <c r="W8"/>
      <c r="X8"/>
      <c r="Y8"/>
      <c r="Z8"/>
      <c r="AA8"/>
      <c r="AB8"/>
      <c r="AC8"/>
      <c r="AD8"/>
      <c r="AE8"/>
      <c r="AF8"/>
      <c r="AG8"/>
      <c r="AH8"/>
      <c r="AI8"/>
      <c r="AJ8"/>
      <c r="AK8"/>
      <c r="AL8"/>
      <c r="AM8"/>
      <c r="AN8"/>
      <c r="AO8"/>
      <c r="BF8" s="6"/>
      <c r="BG8" s="6"/>
      <c r="BH8" s="6"/>
      <c r="BI8" s="6"/>
      <c r="BJ8" s="6"/>
      <c r="BK8" s="6"/>
      <c r="BL8" s="6"/>
    </row>
    <row r="9" spans="1:49" s="5" customFormat="1" ht="15" customHeight="1">
      <c r="A9" s="40"/>
      <c r="B9" s="270" t="s">
        <v>72</v>
      </c>
      <c r="C9" s="271"/>
      <c r="D9" s="272"/>
      <c r="E9" s="319">
        <f>IF(county="","",county)</f>
      </c>
      <c r="F9" s="320"/>
      <c r="G9" s="320"/>
      <c r="H9" s="320"/>
      <c r="I9" s="321"/>
      <c r="J9" s="351" t="s">
        <v>73</v>
      </c>
      <c r="K9" s="352"/>
      <c r="L9" s="352"/>
      <c r="M9" s="352"/>
      <c r="N9" s="353"/>
      <c r="O9" s="319">
        <f>IF(county="","",county)</f>
      </c>
      <c r="P9" s="320"/>
      <c r="Q9" s="320"/>
      <c r="R9" s="320"/>
      <c r="S9" s="320"/>
      <c r="T9" s="320"/>
      <c r="U9" s="321"/>
      <c r="V9"/>
      <c r="W9"/>
      <c r="X9"/>
      <c r="Y9"/>
      <c r="Z9"/>
      <c r="AA9"/>
      <c r="AB9"/>
      <c r="AC9"/>
      <c r="AD9"/>
      <c r="AE9"/>
      <c r="AF9"/>
      <c r="AG9"/>
      <c r="AH9"/>
      <c r="AI9"/>
      <c r="AJ9"/>
      <c r="AK9"/>
      <c r="AL9"/>
      <c r="AM9"/>
      <c r="AN9"/>
      <c r="AO9"/>
      <c r="AQ9" s="10"/>
      <c r="AR9" s="10"/>
      <c r="AS9" s="10"/>
      <c r="AT9" s="10"/>
      <c r="AU9" s="10"/>
      <c r="AV9" s="10"/>
      <c r="AW9" s="10"/>
    </row>
    <row r="10" spans="1:41" s="5" customFormat="1" ht="15" customHeight="1">
      <c r="A10" s="40"/>
      <c r="B10" s="270" t="s">
        <v>74</v>
      </c>
      <c r="C10" s="271"/>
      <c r="D10" s="272"/>
      <c r="E10" s="319">
        <f>IF(sampledby="","",sampledby)</f>
      </c>
      <c r="F10" s="320"/>
      <c r="G10" s="320"/>
      <c r="H10" s="320"/>
      <c r="I10" s="321"/>
      <c r="J10" s="270" t="s">
        <v>75</v>
      </c>
      <c r="K10" s="271"/>
      <c r="L10" s="271"/>
      <c r="M10" s="271"/>
      <c r="N10" s="272"/>
      <c r="O10" s="319">
        <f>IF(specitem="","",specitem)</f>
      </c>
      <c r="P10" s="320"/>
      <c r="Q10" s="320"/>
      <c r="R10" s="320"/>
      <c r="S10" s="320"/>
      <c r="T10" s="320"/>
      <c r="U10" s="321"/>
      <c r="V10"/>
      <c r="W10"/>
      <c r="X10"/>
      <c r="Y10"/>
      <c r="Z10"/>
      <c r="AA10"/>
      <c r="AB10"/>
      <c r="AC10"/>
      <c r="AD10"/>
      <c r="AE10"/>
      <c r="AF10"/>
      <c r="AG10"/>
      <c r="AH10"/>
      <c r="AI10"/>
      <c r="AJ10"/>
      <c r="AK10"/>
      <c r="AL10"/>
      <c r="AM10"/>
      <c r="AN10"/>
      <c r="AO10"/>
    </row>
    <row r="11" spans="1:21" ht="15" customHeight="1">
      <c r="A11" s="40"/>
      <c r="B11" s="270" t="s">
        <v>76</v>
      </c>
      <c r="C11" s="271"/>
      <c r="D11" s="272"/>
      <c r="E11" s="319">
        <f>IF(samplelocation="","",samplelocation)</f>
      </c>
      <c r="F11" s="320"/>
      <c r="G11" s="320"/>
      <c r="H11" s="320"/>
      <c r="I11" s="321"/>
      <c r="J11" s="351" t="s">
        <v>77</v>
      </c>
      <c r="K11" s="352"/>
      <c r="L11" s="352"/>
      <c r="M11" s="352"/>
      <c r="N11" s="353"/>
      <c r="O11" s="319" t="str">
        <f>IF(specialprovision="","",specialprovision)</f>
        <v>NONE</v>
      </c>
      <c r="P11" s="320"/>
      <c r="Q11" s="320"/>
      <c r="R11" s="320"/>
      <c r="S11" s="320"/>
      <c r="T11" s="320"/>
      <c r="U11" s="321"/>
    </row>
    <row r="12" spans="1:21" ht="15" customHeight="1">
      <c r="A12" s="40"/>
      <c r="B12" s="270" t="s">
        <v>78</v>
      </c>
      <c r="C12" s="271"/>
      <c r="D12" s="272"/>
      <c r="E12" s="319">
        <f>IF(material="","",material)</f>
      </c>
      <c r="F12" s="320"/>
      <c r="G12" s="320"/>
      <c r="H12" s="320"/>
      <c r="I12" s="321"/>
      <c r="J12" s="270" t="s">
        <v>79</v>
      </c>
      <c r="K12" s="271"/>
      <c r="L12" s="271"/>
      <c r="M12" s="271"/>
      <c r="N12" s="272"/>
      <c r="O12" s="319" t="str">
        <f>IF(Grade="","",Grade)</f>
        <v>Other</v>
      </c>
      <c r="P12" s="320"/>
      <c r="Q12" s="320"/>
      <c r="R12" s="320"/>
      <c r="S12" s="320"/>
      <c r="T12" s="320"/>
      <c r="U12" s="321"/>
    </row>
    <row r="13" spans="1:21" ht="15" customHeight="1">
      <c r="A13" s="40"/>
      <c r="B13" s="270" t="s">
        <v>80</v>
      </c>
      <c r="C13" s="271"/>
      <c r="D13" s="272"/>
      <c r="E13" s="357" t="str">
        <f>IF(producer="","",producer)</f>
        <v>TTI Lab Design</v>
      </c>
      <c r="F13" s="358"/>
      <c r="G13" s="358"/>
      <c r="H13" s="358"/>
      <c r="I13" s="358"/>
      <c r="J13" s="358"/>
      <c r="K13" s="358"/>
      <c r="L13" s="358"/>
      <c r="M13" s="358"/>
      <c r="N13" s="358"/>
      <c r="O13" s="358"/>
      <c r="P13" s="358"/>
      <c r="Q13" s="358"/>
      <c r="R13" s="358"/>
      <c r="S13" s="358"/>
      <c r="T13" s="358"/>
      <c r="U13" s="359"/>
    </row>
    <row r="14" spans="1:21" ht="15" customHeight="1">
      <c r="A14" s="40"/>
      <c r="B14" s="270" t="s">
        <v>81</v>
      </c>
      <c r="C14" s="271"/>
      <c r="D14" s="272"/>
      <c r="E14" s="319">
        <f>IF(areaengineer="","",areaengineer)</f>
      </c>
      <c r="F14" s="320"/>
      <c r="G14" s="320"/>
      <c r="H14" s="320"/>
      <c r="I14" s="321"/>
      <c r="J14" s="351" t="s">
        <v>82</v>
      </c>
      <c r="K14" s="352"/>
      <c r="L14" s="352"/>
      <c r="M14" s="352"/>
      <c r="N14" s="353"/>
      <c r="O14" s="511">
        <f>IF(projectmanager="","",projectmanager)</f>
      </c>
      <c r="P14" s="512"/>
      <c r="Q14" s="512"/>
      <c r="R14" s="512"/>
      <c r="S14" s="512"/>
      <c r="T14" s="512"/>
      <c r="U14" s="513"/>
    </row>
    <row r="15" spans="1:21" ht="4.5" customHeight="1">
      <c r="A15" s="40"/>
      <c r="B15" s="11"/>
      <c r="C15" s="11"/>
      <c r="D15" s="11"/>
      <c r="E15" s="11"/>
      <c r="F15" s="11"/>
      <c r="G15" s="11"/>
      <c r="H15" s="12"/>
      <c r="I15" s="12"/>
      <c r="J15" s="12"/>
      <c r="K15" s="12"/>
      <c r="L15" s="12"/>
      <c r="M15" s="12"/>
      <c r="N15" s="12"/>
      <c r="O15" s="12"/>
      <c r="P15" s="12"/>
      <c r="Q15" s="12"/>
      <c r="R15" s="12"/>
      <c r="S15" s="12"/>
      <c r="T15" s="12"/>
      <c r="U15" s="12"/>
    </row>
    <row r="16" spans="1:21" ht="15" customHeight="1">
      <c r="A16" s="40"/>
      <c r="B16" s="270" t="s">
        <v>1</v>
      </c>
      <c r="C16" s="271"/>
      <c r="D16" s="272"/>
      <c r="E16" s="150">
        <f>IF(courselift="","",courselift)</f>
      </c>
      <c r="F16" s="244" t="s">
        <v>2</v>
      </c>
      <c r="G16" s="380"/>
      <c r="H16" s="380"/>
      <c r="I16" s="240"/>
      <c r="J16" s="493">
        <f>IF(station="","",station)</f>
      </c>
      <c r="K16" s="251"/>
      <c r="L16" s="251"/>
      <c r="M16" s="252"/>
      <c r="N16" s="244" t="s">
        <v>3</v>
      </c>
      <c r="O16" s="380"/>
      <c r="P16" s="380"/>
      <c r="Q16" s="240"/>
      <c r="R16" s="493">
        <f>IF(distfromcl="","",distfromcl)</f>
      </c>
      <c r="S16" s="251"/>
      <c r="T16" s="251"/>
      <c r="U16" s="252"/>
    </row>
    <row r="17" spans="1:30" ht="16.5" customHeight="1">
      <c r="A17" s="10"/>
      <c r="B17" s="170" t="s">
        <v>252</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row>
    <row r="18" spans="1:40" s="128" customFormat="1" ht="17.25" customHeight="1">
      <c r="A18" s="127"/>
      <c r="E18" s="505" t="str">
        <f>IF(Bin1Frac="","","Bin No.1 = "&amp;Bin1Frac&amp;" %")</f>
        <v>Bin No.1 = 52 %</v>
      </c>
      <c r="F18" s="506"/>
      <c r="G18" s="506"/>
      <c r="H18" s="507"/>
      <c r="I18" s="505" t="str">
        <f>IF(Bin2Frac="","","Bin No.2 = "&amp;Bin2Frac&amp;" %")</f>
        <v>Bin No.2 = 47 %</v>
      </c>
      <c r="J18" s="506"/>
      <c r="K18" s="506"/>
      <c r="L18" s="507"/>
      <c r="M18" s="505" t="str">
        <f>IF(Bin3Frac="","","Bin No.3 = "&amp;Bin3Frac&amp;" %")</f>
        <v>Bin No.3 = 1 %</v>
      </c>
      <c r="N18" s="506"/>
      <c r="O18" s="506"/>
      <c r="P18" s="507"/>
      <c r="Q18" s="505" t="str">
        <f>IF(Bin4Frac="","","Bin No.4 = "&amp;Bin4Frac&amp;" %")</f>
        <v>Bin No.4 = 0 %</v>
      </c>
      <c r="R18" s="506"/>
      <c r="S18" s="506"/>
      <c r="T18" s="507"/>
      <c r="U18" s="505">
        <f>IF(Bin5Frac="","","Bin No.5 = "&amp;Bin5Frac&amp;" %")</f>
      </c>
      <c r="V18" s="506"/>
      <c r="W18" s="506"/>
      <c r="X18" s="507"/>
      <c r="Y18" s="505">
        <f>IF(Bin6Frac="","","Bin No.6 = "&amp;Bin6Frac&amp;" %")</f>
      </c>
      <c r="Z18" s="506"/>
      <c r="AA18" s="506"/>
      <c r="AB18" s="507"/>
      <c r="AC18" s="505">
        <f>IF(Bin7Frac="","","Bin No.7 = "&amp;Bin7Frac&amp;" %")</f>
      </c>
      <c r="AD18" s="506"/>
      <c r="AE18" s="506"/>
      <c r="AF18" s="507"/>
      <c r="AG18" s="56"/>
      <c r="AH18" s="69"/>
      <c r="AI18" s="129"/>
      <c r="AJ18" s="129"/>
      <c r="AL18" s="390"/>
      <c r="AM18" s="390"/>
      <c r="AN18" s="390"/>
    </row>
    <row r="19" spans="1:40" ht="17.25" customHeight="1">
      <c r="A19" s="72"/>
      <c r="B19" s="269" t="s">
        <v>173</v>
      </c>
      <c r="C19" s="269"/>
      <c r="D19" s="269"/>
      <c r="E19" s="315" t="str">
        <f>IF(Bin1Source="","",Bin1Source)</f>
        <v>Duininck</v>
      </c>
      <c r="F19" s="315"/>
      <c r="G19" s="315"/>
      <c r="H19" s="316"/>
      <c r="I19" s="317" t="str">
        <f>IF(Bin2Source="","",Bin2Source)</f>
        <v>Kiewit</v>
      </c>
      <c r="J19" s="475"/>
      <c r="K19" s="475"/>
      <c r="L19" s="318"/>
      <c r="M19" s="317" t="str">
        <f>IF(Bin3Source="","",Bin3Source)</f>
        <v>Texas Lime</v>
      </c>
      <c r="N19" s="475"/>
      <c r="O19" s="475"/>
      <c r="P19" s="318"/>
      <c r="Q19" s="317">
        <f>IF(Bin4Source="","",Bin4Source)</f>
      </c>
      <c r="R19" s="475"/>
      <c r="S19" s="475"/>
      <c r="T19" s="318"/>
      <c r="U19" s="317">
        <f>IF(Bin5Source="","",Bin5Source)</f>
      </c>
      <c r="V19" s="475"/>
      <c r="W19" s="475"/>
      <c r="X19" s="318"/>
      <c r="Y19" s="317">
        <f>IF(Bin6Source="","",Bin6Source)</f>
      </c>
      <c r="Z19" s="475"/>
      <c r="AA19" s="475"/>
      <c r="AB19" s="318"/>
      <c r="AC19" s="505">
        <f>IF(Bin7Source="","",Bin7Source)</f>
      </c>
      <c r="AD19" s="506"/>
      <c r="AE19" s="506"/>
      <c r="AF19" s="507"/>
      <c r="AG19" s="71"/>
      <c r="AH19" s="68"/>
      <c r="AI19" s="70"/>
      <c r="AJ19" s="70"/>
      <c r="AL19" s="390"/>
      <c r="AM19" s="390"/>
      <c r="AN19" s="390"/>
    </row>
    <row r="20" spans="1:40" ht="17.25" customHeight="1">
      <c r="A20" s="72"/>
      <c r="B20" s="269" t="s">
        <v>174</v>
      </c>
      <c r="C20" s="269"/>
      <c r="D20" s="269"/>
      <c r="E20" s="315">
        <f>IF(Bin1Aggr="","",Bin1Aggr)</f>
      </c>
      <c r="F20" s="315"/>
      <c r="G20" s="315"/>
      <c r="H20" s="316"/>
      <c r="I20" s="317">
        <f>IF(Bin2Aggr="","",Bin2Aggr)</f>
      </c>
      <c r="J20" s="475"/>
      <c r="K20" s="475"/>
      <c r="L20" s="318"/>
      <c r="M20" s="317">
        <f>IF(Bin3Aggr="","",Bin3Aggr)</f>
      </c>
      <c r="N20" s="475"/>
      <c r="O20" s="475"/>
      <c r="P20" s="318"/>
      <c r="Q20" s="317">
        <f>IF(Bin4Aggr="","",Bin4Aggr)</f>
      </c>
      <c r="R20" s="475"/>
      <c r="S20" s="475"/>
      <c r="T20" s="318"/>
      <c r="U20" s="317">
        <f>IF(Bin5Aggr="","",Bin5Aggr)</f>
      </c>
      <c r="V20" s="475"/>
      <c r="W20" s="475"/>
      <c r="X20" s="318"/>
      <c r="Y20" s="317">
        <f>IF(Bin6Aggr="","",Bin6Aggr)</f>
      </c>
      <c r="Z20" s="475"/>
      <c r="AA20" s="475"/>
      <c r="AB20" s="318"/>
      <c r="AC20" s="505">
        <f>IF(Bin7Aggr="","",Bin7Aggr)</f>
      </c>
      <c r="AD20" s="506"/>
      <c r="AE20" s="506"/>
      <c r="AF20" s="507"/>
      <c r="AG20" s="56"/>
      <c r="AH20" s="69"/>
      <c r="AI20" s="70"/>
      <c r="AJ20" s="70"/>
      <c r="AL20" s="390"/>
      <c r="AM20" s="390"/>
      <c r="AN20" s="390"/>
    </row>
    <row r="21" spans="1:40" ht="17.25" customHeight="1">
      <c r="A21" s="72"/>
      <c r="B21" s="269" t="s">
        <v>251</v>
      </c>
      <c r="C21" s="269"/>
      <c r="D21" s="269"/>
      <c r="E21" s="446" t="s">
        <v>291</v>
      </c>
      <c r="F21" s="494"/>
      <c r="G21" s="494"/>
      <c r="H21" s="447"/>
      <c r="I21" s="446" t="s">
        <v>291</v>
      </c>
      <c r="J21" s="494"/>
      <c r="K21" s="494"/>
      <c r="L21" s="447"/>
      <c r="M21" s="446" t="s">
        <v>292</v>
      </c>
      <c r="N21" s="494"/>
      <c r="O21" s="494"/>
      <c r="P21" s="447"/>
      <c r="Q21" s="446"/>
      <c r="R21" s="494"/>
      <c r="S21" s="494"/>
      <c r="T21" s="447"/>
      <c r="U21" s="446"/>
      <c r="V21" s="494"/>
      <c r="W21" s="494"/>
      <c r="X21" s="447"/>
      <c r="Y21" s="446"/>
      <c r="Z21" s="494"/>
      <c r="AA21" s="494"/>
      <c r="AB21" s="447"/>
      <c r="AC21" s="517"/>
      <c r="AD21" s="518"/>
      <c r="AE21" s="518"/>
      <c r="AF21" s="519"/>
      <c r="AG21" s="71"/>
      <c r="AH21" s="68"/>
      <c r="AI21" s="70"/>
      <c r="AJ21" s="70"/>
      <c r="AL21" s="64"/>
      <c r="AM21" s="64"/>
      <c r="AN21" s="64"/>
    </row>
    <row r="22" spans="2:34" ht="6" customHeight="1">
      <c r="B22" s="130"/>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61"/>
      <c r="AH22" s="161"/>
    </row>
    <row r="23" spans="1:40" ht="17.25" customHeight="1">
      <c r="A23" s="72"/>
      <c r="B23" s="303" t="s">
        <v>4</v>
      </c>
      <c r="C23" s="330"/>
      <c r="D23" s="304"/>
      <c r="E23" s="501" t="s">
        <v>170</v>
      </c>
      <c r="F23" s="502"/>
      <c r="G23" s="383" t="s">
        <v>33</v>
      </c>
      <c r="H23" s="383" t="s">
        <v>31</v>
      </c>
      <c r="I23" s="501" t="s">
        <v>170</v>
      </c>
      <c r="J23" s="502"/>
      <c r="K23" s="383" t="s">
        <v>33</v>
      </c>
      <c r="L23" s="383" t="s">
        <v>31</v>
      </c>
      <c r="M23" s="501" t="s">
        <v>170</v>
      </c>
      <c r="N23" s="502"/>
      <c r="O23" s="499" t="s">
        <v>33</v>
      </c>
      <c r="P23" s="383" t="s">
        <v>31</v>
      </c>
      <c r="Q23" s="501" t="s">
        <v>170</v>
      </c>
      <c r="R23" s="502"/>
      <c r="S23" s="499" t="s">
        <v>33</v>
      </c>
      <c r="T23" s="383" t="s">
        <v>31</v>
      </c>
      <c r="U23" s="501" t="s">
        <v>170</v>
      </c>
      <c r="V23" s="502"/>
      <c r="W23" s="499" t="s">
        <v>33</v>
      </c>
      <c r="X23" s="383" t="s">
        <v>31</v>
      </c>
      <c r="Y23" s="501" t="s">
        <v>170</v>
      </c>
      <c r="Z23" s="502"/>
      <c r="AA23" s="383" t="s">
        <v>33</v>
      </c>
      <c r="AB23" s="383" t="s">
        <v>31</v>
      </c>
      <c r="AC23" s="501" t="s">
        <v>170</v>
      </c>
      <c r="AD23" s="502"/>
      <c r="AE23" s="383" t="s">
        <v>33</v>
      </c>
      <c r="AF23" s="383" t="s">
        <v>31</v>
      </c>
      <c r="AG23" s="68"/>
      <c r="AH23" s="68"/>
      <c r="AI23" s="70"/>
      <c r="AJ23" s="70"/>
      <c r="AL23" s="64"/>
      <c r="AM23" s="64"/>
      <c r="AN23" s="64"/>
    </row>
    <row r="24" spans="1:40" ht="17.25" customHeight="1">
      <c r="A24" s="72"/>
      <c r="B24" s="335" t="s">
        <v>169</v>
      </c>
      <c r="C24" s="336"/>
      <c r="D24" s="337"/>
      <c r="E24" s="503"/>
      <c r="F24" s="504"/>
      <c r="G24" s="384"/>
      <c r="H24" s="384"/>
      <c r="I24" s="503"/>
      <c r="J24" s="504"/>
      <c r="K24" s="384"/>
      <c r="L24" s="384"/>
      <c r="M24" s="503"/>
      <c r="N24" s="504"/>
      <c r="O24" s="500"/>
      <c r="P24" s="384"/>
      <c r="Q24" s="503"/>
      <c r="R24" s="504"/>
      <c r="S24" s="500"/>
      <c r="T24" s="384"/>
      <c r="U24" s="503"/>
      <c r="V24" s="504"/>
      <c r="W24" s="500"/>
      <c r="X24" s="384"/>
      <c r="Y24" s="503"/>
      <c r="Z24" s="504"/>
      <c r="AA24" s="384"/>
      <c r="AB24" s="384"/>
      <c r="AC24" s="503"/>
      <c r="AD24" s="504"/>
      <c r="AE24" s="384"/>
      <c r="AF24" s="384"/>
      <c r="AG24" s="68"/>
      <c r="AH24" s="68"/>
      <c r="AI24" s="70"/>
      <c r="AJ24" s="70"/>
      <c r="AL24" s="64"/>
      <c r="AM24" s="64"/>
      <c r="AN24" s="64"/>
    </row>
    <row r="25" spans="1:40" ht="15" customHeight="1">
      <c r="A25" s="72"/>
      <c r="B25" s="125"/>
      <c r="C25" s="63" t="s">
        <v>83</v>
      </c>
      <c r="D25" s="63" t="str">
        <f ca="1">IF(ISERROR(INDEX(INDIRECT(Grade),1,IF(specyear="1993",2,3))),"Pan",INDEX(INDIRECT(Grade),1,IF(specyear="1993",2,3)))</f>
        <v>3/4"</v>
      </c>
      <c r="E25" s="495">
        <f>IF('Combined Gradation'!F29="",0,'Combined Gradation'!E26-'Combined Gradation'!F29)</f>
        <v>0</v>
      </c>
      <c r="F25" s="495"/>
      <c r="G25" s="162">
        <f>IF(SSize1=2,(Bin1Frac/100)*SUM(E$25:E25),0)</f>
        <v>0</v>
      </c>
      <c r="H25" s="163">
        <f>IF(SSize1=4.75,(Bin1Frac/100)*SUM(E$25:E25),0)</f>
        <v>0</v>
      </c>
      <c r="I25" s="495">
        <f>IF('Combined Gradation'!H29="",0,'Combined Gradation'!G26-'Combined Gradation'!H29)</f>
        <v>0</v>
      </c>
      <c r="J25" s="495"/>
      <c r="K25" s="162">
        <f>IF(SSize1=2,(Bin1Frac/100)*SUM(I$25:I25),0)</f>
        <v>0</v>
      </c>
      <c r="L25" s="163">
        <f>IF(SSize1=4.75,(Bin1Frac/100)*SUM(I$25:I25),0)</f>
        <v>0</v>
      </c>
      <c r="M25" s="495">
        <f>IF('Combined Gradation'!J29="",0,'Combined Gradation'!I26-'Combined Gradation'!J29)</f>
        <v>0</v>
      </c>
      <c r="N25" s="495"/>
      <c r="O25" s="162">
        <f>IF(SSize1=2,(Bin1Frac/100)*SUM(M$25:M25),0)</f>
        <v>0</v>
      </c>
      <c r="P25" s="163">
        <f>IF(SSize1=4.75,(Bin1Frac/100)*SUM(M$25:M25),0)</f>
        <v>0</v>
      </c>
      <c r="Q25" s="495">
        <f>IF('Combined Gradation'!L29="",0,'Combined Gradation'!K26-'Combined Gradation'!L29)</f>
        <v>0</v>
      </c>
      <c r="R25" s="495"/>
      <c r="S25" s="162">
        <f>IF(SSize1=2,(Bin1Frac/100)*SUM(Q$25:Q25),0)</f>
        <v>0</v>
      </c>
      <c r="T25" s="163">
        <f>IF(SSize1=4.75,(Bin1Frac/100)*SUM(Q$25:Q25),0)</f>
        <v>0</v>
      </c>
      <c r="U25" s="495">
        <f>IF('Combined Gradation'!N29="",0,'Combined Gradation'!M26-'Combined Gradation'!N29)</f>
        <v>0</v>
      </c>
      <c r="V25" s="495"/>
      <c r="W25" s="162">
        <f>IF(SSize1=2,(Bin1Frac/100)*SUM(U$25:U25),0)</f>
        <v>0</v>
      </c>
      <c r="X25" s="163">
        <f>IF(SSize1=4.75,(Bin1Frac/100)*SUM(U$25:U25),0)</f>
        <v>0</v>
      </c>
      <c r="Y25" s="495">
        <f>IF('Combined Gradation'!P29="",0,'Combined Gradation'!O26-'Combined Gradation'!P29)</f>
        <v>0</v>
      </c>
      <c r="Z25" s="495"/>
      <c r="AA25" s="162">
        <f>IF(SSize1=2,(Bin1Frac/100)*SUM(Y$25:Y25),0)</f>
        <v>0</v>
      </c>
      <c r="AB25" s="163">
        <f>IF(SSize1=4.75,(Bin1Frac/100)*SUM(Y$25:Y25),0)</f>
        <v>0</v>
      </c>
      <c r="AC25" s="495">
        <f>IF('Combined Gradation'!R29="",0,'Combined Gradation'!Q26-'Combined Gradation'!R29)</f>
        <v>0</v>
      </c>
      <c r="AD25" s="495"/>
      <c r="AE25" s="162">
        <f>IF(SSize1=2,(Bin1Frac/100)*SUM(AC$25:AC25),0)</f>
        <v>0</v>
      </c>
      <c r="AF25" s="163">
        <f>IF(SSize1=4.75,(Bin1Frac/100)*SUM(AC$25:AC25),0)</f>
        <v>0</v>
      </c>
      <c r="AG25" s="59"/>
      <c r="AH25" s="59"/>
      <c r="AI25" s="74"/>
      <c r="AJ25" s="74"/>
      <c r="AL25" s="68"/>
      <c r="AM25" s="67"/>
      <c r="AN25" s="67"/>
    </row>
    <row r="26" spans="1:40" ht="15" customHeight="1">
      <c r="A26" s="72"/>
      <c r="B26" s="63" t="str">
        <f ca="1">IF(ISERROR(INDEX(INDIRECT(Grade),1,IF(specyear="1993",2,3))),"",INDEX(INDIRECT(Grade),1,IF(specyear="1993",2,3)))</f>
        <v>3/4"</v>
      </c>
      <c r="C26" s="63" t="s">
        <v>83</v>
      </c>
      <c r="D26" s="55" t="str">
        <f ca="1">IF(ISERROR(INDEX(INDIRECT(Grade),2,IF(specyear="1993",2,3))),"Pan",INDEX(INDIRECT(Grade),2,IF(specyear="1993",2,3)))</f>
        <v>1/2"</v>
      </c>
      <c r="E26" s="495">
        <f>('Combined Gradation'!F29-'Combined Gradation'!F30)</f>
        <v>0</v>
      </c>
      <c r="F26" s="495"/>
      <c r="G26" s="162">
        <f>IF(SSize2=2,(Bin1Frac/100)*SUM(E$25:E26),0)</f>
        <v>0</v>
      </c>
      <c r="H26" s="163">
        <f>IF(SSize2=4.75,(Bin1Frac/100)*SUM(E$25:E26),0)</f>
        <v>0</v>
      </c>
      <c r="I26" s="495">
        <f>('Combined Gradation'!H29-'Combined Gradation'!H30)</f>
        <v>0</v>
      </c>
      <c r="J26" s="495"/>
      <c r="K26" s="162">
        <f>IF(SSize2=2,(Bin1Frac/100)*SUM(I$25:I26),0)</f>
        <v>0</v>
      </c>
      <c r="L26" s="163">
        <f>IF(SSize2=4.75,(Bin1Frac/100)*SUM(I$25:I26),0)</f>
        <v>0</v>
      </c>
      <c r="M26" s="495">
        <f>('Combined Gradation'!J29-'Combined Gradation'!J30)</f>
        <v>0</v>
      </c>
      <c r="N26" s="495"/>
      <c r="O26" s="162">
        <f>IF(SSize2=2,(Bin1Frac/100)*SUM(M$25:M26),0)</f>
        <v>0</v>
      </c>
      <c r="P26" s="163">
        <f>IF(SSize2=4.75,(Bin1Frac/100)*SUM(M$25:M26),0)</f>
        <v>0</v>
      </c>
      <c r="Q26" s="495">
        <f>('Combined Gradation'!L29-'Combined Gradation'!L30)</f>
        <v>0</v>
      </c>
      <c r="R26" s="495"/>
      <c r="S26" s="162">
        <f>IF(SSize2=2,(Bin1Frac/100)*SUM(Q$25:Q26),0)</f>
        <v>0</v>
      </c>
      <c r="T26" s="163">
        <f>IF(SSize2=4.75,(Bin1Frac/100)*SUM(Q$25:Q26),0)</f>
        <v>0</v>
      </c>
      <c r="U26" s="495">
        <f>('Combined Gradation'!N29-'Combined Gradation'!N30)</f>
        <v>0</v>
      </c>
      <c r="V26" s="495"/>
      <c r="W26" s="162">
        <f>IF(SSize2=2,(Bin1Frac/100)*SUM(U$25:U26),0)</f>
        <v>0</v>
      </c>
      <c r="X26" s="163">
        <f>IF(SSize2=4.75,(Bin1Frac/100)*SUM(U$25:U26),0)</f>
        <v>0</v>
      </c>
      <c r="Y26" s="495">
        <f>('Combined Gradation'!P29-'Combined Gradation'!P30)</f>
        <v>0</v>
      </c>
      <c r="Z26" s="495"/>
      <c r="AA26" s="162">
        <f>IF(SSize2=2,(Bin1Frac/100)*SUM(Y$25:Y26),0)</f>
        <v>0</v>
      </c>
      <c r="AB26" s="163">
        <f>IF(SSize2=4.75,(Bin1Frac/100)*SUM(Y$25:Y26),0)</f>
        <v>0</v>
      </c>
      <c r="AC26" s="495">
        <f>('Combined Gradation'!R29-'Combined Gradation'!R30)</f>
        <v>0</v>
      </c>
      <c r="AD26" s="495"/>
      <c r="AE26" s="162">
        <f>IF(SSize2=2,(Bin1Frac/100)*SUM(AC$25:AC26),0)</f>
        <v>0</v>
      </c>
      <c r="AF26" s="163">
        <f>IF(SSize2=4.75,(Bin1Frac/100)*SUM(AC$25:AC26),0)</f>
        <v>0</v>
      </c>
      <c r="AG26" s="59"/>
      <c r="AH26" s="59"/>
      <c r="AI26" s="74"/>
      <c r="AJ26" s="74"/>
      <c r="AL26" s="68"/>
      <c r="AM26" s="67"/>
      <c r="AN26" s="67"/>
    </row>
    <row r="27" spans="1:40" ht="15" customHeight="1">
      <c r="A27" s="72"/>
      <c r="B27" s="55" t="str">
        <f ca="1">IF(ISERROR(INDEX(INDIRECT(Grade),2,IF(specyear="1993",2,3))),"",INDEX(INDIRECT(Grade),2,IF(specyear="1993",2,3)))</f>
        <v>1/2"</v>
      </c>
      <c r="C27" s="63" t="s">
        <v>83</v>
      </c>
      <c r="D27" s="55" t="str">
        <f ca="1">IF(ISERROR(INDEX(INDIRECT(Grade),3,IF(specyear="1993",2,3))),"Pan",INDEX(INDIRECT(Grade),3,IF(specyear="1993",2,3)))</f>
        <v>3/8"</v>
      </c>
      <c r="E27" s="495">
        <f>('Combined Gradation'!F30-'Combined Gradation'!F31)</f>
        <v>0</v>
      </c>
      <c r="F27" s="495"/>
      <c r="G27" s="162">
        <f>IF(SSize3=2,(Bin1Frac/100)*SUM(E$25:E27),0)</f>
        <v>0</v>
      </c>
      <c r="H27" s="163">
        <f>IF(SSize3=4.75,(Bin1Frac/100)*SUM(E$25:E27),0)</f>
        <v>0</v>
      </c>
      <c r="I27" s="495">
        <f>('Combined Gradation'!H30-'Combined Gradation'!H31)</f>
        <v>0</v>
      </c>
      <c r="J27" s="495"/>
      <c r="K27" s="162">
        <f>IF(SSize3=2,(Bin1Frac/100)*SUM(I$25:I27),0)</f>
        <v>0</v>
      </c>
      <c r="L27" s="163">
        <f>IF(SSize3=4.75,(Bin1Frac/100)*SUM(I$25:I27),0)</f>
        <v>0</v>
      </c>
      <c r="M27" s="495">
        <f>('Combined Gradation'!J30-'Combined Gradation'!J31)</f>
        <v>0</v>
      </c>
      <c r="N27" s="495"/>
      <c r="O27" s="162">
        <f>IF(SSize3=2,(Bin1Frac/100)*SUM(M$25:M27),0)</f>
        <v>0</v>
      </c>
      <c r="P27" s="163">
        <f>IF(SSize3=4.75,(Bin1Frac/100)*SUM(M$25:M27),0)</f>
        <v>0</v>
      </c>
      <c r="Q27" s="495">
        <f>('Combined Gradation'!L30-'Combined Gradation'!L31)</f>
        <v>0</v>
      </c>
      <c r="R27" s="495"/>
      <c r="S27" s="162">
        <f>IF(SSize3=2,(Bin1Frac/100)*SUM(Q$25:Q27),0)</f>
        <v>0</v>
      </c>
      <c r="T27" s="163">
        <f>IF(SSize3=4.75,(Bin1Frac/100)*SUM(Q$25:Q27),0)</f>
        <v>0</v>
      </c>
      <c r="U27" s="495">
        <f>('Combined Gradation'!N30-'Combined Gradation'!N31)</f>
        <v>0</v>
      </c>
      <c r="V27" s="495"/>
      <c r="W27" s="162">
        <f>IF(SSize3=2,(Bin1Frac/100)*SUM(U$25:U27),0)</f>
        <v>0</v>
      </c>
      <c r="X27" s="163">
        <f>IF(SSize3=4.75,(Bin1Frac/100)*SUM(U$25:U27),0)</f>
        <v>0</v>
      </c>
      <c r="Y27" s="495">
        <f>('Combined Gradation'!P30-'Combined Gradation'!P31)</f>
        <v>0</v>
      </c>
      <c r="Z27" s="495"/>
      <c r="AA27" s="162">
        <f>IF(SSize3=2,(Bin1Frac/100)*SUM(Y$25:Y27),0)</f>
        <v>0</v>
      </c>
      <c r="AB27" s="163">
        <f>IF(SSize3=4.75,(Bin1Frac/100)*SUM(Y$25:Y27),0)</f>
        <v>0</v>
      </c>
      <c r="AC27" s="495">
        <f>('Combined Gradation'!R30-'Combined Gradation'!R31)</f>
        <v>0</v>
      </c>
      <c r="AD27" s="495"/>
      <c r="AE27" s="162">
        <f>IF(SSize3=2,(Bin1Frac/100)*SUM(AC$25:AC27),0)</f>
        <v>0</v>
      </c>
      <c r="AF27" s="163">
        <f>IF(SSize3=4.75,(Bin1Frac/100)*SUM(AC$25:AC27),0)</f>
        <v>0</v>
      </c>
      <c r="AG27" s="59"/>
      <c r="AH27" s="59"/>
      <c r="AI27" s="74"/>
      <c r="AJ27" s="74"/>
      <c r="AL27" s="68"/>
      <c r="AM27" s="67"/>
      <c r="AN27" s="67"/>
    </row>
    <row r="28" spans="1:40" ht="15" customHeight="1">
      <c r="A28" s="72"/>
      <c r="B28" s="55" t="str">
        <f ca="1">IF(ISERROR(INDEX(INDIRECT(Grade),3,IF(specyear="1993",2,3))),"",INDEX(INDIRECT(Grade),3,IF(specyear="1993",2,3)))</f>
        <v>3/8"</v>
      </c>
      <c r="C28" s="63" t="s">
        <v>83</v>
      </c>
      <c r="D28" s="55" t="str">
        <f ca="1">IF(ISERROR(INDEX(INDIRECT(Grade),4,IF(specyear="1993",2,3))),"Pan",INDEX(INDIRECT(Grade),4,IF(specyear="1993",2,3)))</f>
        <v>No. 4</v>
      </c>
      <c r="E28" s="495">
        <f>('Combined Gradation'!F31-'Combined Gradation'!F32)</f>
        <v>20.384</v>
      </c>
      <c r="F28" s="495"/>
      <c r="G28" s="162">
        <f>IF(SSize4=2,(Bin1Frac/100)*SUM(E$25:E28),0)</f>
        <v>0</v>
      </c>
      <c r="H28" s="163">
        <f>IF(SSize4=4.75,(Bin1Frac/100)*SUM(E$25:E28),0)</f>
        <v>10.599680000000001</v>
      </c>
      <c r="I28" s="495">
        <f>('Combined Gradation'!H31-'Combined Gradation'!H32)</f>
        <v>0.046999999999997044</v>
      </c>
      <c r="J28" s="495"/>
      <c r="K28" s="162">
        <f>IF(SSize4=2,(Bin1Frac/100)*SUM(I$25:I28),0)</f>
        <v>0</v>
      </c>
      <c r="L28" s="163">
        <f>IF(SSize4=4.75,(Bin1Frac/100)*SUM(I$25:I28),0)</f>
        <v>0.024439999999998463</v>
      </c>
      <c r="M28" s="495">
        <f>('Combined Gradation'!J31-'Combined Gradation'!J32)</f>
        <v>0</v>
      </c>
      <c r="N28" s="495"/>
      <c r="O28" s="162">
        <f>IF(SSize4=2,(Bin1Frac/100)*SUM(M$25:M28),0)</f>
        <v>0</v>
      </c>
      <c r="P28" s="163">
        <f>IF(SSize4=4.75,(Bin1Frac/100)*SUM(M$25:M28),0)</f>
        <v>0</v>
      </c>
      <c r="Q28" s="495">
        <f>('Combined Gradation'!L31-'Combined Gradation'!L32)</f>
        <v>0</v>
      </c>
      <c r="R28" s="495"/>
      <c r="S28" s="162">
        <f>IF(SSize4=2,(Bin1Frac/100)*SUM(Q$25:Q28),0)</f>
        <v>0</v>
      </c>
      <c r="T28" s="163">
        <f>IF(SSize4=4.75,(Bin1Frac/100)*SUM(Q$25:Q28),0)</f>
        <v>0</v>
      </c>
      <c r="U28" s="495">
        <f>('Combined Gradation'!N31-'Combined Gradation'!N32)</f>
        <v>0</v>
      </c>
      <c r="V28" s="495"/>
      <c r="W28" s="162">
        <f>IF(SSize4=2,(Bin1Frac/100)*SUM(U$25:U28),0)</f>
        <v>0</v>
      </c>
      <c r="X28" s="163">
        <f>IF(SSize4=4.75,(Bin1Frac/100)*SUM(U$25:U28),0)</f>
        <v>0</v>
      </c>
      <c r="Y28" s="495">
        <f>('Combined Gradation'!P31-'Combined Gradation'!P32)</f>
        <v>0</v>
      </c>
      <c r="Z28" s="495"/>
      <c r="AA28" s="162">
        <f>IF(SSize4=2,(Bin1Frac/100)*SUM(Y$25:Y28),0)</f>
        <v>0</v>
      </c>
      <c r="AB28" s="163">
        <f>IF(SSize4=4.75,(Bin1Frac/100)*SUM(Y$25:Y28),0)</f>
        <v>0</v>
      </c>
      <c r="AC28" s="495">
        <f>('Combined Gradation'!R31-'Combined Gradation'!R32)</f>
        <v>0</v>
      </c>
      <c r="AD28" s="495"/>
      <c r="AE28" s="162">
        <f>IF(SSize4=2,(Bin1Frac/100)*SUM(AC$25:AC28),0)</f>
        <v>0</v>
      </c>
      <c r="AF28" s="163">
        <f>IF(SSize4=4.75,(Bin1Frac/100)*SUM(AC$25:AC28),0)</f>
        <v>0</v>
      </c>
      <c r="AG28" s="59"/>
      <c r="AH28" s="59"/>
      <c r="AI28" s="74"/>
      <c r="AJ28" s="74"/>
      <c r="AL28" s="68"/>
      <c r="AM28" s="67"/>
      <c r="AN28" s="67"/>
    </row>
    <row r="29" spans="1:40" ht="15" customHeight="1">
      <c r="A29" s="72"/>
      <c r="B29" s="55" t="str">
        <f ca="1">IF(ISERROR(INDEX(INDIRECT(Grade),4,IF(specyear="1993",2,3))),"",INDEX(INDIRECT(Grade),4,IF(specyear="1993",2,3)))</f>
        <v>No. 4</v>
      </c>
      <c r="C29" s="63" t="s">
        <v>83</v>
      </c>
      <c r="D29" s="55" t="str">
        <f ca="1">IF(ISERROR(INDEX(INDIRECT(Grade),5,IF(specyear="1993",2,3))),"Pan",INDEX(INDIRECT(Grade),5,IF(specyear="1993",2,3)))</f>
        <v>No. 8</v>
      </c>
      <c r="E29" s="495">
        <f>('Combined Gradation'!F32-'Combined Gradation'!F33)</f>
        <v>30.576</v>
      </c>
      <c r="F29" s="495"/>
      <c r="G29" s="162">
        <f>IF(SSize5=2,(Bin1Frac/100)*SUM(E$25:E29),0)</f>
        <v>0</v>
      </c>
      <c r="H29" s="163">
        <f>IF(SSize5=4.75,(Bin1Frac/100)*SUM(E$25:E29),0)</f>
        <v>0</v>
      </c>
      <c r="I29" s="495">
        <f>('Combined Gradation'!H32-'Combined Gradation'!H33)</f>
        <v>6.909000000000006</v>
      </c>
      <c r="J29" s="495"/>
      <c r="K29" s="162">
        <f>IF(SSize5=2,(Bin1Frac/100)*SUM(I$25:I29),0)</f>
        <v>0</v>
      </c>
      <c r="L29" s="163">
        <f>IF(SSize5=4.75,(Bin1Frac/100)*SUM(I$25:I29),0)</f>
        <v>0</v>
      </c>
      <c r="M29" s="495">
        <f>('Combined Gradation'!J32-'Combined Gradation'!J33)</f>
        <v>0</v>
      </c>
      <c r="N29" s="495"/>
      <c r="O29" s="162">
        <f>IF(SSize5=2,(Bin1Frac/100)*SUM(M$25:M29),0)</f>
        <v>0</v>
      </c>
      <c r="P29" s="163">
        <f>IF(SSize5=4.75,(Bin1Frac/100)*SUM(M$25:M29),0)</f>
        <v>0</v>
      </c>
      <c r="Q29" s="495">
        <f>('Combined Gradation'!L32-'Combined Gradation'!L33)</f>
        <v>0</v>
      </c>
      <c r="R29" s="495"/>
      <c r="S29" s="162">
        <f>IF(SSize5=2,(Bin1Frac/100)*SUM(Q$25:Q29),0)</f>
        <v>0</v>
      </c>
      <c r="T29" s="163">
        <f>IF(SSize5=4.75,(Bin1Frac/100)*SUM(Q$25:Q29),0)</f>
        <v>0</v>
      </c>
      <c r="U29" s="495">
        <f>('Combined Gradation'!N32-'Combined Gradation'!N33)</f>
        <v>0</v>
      </c>
      <c r="V29" s="495"/>
      <c r="W29" s="162">
        <f>IF(SSize5=2,(Bin1Frac/100)*SUM(U$25:U29),0)</f>
        <v>0</v>
      </c>
      <c r="X29" s="163">
        <f>IF(SSize5=4.75,(Bin1Frac/100)*SUM(U$25:U29),0)</f>
        <v>0</v>
      </c>
      <c r="Y29" s="495">
        <f>('Combined Gradation'!P32-'Combined Gradation'!P33)</f>
        <v>0</v>
      </c>
      <c r="Z29" s="495"/>
      <c r="AA29" s="162">
        <f>IF(SSize5=2,(Bin1Frac/100)*SUM(Y$25:Y29),0)</f>
        <v>0</v>
      </c>
      <c r="AB29" s="163">
        <f>IF(SSize5=4.75,(Bin1Frac/100)*SUM(Y$25:Y29),0)</f>
        <v>0</v>
      </c>
      <c r="AC29" s="495">
        <f>('Combined Gradation'!R32-'Combined Gradation'!R33)</f>
        <v>0</v>
      </c>
      <c r="AD29" s="495"/>
      <c r="AE29" s="162">
        <f>IF(SSize5=2,(Bin1Frac/100)*SUM(AC$25:AC29),0)</f>
        <v>0</v>
      </c>
      <c r="AF29" s="163">
        <f>IF(SSize5=4.75,(Bin1Frac/100)*SUM(AC$25:AC29),0)</f>
        <v>0</v>
      </c>
      <c r="AG29" s="59"/>
      <c r="AH29" s="59"/>
      <c r="AI29" s="74"/>
      <c r="AJ29" s="74"/>
      <c r="AL29" s="68"/>
      <c r="AM29" s="67"/>
      <c r="AN29" s="67"/>
    </row>
    <row r="30" spans="1:40" ht="15" customHeight="1">
      <c r="A30" s="72"/>
      <c r="B30" s="55" t="str">
        <f ca="1">IF(ISERROR(INDEX(INDIRECT(Grade),5,IF(specyear="1993",2,3))),"",INDEX(INDIRECT(Grade),5,IF(specyear="1993",2,3)))</f>
        <v>No. 8</v>
      </c>
      <c r="C30" s="63" t="s">
        <v>83</v>
      </c>
      <c r="D30" s="55" t="str">
        <f ca="1">IF(ISERROR(INDEX(INDIRECT(Grade),6,IF(specyear="1993",2,3))),"Pan",INDEX(INDIRECT(Grade),6,IF(specyear="1993",2,3)))</f>
        <v>No. 16</v>
      </c>
      <c r="E30" s="495">
        <f>('Combined Gradation'!F33-'Combined Gradation'!F34)</f>
        <v>0.676</v>
      </c>
      <c r="F30" s="495"/>
      <c r="G30" s="162">
        <f>IF(SSize6=2,(Bin1Frac/100)*SUM(E$25:E30),0)</f>
        <v>0</v>
      </c>
      <c r="H30" s="163">
        <f>IF(SSize6=4.75,(Bin1Frac/100)*SUM(E$25:E30),0)</f>
        <v>0</v>
      </c>
      <c r="I30" s="495">
        <f>('Combined Gradation'!H33-'Combined Gradation'!H34)</f>
        <v>14.288</v>
      </c>
      <c r="J30" s="495"/>
      <c r="K30" s="162">
        <f>IF(SSize6=2,(Bin1Frac/100)*SUM(I$25:I30),0)</f>
        <v>0</v>
      </c>
      <c r="L30" s="163">
        <f>IF(SSize6=4.75,(Bin1Frac/100)*SUM(I$25:I30),0)</f>
        <v>0</v>
      </c>
      <c r="M30" s="495">
        <f>('Combined Gradation'!J33-'Combined Gradation'!J34)</f>
        <v>0</v>
      </c>
      <c r="N30" s="495"/>
      <c r="O30" s="162">
        <f>IF(SSize6=2,(Bin1Frac/100)*SUM(M$25:M30),0)</f>
        <v>0</v>
      </c>
      <c r="P30" s="163">
        <f>IF(SSize6=4.75,(Bin1Frac/100)*SUM(M$25:M30),0)</f>
        <v>0</v>
      </c>
      <c r="Q30" s="495">
        <f>('Combined Gradation'!L33-'Combined Gradation'!L34)</f>
        <v>0</v>
      </c>
      <c r="R30" s="495"/>
      <c r="S30" s="162">
        <f>IF(SSize6=2,(Bin1Frac/100)*SUM(Q$25:Q30),0)</f>
        <v>0</v>
      </c>
      <c r="T30" s="163">
        <f>IF(SSize6=4.75,(Bin1Frac/100)*SUM(Q$25:Q30),0)</f>
        <v>0</v>
      </c>
      <c r="U30" s="495">
        <f>('Combined Gradation'!N33-'Combined Gradation'!N34)</f>
        <v>0</v>
      </c>
      <c r="V30" s="495"/>
      <c r="W30" s="162">
        <f>IF(SSize6=2,(Bin1Frac/100)*SUM(U$25:U30),0)</f>
        <v>0</v>
      </c>
      <c r="X30" s="163">
        <f>IF(SSize6=4.75,(Bin1Frac/100)*SUM(U$25:U30),0)</f>
        <v>0</v>
      </c>
      <c r="Y30" s="495">
        <f>('Combined Gradation'!P33-'Combined Gradation'!P34)</f>
        <v>0</v>
      </c>
      <c r="Z30" s="495"/>
      <c r="AA30" s="162">
        <f>IF(SSize6=2,(Bin1Frac/100)*SUM(Y$25:Y30),0)</f>
        <v>0</v>
      </c>
      <c r="AB30" s="163">
        <f>IF(SSize6=4.75,(Bin1Frac/100)*SUM(Y$25:Y30),0)</f>
        <v>0</v>
      </c>
      <c r="AC30" s="495">
        <f>('Combined Gradation'!R33-'Combined Gradation'!R34)</f>
        <v>0</v>
      </c>
      <c r="AD30" s="495"/>
      <c r="AE30" s="162">
        <f>IF(SSize6=2,(Bin1Frac/100)*SUM(AC$25:AC30),0)</f>
        <v>0</v>
      </c>
      <c r="AF30" s="163">
        <f>IF(SSize6=4.75,(Bin1Frac/100)*SUM(AC$25:AC30),0)</f>
        <v>0</v>
      </c>
      <c r="AG30" s="59"/>
      <c r="AH30" s="59"/>
      <c r="AI30" s="74"/>
      <c r="AJ30" s="74"/>
      <c r="AL30" s="68"/>
      <c r="AM30" s="67"/>
      <c r="AN30" s="67"/>
    </row>
    <row r="31" spans="1:40" ht="15" customHeight="1">
      <c r="A31" s="72"/>
      <c r="B31" s="55" t="str">
        <f ca="1">IF(ISERROR(INDEX(INDIRECT(Grade),6,IF(specyear="1993",2,3))),"",INDEX(INDIRECT(Grade),6,IF(specyear="1993",2,3)))</f>
        <v>No. 16</v>
      </c>
      <c r="C31" s="63" t="s">
        <v>83</v>
      </c>
      <c r="D31" s="55" t="str">
        <f ca="1">IF(ISERROR(INDEX(INDIRECT(Grade),7,IF(specyear="1993",2,3))),"Pan",INDEX(INDIRECT(Grade),7,IF(specyear="1993",2,3)))</f>
        <v>No. 30</v>
      </c>
      <c r="E31" s="495">
        <f>('Combined Gradation'!F34-'Combined Gradation'!F35)</f>
        <v>0.10399999999999998</v>
      </c>
      <c r="F31" s="495"/>
      <c r="G31" s="162">
        <f>IF(SSize7=2,(Bin1Frac/100)*SUM(E$25:E31),0)</f>
        <v>0</v>
      </c>
      <c r="H31" s="163">
        <f>IF(SSize7=4.75,(Bin1Frac/100)*SUM(E$25:E31),0)</f>
        <v>0</v>
      </c>
      <c r="I31" s="495">
        <f>('Combined Gradation'!H34-'Combined Gradation'!H35)</f>
        <v>7.285</v>
      </c>
      <c r="J31" s="495"/>
      <c r="K31" s="162">
        <f>IF(SSize7=2,(Bin1Frac/100)*SUM(I$25:I31),0)</f>
        <v>0</v>
      </c>
      <c r="L31" s="163">
        <f>IF(SSize7=4.75,(Bin1Frac/100)*SUM(I$25:I31),0)</f>
        <v>0</v>
      </c>
      <c r="M31" s="495">
        <f>('Combined Gradation'!J34-'Combined Gradation'!J35)</f>
        <v>0</v>
      </c>
      <c r="N31" s="495"/>
      <c r="O31" s="162">
        <f>IF(SSize7=2,(Bin1Frac/100)*SUM(M$25:M31),0)</f>
        <v>0</v>
      </c>
      <c r="P31" s="163">
        <f>IF(SSize7=4.75,(Bin1Frac/100)*SUM(M$25:M31),0)</f>
        <v>0</v>
      </c>
      <c r="Q31" s="495">
        <f>('Combined Gradation'!L34-'Combined Gradation'!L35)</f>
        <v>0</v>
      </c>
      <c r="R31" s="495"/>
      <c r="S31" s="162">
        <f>IF(SSize7=2,(Bin1Frac/100)*SUM(Q$25:Q31),0)</f>
        <v>0</v>
      </c>
      <c r="T31" s="163">
        <f>IF(SSize7=4.75,(Bin1Frac/100)*SUM(Q$25:Q31),0)</f>
        <v>0</v>
      </c>
      <c r="U31" s="495">
        <f>('Combined Gradation'!N34-'Combined Gradation'!N35)</f>
        <v>0</v>
      </c>
      <c r="V31" s="495"/>
      <c r="W31" s="162">
        <f>IF(SSize7=2,(Bin1Frac/100)*SUM(U$25:U31),0)</f>
        <v>0</v>
      </c>
      <c r="X31" s="163">
        <f>IF(SSize7=4.75,(Bin1Frac/100)*SUM(U$25:U31),0)</f>
        <v>0</v>
      </c>
      <c r="Y31" s="495">
        <f>('Combined Gradation'!P34-'Combined Gradation'!P35)</f>
        <v>0</v>
      </c>
      <c r="Z31" s="495"/>
      <c r="AA31" s="162">
        <f>IF(SSize7=2,(Bin1Frac/100)*SUM(Y$25:Y31),0)</f>
        <v>0</v>
      </c>
      <c r="AB31" s="163">
        <f>IF(SSize7=4.75,(Bin1Frac/100)*SUM(Y$25:Y31),0)</f>
        <v>0</v>
      </c>
      <c r="AC31" s="495">
        <f>('Combined Gradation'!R34-'Combined Gradation'!R35)</f>
        <v>0</v>
      </c>
      <c r="AD31" s="495"/>
      <c r="AE31" s="162">
        <f>IF(SSize7=2,(Bin1Frac/100)*SUM(AC$25:AC31),0)</f>
        <v>0</v>
      </c>
      <c r="AF31" s="163">
        <f>IF(SSize7=4.75,(Bin1Frac/100)*SUM(AC$25:AC31),0)</f>
        <v>0</v>
      </c>
      <c r="AG31" s="59"/>
      <c r="AH31" s="59"/>
      <c r="AI31" s="74"/>
      <c r="AJ31" s="74"/>
      <c r="AL31" s="68"/>
      <c r="AM31" s="67"/>
      <c r="AN31" s="67"/>
    </row>
    <row r="32" spans="1:40" ht="15" customHeight="1">
      <c r="A32" s="72"/>
      <c r="B32" s="55" t="str">
        <f ca="1">IF(ISERROR(INDEX(INDIRECT(Grade),7,IF(specyear="1993",2,3))),"",INDEX(INDIRECT(Grade),7,IF(specyear="1993",2,3)))</f>
        <v>No. 30</v>
      </c>
      <c r="C32" s="63" t="s">
        <v>83</v>
      </c>
      <c r="D32" s="55" t="str">
        <f ca="1">IF(ISERROR(INDEX(INDIRECT(Grade),8,IF(specyear="1993",2,3))),"Pan",INDEX(INDIRECT(Grade),8,IF(specyear="1993",2,3)))</f>
        <v>No. 50</v>
      </c>
      <c r="E32" s="495">
        <f>('Combined Gradation'!F35-'Combined Gradation'!F36)</f>
        <v>0</v>
      </c>
      <c r="F32" s="495"/>
      <c r="G32" s="162">
        <f>IF(SSize8=2,(Bin1Frac/100)*SUM(E$25:E32),0)</f>
        <v>0</v>
      </c>
      <c r="H32" s="163">
        <f>IF(SSize8=4.75,(Bin1Frac/100)*SUM(E$25:E32),0)</f>
        <v>0</v>
      </c>
      <c r="I32" s="495">
        <f>('Combined Gradation'!H35-'Combined Gradation'!H36)</f>
        <v>4.182999999999998</v>
      </c>
      <c r="J32" s="495"/>
      <c r="K32" s="162">
        <f>IF(SSize8=2,(Bin1Frac/100)*SUM(I$25:I32),0)</f>
        <v>0</v>
      </c>
      <c r="L32" s="163">
        <f>IF(SSize8=4.75,(Bin1Frac/100)*SUM(I$25:I32),0)</f>
        <v>0</v>
      </c>
      <c r="M32" s="495">
        <f>('Combined Gradation'!J35-'Combined Gradation'!J36)</f>
        <v>0</v>
      </c>
      <c r="N32" s="495"/>
      <c r="O32" s="162">
        <f>IF(SSize8=2,(Bin1Frac/100)*SUM(M$25:M32),0)</f>
        <v>0</v>
      </c>
      <c r="P32" s="163">
        <f>IF(SSize8=4.75,(Bin1Frac/100)*SUM(M$25:M32),0)</f>
        <v>0</v>
      </c>
      <c r="Q32" s="495">
        <f>('Combined Gradation'!L35-'Combined Gradation'!L36)</f>
        <v>0</v>
      </c>
      <c r="R32" s="495"/>
      <c r="S32" s="162">
        <f>IF(SSize8=2,(Bin1Frac/100)*SUM(Q$25:Q32),0)</f>
        <v>0</v>
      </c>
      <c r="T32" s="163">
        <f>IF(SSize8=4.75,(Bin1Frac/100)*SUM(Q$25:Q32),0)</f>
        <v>0</v>
      </c>
      <c r="U32" s="495">
        <f>('Combined Gradation'!N35-'Combined Gradation'!N36)</f>
        <v>0</v>
      </c>
      <c r="V32" s="495"/>
      <c r="W32" s="162">
        <f>IF(SSize8=2,(Bin1Frac/100)*SUM(U$25:U32),0)</f>
        <v>0</v>
      </c>
      <c r="X32" s="163">
        <f>IF(SSize8=4.75,(Bin1Frac/100)*SUM(U$25:U32),0)</f>
        <v>0</v>
      </c>
      <c r="Y32" s="495">
        <f>('Combined Gradation'!P35-'Combined Gradation'!P36)</f>
        <v>0</v>
      </c>
      <c r="Z32" s="495"/>
      <c r="AA32" s="162">
        <f>IF(SSize8=2,(Bin1Frac/100)*SUM(Y$25:Y32),0)</f>
        <v>0</v>
      </c>
      <c r="AB32" s="163">
        <f>IF(SSize8=4.75,(Bin1Frac/100)*SUM(Y$25:Y32),0)</f>
        <v>0</v>
      </c>
      <c r="AC32" s="495">
        <f>('Combined Gradation'!R35-'Combined Gradation'!R36)</f>
        <v>0</v>
      </c>
      <c r="AD32" s="495"/>
      <c r="AE32" s="162">
        <f>IF(SSize8=2,(Bin1Frac/100)*SUM(AC$25:AC32),0)</f>
        <v>0</v>
      </c>
      <c r="AF32" s="163">
        <f>IF(SSize8=4.75,(Bin1Frac/100)*SUM(AC$25:AC32),0)</f>
        <v>0</v>
      </c>
      <c r="AG32" s="59"/>
      <c r="AH32" s="59"/>
      <c r="AI32" s="74"/>
      <c r="AJ32" s="74"/>
      <c r="AL32" s="68"/>
      <c r="AM32" s="67"/>
      <c r="AN32" s="67"/>
    </row>
    <row r="33" spans="1:40" ht="15" customHeight="1">
      <c r="A33" s="72"/>
      <c r="B33" s="55" t="str">
        <f ca="1">IF(ISERROR(INDEX(INDIRECT(Grade),8,IF(specyear="1993",2,3))),"",INDEX(INDIRECT(Grade),8,IF(specyear="1993",2,3)))</f>
        <v>No. 50</v>
      </c>
      <c r="C33" s="63" t="s">
        <v>83</v>
      </c>
      <c r="D33" s="55" t="str">
        <f ca="1">IF(ISERROR(INDEX(INDIRECT(Grade),9,IF(specyear="1993",2,3))),"Pan",INDEX(INDIRECT(Grade),9,IF(specyear="1993",2,3)))</f>
        <v>No. 200</v>
      </c>
      <c r="E33" s="491">
        <f>('Combined Gradation'!F36-'Combined Gradation'!F37)</f>
        <v>0.05199999999999999</v>
      </c>
      <c r="F33" s="492"/>
      <c r="G33" s="162">
        <f>IF(SSize9=2,(Bin1Frac/100)*SUM(E$25:E33),0)</f>
        <v>0</v>
      </c>
      <c r="H33" s="163">
        <f>IF(SSize9=4.75,(Bin1Frac/100)*SUM(E$25:E33),0)</f>
        <v>0</v>
      </c>
      <c r="I33" s="491">
        <f>('Combined Gradation'!H36-'Combined Gradation'!H37)</f>
        <v>8.553999999999998</v>
      </c>
      <c r="J33" s="492"/>
      <c r="K33" s="162">
        <f>IF(SSize9=2,(Bin1Frac/100)*SUM(I$25:I33),0)</f>
        <v>0</v>
      </c>
      <c r="L33" s="163">
        <f>IF(SSize9=4.75,(Bin1Frac/100)*SUM(I$25:I33),0)</f>
        <v>0</v>
      </c>
      <c r="M33" s="491">
        <f>('Combined Gradation'!J36-'Combined Gradation'!J37)</f>
        <v>0</v>
      </c>
      <c r="N33" s="492"/>
      <c r="O33" s="162">
        <f>IF(SSize9=2,(Bin1Frac/100)*SUM(M$25:M33),0)</f>
        <v>0</v>
      </c>
      <c r="P33" s="163">
        <f>IF(SSize9=4.75,(Bin1Frac/100)*SUM(M$25:M33),0)</f>
        <v>0</v>
      </c>
      <c r="Q33" s="491">
        <f>('Combined Gradation'!L36-'Combined Gradation'!L37)</f>
        <v>0</v>
      </c>
      <c r="R33" s="492"/>
      <c r="S33" s="162">
        <f>IF(SSize9=2,(Bin1Frac/100)*SUM(Q$25:Q33),0)</f>
        <v>0</v>
      </c>
      <c r="T33" s="163">
        <f>IF(SSize9=4.75,(Bin1Frac/100)*SUM(Q$25:Q33),0)</f>
        <v>0</v>
      </c>
      <c r="U33" s="491">
        <f>('Combined Gradation'!N36-'Combined Gradation'!N37)</f>
        <v>0</v>
      </c>
      <c r="V33" s="492"/>
      <c r="W33" s="162">
        <f>IF(SSize9=2,(Bin1Frac/100)*SUM(U$25:U33),0)</f>
        <v>0</v>
      </c>
      <c r="X33" s="163">
        <f>IF(SSize9=4.75,(Bin1Frac/100)*SUM(U$25:U33),0)</f>
        <v>0</v>
      </c>
      <c r="Y33" s="491">
        <f>('Combined Gradation'!P36-'Combined Gradation'!P37)</f>
        <v>0</v>
      </c>
      <c r="Z33" s="492"/>
      <c r="AA33" s="162">
        <f>IF(SSize9=2,(Bin1Frac/100)*SUM(Y$25:Y33),0)</f>
        <v>0</v>
      </c>
      <c r="AB33" s="163">
        <f>IF(SSize9=4.75,(Bin1Frac/100)*SUM(Y$25:Y33),0)</f>
        <v>0</v>
      </c>
      <c r="AC33" s="491">
        <f>('Combined Gradation'!R36-'Combined Gradation'!R37)</f>
        <v>0</v>
      </c>
      <c r="AD33" s="492"/>
      <c r="AE33" s="162">
        <f>IF(SSize9=2,(Bin1Frac/100)*SUM(AC$25:AC33),0)</f>
        <v>0</v>
      </c>
      <c r="AF33" s="163">
        <f>IF(SSize9=4.75,(Bin1Frac/100)*SUM(AC$25:AC33),0)</f>
        <v>0</v>
      </c>
      <c r="AG33" s="59"/>
      <c r="AH33" s="59"/>
      <c r="AI33" s="74"/>
      <c r="AJ33" s="74"/>
      <c r="AL33" s="68"/>
      <c r="AM33" s="67"/>
      <c r="AN33" s="67"/>
    </row>
    <row r="34" spans="1:40" ht="15" customHeight="1">
      <c r="A34" s="72"/>
      <c r="B34" s="55" t="str">
        <f ca="1">IF(ISERROR(INDEX(INDIRECT(Grade),9,IF(specyear="1993",2,3))),"",INDEX(INDIRECT(Grade),9,IF(specyear="1993",2,3)))</f>
        <v>No. 200</v>
      </c>
      <c r="C34" s="63" t="s">
        <v>83</v>
      </c>
      <c r="D34" s="55" t="s">
        <v>166</v>
      </c>
      <c r="E34" s="491">
        <f>('Combined Gradation'!F37-'Combined Gradation'!F38)</f>
        <v>0.20800000000000002</v>
      </c>
      <c r="F34" s="492"/>
      <c r="G34" s="174"/>
      <c r="H34" s="175"/>
      <c r="I34" s="491">
        <f>('Combined Gradation'!H37-'Combined Gradation'!H38)</f>
        <v>5.733999999999999</v>
      </c>
      <c r="J34" s="492"/>
      <c r="K34" s="174"/>
      <c r="L34" s="175"/>
      <c r="M34" s="491">
        <f>('Combined Gradation'!J37-'Combined Gradation'!J38)</f>
        <v>1</v>
      </c>
      <c r="N34" s="492"/>
      <c r="O34" s="174"/>
      <c r="P34" s="175"/>
      <c r="Q34" s="491">
        <f>('Combined Gradation'!L37-'Combined Gradation'!L38)</f>
        <v>0</v>
      </c>
      <c r="R34" s="492"/>
      <c r="S34" s="174"/>
      <c r="T34" s="175"/>
      <c r="U34" s="491">
        <f>('Combined Gradation'!N37-'Combined Gradation'!N38)</f>
        <v>0</v>
      </c>
      <c r="V34" s="492"/>
      <c r="W34" s="174"/>
      <c r="X34" s="175"/>
      <c r="Y34" s="491">
        <f>('Combined Gradation'!P37-'Combined Gradation'!P38)</f>
        <v>0</v>
      </c>
      <c r="Z34" s="492"/>
      <c r="AA34" s="174"/>
      <c r="AB34" s="175"/>
      <c r="AC34" s="491">
        <f>('Combined Gradation'!R37-'Combined Gradation'!R38)</f>
        <v>0</v>
      </c>
      <c r="AD34" s="492"/>
      <c r="AE34" s="174"/>
      <c r="AF34" s="175"/>
      <c r="AG34" s="59"/>
      <c r="AH34" s="59"/>
      <c r="AI34" s="74"/>
      <c r="AJ34" s="74"/>
      <c r="AL34" s="68"/>
      <c r="AM34" s="67"/>
      <c r="AN34" s="67"/>
    </row>
    <row r="35" spans="2:32" ht="15" customHeight="1">
      <c r="B35" s="496" t="s">
        <v>184</v>
      </c>
      <c r="C35" s="497"/>
      <c r="D35" s="498"/>
      <c r="E35" s="508">
        <f>SUM(E25:E34)</f>
        <v>52</v>
      </c>
      <c r="F35" s="508"/>
      <c r="G35" s="165">
        <f>MAX(G25:G33)</f>
        <v>0</v>
      </c>
      <c r="H35" s="164">
        <f>MAX(H25:H33)</f>
        <v>10.599680000000001</v>
      </c>
      <c r="I35" s="509">
        <f>SUM(I25:I34)</f>
        <v>47.00000000000001</v>
      </c>
      <c r="J35" s="510"/>
      <c r="K35" s="165">
        <f>SUM(K25:K34)</f>
        <v>0</v>
      </c>
      <c r="L35" s="164"/>
      <c r="M35" s="508">
        <f>SUM(M25:M34)</f>
        <v>1</v>
      </c>
      <c r="N35" s="508"/>
      <c r="O35" s="165">
        <f>SUM(O25:O34)</f>
        <v>0</v>
      </c>
      <c r="P35" s="164"/>
      <c r="Q35" s="508">
        <f>SUM(Q25:Q34)</f>
        <v>0</v>
      </c>
      <c r="R35" s="508"/>
      <c r="S35" s="165">
        <f>SUM(S25:S34)</f>
        <v>0</v>
      </c>
      <c r="T35" s="164"/>
      <c r="U35" s="508">
        <f>SUM(U25:U34)</f>
        <v>0</v>
      </c>
      <c r="V35" s="508"/>
      <c r="W35" s="165">
        <f>SUM(W25:W34)</f>
        <v>0</v>
      </c>
      <c r="X35" s="164"/>
      <c r="Y35" s="508">
        <f>SUM(Y25:Y34)</f>
        <v>0</v>
      </c>
      <c r="Z35" s="508"/>
      <c r="AA35" s="165">
        <f>SUM(AA25:AA34)</f>
        <v>0</v>
      </c>
      <c r="AB35" s="164"/>
      <c r="AC35" s="508">
        <f>SUM(AC25:AC34)</f>
        <v>0</v>
      </c>
      <c r="AD35" s="508"/>
      <c r="AE35" s="165">
        <f>MAX(AE25:AE33)</f>
        <v>0</v>
      </c>
      <c r="AF35" s="164">
        <f>MAX(AF25:AF33)</f>
        <v>0</v>
      </c>
    </row>
    <row r="36" spans="2:30" ht="15" customHeight="1">
      <c r="B36" s="496" t="str">
        <f>"Percent of plus "&amp;IF(specyear="1995","4.75 mm","No. 4")&amp;":"</f>
        <v>Percent of plus No. 4:</v>
      </c>
      <c r="C36" s="497"/>
      <c r="D36" s="498"/>
      <c r="E36" s="508">
        <f ca="1">SUM(E25:OFFSET(E25,MATCH(IF(specyear="1995","4.75 mm","No. 4"),$D$25:$D$34,0)-1,0))</f>
        <v>20.384</v>
      </c>
      <c r="F36" s="508"/>
      <c r="G36" s="166"/>
      <c r="H36" s="166"/>
      <c r="I36" s="508">
        <f ca="1">SUM(I25:OFFSET(I25,MATCH(IF(specyear="1995","4.75 mm","No. 4"),$D$25:$D$34,0)-1,0))</f>
        <v>0.046999999999997044</v>
      </c>
      <c r="J36" s="508"/>
      <c r="K36" s="166"/>
      <c r="L36" s="166"/>
      <c r="M36" s="508">
        <f ca="1">SUM(M25:OFFSET(M25,MATCH(IF(specyear="1995","4.75 mm","No. 4"),$D$25:$D$34,0)-1,0))</f>
        <v>0</v>
      </c>
      <c r="N36" s="508"/>
      <c r="O36" s="166"/>
      <c r="P36" s="166"/>
      <c r="Q36" s="508">
        <f ca="1">SUM(Q25:OFFSET(Q25,MATCH(IF(specyear="1995","4.75 mm","No. 4"),$D$25:$D$34,0)-1,0))</f>
        <v>0</v>
      </c>
      <c r="R36" s="508"/>
      <c r="S36" s="166"/>
      <c r="T36" s="166"/>
      <c r="U36" s="508">
        <f ca="1">SUM(U25:OFFSET(U25,MATCH(IF(specyear="1995","4.75 mm","No. 4"),$D$25:$D$34,0)-1,0))</f>
        <v>0</v>
      </c>
      <c r="V36" s="508"/>
      <c r="W36" s="166"/>
      <c r="X36" s="166"/>
      <c r="Y36" s="508">
        <f ca="1">SUM(Y25:OFFSET(Y25,MATCH(IF(specyear="1995","4.75 mm","No. 4"),$D$25:$D$34,0)-1,0))</f>
        <v>0</v>
      </c>
      <c r="Z36" s="508"/>
      <c r="AA36" s="166"/>
      <c r="AB36" s="166"/>
      <c r="AC36" s="508">
        <f ca="1">SUM(AC25:OFFSET(AC25,MATCH(IF(specyear="1995","4.75 mm","No. 4"),$D$25:$D$34,0)-1,0))</f>
        <v>0</v>
      </c>
      <c r="AD36" s="508"/>
    </row>
    <row r="37" ht="3.75" customHeight="1"/>
    <row r="38" ht="4.5" customHeight="1"/>
    <row r="39" spans="2:14" ht="15" customHeight="1">
      <c r="B39" s="346" t="str">
        <f>"Percent of plus "&amp;IF(specyear="1995","4.75 mm","No. 4")&amp;" from class (A) Rock:"</f>
        <v>Percent of plus No. 4 from class (A) Rock:</v>
      </c>
      <c r="C39" s="403"/>
      <c r="D39" s="403"/>
      <c r="E39" s="403"/>
      <c r="F39" s="403"/>
      <c r="G39" s="403"/>
      <c r="H39" s="403"/>
      <c r="I39" s="347"/>
      <c r="J39" s="102">
        <f>IF(E21="Yes",E36,0)+IF(I21="Yes",I36,0)+IF(M21="Yes",M36,0)+IF(Q21="Yes",Q36,0)+IF(U21="Yes",U36,0)+IF(Y21="Yes",Y36,0)+IF(AC21="Yes",AC36,0)</f>
        <v>20.430999999999997</v>
      </c>
      <c r="N39" s="167"/>
    </row>
    <row r="40" spans="2:14" ht="15" customHeight="1">
      <c r="B40" s="346" t="str">
        <f>"Total Percent of plus "&amp;IF(specyear="1995","4.75 mm","No. 4")&amp;":"</f>
        <v>Total Percent of plus No. 4:</v>
      </c>
      <c r="C40" s="403"/>
      <c r="D40" s="403"/>
      <c r="E40" s="403"/>
      <c r="F40" s="403"/>
      <c r="G40" s="403"/>
      <c r="H40" s="403"/>
      <c r="I40" s="347"/>
      <c r="J40" s="102">
        <f>E36+I36+M36+Q36+U36+Y36+AC36</f>
        <v>20.430999999999997</v>
      </c>
      <c r="N40" s="167"/>
    </row>
    <row r="41" spans="2:14" ht="15" customHeight="1">
      <c r="B41" s="346" t="str">
        <f>"Percent of plus "&amp;IF(specyear="1995","4.75 mm","No. 4")&amp;" from class (A) Rock:"</f>
        <v>Percent of plus No. 4 from class (A) Rock:</v>
      </c>
      <c r="C41" s="403"/>
      <c r="D41" s="403"/>
      <c r="E41" s="403"/>
      <c r="F41" s="403"/>
      <c r="G41" s="403"/>
      <c r="H41" s="403"/>
      <c r="I41" s="347"/>
      <c r="J41" s="168">
        <f>IF(ISERROR(100*J39/J40),0,100*J39/J40)</f>
        <v>100</v>
      </c>
      <c r="N41" s="169"/>
    </row>
    <row r="42" ht="6" customHeight="1"/>
    <row r="43" spans="2:13" ht="15" customHeight="1">
      <c r="B43" s="16" t="s">
        <v>5</v>
      </c>
      <c r="C43" s="16"/>
      <c r="D43" s="16"/>
      <c r="E43" s="16"/>
      <c r="F43" s="1"/>
      <c r="G43" s="1"/>
      <c r="H43" s="1"/>
      <c r="I43" s="1"/>
      <c r="J43" s="1"/>
      <c r="K43" s="1"/>
      <c r="L43" s="84"/>
      <c r="M43" s="58"/>
    </row>
    <row r="44" spans="2:21" ht="15" customHeight="1">
      <c r="B44" s="309"/>
      <c r="C44" s="310"/>
      <c r="D44" s="310"/>
      <c r="E44" s="310"/>
      <c r="F44" s="310"/>
      <c r="G44" s="310"/>
      <c r="H44" s="310"/>
      <c r="I44" s="310"/>
      <c r="J44" s="310"/>
      <c r="K44" s="310"/>
      <c r="L44" s="310"/>
      <c r="M44" s="310"/>
      <c r="N44" s="310"/>
      <c r="O44" s="310"/>
      <c r="P44" s="310"/>
      <c r="Q44" s="310"/>
      <c r="R44" s="310"/>
      <c r="S44" s="310"/>
      <c r="T44" s="310"/>
      <c r="U44" s="311"/>
    </row>
    <row r="45" spans="2:21" ht="15" customHeight="1">
      <c r="B45" s="312"/>
      <c r="C45" s="313"/>
      <c r="D45" s="313"/>
      <c r="E45" s="313"/>
      <c r="F45" s="313"/>
      <c r="G45" s="313"/>
      <c r="H45" s="313"/>
      <c r="I45" s="313"/>
      <c r="J45" s="313"/>
      <c r="K45" s="313"/>
      <c r="L45" s="313"/>
      <c r="M45" s="313"/>
      <c r="N45" s="313"/>
      <c r="O45" s="313"/>
      <c r="P45" s="313"/>
      <c r="Q45" s="313"/>
      <c r="R45" s="313"/>
      <c r="S45" s="313"/>
      <c r="T45" s="313"/>
      <c r="U45" s="314"/>
    </row>
  </sheetData>
  <sheetProtection sheet="1" objects="1" scenarios="1"/>
  <mergeCells count="186">
    <mergeCell ref="AC18:AF18"/>
    <mergeCell ref="AC19:AF19"/>
    <mergeCell ref="AC20:AF20"/>
    <mergeCell ref="AC21:AF21"/>
    <mergeCell ref="O10:U10"/>
    <mergeCell ref="O11:U11"/>
    <mergeCell ref="O12:U12"/>
    <mergeCell ref="E13:U13"/>
    <mergeCell ref="J10:N10"/>
    <mergeCell ref="J11:N11"/>
    <mergeCell ref="J12:N12"/>
    <mergeCell ref="E10:I10"/>
    <mergeCell ref="E11:I11"/>
    <mergeCell ref="E12:I12"/>
    <mergeCell ref="O6:U6"/>
    <mergeCell ref="O7:U7"/>
    <mergeCell ref="O8:U8"/>
    <mergeCell ref="O9:U9"/>
    <mergeCell ref="N16:Q16"/>
    <mergeCell ref="O14:U14"/>
    <mergeCell ref="R16:U16"/>
    <mergeCell ref="F16:I16"/>
    <mergeCell ref="J14:N14"/>
    <mergeCell ref="E6:I6"/>
    <mergeCell ref="E7:I7"/>
    <mergeCell ref="E8:I8"/>
    <mergeCell ref="E9:I9"/>
    <mergeCell ref="J6:N6"/>
    <mergeCell ref="J7:N7"/>
    <mergeCell ref="J8:N8"/>
    <mergeCell ref="J9:N9"/>
    <mergeCell ref="AC36:AD36"/>
    <mergeCell ref="AC30:AD30"/>
    <mergeCell ref="AC31:AD31"/>
    <mergeCell ref="AC32:AD32"/>
    <mergeCell ref="AC35:AD35"/>
    <mergeCell ref="Y35:Z35"/>
    <mergeCell ref="Y36:Z36"/>
    <mergeCell ref="AC25:AD25"/>
    <mergeCell ref="AC26:AD26"/>
    <mergeCell ref="AC27:AD27"/>
    <mergeCell ref="AC28:AD28"/>
    <mergeCell ref="AC29:AD29"/>
    <mergeCell ref="Y29:Z29"/>
    <mergeCell ref="Y30:Z30"/>
    <mergeCell ref="Y32:Z32"/>
    <mergeCell ref="Y25:Z25"/>
    <mergeCell ref="Y26:Z26"/>
    <mergeCell ref="Y27:Z27"/>
    <mergeCell ref="Y28:Z28"/>
    <mergeCell ref="Q30:R30"/>
    <mergeCell ref="U30:V30"/>
    <mergeCell ref="U31:V31"/>
    <mergeCell ref="Y31:Z31"/>
    <mergeCell ref="Q31:R31"/>
    <mergeCell ref="Q26:R26"/>
    <mergeCell ref="Q27:R27"/>
    <mergeCell ref="Q28:R28"/>
    <mergeCell ref="Q29:R29"/>
    <mergeCell ref="U26:V26"/>
    <mergeCell ref="U27:V27"/>
    <mergeCell ref="U28:V28"/>
    <mergeCell ref="U29:V29"/>
    <mergeCell ref="Q36:R36"/>
    <mergeCell ref="U32:V32"/>
    <mergeCell ref="U35:V35"/>
    <mergeCell ref="U36:V36"/>
    <mergeCell ref="U33:V33"/>
    <mergeCell ref="U34:V34"/>
    <mergeCell ref="M31:N31"/>
    <mergeCell ref="M32:N32"/>
    <mergeCell ref="M35:N35"/>
    <mergeCell ref="Q32:R32"/>
    <mergeCell ref="Q35:R35"/>
    <mergeCell ref="Q33:R33"/>
    <mergeCell ref="Q34:R34"/>
    <mergeCell ref="I36:J36"/>
    <mergeCell ref="M25:N25"/>
    <mergeCell ref="M26:N26"/>
    <mergeCell ref="M27:N27"/>
    <mergeCell ref="M28:N28"/>
    <mergeCell ref="M29:N29"/>
    <mergeCell ref="M30:N30"/>
    <mergeCell ref="M36:N36"/>
    <mergeCell ref="M33:N33"/>
    <mergeCell ref="M34:N34"/>
    <mergeCell ref="E36:F36"/>
    <mergeCell ref="I25:J25"/>
    <mergeCell ref="I26:J26"/>
    <mergeCell ref="I27:J27"/>
    <mergeCell ref="I28:J28"/>
    <mergeCell ref="I29:J29"/>
    <mergeCell ref="I30:J30"/>
    <mergeCell ref="I31:J31"/>
    <mergeCell ref="I32:J32"/>
    <mergeCell ref="I35:J35"/>
    <mergeCell ref="E31:F31"/>
    <mergeCell ref="E32:F32"/>
    <mergeCell ref="E35:F35"/>
    <mergeCell ref="E34:F34"/>
    <mergeCell ref="E33:F33"/>
    <mergeCell ref="E25:F25"/>
    <mergeCell ref="U25:V25"/>
    <mergeCell ref="K23:K24"/>
    <mergeCell ref="O23:O24"/>
    <mergeCell ref="H23:H24"/>
    <mergeCell ref="L23:L24"/>
    <mergeCell ref="Q25:R25"/>
    <mergeCell ref="E23:F24"/>
    <mergeCell ref="G23:G24"/>
    <mergeCell ref="I23:J24"/>
    <mergeCell ref="AF23:AF24"/>
    <mergeCell ref="T23:T24"/>
    <mergeCell ref="W23:W24"/>
    <mergeCell ref="AA23:AA24"/>
    <mergeCell ref="AE23:AE24"/>
    <mergeCell ref="U23:V24"/>
    <mergeCell ref="Y23:Z24"/>
    <mergeCell ref="AC23:AD24"/>
    <mergeCell ref="Q18:T18"/>
    <mergeCell ref="Q19:T19"/>
    <mergeCell ref="Q20:T20"/>
    <mergeCell ref="Q21:T21"/>
    <mergeCell ref="Y19:AB19"/>
    <mergeCell ref="U18:X18"/>
    <mergeCell ref="U19:X19"/>
    <mergeCell ref="Y18:AB18"/>
    <mergeCell ref="B24:D24"/>
    <mergeCell ref="U21:X21"/>
    <mergeCell ref="B36:D36"/>
    <mergeCell ref="I18:L18"/>
    <mergeCell ref="M18:P18"/>
    <mergeCell ref="I21:L21"/>
    <mergeCell ref="M21:P21"/>
    <mergeCell ref="X23:X24"/>
    <mergeCell ref="E18:H18"/>
    <mergeCell ref="M23:N24"/>
    <mergeCell ref="Y21:AB21"/>
    <mergeCell ref="AB23:AB24"/>
    <mergeCell ref="S23:S24"/>
    <mergeCell ref="P23:P24"/>
    <mergeCell ref="Q23:R24"/>
    <mergeCell ref="E26:F26"/>
    <mergeCell ref="E27:F27"/>
    <mergeCell ref="E28:F28"/>
    <mergeCell ref="E29:F29"/>
    <mergeCell ref="B41:I41"/>
    <mergeCell ref="B39:I39"/>
    <mergeCell ref="B21:D21"/>
    <mergeCell ref="B40:I40"/>
    <mergeCell ref="E21:H21"/>
    <mergeCell ref="E30:F30"/>
    <mergeCell ref="I33:J33"/>
    <mergeCell ref="I34:J34"/>
    <mergeCell ref="B23:D23"/>
    <mergeCell ref="B35:D35"/>
    <mergeCell ref="B12:D12"/>
    <mergeCell ref="B20:D20"/>
    <mergeCell ref="E20:H20"/>
    <mergeCell ref="I20:L20"/>
    <mergeCell ref="E14:I14"/>
    <mergeCell ref="J16:M16"/>
    <mergeCell ref="AN18:AN20"/>
    <mergeCell ref="B19:D19"/>
    <mergeCell ref="E19:H19"/>
    <mergeCell ref="I19:L19"/>
    <mergeCell ref="M19:P19"/>
    <mergeCell ref="AL18:AL20"/>
    <mergeCell ref="AM18:AM20"/>
    <mergeCell ref="Y20:AB20"/>
    <mergeCell ref="M20:P20"/>
    <mergeCell ref="U20:X20"/>
    <mergeCell ref="B44:U45"/>
    <mergeCell ref="B6:D6"/>
    <mergeCell ref="B8:D8"/>
    <mergeCell ref="B7:D7"/>
    <mergeCell ref="B10:D10"/>
    <mergeCell ref="B9:D9"/>
    <mergeCell ref="B11:D11"/>
    <mergeCell ref="B16:D16"/>
    <mergeCell ref="B13:D13"/>
    <mergeCell ref="B14:D14"/>
    <mergeCell ref="Y33:Z33"/>
    <mergeCell ref="Y34:Z34"/>
    <mergeCell ref="AC33:AD33"/>
    <mergeCell ref="AC34:AD34"/>
  </mergeCells>
  <conditionalFormatting sqref="B32:F32 M32:N32 Y32:Z32 Q32:R32 U32:V32 I32:J32 AC32:AD32">
    <cfRule type="expression" priority="1" dxfId="0" stopIfTrue="1">
      <formula>AND(SSize7=0,SUM($H32,$L32,$P32,$S32,$X32,$AB32,$AF32)=0)</formula>
    </cfRule>
  </conditionalFormatting>
  <conditionalFormatting sqref="I31:J31 Q31:R31 B31:F31 U31:V31 Y31:Z31 M31:N31 AC31:AD31">
    <cfRule type="expression" priority="2" dxfId="0" stopIfTrue="1">
      <formula>AND(SSize6=0,SUM($H31,$L31,$P31,$S31,$X31,$AB31,$AF31)=0)</formula>
    </cfRule>
  </conditionalFormatting>
  <conditionalFormatting sqref="I30:J30 Q30:R30 B30:F30 U30:V30 Y30:Z30 M30:N30 AC30:AD30">
    <cfRule type="expression" priority="3" dxfId="0" stopIfTrue="1">
      <formula>AND(SSize5=0,SUM($H30,$L30,$P30,$S30,$X30,$AB30,$AF30)=0)</formula>
    </cfRule>
  </conditionalFormatting>
  <conditionalFormatting sqref="I29:J29 Q29:R29 B29:F29 U29:V29 Y29:Z29 M29:N29 AC29:AD29">
    <cfRule type="expression" priority="4" dxfId="0" stopIfTrue="1">
      <formula>AND(SSize4=0,SUM($H29,$L29,$P29,$S29,$X29,$AB29,$AF29)=0)</formula>
    </cfRule>
  </conditionalFormatting>
  <conditionalFormatting sqref="I28:J28 Q28:R28 B28:F28 U28:V28 Y28:Z28 M28:N28 AC28:AD28">
    <cfRule type="expression" priority="5" dxfId="0" stopIfTrue="1">
      <formula>AND(SSize3=0,SUM($H28,$L28,$P28,$S28,$X28,$AB28,$AF28)=0)</formula>
    </cfRule>
  </conditionalFormatting>
  <conditionalFormatting sqref="I27:J27 Q27:R27 B27:F27 U27:V27 Y27:Z27 M27:N27 AC27:AD27">
    <cfRule type="expression" priority="6" dxfId="0" stopIfTrue="1">
      <formula>AND(SSize2=0,SUM($H27,$L27,$P27,$S27,$X27,$AB27,$AF27)=0)</formula>
    </cfRule>
  </conditionalFormatting>
  <conditionalFormatting sqref="I26:J26 Q26:R26 B26:F26 U26:V26 Y26:Z26 M26:N26 AC26:AD26">
    <cfRule type="expression" priority="7" dxfId="0" stopIfTrue="1">
      <formula>AND(SSize1=0,SUM($H26,$L26,$P26,$S26,$X26,$AB26,$AF26)=0)</formula>
    </cfRule>
  </conditionalFormatting>
  <conditionalFormatting sqref="M43">
    <cfRule type="expression" priority="8" dxfId="0" stopIfTrue="1">
      <formula>(SUM(SSize9,MixDes9,JMFDes9)=0)</formula>
    </cfRule>
  </conditionalFormatting>
  <conditionalFormatting sqref="AK25:AM34 AH25:AH34">
    <cfRule type="expression" priority="9" dxfId="0" stopIfTrue="1">
      <formula>(SUM(SSize1,MixDes1,JMFDes1)=0)</formula>
    </cfRule>
  </conditionalFormatting>
  <conditionalFormatting sqref="B34:F34 I34:J34 M34:N34 Q34:R34 U34:V34 Y34:Z34 AC34:AD34">
    <cfRule type="expression" priority="10" dxfId="0" stopIfTrue="1">
      <formula>SSize9=0</formula>
    </cfRule>
  </conditionalFormatting>
  <conditionalFormatting sqref="B33:F33 I33:J33 M33:N33 Q33:R33 U33:V33 Y33:Z33 AC33:AD33">
    <cfRule type="expression" priority="11" dxfId="0" stopIfTrue="1">
      <formula>SSize8=0</formula>
    </cfRule>
  </conditionalFormatting>
  <dataValidations count="2">
    <dataValidation type="list" allowBlank="1" showInputMessage="1" showErrorMessage="1" sqref="E21:Q21 U21 Y21 AC21">
      <formula1>"Yes,No"</formula1>
    </dataValidation>
    <dataValidation type="textLength" operator="lessThan" allowBlank="1" showInputMessage="1" showErrorMessage="1" errorTitle="Text Length" error="Please limit the text length to 200 characters." sqref="B44">
      <formula1>201</formula1>
    </dataValidation>
  </dataValidations>
  <printOptions/>
  <pageMargins left="0.31" right="0.38" top="0.35" bottom="0.39" header="0.22" footer="0.2"/>
  <pageSetup fitToHeight="1" fitToWidth="1" horizontalDpi="600" verticalDpi="600" orientation="landscape" scale="78" r:id="rId1"/>
  <colBreaks count="1" manualBreakCount="1">
    <brk id="32" max="65535" man="1"/>
  </colBreaks>
</worksheet>
</file>

<file path=xl/worksheets/sheet7.xml><?xml version="1.0" encoding="utf-8"?>
<worksheet xmlns="http://schemas.openxmlformats.org/spreadsheetml/2006/main" xmlns:r="http://schemas.openxmlformats.org/officeDocument/2006/relationships">
  <sheetPr codeName="Sheet3"/>
  <dimension ref="A2:L55"/>
  <sheetViews>
    <sheetView showGridLines="0" showRowColHeaders="0" showZeros="0" showOutlineSymbols="0" workbookViewId="0" topLeftCell="A1">
      <selection activeCell="H3" sqref="H3"/>
    </sheetView>
  </sheetViews>
  <sheetFormatPr defaultColWidth="9.140625" defaultRowHeight="12.75"/>
  <cols>
    <col min="1" max="1" width="3.421875" style="0" customWidth="1"/>
    <col min="14" max="16384" width="0" style="0" hidden="1" customWidth="1"/>
  </cols>
  <sheetData>
    <row r="2" ht="15.75">
      <c r="B2" s="49"/>
    </row>
    <row r="3" ht="15">
      <c r="B3" s="47" t="s">
        <v>59</v>
      </c>
    </row>
    <row r="4" spans="2:12" ht="15" customHeight="1">
      <c r="B4" s="520" t="s">
        <v>61</v>
      </c>
      <c r="C4" s="520"/>
      <c r="D4" s="520"/>
      <c r="E4" s="520"/>
      <c r="F4" s="520"/>
      <c r="G4" s="520"/>
      <c r="H4" s="520"/>
      <c r="I4" s="520"/>
      <c r="J4" s="520"/>
      <c r="K4" s="520"/>
      <c r="L4" s="520"/>
    </row>
    <row r="5" spans="2:12" ht="15" customHeight="1">
      <c r="B5" s="520"/>
      <c r="C5" s="520"/>
      <c r="D5" s="520"/>
      <c r="E5" s="520"/>
      <c r="F5" s="520"/>
      <c r="G5" s="520"/>
      <c r="H5" s="520"/>
      <c r="I5" s="520"/>
      <c r="J5" s="520"/>
      <c r="K5" s="520"/>
      <c r="L5" s="520"/>
    </row>
    <row r="6" spans="2:12" ht="15" customHeight="1">
      <c r="B6" s="520"/>
      <c r="C6" s="520"/>
      <c r="D6" s="520"/>
      <c r="E6" s="520"/>
      <c r="F6" s="520"/>
      <c r="G6" s="520"/>
      <c r="H6" s="520"/>
      <c r="I6" s="520"/>
      <c r="J6" s="520"/>
      <c r="K6" s="520"/>
      <c r="L6" s="520"/>
    </row>
    <row r="7" spans="2:12" ht="15" customHeight="1">
      <c r="B7" s="520"/>
      <c r="C7" s="520"/>
      <c r="D7" s="520"/>
      <c r="E7" s="520"/>
      <c r="F7" s="520"/>
      <c r="G7" s="520"/>
      <c r="H7" s="520"/>
      <c r="I7" s="520"/>
      <c r="J7" s="520"/>
      <c r="K7" s="520"/>
      <c r="L7" s="520"/>
    </row>
    <row r="8" ht="6" customHeight="1"/>
    <row r="9" spans="1:12" ht="26.25">
      <c r="A9" s="46" t="s">
        <v>58</v>
      </c>
      <c r="B9" s="521" t="s">
        <v>140</v>
      </c>
      <c r="C9" s="522"/>
      <c r="D9" s="522"/>
      <c r="E9" s="522"/>
      <c r="F9" s="522"/>
      <c r="G9" s="522"/>
      <c r="H9" s="522"/>
      <c r="I9" s="522"/>
      <c r="J9" s="522"/>
      <c r="K9" s="522"/>
      <c r="L9" s="522"/>
    </row>
    <row r="10" spans="2:12" ht="12.75">
      <c r="B10" s="522"/>
      <c r="C10" s="522"/>
      <c r="D10" s="522"/>
      <c r="E10" s="522"/>
      <c r="F10" s="522"/>
      <c r="G10" s="522"/>
      <c r="H10" s="522"/>
      <c r="I10" s="522"/>
      <c r="J10" s="522"/>
      <c r="K10" s="522"/>
      <c r="L10" s="522"/>
    </row>
    <row r="11" spans="2:12" ht="12.75">
      <c r="B11" s="522"/>
      <c r="C11" s="522"/>
      <c r="D11" s="522"/>
      <c r="E11" s="522"/>
      <c r="F11" s="522"/>
      <c r="G11" s="522"/>
      <c r="H11" s="522"/>
      <c r="I11" s="522"/>
      <c r="J11" s="522"/>
      <c r="K11" s="522"/>
      <c r="L11" s="522"/>
    </row>
    <row r="12" spans="2:12" ht="12.75">
      <c r="B12" s="522"/>
      <c r="C12" s="522"/>
      <c r="D12" s="522"/>
      <c r="E12" s="522"/>
      <c r="F12" s="522"/>
      <c r="G12" s="522"/>
      <c r="H12" s="522"/>
      <c r="I12" s="522"/>
      <c r="J12" s="522"/>
      <c r="K12" s="522"/>
      <c r="L12" s="522"/>
    </row>
    <row r="13" spans="2:12" ht="12.75">
      <c r="B13" s="50" t="s">
        <v>62</v>
      </c>
      <c r="C13" s="523" t="s">
        <v>137</v>
      </c>
      <c r="D13" s="524"/>
      <c r="E13" s="524"/>
      <c r="F13" s="524"/>
      <c r="G13" s="524"/>
      <c r="H13" s="524"/>
      <c r="I13" s="524"/>
      <c r="J13" s="524"/>
      <c r="K13" s="524"/>
      <c r="L13" s="524"/>
    </row>
    <row r="14" spans="3:12" ht="12.75">
      <c r="C14" s="524"/>
      <c r="D14" s="524"/>
      <c r="E14" s="524"/>
      <c r="F14" s="524"/>
      <c r="G14" s="524"/>
      <c r="H14" s="524"/>
      <c r="I14" s="524"/>
      <c r="J14" s="524"/>
      <c r="K14" s="524"/>
      <c r="L14" s="524"/>
    </row>
    <row r="15" spans="2:12" ht="12.75">
      <c r="B15" s="50" t="s">
        <v>62</v>
      </c>
      <c r="C15" s="523" t="s">
        <v>138</v>
      </c>
      <c r="D15" s="524"/>
      <c r="E15" s="524"/>
      <c r="F15" s="524"/>
      <c r="G15" s="524"/>
      <c r="H15" s="524"/>
      <c r="I15" s="524"/>
      <c r="J15" s="524"/>
      <c r="K15" s="524"/>
      <c r="L15" s="524"/>
    </row>
    <row r="16" spans="3:12" ht="12.75">
      <c r="C16" s="524"/>
      <c r="D16" s="524"/>
      <c r="E16" s="524"/>
      <c r="F16" s="524"/>
      <c r="G16" s="524"/>
      <c r="H16" s="524"/>
      <c r="I16" s="524"/>
      <c r="J16" s="524"/>
      <c r="K16" s="524"/>
      <c r="L16" s="524"/>
    </row>
    <row r="17" spans="3:12" ht="12.75">
      <c r="C17" s="524"/>
      <c r="D17" s="524"/>
      <c r="E17" s="524"/>
      <c r="F17" s="524"/>
      <c r="G17" s="524"/>
      <c r="H17" s="524"/>
      <c r="I17" s="524"/>
      <c r="J17" s="524"/>
      <c r="K17" s="524"/>
      <c r="L17" s="524"/>
    </row>
    <row r="18" spans="2:12" ht="12.75" customHeight="1">
      <c r="B18" s="50"/>
      <c r="C18" s="523"/>
      <c r="D18" s="523"/>
      <c r="E18" s="523"/>
      <c r="F18" s="523"/>
      <c r="G18" s="523"/>
      <c r="H18" s="523"/>
      <c r="I18" s="523"/>
      <c r="J18" s="523"/>
      <c r="K18" s="523"/>
      <c r="L18" s="523"/>
    </row>
    <row r="19" spans="3:12" ht="12.75">
      <c r="C19" s="523"/>
      <c r="D19" s="523"/>
      <c r="E19" s="523"/>
      <c r="F19" s="523"/>
      <c r="G19" s="523"/>
      <c r="H19" s="523"/>
      <c r="I19" s="523"/>
      <c r="J19" s="523"/>
      <c r="K19" s="523"/>
      <c r="L19" s="523"/>
    </row>
    <row r="20" spans="3:12" ht="12.75">
      <c r="C20" s="523"/>
      <c r="D20" s="523"/>
      <c r="E20" s="523"/>
      <c r="F20" s="523"/>
      <c r="G20" s="523"/>
      <c r="H20" s="523"/>
      <c r="I20" s="523"/>
      <c r="J20" s="523"/>
      <c r="K20" s="523"/>
      <c r="L20" s="523"/>
    </row>
    <row r="21" spans="3:12" ht="12.75">
      <c r="C21" s="523"/>
      <c r="D21" s="523"/>
      <c r="E21" s="523"/>
      <c r="F21" s="523"/>
      <c r="G21" s="523"/>
      <c r="H21" s="523"/>
      <c r="I21" s="523"/>
      <c r="J21" s="523"/>
      <c r="K21" s="523"/>
      <c r="L21" s="523"/>
    </row>
    <row r="22" spans="2:12" ht="12.75" customHeight="1">
      <c r="B22" s="50"/>
      <c r="C22" s="523"/>
      <c r="D22" s="523"/>
      <c r="E22" s="523"/>
      <c r="F22" s="523"/>
      <c r="G22" s="523"/>
      <c r="H22" s="523"/>
      <c r="I22" s="523"/>
      <c r="J22" s="523"/>
      <c r="K22" s="523"/>
      <c r="L22" s="523"/>
    </row>
    <row r="23" spans="3:12" ht="12.75">
      <c r="C23" s="523"/>
      <c r="D23" s="523"/>
      <c r="E23" s="523"/>
      <c r="F23" s="523"/>
      <c r="G23" s="523"/>
      <c r="H23" s="523"/>
      <c r="I23" s="523"/>
      <c r="J23" s="523"/>
      <c r="K23" s="523"/>
      <c r="L23" s="523"/>
    </row>
    <row r="24" spans="3:12" ht="12.75">
      <c r="C24" s="523"/>
      <c r="D24" s="523"/>
      <c r="E24" s="523"/>
      <c r="F24" s="523"/>
      <c r="G24" s="523"/>
      <c r="H24" s="523"/>
      <c r="I24" s="523"/>
      <c r="J24" s="523"/>
      <c r="K24" s="523"/>
      <c r="L24" s="523"/>
    </row>
    <row r="25" spans="3:12" ht="12.75">
      <c r="C25" s="523"/>
      <c r="D25" s="523"/>
      <c r="E25" s="523"/>
      <c r="F25" s="523"/>
      <c r="G25" s="523"/>
      <c r="H25" s="523"/>
      <c r="I25" s="523"/>
      <c r="J25" s="523"/>
      <c r="K25" s="523"/>
      <c r="L25" s="523"/>
    </row>
    <row r="26" spans="3:12" ht="6" customHeight="1">
      <c r="C26" s="51"/>
      <c r="D26" s="51"/>
      <c r="E26" s="51"/>
      <c r="F26" s="51"/>
      <c r="G26" s="51"/>
      <c r="H26" s="51"/>
      <c r="I26" s="51"/>
      <c r="J26" s="51"/>
      <c r="K26" s="51"/>
      <c r="L26" s="51"/>
    </row>
    <row r="27" spans="1:2" s="53" customFormat="1" ht="16.5" customHeight="1">
      <c r="A27" s="54" t="s">
        <v>58</v>
      </c>
      <c r="B27" s="52" t="s">
        <v>60</v>
      </c>
    </row>
    <row r="28" ht="6" customHeight="1"/>
    <row r="29" spans="1:12" ht="26.25" customHeight="1">
      <c r="A29" s="46" t="s">
        <v>58</v>
      </c>
      <c r="B29" s="525" t="s">
        <v>139</v>
      </c>
      <c r="C29" s="525"/>
      <c r="D29" s="525"/>
      <c r="E29" s="525"/>
      <c r="F29" s="525"/>
      <c r="G29" s="525"/>
      <c r="H29" s="525"/>
      <c r="I29" s="525"/>
      <c r="J29" s="525"/>
      <c r="K29" s="525"/>
      <c r="L29" s="525"/>
    </row>
    <row r="30" spans="2:12" ht="12.75" customHeight="1">
      <c r="B30" s="525"/>
      <c r="C30" s="525"/>
      <c r="D30" s="525"/>
      <c r="E30" s="525"/>
      <c r="F30" s="525"/>
      <c r="G30" s="525"/>
      <c r="H30" s="525"/>
      <c r="I30" s="525"/>
      <c r="J30" s="525"/>
      <c r="K30" s="525"/>
      <c r="L30" s="525"/>
    </row>
    <row r="31" spans="2:12" ht="12.75" customHeight="1">
      <c r="B31" s="525"/>
      <c r="C31" s="525"/>
      <c r="D31" s="525"/>
      <c r="E31" s="525"/>
      <c r="F31" s="525"/>
      <c r="G31" s="525"/>
      <c r="H31" s="525"/>
      <c r="I31" s="525"/>
      <c r="J31" s="525"/>
      <c r="K31" s="525"/>
      <c r="L31" s="525"/>
    </row>
    <row r="32" spans="2:12" ht="12.75" customHeight="1">
      <c r="B32" s="525"/>
      <c r="C32" s="525"/>
      <c r="D32" s="525"/>
      <c r="E32" s="525"/>
      <c r="F32" s="525"/>
      <c r="G32" s="525"/>
      <c r="H32" s="525"/>
      <c r="I32" s="525"/>
      <c r="J32" s="525"/>
      <c r="K32" s="525"/>
      <c r="L32" s="525"/>
    </row>
    <row r="33" spans="2:12" ht="12.75" customHeight="1">
      <c r="B33" s="525"/>
      <c r="C33" s="525"/>
      <c r="D33" s="525"/>
      <c r="E33" s="525"/>
      <c r="F33" s="525"/>
      <c r="G33" s="525"/>
      <c r="H33" s="525"/>
      <c r="I33" s="525"/>
      <c r="J33" s="525"/>
      <c r="K33" s="525"/>
      <c r="L33" s="525"/>
    </row>
    <row r="34" spans="2:12" ht="12.75" customHeight="1">
      <c r="B34" s="525"/>
      <c r="C34" s="525"/>
      <c r="D34" s="525"/>
      <c r="E34" s="525"/>
      <c r="F34" s="525"/>
      <c r="G34" s="525"/>
      <c r="H34" s="525"/>
      <c r="I34" s="525"/>
      <c r="J34" s="525"/>
      <c r="K34" s="525"/>
      <c r="L34" s="525"/>
    </row>
    <row r="35" spans="2:12" ht="12.75" customHeight="1">
      <c r="B35" s="525"/>
      <c r="C35" s="525"/>
      <c r="D35" s="525"/>
      <c r="E35" s="525"/>
      <c r="F35" s="525"/>
      <c r="G35" s="525"/>
      <c r="H35" s="525"/>
      <c r="I35" s="525"/>
      <c r="J35" s="525"/>
      <c r="K35" s="525"/>
      <c r="L35" s="525"/>
    </row>
    <row r="36" spans="2:12" ht="12.75" customHeight="1">
      <c r="B36" s="525"/>
      <c r="C36" s="525"/>
      <c r="D36" s="525"/>
      <c r="E36" s="525"/>
      <c r="F36" s="525"/>
      <c r="G36" s="525"/>
      <c r="H36" s="525"/>
      <c r="I36" s="525"/>
      <c r="J36" s="525"/>
      <c r="K36" s="525"/>
      <c r="L36" s="525"/>
    </row>
    <row r="37" spans="2:12" ht="12.75" customHeight="1">
      <c r="B37" s="525"/>
      <c r="C37" s="525"/>
      <c r="D37" s="525"/>
      <c r="E37" s="525"/>
      <c r="F37" s="525"/>
      <c r="G37" s="525"/>
      <c r="H37" s="525"/>
      <c r="I37" s="525"/>
      <c r="J37" s="525"/>
      <c r="K37" s="525"/>
      <c r="L37" s="525"/>
    </row>
    <row r="38" spans="2:12" ht="12.75" customHeight="1">
      <c r="B38" s="525"/>
      <c r="C38" s="525"/>
      <c r="D38" s="525"/>
      <c r="E38" s="525"/>
      <c r="F38" s="525"/>
      <c r="G38" s="525"/>
      <c r="H38" s="525"/>
      <c r="I38" s="525"/>
      <c r="J38" s="525"/>
      <c r="K38" s="525"/>
      <c r="L38" s="525"/>
    </row>
    <row r="39" spans="2:12" ht="12.75" customHeight="1">
      <c r="B39" s="525"/>
      <c r="C39" s="525"/>
      <c r="D39" s="525"/>
      <c r="E39" s="525"/>
      <c r="F39" s="525"/>
      <c r="G39" s="525"/>
      <c r="H39" s="525"/>
      <c r="I39" s="525"/>
      <c r="J39" s="525"/>
      <c r="K39" s="525"/>
      <c r="L39" s="525"/>
    </row>
    <row r="40" spans="2:12" ht="12.75" customHeight="1">
      <c r="B40" s="525"/>
      <c r="C40" s="525"/>
      <c r="D40" s="525"/>
      <c r="E40" s="525"/>
      <c r="F40" s="525"/>
      <c r="G40" s="525"/>
      <c r="H40" s="525"/>
      <c r="I40" s="525"/>
      <c r="J40" s="525"/>
      <c r="K40" s="525"/>
      <c r="L40" s="525"/>
    </row>
    <row r="41" ht="12.75">
      <c r="D41" s="50"/>
    </row>
    <row r="42" spans="1:12" ht="26.25" customHeight="1">
      <c r="A42" s="46"/>
      <c r="B42" s="522"/>
      <c r="C42" s="522"/>
      <c r="D42" s="522"/>
      <c r="E42" s="522"/>
      <c r="F42" s="522"/>
      <c r="G42" s="522"/>
      <c r="H42" s="522"/>
      <c r="I42" s="522"/>
      <c r="J42" s="522"/>
      <c r="K42" s="522"/>
      <c r="L42" s="522"/>
    </row>
    <row r="43" spans="2:12" ht="12.75" customHeight="1">
      <c r="B43" s="522"/>
      <c r="C43" s="522"/>
      <c r="D43" s="522"/>
      <c r="E43" s="522"/>
      <c r="F43" s="522"/>
      <c r="G43" s="522"/>
      <c r="H43" s="522"/>
      <c r="I43" s="522"/>
      <c r="J43" s="522"/>
      <c r="K43" s="522"/>
      <c r="L43" s="522"/>
    </row>
    <row r="44" spans="2:12" ht="12.75" customHeight="1">
      <c r="B44" s="522"/>
      <c r="C44" s="522"/>
      <c r="D44" s="522"/>
      <c r="E44" s="522"/>
      <c r="F44" s="522"/>
      <c r="G44" s="522"/>
      <c r="H44" s="522"/>
      <c r="I44" s="522"/>
      <c r="J44" s="522"/>
      <c r="K44" s="522"/>
      <c r="L44" s="522"/>
    </row>
    <row r="45" spans="2:12" ht="12.75" customHeight="1">
      <c r="B45" s="522"/>
      <c r="C45" s="522"/>
      <c r="D45" s="522"/>
      <c r="E45" s="522"/>
      <c r="F45" s="522"/>
      <c r="G45" s="522"/>
      <c r="H45" s="522"/>
      <c r="I45" s="522"/>
      <c r="J45" s="522"/>
      <c r="K45" s="522"/>
      <c r="L45" s="522"/>
    </row>
    <row r="46" spans="2:12" ht="12.75" customHeight="1">
      <c r="B46" s="522"/>
      <c r="C46" s="522"/>
      <c r="D46" s="522"/>
      <c r="E46" s="522"/>
      <c r="F46" s="522"/>
      <c r="G46" s="522"/>
      <c r="H46" s="522"/>
      <c r="I46" s="522"/>
      <c r="J46" s="522"/>
      <c r="K46" s="522"/>
      <c r="L46" s="522"/>
    </row>
    <row r="47" spans="2:12" ht="12.75" customHeight="1">
      <c r="B47" s="522"/>
      <c r="C47" s="522"/>
      <c r="D47" s="522"/>
      <c r="E47" s="522"/>
      <c r="F47" s="522"/>
      <c r="G47" s="522"/>
      <c r="H47" s="522"/>
      <c r="I47" s="522"/>
      <c r="J47" s="522"/>
      <c r="K47" s="522"/>
      <c r="L47" s="522"/>
    </row>
    <row r="48" spans="2:12" ht="12.75" customHeight="1">
      <c r="B48" s="522"/>
      <c r="C48" s="522"/>
      <c r="D48" s="522"/>
      <c r="E48" s="522"/>
      <c r="F48" s="522"/>
      <c r="G48" s="522"/>
      <c r="H48" s="522"/>
      <c r="I48" s="522"/>
      <c r="J48" s="522"/>
      <c r="K48" s="522"/>
      <c r="L48" s="522"/>
    </row>
    <row r="49" spans="2:12" ht="12.75" customHeight="1">
      <c r="B49" s="522"/>
      <c r="C49" s="522"/>
      <c r="D49" s="522"/>
      <c r="E49" s="522"/>
      <c r="F49" s="522"/>
      <c r="G49" s="522"/>
      <c r="H49" s="522"/>
      <c r="I49" s="522"/>
      <c r="J49" s="522"/>
      <c r="K49" s="522"/>
      <c r="L49" s="522"/>
    </row>
    <row r="50" spans="2:8" ht="15.75">
      <c r="B50" s="89"/>
      <c r="C50" s="43"/>
      <c r="D50" s="43"/>
      <c r="E50" s="44"/>
      <c r="F50" s="44"/>
      <c r="G50" s="44"/>
      <c r="H50" s="44"/>
    </row>
    <row r="51" spans="2:8" ht="15">
      <c r="B51" s="44"/>
      <c r="C51" s="43"/>
      <c r="D51" s="48"/>
      <c r="E51" s="44"/>
      <c r="F51" s="44"/>
      <c r="G51" s="44"/>
      <c r="H51" s="44"/>
    </row>
    <row r="52" spans="2:8" ht="15">
      <c r="B52" s="44"/>
      <c r="C52" s="43"/>
      <c r="D52" s="48"/>
      <c r="E52" s="44"/>
      <c r="F52" s="44"/>
      <c r="G52" s="44"/>
      <c r="H52" s="44"/>
    </row>
    <row r="53" spans="2:8" ht="15">
      <c r="B53" s="44"/>
      <c r="C53" s="43"/>
      <c r="D53" s="48"/>
      <c r="E53" s="44"/>
      <c r="F53" s="44"/>
      <c r="G53" s="44"/>
      <c r="H53" s="44"/>
    </row>
    <row r="54" spans="2:8" ht="15">
      <c r="B54" s="44"/>
      <c r="C54" s="43"/>
      <c r="D54" s="48"/>
      <c r="E54" s="44"/>
      <c r="F54" s="44"/>
      <c r="G54" s="44"/>
      <c r="H54" s="44"/>
    </row>
    <row r="55" spans="2:8" ht="15">
      <c r="B55" s="43"/>
      <c r="C55" s="43"/>
      <c r="D55" s="43"/>
      <c r="E55" s="45"/>
      <c r="F55" s="45"/>
      <c r="G55" s="45"/>
      <c r="H55" s="45"/>
    </row>
  </sheetData>
  <sheetProtection sheet="1" objects="1" scenarios="1"/>
  <mergeCells count="8">
    <mergeCell ref="C22:L25"/>
    <mergeCell ref="C18:L21"/>
    <mergeCell ref="B42:L49"/>
    <mergeCell ref="B29:L40"/>
    <mergeCell ref="B4:L7"/>
    <mergeCell ref="B9:L12"/>
    <mergeCell ref="C13:L14"/>
    <mergeCell ref="C15:L17"/>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L46"/>
  <sheetViews>
    <sheetView workbookViewId="0" topLeftCell="A1">
      <selection activeCell="U39" sqref="U39"/>
    </sheetView>
  </sheetViews>
  <sheetFormatPr defaultColWidth="9.140625" defaultRowHeight="12.75"/>
  <sheetData>
    <row r="1" spans="1:11" ht="12.75">
      <c r="A1" t="s">
        <v>302</v>
      </c>
      <c r="B1" t="s">
        <v>303</v>
      </c>
      <c r="C1" t="s">
        <v>305</v>
      </c>
      <c r="K1" t="s">
        <v>304</v>
      </c>
    </row>
    <row r="2" spans="1:11" ht="12.75">
      <c r="A2" s="219">
        <f>+Field211</f>
        <v>6</v>
      </c>
      <c r="B2" s="219">
        <f>+Field216</f>
        <v>1.5</v>
      </c>
      <c r="C2">
        <f>+Field215</f>
        <v>15000</v>
      </c>
      <c r="D2" s="219">
        <f>A2</f>
        <v>6</v>
      </c>
      <c r="E2">
        <v>12.5</v>
      </c>
      <c r="F2">
        <v>750</v>
      </c>
      <c r="G2">
        <v>96</v>
      </c>
      <c r="H2">
        <v>16</v>
      </c>
      <c r="I2">
        <v>15000</v>
      </c>
      <c r="J2" s="219">
        <f>A2</f>
        <v>6</v>
      </c>
      <c r="K2">
        <f>+Field214</f>
        <v>52</v>
      </c>
    </row>
    <row r="3" spans="1:11" ht="12.75">
      <c r="A3">
        <f>+Field218</f>
        <v>6.5</v>
      </c>
      <c r="B3">
        <f>+Field223</f>
        <v>2.7</v>
      </c>
      <c r="C3">
        <f>+Field222</f>
        <v>15000</v>
      </c>
      <c r="D3" s="219">
        <v>6.5</v>
      </c>
      <c r="E3">
        <v>12.5</v>
      </c>
      <c r="F3">
        <v>750</v>
      </c>
      <c r="G3">
        <v>96</v>
      </c>
      <c r="H3">
        <v>16</v>
      </c>
      <c r="I3">
        <v>15000</v>
      </c>
      <c r="J3" s="219">
        <v>7</v>
      </c>
      <c r="K3">
        <v>588</v>
      </c>
    </row>
    <row r="4" spans="1:11" ht="12.75">
      <c r="A4">
        <f>+Field225</f>
        <v>7</v>
      </c>
      <c r="B4">
        <f>+Field230</f>
        <v>6.1</v>
      </c>
      <c r="C4">
        <f>+Field229</f>
        <v>15000</v>
      </c>
      <c r="D4" s="219">
        <f>A4</f>
        <v>7</v>
      </c>
      <c r="E4">
        <v>12.5</v>
      </c>
      <c r="F4">
        <v>750</v>
      </c>
      <c r="G4">
        <v>96</v>
      </c>
      <c r="H4">
        <v>16</v>
      </c>
      <c r="I4">
        <v>15000</v>
      </c>
      <c r="J4" s="219">
        <v>7.5</v>
      </c>
      <c r="K4">
        <v>1553</v>
      </c>
    </row>
    <row r="5" spans="1:9" ht="12.75">
      <c r="A5">
        <f>+Field232</f>
        <v>7.5</v>
      </c>
      <c r="B5">
        <v>12.5</v>
      </c>
      <c r="C5">
        <v>9400</v>
      </c>
      <c r="D5" s="219">
        <f>A5</f>
        <v>7.5</v>
      </c>
      <c r="E5">
        <v>12.5</v>
      </c>
      <c r="F5">
        <v>750</v>
      </c>
      <c r="G5">
        <v>96</v>
      </c>
      <c r="H5">
        <v>16</v>
      </c>
      <c r="I5">
        <v>15000</v>
      </c>
    </row>
    <row r="24" spans="1:2" ht="12.75">
      <c r="A24" s="50" t="s">
        <v>143</v>
      </c>
      <c r="B24" s="50" t="s">
        <v>144</v>
      </c>
    </row>
    <row r="25" spans="1:2" ht="12.75">
      <c r="A25" s="219">
        <f>+Summary!L23</f>
        <v>0</v>
      </c>
      <c r="B25" s="220">
        <f>+Summary!U23</f>
        <v>100</v>
      </c>
    </row>
    <row r="26" spans="1:2" ht="12.75">
      <c r="A26" s="219">
        <f>+Summary!L24</f>
        <v>0</v>
      </c>
      <c r="B26" s="220">
        <f>+Summary!U24</f>
        <v>100</v>
      </c>
    </row>
    <row r="27" spans="1:2" ht="12.75">
      <c r="A27" s="219">
        <f>+Summary!L25</f>
        <v>0</v>
      </c>
      <c r="B27" s="220">
        <f>+Summary!U25</f>
        <v>100</v>
      </c>
    </row>
    <row r="28" spans="1:2" ht="12.75">
      <c r="A28" s="219">
        <f>+Summary!L26</f>
        <v>0</v>
      </c>
      <c r="B28" s="220">
        <f>+Summary!U26</f>
        <v>100</v>
      </c>
    </row>
    <row r="29" spans="1:2" ht="12.75">
      <c r="A29" s="219">
        <f>+Summary!L27</f>
      </c>
      <c r="B29" s="220">
        <f>+Summary!U27</f>
        <v>0</v>
      </c>
    </row>
    <row r="41" spans="11:12" ht="12.75">
      <c r="K41" t="s">
        <v>145</v>
      </c>
      <c r="L41" t="s">
        <v>306</v>
      </c>
    </row>
    <row r="42" spans="11:12" ht="12.75">
      <c r="K42">
        <f>+Field212</f>
        <v>0</v>
      </c>
      <c r="L42">
        <f>+Summary!J23</f>
        <v>2.3231538666115346</v>
      </c>
    </row>
    <row r="43" spans="11:12" ht="12.75">
      <c r="K43">
        <f>+Field219</f>
        <v>0</v>
      </c>
      <c r="L43">
        <f>+Summary!J24</f>
        <v>2.3077424532846975</v>
      </c>
    </row>
    <row r="44" spans="11:12" ht="12.75">
      <c r="K44">
        <f>+Field226</f>
        <v>0</v>
      </c>
      <c r="L44">
        <f>+Summary!J25</f>
        <v>2.2925341659195504</v>
      </c>
    </row>
    <row r="45" spans="11:12" ht="12.75">
      <c r="K45">
        <f>+Field233</f>
        <v>0</v>
      </c>
      <c r="L45">
        <f>+Summary!J26</f>
        <v>2.2775250149377397</v>
      </c>
    </row>
    <row r="46" spans="11:12" ht="12.75">
      <c r="K46">
        <f>+Field240</f>
        <v>0</v>
      </c>
      <c r="L46">
        <f>+Summary!J27</f>
        <v>0</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41"/>
  <dimension ref="B2:P280"/>
  <sheetViews>
    <sheetView workbookViewId="0" topLeftCell="A1">
      <selection activeCell="M34" sqref="M34"/>
    </sheetView>
  </sheetViews>
  <sheetFormatPr defaultColWidth="9.140625" defaultRowHeight="12.75"/>
  <cols>
    <col min="1" max="1" width="1.421875" style="21" customWidth="1"/>
    <col min="2" max="2" width="10.57421875" style="21" customWidth="1"/>
    <col min="3" max="3" width="12.00390625" style="21" customWidth="1"/>
    <col min="4" max="4" width="11.421875" style="21" customWidth="1"/>
    <col min="5" max="5" width="13.00390625" style="21" customWidth="1"/>
    <col min="6" max="8" width="9.140625" style="21" customWidth="1"/>
    <col min="9" max="9" width="8.7109375" style="21" customWidth="1"/>
    <col min="10" max="10" width="10.8515625" style="21" customWidth="1"/>
    <col min="11" max="13" width="9.140625" style="21" customWidth="1"/>
    <col min="14" max="16" width="11.00390625" style="21" customWidth="1"/>
    <col min="17" max="16384" width="9.140625" style="21" customWidth="1"/>
  </cols>
  <sheetData>
    <row r="2" spans="3:9" ht="15" customHeight="1">
      <c r="C2" s="22"/>
      <c r="D2" s="22"/>
      <c r="E2" s="22"/>
      <c r="F2" s="547" t="s">
        <v>13</v>
      </c>
      <c r="G2" s="548"/>
      <c r="H2" s="23" t="s">
        <v>14</v>
      </c>
      <c r="I2" s="22"/>
    </row>
    <row r="3" spans="2:16" s="24" customFormat="1" ht="38.25" customHeight="1">
      <c r="B3" s="25" t="s">
        <v>15</v>
      </c>
      <c r="C3" s="26" t="s">
        <v>16</v>
      </c>
      <c r="D3" s="27" t="s">
        <v>17</v>
      </c>
      <c r="E3" s="25" t="s">
        <v>18</v>
      </c>
      <c r="F3" s="25" t="s">
        <v>19</v>
      </c>
      <c r="G3" s="25" t="s">
        <v>20</v>
      </c>
      <c r="H3" s="25" t="s">
        <v>19</v>
      </c>
      <c r="J3" s="28" t="s">
        <v>21</v>
      </c>
      <c r="K3" s="28"/>
      <c r="L3" s="28"/>
      <c r="M3" s="28"/>
      <c r="N3" s="145" t="s">
        <v>65</v>
      </c>
      <c r="O3" s="145" t="s">
        <v>141</v>
      </c>
      <c r="P3" s="145" t="s">
        <v>142</v>
      </c>
    </row>
    <row r="4" spans="2:16" ht="12.75" customHeight="1">
      <c r="B4" s="546" t="s">
        <v>22</v>
      </c>
      <c r="C4" s="29" t="s">
        <v>23</v>
      </c>
      <c r="D4" s="30" t="s">
        <v>24</v>
      </c>
      <c r="E4" s="31">
        <v>37.5</v>
      </c>
      <c r="F4" s="32">
        <v>98</v>
      </c>
      <c r="G4" s="32">
        <v>100</v>
      </c>
      <c r="H4" s="541">
        <v>11</v>
      </c>
      <c r="J4" s="33" t="str">
        <f>sieve1</f>
        <v>3/4"</v>
      </c>
      <c r="K4" s="33">
        <f>IF(SSize1=0,"",SSize1)</f>
        <v>19</v>
      </c>
      <c r="L4" s="33">
        <f>IF(ISERROR(K4^0.45),"",K4^0.45)</f>
        <v>3.762176102386298</v>
      </c>
      <c r="M4" s="33">
        <f>100</f>
        <v>100</v>
      </c>
      <c r="N4" s="33">
        <f>IF(J4="","",'Combined Gradation'!S29)</f>
        <v>100</v>
      </c>
      <c r="O4" s="33">
        <f>'Combined Gradation'!T29</f>
        <v>100</v>
      </c>
      <c r="P4" s="33">
        <f>'Combined Gradation'!U29</f>
        <v>100</v>
      </c>
    </row>
    <row r="5" spans="2:16" ht="12.75">
      <c r="B5" s="546"/>
      <c r="C5" s="29" t="s">
        <v>25</v>
      </c>
      <c r="D5" s="30" t="s">
        <v>26</v>
      </c>
      <c r="E5" s="31">
        <v>31.5</v>
      </c>
      <c r="F5" s="32">
        <v>95</v>
      </c>
      <c r="G5" s="32">
        <v>100</v>
      </c>
      <c r="H5" s="542"/>
      <c r="J5" s="33" t="str">
        <f>sieve2</f>
        <v>1/2"</v>
      </c>
      <c r="K5" s="33">
        <f>IF(SSize2=0,"",SSize2)</f>
        <v>12.5</v>
      </c>
      <c r="L5" s="33">
        <f aca="true" t="shared" si="0" ref="L5:L12">IF(ISERROR(K5^0.45),"",K5^0.45)</f>
        <v>3.116086507375345</v>
      </c>
      <c r="M5" s="33">
        <f aca="true" t="shared" si="1" ref="M5:M12">IF(ISERROR((100*($L5/$L$4))),"",(100*($L5/$L$4)))</f>
        <v>82.82670514543041</v>
      </c>
      <c r="N5" s="33">
        <f>IF(J5="","",'Combined Gradation'!S30)</f>
        <v>100</v>
      </c>
      <c r="O5" s="33">
        <f>'Combined Gradation'!T30</f>
        <v>100</v>
      </c>
      <c r="P5" s="33">
        <f>'Combined Gradation'!U30</f>
        <v>100</v>
      </c>
    </row>
    <row r="6" spans="2:16" ht="12.75">
      <c r="B6" s="546"/>
      <c r="C6" s="29" t="s">
        <v>27</v>
      </c>
      <c r="D6" s="30" t="s">
        <v>28</v>
      </c>
      <c r="E6" s="31">
        <v>22.4</v>
      </c>
      <c r="F6" s="32">
        <v>70</v>
      </c>
      <c r="G6" s="32">
        <v>90</v>
      </c>
      <c r="H6" s="542"/>
      <c r="J6" s="33" t="str">
        <f>sieve3</f>
        <v>3/8"</v>
      </c>
      <c r="K6" s="33">
        <f>IF(SSize3=0,"",SSize3)</f>
        <v>9.5</v>
      </c>
      <c r="L6" s="33">
        <f t="shared" si="0"/>
        <v>2.754074108566122</v>
      </c>
      <c r="M6" s="33">
        <f t="shared" si="1"/>
        <v>73.20428479728129</v>
      </c>
      <c r="N6" s="33">
        <f>IF(J6="","",'Combined Gradation'!S31)</f>
        <v>100</v>
      </c>
      <c r="O6" s="33">
        <f>'Combined Gradation'!T31</f>
        <v>98</v>
      </c>
      <c r="P6" s="33">
        <f>'Combined Gradation'!U31</f>
        <v>100</v>
      </c>
    </row>
    <row r="7" spans="2:16" ht="12.75">
      <c r="B7" s="546"/>
      <c r="C7" s="29" t="s">
        <v>29</v>
      </c>
      <c r="D7" s="30" t="s">
        <v>30</v>
      </c>
      <c r="E7" s="31">
        <v>12.5</v>
      </c>
      <c r="F7" s="32">
        <v>50</v>
      </c>
      <c r="G7" s="32">
        <v>70</v>
      </c>
      <c r="H7" s="542"/>
      <c r="J7" s="33" t="str">
        <f>sieve4</f>
        <v>No. 4</v>
      </c>
      <c r="K7" s="33">
        <f>IF(SSize4=0,"",SSize4)</f>
        <v>4.75</v>
      </c>
      <c r="L7" s="33">
        <f t="shared" si="0"/>
        <v>2.016100253962929</v>
      </c>
      <c r="M7" s="33">
        <f t="shared" si="1"/>
        <v>53.588673126814655</v>
      </c>
      <c r="N7" s="33">
        <f>IF(J7="","",'Combined Gradation'!S32)</f>
        <v>79.569</v>
      </c>
      <c r="O7" s="33">
        <f>'Combined Gradation'!T32</f>
        <v>70</v>
      </c>
      <c r="P7" s="33">
        <f>'Combined Gradation'!U32</f>
        <v>90</v>
      </c>
    </row>
    <row r="8" spans="2:16" ht="12.75">
      <c r="B8" s="546"/>
      <c r="C8" s="29" t="s">
        <v>31</v>
      </c>
      <c r="D8" s="30" t="s">
        <v>32</v>
      </c>
      <c r="E8" s="31">
        <v>4.75</v>
      </c>
      <c r="F8" s="32">
        <v>30</v>
      </c>
      <c r="G8" s="32">
        <v>50</v>
      </c>
      <c r="H8" s="542"/>
      <c r="J8" s="33" t="str">
        <f>sieve5</f>
        <v>No. 8</v>
      </c>
      <c r="K8" s="33">
        <f>IF(SSize5=0,"",SSize5)</f>
        <v>2.36</v>
      </c>
      <c r="L8" s="33">
        <f t="shared" si="0"/>
        <v>1.4716698795820382</v>
      </c>
      <c r="M8" s="33">
        <f t="shared" si="1"/>
        <v>39.117517084024264</v>
      </c>
      <c r="N8" s="33">
        <f>IF(J8="","",'Combined Gradation'!S33)</f>
        <v>42.083999999999996</v>
      </c>
      <c r="O8" s="33">
        <f>'Combined Gradation'!T33</f>
        <v>40</v>
      </c>
      <c r="P8" s="33">
        <f>'Combined Gradation'!U33</f>
        <v>65</v>
      </c>
    </row>
    <row r="9" spans="2:16" ht="12.75">
      <c r="B9" s="546"/>
      <c r="C9" s="29" t="s">
        <v>33</v>
      </c>
      <c r="D9" s="30" t="s">
        <v>34</v>
      </c>
      <c r="E9" s="31">
        <v>2</v>
      </c>
      <c r="F9" s="32">
        <v>20</v>
      </c>
      <c r="G9" s="32">
        <v>34</v>
      </c>
      <c r="H9" s="542"/>
      <c r="J9" s="33" t="str">
        <f>sieve6</f>
        <v>No. 16</v>
      </c>
      <c r="K9" s="33">
        <f>IF(SSize6=0,"",SSize6)</f>
        <v>1.18</v>
      </c>
      <c r="L9" s="33">
        <f t="shared" si="0"/>
        <v>1.0773254099250416</v>
      </c>
      <c r="M9" s="33">
        <f t="shared" si="1"/>
        <v>28.635698611814277</v>
      </c>
      <c r="N9" s="33">
        <f>IF(J9="","",'Combined Gradation'!S34)</f>
        <v>27.119999999999997</v>
      </c>
      <c r="O9" s="33">
        <f>'Combined Gradation'!T34</f>
        <v>20</v>
      </c>
      <c r="P9" s="33">
        <f>'Combined Gradation'!U34</f>
        <v>45</v>
      </c>
    </row>
    <row r="10" spans="2:16" ht="12.75">
      <c r="B10" s="546"/>
      <c r="C10" s="29" t="s">
        <v>35</v>
      </c>
      <c r="D10" s="30" t="s">
        <v>36</v>
      </c>
      <c r="E10" s="31">
        <v>0.425</v>
      </c>
      <c r="F10" s="32">
        <v>5</v>
      </c>
      <c r="G10" s="32">
        <v>20</v>
      </c>
      <c r="H10" s="542"/>
      <c r="J10" s="33" t="str">
        <f>sieve7</f>
        <v>No. 30</v>
      </c>
      <c r="K10" s="33">
        <f>IF(SSize7=0,"",SSize7)</f>
        <v>0.06</v>
      </c>
      <c r="L10" s="33">
        <f t="shared" si="0"/>
        <v>0.28194737962158145</v>
      </c>
      <c r="M10" s="33">
        <f t="shared" si="1"/>
        <v>7.494263212260213</v>
      </c>
      <c r="N10" s="33">
        <f>IF(J10="","",'Combined Gradation'!S35)</f>
        <v>19.730999999999998</v>
      </c>
      <c r="O10" s="33">
        <f>'Combined Gradation'!T35</f>
        <v>10</v>
      </c>
      <c r="P10" s="33">
        <f>'Combined Gradation'!U35</f>
        <v>30</v>
      </c>
    </row>
    <row r="11" spans="2:16" ht="12.75">
      <c r="B11" s="546"/>
      <c r="C11" s="29" t="s">
        <v>37</v>
      </c>
      <c r="D11" s="30" t="s">
        <v>38</v>
      </c>
      <c r="E11" s="31">
        <v>0.18</v>
      </c>
      <c r="F11" s="32">
        <v>2</v>
      </c>
      <c r="G11" s="32">
        <v>12</v>
      </c>
      <c r="H11" s="542"/>
      <c r="J11" s="33" t="str">
        <f>sieve8</f>
        <v>No. 50</v>
      </c>
      <c r="K11" s="33">
        <f>IF(SSize8=0,"",SSize8)</f>
        <v>0.03</v>
      </c>
      <c r="L11" s="33">
        <f t="shared" si="0"/>
        <v>0.20639756275665425</v>
      </c>
      <c r="M11" s="33">
        <f t="shared" si="1"/>
        <v>5.4861217853608455</v>
      </c>
      <c r="N11" s="33">
        <f>IF(J11="","",'Combined Gradation'!S36)</f>
        <v>15.547999999999998</v>
      </c>
      <c r="O11" s="33">
        <f>'Combined Gradation'!T36</f>
        <v>10</v>
      </c>
      <c r="P11" s="33">
        <f>'Combined Gradation'!U36</f>
        <v>20</v>
      </c>
    </row>
    <row r="12" spans="2:16" ht="12.75">
      <c r="B12" s="546"/>
      <c r="C12" s="29" t="s">
        <v>39</v>
      </c>
      <c r="D12" s="30" t="s">
        <v>40</v>
      </c>
      <c r="E12" s="31">
        <v>0.075</v>
      </c>
      <c r="F12" s="32">
        <v>1</v>
      </c>
      <c r="G12" s="32">
        <v>6</v>
      </c>
      <c r="H12" s="543"/>
      <c r="J12" s="33" t="str">
        <f>sieve9</f>
        <v>No. 200</v>
      </c>
      <c r="K12" s="33">
        <f>IF(SSize9=0,"",SSize9)</f>
        <v>0.0075</v>
      </c>
      <c r="L12" s="33">
        <f t="shared" si="0"/>
        <v>0.11060571524737557</v>
      </c>
      <c r="M12" s="33">
        <f t="shared" si="1"/>
        <v>2.9399398708959916</v>
      </c>
      <c r="N12" s="33">
        <f>IF(J12="","",'Combined Gradation'!S37)</f>
        <v>6.941999999999999</v>
      </c>
      <c r="O12" s="33">
        <f>'Combined Gradation'!T37</f>
        <v>2</v>
      </c>
      <c r="P12" s="33">
        <f>'Combined Gradation'!U37</f>
        <v>10</v>
      </c>
    </row>
    <row r="13" spans="2:16" ht="12.75" customHeight="1">
      <c r="B13" s="551" t="s">
        <v>41</v>
      </c>
      <c r="C13" s="35" t="s">
        <v>42</v>
      </c>
      <c r="D13" s="36" t="s">
        <v>43</v>
      </c>
      <c r="E13" s="37">
        <v>25</v>
      </c>
      <c r="F13" s="38">
        <v>98</v>
      </c>
      <c r="G13" s="38">
        <v>100</v>
      </c>
      <c r="H13" s="533">
        <v>12</v>
      </c>
      <c r="J13" s="34"/>
      <c r="K13" s="34"/>
      <c r="L13" s="34"/>
      <c r="M13" s="34"/>
      <c r="N13" s="34"/>
      <c r="O13" s="34"/>
      <c r="P13" s="34"/>
    </row>
    <row r="14" spans="2:8" ht="12.75">
      <c r="B14" s="551"/>
      <c r="C14" s="35" t="s">
        <v>27</v>
      </c>
      <c r="D14" s="36" t="s">
        <v>28</v>
      </c>
      <c r="E14" s="37">
        <v>22.4</v>
      </c>
      <c r="F14" s="38">
        <v>95</v>
      </c>
      <c r="G14" s="38">
        <v>100</v>
      </c>
      <c r="H14" s="534"/>
    </row>
    <row r="15" spans="2:16" ht="12.75">
      <c r="B15" s="551"/>
      <c r="C15" s="35" t="s">
        <v>44</v>
      </c>
      <c r="D15" s="36" t="s">
        <v>45</v>
      </c>
      <c r="E15" s="37">
        <v>16</v>
      </c>
      <c r="F15" s="38">
        <v>75</v>
      </c>
      <c r="G15" s="38">
        <v>95</v>
      </c>
      <c r="H15" s="534"/>
      <c r="N15"/>
      <c r="O15"/>
      <c r="P15"/>
    </row>
    <row r="16" spans="2:15" ht="12.75">
      <c r="B16" s="551"/>
      <c r="C16" s="35" t="s">
        <v>46</v>
      </c>
      <c r="D16" s="36" t="s">
        <v>47</v>
      </c>
      <c r="E16" s="37">
        <v>9.5</v>
      </c>
      <c r="F16" s="38">
        <v>60</v>
      </c>
      <c r="G16" s="38">
        <v>80</v>
      </c>
      <c r="H16" s="534"/>
      <c r="N16"/>
      <c r="O16"/>
    </row>
    <row r="17" spans="2:15" ht="12.75">
      <c r="B17" s="551"/>
      <c r="C17" s="35" t="s">
        <v>31</v>
      </c>
      <c r="D17" s="36" t="s">
        <v>32</v>
      </c>
      <c r="E17" s="37">
        <v>4.75</v>
      </c>
      <c r="F17" s="38">
        <v>40</v>
      </c>
      <c r="G17" s="38">
        <v>60</v>
      </c>
      <c r="H17" s="534"/>
      <c r="O17"/>
    </row>
    <row r="18" spans="2:15" ht="12.75">
      <c r="B18" s="551"/>
      <c r="C18" s="35" t="s">
        <v>33</v>
      </c>
      <c r="D18" s="36" t="s">
        <v>34</v>
      </c>
      <c r="E18" s="37">
        <v>2</v>
      </c>
      <c r="F18" s="38">
        <v>27</v>
      </c>
      <c r="G18" s="38">
        <v>40</v>
      </c>
      <c r="H18" s="534"/>
      <c r="O18"/>
    </row>
    <row r="19" spans="2:15" ht="12.75">
      <c r="B19" s="551"/>
      <c r="C19" s="35" t="s">
        <v>35</v>
      </c>
      <c r="D19" s="36" t="s">
        <v>36</v>
      </c>
      <c r="E19" s="37">
        <v>0.425</v>
      </c>
      <c r="F19" s="38">
        <v>10</v>
      </c>
      <c r="G19" s="38">
        <v>25</v>
      </c>
      <c r="H19" s="534"/>
      <c r="O19"/>
    </row>
    <row r="20" spans="2:15" ht="12.75" customHeight="1">
      <c r="B20" s="551"/>
      <c r="C20" s="35" t="s">
        <v>37</v>
      </c>
      <c r="D20" s="36" t="s">
        <v>38</v>
      </c>
      <c r="E20" s="37">
        <v>0.18</v>
      </c>
      <c r="F20" s="38">
        <v>3</v>
      </c>
      <c r="G20" s="38">
        <v>13</v>
      </c>
      <c r="H20" s="534"/>
      <c r="O20"/>
    </row>
    <row r="21" spans="2:15" ht="12.75">
      <c r="B21" s="551"/>
      <c r="C21" s="35" t="s">
        <v>39</v>
      </c>
      <c r="D21" s="36" t="s">
        <v>40</v>
      </c>
      <c r="E21" s="37">
        <v>0.075</v>
      </c>
      <c r="F21" s="38">
        <v>1</v>
      </c>
      <c r="G21" s="38">
        <v>6</v>
      </c>
      <c r="H21" s="535"/>
      <c r="O21"/>
    </row>
    <row r="22" spans="2:15" ht="12.75" customHeight="1">
      <c r="B22" s="546" t="s">
        <v>48</v>
      </c>
      <c r="C22" s="29" t="s">
        <v>27</v>
      </c>
      <c r="D22" s="30" t="s">
        <v>28</v>
      </c>
      <c r="E22" s="31">
        <v>22.4</v>
      </c>
      <c r="F22" s="32">
        <v>98</v>
      </c>
      <c r="G22" s="32">
        <v>100</v>
      </c>
      <c r="H22" s="541">
        <v>13</v>
      </c>
      <c r="O22"/>
    </row>
    <row r="23" spans="2:15" ht="12.75">
      <c r="B23" s="546"/>
      <c r="C23" s="29" t="s">
        <v>44</v>
      </c>
      <c r="D23" s="30" t="s">
        <v>45</v>
      </c>
      <c r="E23" s="31">
        <v>16</v>
      </c>
      <c r="F23" s="32">
        <v>95</v>
      </c>
      <c r="G23" s="32">
        <v>100</v>
      </c>
      <c r="H23" s="542"/>
      <c r="O23"/>
    </row>
    <row r="24" spans="2:15" ht="12.75">
      <c r="B24" s="546"/>
      <c r="C24" s="29" t="s">
        <v>46</v>
      </c>
      <c r="D24" s="30" t="s">
        <v>47</v>
      </c>
      <c r="E24" s="31">
        <v>9.5</v>
      </c>
      <c r="F24" s="32">
        <v>70</v>
      </c>
      <c r="G24" s="32">
        <v>85</v>
      </c>
      <c r="H24" s="542"/>
      <c r="O24"/>
    </row>
    <row r="25" spans="2:15" ht="12.75">
      <c r="B25" s="546"/>
      <c r="C25" s="29" t="s">
        <v>31</v>
      </c>
      <c r="D25" s="30" t="s">
        <v>32</v>
      </c>
      <c r="E25" s="31">
        <v>4.75</v>
      </c>
      <c r="F25" s="32">
        <v>43</v>
      </c>
      <c r="G25" s="32">
        <v>63</v>
      </c>
      <c r="H25" s="542"/>
      <c r="O25"/>
    </row>
    <row r="26" spans="2:8" ht="12.75">
      <c r="B26" s="546"/>
      <c r="C26" s="29" t="s">
        <v>33</v>
      </c>
      <c r="D26" s="30" t="s">
        <v>34</v>
      </c>
      <c r="E26" s="31">
        <v>2</v>
      </c>
      <c r="F26" s="32">
        <v>30</v>
      </c>
      <c r="G26" s="32">
        <v>40</v>
      </c>
      <c r="H26" s="542"/>
    </row>
    <row r="27" spans="2:8" ht="12.75">
      <c r="B27" s="546"/>
      <c r="C27" s="29" t="s">
        <v>35</v>
      </c>
      <c r="D27" s="30" t="s">
        <v>36</v>
      </c>
      <c r="E27" s="31">
        <v>0.425</v>
      </c>
      <c r="F27" s="32">
        <v>10</v>
      </c>
      <c r="G27" s="32">
        <v>25</v>
      </c>
      <c r="H27" s="542"/>
    </row>
    <row r="28" spans="2:8" ht="12.75">
      <c r="B28" s="546"/>
      <c r="C28" s="29" t="s">
        <v>37</v>
      </c>
      <c r="D28" s="30" t="s">
        <v>38</v>
      </c>
      <c r="E28" s="31">
        <v>0.18</v>
      </c>
      <c r="F28" s="32">
        <v>3</v>
      </c>
      <c r="G28" s="32">
        <v>13</v>
      </c>
      <c r="H28" s="542"/>
    </row>
    <row r="29" spans="2:8" ht="12.75">
      <c r="B29" s="546"/>
      <c r="C29" s="29" t="s">
        <v>39</v>
      </c>
      <c r="D29" s="30" t="s">
        <v>40</v>
      </c>
      <c r="E29" s="31">
        <v>0.075</v>
      </c>
      <c r="F29" s="32">
        <v>1</v>
      </c>
      <c r="G29" s="32">
        <v>6</v>
      </c>
      <c r="H29" s="543"/>
    </row>
    <row r="30" spans="2:8" ht="12.75" customHeight="1">
      <c r="B30" s="530" t="s">
        <v>49</v>
      </c>
      <c r="C30" s="35" t="s">
        <v>29</v>
      </c>
      <c r="D30" s="36" t="s">
        <v>30</v>
      </c>
      <c r="E30" s="37">
        <v>12.5</v>
      </c>
      <c r="F30" s="38">
        <v>98</v>
      </c>
      <c r="G30" s="38">
        <v>100</v>
      </c>
      <c r="H30" s="533">
        <v>14</v>
      </c>
    </row>
    <row r="31" spans="2:8" ht="12.75">
      <c r="B31" s="531"/>
      <c r="C31" s="35" t="s">
        <v>46</v>
      </c>
      <c r="D31" s="36" t="s">
        <v>47</v>
      </c>
      <c r="E31" s="37">
        <v>9.5</v>
      </c>
      <c r="F31" s="38">
        <v>85</v>
      </c>
      <c r="G31" s="38">
        <v>100</v>
      </c>
      <c r="H31" s="534"/>
    </row>
    <row r="32" spans="2:8" ht="12.75">
      <c r="B32" s="531"/>
      <c r="C32" s="35" t="s">
        <v>31</v>
      </c>
      <c r="D32" s="36" t="s">
        <v>32</v>
      </c>
      <c r="E32" s="37">
        <v>4.75</v>
      </c>
      <c r="F32" s="38">
        <v>50</v>
      </c>
      <c r="G32" s="38">
        <v>70</v>
      </c>
      <c r="H32" s="534"/>
    </row>
    <row r="33" spans="2:8" ht="12.75">
      <c r="B33" s="531"/>
      <c r="C33" s="35" t="s">
        <v>33</v>
      </c>
      <c r="D33" s="36" t="s">
        <v>34</v>
      </c>
      <c r="E33" s="37">
        <v>2</v>
      </c>
      <c r="F33" s="38">
        <v>32</v>
      </c>
      <c r="G33" s="38">
        <v>42</v>
      </c>
      <c r="H33" s="534"/>
    </row>
    <row r="34" spans="2:8" ht="12.75">
      <c r="B34" s="531"/>
      <c r="C34" s="35" t="s">
        <v>35</v>
      </c>
      <c r="D34" s="36" t="s">
        <v>36</v>
      </c>
      <c r="E34" s="37">
        <v>0.425</v>
      </c>
      <c r="F34" s="38">
        <v>11</v>
      </c>
      <c r="G34" s="38">
        <v>26</v>
      </c>
      <c r="H34" s="534"/>
    </row>
    <row r="35" spans="2:8" ht="12.75">
      <c r="B35" s="531"/>
      <c r="C35" s="35" t="s">
        <v>37</v>
      </c>
      <c r="D35" s="36" t="s">
        <v>38</v>
      </c>
      <c r="E35" s="37">
        <v>0.18</v>
      </c>
      <c r="F35" s="38">
        <v>4</v>
      </c>
      <c r="G35" s="38">
        <v>14</v>
      </c>
      <c r="H35" s="534"/>
    </row>
    <row r="36" spans="2:8" ht="12.75">
      <c r="B36" s="532"/>
      <c r="C36" s="35" t="s">
        <v>39</v>
      </c>
      <c r="D36" s="36" t="s">
        <v>40</v>
      </c>
      <c r="E36" s="37">
        <v>0.075</v>
      </c>
      <c r="F36" s="38">
        <v>1</v>
      </c>
      <c r="G36" s="38">
        <v>6</v>
      </c>
      <c r="H36" s="535"/>
    </row>
    <row r="37" spans="2:8" ht="12.75" customHeight="1">
      <c r="B37" s="546" t="s">
        <v>50</v>
      </c>
      <c r="C37" s="29" t="s">
        <v>46</v>
      </c>
      <c r="D37" s="30" t="s">
        <v>47</v>
      </c>
      <c r="E37" s="31">
        <v>9.5</v>
      </c>
      <c r="F37" s="32">
        <v>98</v>
      </c>
      <c r="G37" s="32">
        <v>100</v>
      </c>
      <c r="H37" s="541">
        <v>15</v>
      </c>
    </row>
    <row r="38" spans="2:8" ht="12.75">
      <c r="B38" s="546"/>
      <c r="C38" s="29" t="s">
        <v>51</v>
      </c>
      <c r="D38" s="30" t="s">
        <v>52</v>
      </c>
      <c r="E38" s="31">
        <v>6.3</v>
      </c>
      <c r="F38" s="32">
        <v>95</v>
      </c>
      <c r="G38" s="32">
        <v>100</v>
      </c>
      <c r="H38" s="542"/>
    </row>
    <row r="39" spans="2:8" ht="12.75">
      <c r="B39" s="546"/>
      <c r="C39" s="29" t="s">
        <v>33</v>
      </c>
      <c r="D39" s="30" t="s">
        <v>34</v>
      </c>
      <c r="E39" s="31">
        <v>2</v>
      </c>
      <c r="F39" s="32">
        <v>32</v>
      </c>
      <c r="G39" s="32">
        <v>42</v>
      </c>
      <c r="H39" s="542"/>
    </row>
    <row r="40" spans="2:8" ht="12.75">
      <c r="B40" s="546"/>
      <c r="C40" s="29" t="s">
        <v>35</v>
      </c>
      <c r="D40" s="30" t="s">
        <v>36</v>
      </c>
      <c r="E40" s="31">
        <v>0.425</v>
      </c>
      <c r="F40" s="32">
        <v>9</v>
      </c>
      <c r="G40" s="32">
        <v>24</v>
      </c>
      <c r="H40" s="542"/>
    </row>
    <row r="41" spans="2:8" ht="12.75">
      <c r="B41" s="546"/>
      <c r="C41" s="29" t="s">
        <v>37</v>
      </c>
      <c r="D41" s="30" t="s">
        <v>38</v>
      </c>
      <c r="E41" s="31">
        <v>0.18</v>
      </c>
      <c r="F41" s="32">
        <v>3</v>
      </c>
      <c r="G41" s="32">
        <v>13</v>
      </c>
      <c r="H41" s="542"/>
    </row>
    <row r="42" spans="2:8" ht="12.75">
      <c r="B42" s="546"/>
      <c r="C42" s="29" t="s">
        <v>39</v>
      </c>
      <c r="D42" s="30" t="s">
        <v>40</v>
      </c>
      <c r="E42" s="31">
        <v>0.075</v>
      </c>
      <c r="F42" s="32">
        <v>1</v>
      </c>
      <c r="G42" s="32">
        <v>6</v>
      </c>
      <c r="H42" s="543"/>
    </row>
    <row r="43" spans="2:8" ht="12.75" customHeight="1">
      <c r="B43" s="530" t="s">
        <v>53</v>
      </c>
      <c r="C43" s="35" t="s">
        <v>27</v>
      </c>
      <c r="D43" s="36" t="s">
        <v>28</v>
      </c>
      <c r="E43" s="37">
        <v>22.4</v>
      </c>
      <c r="F43" s="38">
        <v>98</v>
      </c>
      <c r="G43" s="38">
        <v>100</v>
      </c>
      <c r="H43" s="533">
        <v>13</v>
      </c>
    </row>
    <row r="44" spans="2:12" ht="12.75">
      <c r="B44" s="531"/>
      <c r="C44" s="35" t="s">
        <v>44</v>
      </c>
      <c r="D44" s="36" t="s">
        <v>45</v>
      </c>
      <c r="E44" s="37">
        <v>16</v>
      </c>
      <c r="F44" s="38">
        <v>95</v>
      </c>
      <c r="G44" s="38">
        <v>100</v>
      </c>
      <c r="H44" s="534"/>
      <c r="J44"/>
      <c r="K44"/>
      <c r="L44"/>
    </row>
    <row r="45" spans="2:12" ht="12.75">
      <c r="B45" s="531"/>
      <c r="C45" s="35" t="s">
        <v>46</v>
      </c>
      <c r="D45" s="36" t="s">
        <v>47</v>
      </c>
      <c r="E45" s="37">
        <v>9.5</v>
      </c>
      <c r="F45" s="38">
        <v>50</v>
      </c>
      <c r="G45" s="38">
        <v>70</v>
      </c>
      <c r="H45" s="534"/>
      <c r="J45"/>
      <c r="K45"/>
      <c r="L45"/>
    </row>
    <row r="46" spans="2:12" ht="12.75">
      <c r="B46" s="531"/>
      <c r="C46" s="35" t="s">
        <v>31</v>
      </c>
      <c r="D46" s="36" t="s">
        <v>32</v>
      </c>
      <c r="E46" s="37">
        <v>4.75</v>
      </c>
      <c r="F46" s="38">
        <v>30</v>
      </c>
      <c r="G46" s="38">
        <v>45</v>
      </c>
      <c r="H46" s="534"/>
      <c r="J46"/>
      <c r="K46"/>
      <c r="L46"/>
    </row>
    <row r="47" spans="2:12" ht="12.75">
      <c r="B47" s="531"/>
      <c r="C47" s="35" t="s">
        <v>33</v>
      </c>
      <c r="D47" s="36" t="s">
        <v>34</v>
      </c>
      <c r="E47" s="37">
        <v>2</v>
      </c>
      <c r="F47" s="38">
        <v>15</v>
      </c>
      <c r="G47" s="38">
        <v>25</v>
      </c>
      <c r="H47" s="534"/>
      <c r="J47"/>
      <c r="K47"/>
      <c r="L47"/>
    </row>
    <row r="48" spans="2:12" ht="12.75">
      <c r="B48" s="531"/>
      <c r="C48" s="35" t="s">
        <v>35</v>
      </c>
      <c r="D48" s="36" t="s">
        <v>36</v>
      </c>
      <c r="E48" s="37">
        <v>0.425</v>
      </c>
      <c r="F48" s="38">
        <v>6</v>
      </c>
      <c r="G48" s="38">
        <v>20</v>
      </c>
      <c r="H48" s="534"/>
      <c r="J48"/>
      <c r="K48"/>
      <c r="L48"/>
    </row>
    <row r="49" spans="2:14" ht="12.75">
      <c r="B49" s="531"/>
      <c r="C49" s="35" t="s">
        <v>37</v>
      </c>
      <c r="D49" s="36" t="s">
        <v>38</v>
      </c>
      <c r="E49" s="37">
        <v>0.18</v>
      </c>
      <c r="F49" s="38">
        <v>6</v>
      </c>
      <c r="G49" s="38">
        <v>18</v>
      </c>
      <c r="H49" s="534"/>
      <c r="J49"/>
      <c r="K49"/>
      <c r="L49"/>
      <c r="M49"/>
      <c r="N49"/>
    </row>
    <row r="50" spans="2:12" ht="12.75">
      <c r="B50" s="532"/>
      <c r="C50" s="35" t="s">
        <v>39</v>
      </c>
      <c r="D50" s="36" t="s">
        <v>40</v>
      </c>
      <c r="E50" s="37">
        <v>0.075</v>
      </c>
      <c r="F50" s="38">
        <v>5</v>
      </c>
      <c r="G50" s="38">
        <v>8</v>
      </c>
      <c r="H50" s="535"/>
      <c r="J50"/>
      <c r="K50"/>
      <c r="L50"/>
    </row>
    <row r="51" spans="2:12" ht="12.75" customHeight="1">
      <c r="B51" s="538" t="s">
        <v>54</v>
      </c>
      <c r="C51" s="29" t="s">
        <v>29</v>
      </c>
      <c r="D51" s="30" t="s">
        <v>30</v>
      </c>
      <c r="E51" s="31">
        <v>12.5</v>
      </c>
      <c r="F51" s="32">
        <v>98</v>
      </c>
      <c r="G51" s="32">
        <v>100</v>
      </c>
      <c r="H51" s="541">
        <v>14</v>
      </c>
      <c r="J51"/>
      <c r="K51"/>
      <c r="L51"/>
    </row>
    <row r="52" spans="2:12" ht="12.75">
      <c r="B52" s="539"/>
      <c r="C52" s="29" t="s">
        <v>46</v>
      </c>
      <c r="D52" s="30" t="s">
        <v>47</v>
      </c>
      <c r="E52" s="31">
        <v>9.5</v>
      </c>
      <c r="F52" s="32">
        <v>85</v>
      </c>
      <c r="G52" s="32">
        <v>100</v>
      </c>
      <c r="H52" s="542"/>
      <c r="J52"/>
      <c r="K52"/>
      <c r="L52"/>
    </row>
    <row r="53" spans="2:12" ht="12.75">
      <c r="B53" s="539"/>
      <c r="C53" s="29" t="s">
        <v>31</v>
      </c>
      <c r="D53" s="30" t="s">
        <v>32</v>
      </c>
      <c r="E53" s="31">
        <v>4.75</v>
      </c>
      <c r="F53" s="32">
        <v>40</v>
      </c>
      <c r="G53" s="32">
        <v>60</v>
      </c>
      <c r="H53" s="542"/>
      <c r="J53"/>
      <c r="K53"/>
      <c r="L53"/>
    </row>
    <row r="54" spans="2:12" ht="12.75">
      <c r="B54" s="539"/>
      <c r="C54" s="29" t="s">
        <v>33</v>
      </c>
      <c r="D54" s="30" t="s">
        <v>34</v>
      </c>
      <c r="E54" s="31">
        <v>2</v>
      </c>
      <c r="F54" s="32">
        <v>15</v>
      </c>
      <c r="G54" s="32">
        <v>25</v>
      </c>
      <c r="H54" s="542"/>
      <c r="J54"/>
      <c r="K54"/>
      <c r="L54"/>
    </row>
    <row r="55" spans="2:12" ht="12.75">
      <c r="B55" s="539"/>
      <c r="C55" s="29" t="s">
        <v>35</v>
      </c>
      <c r="D55" s="30" t="s">
        <v>36</v>
      </c>
      <c r="E55" s="31">
        <v>0.425</v>
      </c>
      <c r="F55" s="32">
        <v>6</v>
      </c>
      <c r="G55" s="32">
        <v>20</v>
      </c>
      <c r="H55" s="542"/>
      <c r="J55"/>
      <c r="K55"/>
      <c r="L55"/>
    </row>
    <row r="56" spans="2:12" ht="12.75">
      <c r="B56" s="539"/>
      <c r="C56" s="29" t="s">
        <v>37</v>
      </c>
      <c r="D56" s="30" t="s">
        <v>38</v>
      </c>
      <c r="E56" s="31">
        <v>0.18</v>
      </c>
      <c r="F56" s="32">
        <v>6</v>
      </c>
      <c r="G56" s="32">
        <v>18</v>
      </c>
      <c r="H56" s="542"/>
      <c r="J56"/>
      <c r="K56"/>
      <c r="L56"/>
    </row>
    <row r="57" spans="2:12" ht="12.75">
      <c r="B57" s="540"/>
      <c r="C57" s="29" t="s">
        <v>39</v>
      </c>
      <c r="D57" s="30" t="s">
        <v>40</v>
      </c>
      <c r="E57" s="31">
        <v>0.075</v>
      </c>
      <c r="F57" s="32">
        <v>5</v>
      </c>
      <c r="G57" s="32">
        <v>8</v>
      </c>
      <c r="H57" s="543"/>
      <c r="J57"/>
      <c r="K57"/>
      <c r="L57"/>
    </row>
    <row r="58" spans="2:12" ht="12.75">
      <c r="B58" s="552" t="s">
        <v>205</v>
      </c>
      <c r="C58" s="216" t="s">
        <v>211</v>
      </c>
      <c r="D58" s="217" t="s">
        <v>212</v>
      </c>
      <c r="E58" s="191">
        <f>IF(C58&lt;&gt;"",VLOOKUP(C58,sievesizes,4,FALSE),IF(D58&lt;&gt;"",VLOOKUP(D58,gtbl,3,FALSE),0))</f>
        <v>19</v>
      </c>
      <c r="F58" s="218">
        <v>100</v>
      </c>
      <c r="G58" s="218">
        <v>100</v>
      </c>
      <c r="H58" s="555">
        <v>16</v>
      </c>
      <c r="I58" s="24"/>
      <c r="J58"/>
      <c r="K58"/>
      <c r="L58"/>
    </row>
    <row r="59" spans="2:13" ht="12.75">
      <c r="B59" s="553"/>
      <c r="C59" s="216" t="s">
        <v>29</v>
      </c>
      <c r="D59" s="217" t="s">
        <v>30</v>
      </c>
      <c r="E59" s="191">
        <f aca="true" t="shared" si="2" ref="E59:E66">IF(C59&lt;&gt;"",VLOOKUP(C59,sievesizes,4,FALSE),IF(D59&lt;&gt;"",VLOOKUP(D59,gtbl,3,FALSE),0))</f>
        <v>12.5</v>
      </c>
      <c r="F59" s="218">
        <v>98</v>
      </c>
      <c r="G59" s="218">
        <v>100</v>
      </c>
      <c r="H59" s="556"/>
      <c r="I59"/>
      <c r="J59"/>
      <c r="K59"/>
      <c r="L59"/>
      <c r="M59"/>
    </row>
    <row r="60" spans="2:8" ht="12.75">
      <c r="B60" s="553"/>
      <c r="C60" s="216" t="s">
        <v>46</v>
      </c>
      <c r="D60" s="217" t="s">
        <v>47</v>
      </c>
      <c r="E60" s="191">
        <f t="shared" si="2"/>
        <v>9.5</v>
      </c>
      <c r="F60" s="218">
        <v>98</v>
      </c>
      <c r="G60" s="218">
        <v>100</v>
      </c>
      <c r="H60" s="556"/>
    </row>
    <row r="61" spans="2:13" ht="12.75">
      <c r="B61" s="553"/>
      <c r="C61" s="216" t="s">
        <v>31</v>
      </c>
      <c r="D61" s="217" t="s">
        <v>32</v>
      </c>
      <c r="E61" s="191">
        <f t="shared" si="2"/>
        <v>4.75</v>
      </c>
      <c r="F61" s="218">
        <v>70</v>
      </c>
      <c r="G61" s="218">
        <v>90</v>
      </c>
      <c r="H61" s="556"/>
      <c r="M61" s="21"/>
    </row>
    <row r="62" spans="2:12" ht="12.75">
      <c r="B62" s="553"/>
      <c r="C62" s="216" t="s">
        <v>219</v>
      </c>
      <c r="D62" s="217" t="s">
        <v>220</v>
      </c>
      <c r="E62" s="191">
        <f t="shared" si="2"/>
        <v>2.36</v>
      </c>
      <c r="F62" s="218">
        <v>40</v>
      </c>
      <c r="G62" s="218">
        <v>60</v>
      </c>
      <c r="H62" s="556"/>
      <c r="I62"/>
      <c r="J62"/>
      <c r="K62"/>
      <c r="L62"/>
    </row>
    <row r="63" spans="2:12" ht="12.75">
      <c r="B63" s="553"/>
      <c r="C63" s="216" t="s">
        <v>223</v>
      </c>
      <c r="D63" s="217" t="s">
        <v>224</v>
      </c>
      <c r="E63" s="191">
        <f t="shared" si="2"/>
        <v>1.18</v>
      </c>
      <c r="F63" s="218">
        <v>20</v>
      </c>
      <c r="G63" s="218">
        <v>45</v>
      </c>
      <c r="H63" s="556"/>
      <c r="I63"/>
      <c r="J63"/>
      <c r="K63"/>
      <c r="L63"/>
    </row>
    <row r="64" spans="2:12" ht="12.75">
      <c r="B64" s="553"/>
      <c r="C64" s="216" t="s">
        <v>227</v>
      </c>
      <c r="D64" s="217" t="s">
        <v>228</v>
      </c>
      <c r="E64" s="191">
        <f t="shared" si="2"/>
        <v>0.06</v>
      </c>
      <c r="F64" s="218">
        <v>10</v>
      </c>
      <c r="G64" s="218">
        <v>30</v>
      </c>
      <c r="H64" s="556"/>
      <c r="I64"/>
      <c r="J64"/>
      <c r="K64"/>
      <c r="L64"/>
    </row>
    <row r="65" spans="2:12" ht="12.75">
      <c r="B65" s="553"/>
      <c r="C65" s="216" t="s">
        <v>230</v>
      </c>
      <c r="D65" s="217" t="s">
        <v>231</v>
      </c>
      <c r="E65" s="191">
        <f t="shared" si="2"/>
        <v>0.03</v>
      </c>
      <c r="F65" s="218">
        <v>10</v>
      </c>
      <c r="G65" s="218">
        <v>20</v>
      </c>
      <c r="H65" s="556"/>
      <c r="I65"/>
      <c r="J65"/>
      <c r="K65"/>
      <c r="L65"/>
    </row>
    <row r="66" spans="2:12" ht="12.75">
      <c r="B66" s="554"/>
      <c r="C66" s="216" t="s">
        <v>39</v>
      </c>
      <c r="D66" s="217" t="s">
        <v>235</v>
      </c>
      <c r="E66" s="191">
        <f t="shared" si="2"/>
        <v>0.0075</v>
      </c>
      <c r="F66" s="218">
        <v>2</v>
      </c>
      <c r="G66" s="218">
        <v>10</v>
      </c>
      <c r="H66" s="557"/>
      <c r="I66"/>
      <c r="J66"/>
      <c r="K66"/>
      <c r="L66"/>
    </row>
    <row r="67" spans="2:12" ht="12.75">
      <c r="B67" s="538" t="s">
        <v>253</v>
      </c>
      <c r="C67" s="29" t="s">
        <v>211</v>
      </c>
      <c r="D67" s="30" t="s">
        <v>212</v>
      </c>
      <c r="E67" s="194">
        <v>19</v>
      </c>
      <c r="F67" s="32">
        <v>100</v>
      </c>
      <c r="G67" s="32">
        <v>100</v>
      </c>
      <c r="H67" s="541"/>
      <c r="I67"/>
      <c r="J67"/>
      <c r="K67"/>
      <c r="L67"/>
    </row>
    <row r="68" spans="2:12" ht="12.75">
      <c r="B68" s="539"/>
      <c r="C68" s="29" t="s">
        <v>29</v>
      </c>
      <c r="D68" s="30" t="s">
        <v>30</v>
      </c>
      <c r="E68" s="194">
        <v>12.5</v>
      </c>
      <c r="F68" s="32">
        <v>90</v>
      </c>
      <c r="G68" s="32">
        <v>100</v>
      </c>
      <c r="H68" s="542"/>
      <c r="I68"/>
      <c r="J68"/>
      <c r="K68"/>
      <c r="L68"/>
    </row>
    <row r="69" spans="2:12" ht="12.75">
      <c r="B69" s="539"/>
      <c r="C69" s="29" t="s">
        <v>46</v>
      </c>
      <c r="D69" s="30" t="s">
        <v>47</v>
      </c>
      <c r="E69" s="194">
        <v>9.5</v>
      </c>
      <c r="F69" s="32">
        <v>35</v>
      </c>
      <c r="G69" s="32">
        <v>60</v>
      </c>
      <c r="H69" s="542"/>
      <c r="I69"/>
      <c r="J69"/>
      <c r="K69"/>
      <c r="L69"/>
    </row>
    <row r="70" spans="2:12" ht="12.75">
      <c r="B70" s="539"/>
      <c r="C70" s="29" t="s">
        <v>31</v>
      </c>
      <c r="D70" s="30" t="s">
        <v>32</v>
      </c>
      <c r="E70" s="194">
        <v>4.75</v>
      </c>
      <c r="F70" s="32">
        <v>10</v>
      </c>
      <c r="G70" s="32">
        <v>25</v>
      </c>
      <c r="H70" s="542"/>
      <c r="I70"/>
      <c r="J70"/>
      <c r="K70"/>
      <c r="L70"/>
    </row>
    <row r="71" spans="2:12" ht="12.75">
      <c r="B71" s="539"/>
      <c r="C71" s="29" t="s">
        <v>219</v>
      </c>
      <c r="D71" s="30">
        <v>2.36</v>
      </c>
      <c r="E71" s="194">
        <v>2.36</v>
      </c>
      <c r="F71" s="32">
        <v>5</v>
      </c>
      <c r="G71" s="32">
        <v>10</v>
      </c>
      <c r="H71" s="542"/>
      <c r="I71"/>
      <c r="J71"/>
      <c r="K71"/>
      <c r="L71"/>
    </row>
    <row r="72" spans="2:12" ht="12.75">
      <c r="B72" s="539"/>
      <c r="C72" s="29" t="s">
        <v>39</v>
      </c>
      <c r="D72" s="30" t="s">
        <v>40</v>
      </c>
      <c r="E72" s="194">
        <v>0.075</v>
      </c>
      <c r="F72" s="32">
        <v>1</v>
      </c>
      <c r="G72" s="32">
        <v>4</v>
      </c>
      <c r="H72" s="542"/>
      <c r="I72"/>
      <c r="J72"/>
      <c r="K72"/>
      <c r="L72"/>
    </row>
    <row r="73" spans="2:12" ht="12.75">
      <c r="B73" s="530" t="s">
        <v>254</v>
      </c>
      <c r="C73" s="35" t="s">
        <v>211</v>
      </c>
      <c r="D73" s="36" t="s">
        <v>212</v>
      </c>
      <c r="E73" s="37">
        <v>19</v>
      </c>
      <c r="F73" s="38">
        <v>100</v>
      </c>
      <c r="G73" s="38">
        <v>100</v>
      </c>
      <c r="H73" s="533"/>
      <c r="I73"/>
      <c r="J73"/>
      <c r="K73"/>
      <c r="L73"/>
    </row>
    <row r="74" spans="2:12" ht="12.75">
      <c r="B74" s="531"/>
      <c r="C74" s="35" t="s">
        <v>29</v>
      </c>
      <c r="D74" s="36" t="s">
        <v>30</v>
      </c>
      <c r="E74" s="37">
        <v>12.5</v>
      </c>
      <c r="F74" s="38">
        <v>90</v>
      </c>
      <c r="G74" s="38">
        <v>100</v>
      </c>
      <c r="H74" s="534"/>
      <c r="I74"/>
      <c r="J74"/>
      <c r="K74"/>
      <c r="L74"/>
    </row>
    <row r="75" spans="2:12" ht="12.75">
      <c r="B75" s="531"/>
      <c r="C75" s="35" t="s">
        <v>46</v>
      </c>
      <c r="D75" s="36" t="s">
        <v>47</v>
      </c>
      <c r="E75" s="37">
        <v>9.5</v>
      </c>
      <c r="F75" s="38">
        <v>35</v>
      </c>
      <c r="G75" s="38">
        <v>60</v>
      </c>
      <c r="H75" s="534"/>
      <c r="I75"/>
      <c r="J75"/>
      <c r="K75"/>
      <c r="L75"/>
    </row>
    <row r="76" spans="2:12" ht="12.75">
      <c r="B76" s="531"/>
      <c r="C76" s="35" t="s">
        <v>31</v>
      </c>
      <c r="D76" s="36" t="s">
        <v>32</v>
      </c>
      <c r="E76" s="37">
        <v>4.75</v>
      </c>
      <c r="F76" s="38">
        <v>10</v>
      </c>
      <c r="G76" s="38">
        <v>25</v>
      </c>
      <c r="H76" s="534"/>
      <c r="I76"/>
      <c r="J76"/>
      <c r="K76"/>
      <c r="L76"/>
    </row>
    <row r="77" spans="2:12" ht="12.75">
      <c r="B77" s="531"/>
      <c r="C77" s="35" t="s">
        <v>219</v>
      </c>
      <c r="D77" s="36" t="s">
        <v>220</v>
      </c>
      <c r="E77" s="37">
        <v>2.36</v>
      </c>
      <c r="F77" s="38">
        <v>5</v>
      </c>
      <c r="G77" s="38">
        <v>10</v>
      </c>
      <c r="H77" s="534"/>
      <c r="I77"/>
      <c r="J77"/>
      <c r="K77"/>
      <c r="L77"/>
    </row>
    <row r="78" spans="2:12" ht="12.75">
      <c r="B78" s="532"/>
      <c r="C78" s="35" t="s">
        <v>39</v>
      </c>
      <c r="D78" s="36" t="s">
        <v>40</v>
      </c>
      <c r="E78" s="37">
        <v>0.075</v>
      </c>
      <c r="F78" s="38">
        <v>1</v>
      </c>
      <c r="G78" s="38">
        <v>4</v>
      </c>
      <c r="H78" s="535"/>
      <c r="I78"/>
      <c r="J78"/>
      <c r="K78"/>
      <c r="L78"/>
    </row>
    <row r="79" spans="2:12" ht="12.75">
      <c r="B79" s="530" t="s">
        <v>270</v>
      </c>
      <c r="C79" s="35" t="s">
        <v>255</v>
      </c>
      <c r="D79" s="36" t="s">
        <v>24</v>
      </c>
      <c r="E79" s="37">
        <v>37.5</v>
      </c>
      <c r="F79" s="38">
        <v>100</v>
      </c>
      <c r="G79" s="38">
        <v>100</v>
      </c>
      <c r="H79" s="533">
        <v>17</v>
      </c>
      <c r="I79"/>
      <c r="J79"/>
      <c r="K79"/>
      <c r="L79"/>
    </row>
    <row r="80" spans="2:9" ht="12.75">
      <c r="B80" s="531"/>
      <c r="C80" s="35" t="s">
        <v>42</v>
      </c>
      <c r="D80" s="36" t="s">
        <v>43</v>
      </c>
      <c r="E80" s="37">
        <v>25</v>
      </c>
      <c r="F80" s="38">
        <v>90</v>
      </c>
      <c r="G80" s="38">
        <v>100</v>
      </c>
      <c r="H80" s="544"/>
      <c r="I80"/>
    </row>
    <row r="81" spans="2:8" ht="12.75">
      <c r="B81" s="531"/>
      <c r="C81" s="35" t="s">
        <v>211</v>
      </c>
      <c r="D81" s="36" t="s">
        <v>212</v>
      </c>
      <c r="E81" s="37">
        <v>19</v>
      </c>
      <c r="F81" s="38">
        <v>85</v>
      </c>
      <c r="G81" s="38">
        <v>95</v>
      </c>
      <c r="H81" s="544"/>
    </row>
    <row r="82" spans="2:8" ht="12.75">
      <c r="B82" s="531"/>
      <c r="C82" s="35" t="s">
        <v>29</v>
      </c>
      <c r="D82" s="36" t="s">
        <v>30</v>
      </c>
      <c r="E82" s="37">
        <v>12.5</v>
      </c>
      <c r="F82" s="38">
        <v>50</v>
      </c>
      <c r="G82" s="38">
        <v>60</v>
      </c>
      <c r="H82" s="544"/>
    </row>
    <row r="83" spans="2:8" ht="12.75">
      <c r="B83" s="531"/>
      <c r="C83" s="35" t="s">
        <v>46</v>
      </c>
      <c r="D83" s="36" t="s">
        <v>47</v>
      </c>
      <c r="E83" s="37">
        <v>9.5</v>
      </c>
      <c r="F83" s="38">
        <v>30</v>
      </c>
      <c r="G83" s="38">
        <v>45</v>
      </c>
      <c r="H83" s="544"/>
    </row>
    <row r="84" spans="2:8" ht="12.75">
      <c r="B84" s="531"/>
      <c r="C84" s="35" t="s">
        <v>31</v>
      </c>
      <c r="D84" s="36" t="s">
        <v>32</v>
      </c>
      <c r="E84" s="37">
        <v>4.75</v>
      </c>
      <c r="F84" s="38">
        <v>20</v>
      </c>
      <c r="G84" s="38">
        <v>28</v>
      </c>
      <c r="H84" s="544"/>
    </row>
    <row r="85" spans="2:8" ht="12.75">
      <c r="B85" s="531"/>
      <c r="C85" s="35" t="s">
        <v>219</v>
      </c>
      <c r="D85" s="36" t="s">
        <v>220</v>
      </c>
      <c r="E85" s="37">
        <v>2.36</v>
      </c>
      <c r="F85" s="38">
        <v>16</v>
      </c>
      <c r="G85" s="38">
        <v>24</v>
      </c>
      <c r="H85" s="544"/>
    </row>
    <row r="86" spans="2:8" ht="12.75">
      <c r="B86" s="532"/>
      <c r="C86" s="35" t="s">
        <v>39</v>
      </c>
      <c r="D86" s="36" t="s">
        <v>40</v>
      </c>
      <c r="E86" s="37">
        <v>0.075</v>
      </c>
      <c r="F86" s="38">
        <v>8</v>
      </c>
      <c r="G86" s="38">
        <v>10</v>
      </c>
      <c r="H86" s="545"/>
    </row>
    <row r="87" spans="2:8" ht="12.75">
      <c r="B87" s="538" t="s">
        <v>271</v>
      </c>
      <c r="C87" s="29" t="s">
        <v>211</v>
      </c>
      <c r="D87" s="30" t="s">
        <v>212</v>
      </c>
      <c r="E87" s="31">
        <v>19</v>
      </c>
      <c r="F87" s="32">
        <v>100</v>
      </c>
      <c r="G87" s="32">
        <v>100</v>
      </c>
      <c r="H87" s="541">
        <v>17</v>
      </c>
    </row>
    <row r="88" spans="2:8" ht="12.75">
      <c r="B88" s="539"/>
      <c r="C88" s="29" t="s">
        <v>29</v>
      </c>
      <c r="D88" s="30" t="s">
        <v>30</v>
      </c>
      <c r="E88" s="31">
        <v>12.5</v>
      </c>
      <c r="F88" s="32">
        <v>80</v>
      </c>
      <c r="G88" s="32">
        <v>90</v>
      </c>
      <c r="H88" s="542"/>
    </row>
    <row r="89" spans="2:8" ht="12.75">
      <c r="B89" s="539"/>
      <c r="C89" s="29" t="s">
        <v>46</v>
      </c>
      <c r="D89" s="30" t="s">
        <v>47</v>
      </c>
      <c r="E89" s="31">
        <v>9.5</v>
      </c>
      <c r="F89" s="32">
        <v>25</v>
      </c>
      <c r="G89" s="32">
        <v>60</v>
      </c>
      <c r="H89" s="542"/>
    </row>
    <row r="90" spans="2:8" ht="12.75">
      <c r="B90" s="539"/>
      <c r="C90" s="29" t="s">
        <v>31</v>
      </c>
      <c r="D90" s="30" t="s">
        <v>32</v>
      </c>
      <c r="E90" s="31">
        <v>4.75</v>
      </c>
      <c r="F90" s="32">
        <v>20</v>
      </c>
      <c r="G90" s="32">
        <v>28</v>
      </c>
      <c r="H90" s="542"/>
    </row>
    <row r="91" spans="2:8" ht="12.75">
      <c r="B91" s="539"/>
      <c r="C91" s="29" t="s">
        <v>219</v>
      </c>
      <c r="D91" s="30" t="s">
        <v>220</v>
      </c>
      <c r="E91" s="31">
        <v>2.36</v>
      </c>
      <c r="F91" s="32">
        <v>14</v>
      </c>
      <c r="G91" s="32">
        <v>20</v>
      </c>
      <c r="H91" s="542"/>
    </row>
    <row r="92" spans="2:8" ht="12.75">
      <c r="B92" s="540"/>
      <c r="C92" s="29" t="s">
        <v>39</v>
      </c>
      <c r="D92" s="30" t="s">
        <v>40</v>
      </c>
      <c r="E92" s="31">
        <v>0.075</v>
      </c>
      <c r="F92" s="32">
        <v>8</v>
      </c>
      <c r="G92" s="32">
        <v>11</v>
      </c>
      <c r="H92" s="543"/>
    </row>
    <row r="93" spans="2:8" ht="12.75">
      <c r="B93" s="530" t="s">
        <v>272</v>
      </c>
      <c r="C93" s="35" t="s">
        <v>211</v>
      </c>
      <c r="D93" s="36" t="s">
        <v>212</v>
      </c>
      <c r="E93" s="37">
        <v>19</v>
      </c>
      <c r="F93" s="38">
        <v>100</v>
      </c>
      <c r="G93" s="38">
        <v>100</v>
      </c>
      <c r="H93" s="533">
        <v>17</v>
      </c>
    </row>
    <row r="94" spans="2:8" ht="12.75">
      <c r="B94" s="531"/>
      <c r="C94" s="35" t="s">
        <v>29</v>
      </c>
      <c r="D94" s="36" t="s">
        <v>30</v>
      </c>
      <c r="E94" s="37">
        <v>12.5</v>
      </c>
      <c r="F94" s="38">
        <v>90</v>
      </c>
      <c r="G94" s="38">
        <v>99</v>
      </c>
      <c r="H94" s="534"/>
    </row>
    <row r="95" spans="2:8" ht="12.75">
      <c r="B95" s="531"/>
      <c r="C95" s="35" t="s">
        <v>46</v>
      </c>
      <c r="D95" s="36" t="s">
        <v>47</v>
      </c>
      <c r="E95" s="37">
        <v>9.5</v>
      </c>
      <c r="F95" s="38">
        <v>70</v>
      </c>
      <c r="G95" s="38">
        <v>85</v>
      </c>
      <c r="H95" s="534"/>
    </row>
    <row r="96" spans="2:8" ht="12.75">
      <c r="B96" s="531"/>
      <c r="C96" s="35" t="s">
        <v>31</v>
      </c>
      <c r="D96" s="36" t="s">
        <v>32</v>
      </c>
      <c r="E96" s="37">
        <v>4.75</v>
      </c>
      <c r="F96" s="38">
        <v>30</v>
      </c>
      <c r="G96" s="38">
        <v>42</v>
      </c>
      <c r="H96" s="534"/>
    </row>
    <row r="97" spans="2:8" ht="12.75">
      <c r="B97" s="531"/>
      <c r="C97" s="35" t="s">
        <v>219</v>
      </c>
      <c r="D97" s="36" t="s">
        <v>220</v>
      </c>
      <c r="E97" s="37">
        <v>2.36</v>
      </c>
      <c r="F97" s="38">
        <v>20</v>
      </c>
      <c r="G97" s="38">
        <v>33</v>
      </c>
      <c r="H97" s="534"/>
    </row>
    <row r="98" spans="2:10" ht="12.75">
      <c r="B98" s="532"/>
      <c r="C98" s="35" t="s">
        <v>39</v>
      </c>
      <c r="D98" s="36" t="s">
        <v>40</v>
      </c>
      <c r="E98" s="37">
        <v>0.075</v>
      </c>
      <c r="F98" s="38">
        <v>8</v>
      </c>
      <c r="G98" s="38">
        <v>11</v>
      </c>
      <c r="H98" s="535"/>
      <c r="I98" s="549" t="s">
        <v>282</v>
      </c>
      <c r="J98" s="550"/>
    </row>
    <row r="99" spans="2:10" ht="12.75">
      <c r="B99" s="538" t="s">
        <v>256</v>
      </c>
      <c r="C99" s="29" t="s">
        <v>207</v>
      </c>
      <c r="D99" s="30" t="s">
        <v>208</v>
      </c>
      <c r="E99" s="31">
        <v>50</v>
      </c>
      <c r="F99" s="32">
        <v>100</v>
      </c>
      <c r="G99" s="32">
        <v>100</v>
      </c>
      <c r="H99" s="541">
        <v>11.5</v>
      </c>
      <c r="I99" s="195"/>
      <c r="J99" s="195"/>
    </row>
    <row r="100" spans="2:10" ht="12.75">
      <c r="B100" s="539"/>
      <c r="C100" s="29" t="s">
        <v>23</v>
      </c>
      <c r="D100" s="30" t="s">
        <v>24</v>
      </c>
      <c r="E100" s="31">
        <v>37.5</v>
      </c>
      <c r="F100" s="32">
        <v>90</v>
      </c>
      <c r="G100" s="32">
        <v>100</v>
      </c>
      <c r="H100" s="542"/>
      <c r="I100" s="195"/>
      <c r="J100" s="195"/>
    </row>
    <row r="101" spans="2:10" ht="12.75">
      <c r="B101" s="539"/>
      <c r="C101" s="29" t="s">
        <v>42</v>
      </c>
      <c r="D101" s="30" t="s">
        <v>43</v>
      </c>
      <c r="E101" s="31">
        <v>25</v>
      </c>
      <c r="F101" s="32"/>
      <c r="G101" s="32"/>
      <c r="H101" s="542"/>
      <c r="I101" s="195"/>
      <c r="J101" s="195"/>
    </row>
    <row r="102" spans="2:10" ht="12.75">
      <c r="B102" s="539"/>
      <c r="C102" s="29" t="s">
        <v>31</v>
      </c>
      <c r="D102" s="30" t="s">
        <v>32</v>
      </c>
      <c r="E102" s="31">
        <v>4.75</v>
      </c>
      <c r="F102" s="32"/>
      <c r="G102" s="32"/>
      <c r="H102" s="542"/>
      <c r="I102" s="196">
        <v>34.7</v>
      </c>
      <c r="J102" s="196">
        <v>34.7</v>
      </c>
    </row>
    <row r="103" spans="2:10" ht="12.75">
      <c r="B103" s="539"/>
      <c r="C103" s="29" t="s">
        <v>219</v>
      </c>
      <c r="D103" s="30" t="s">
        <v>220</v>
      </c>
      <c r="E103" s="31">
        <v>2.36</v>
      </c>
      <c r="F103" s="32">
        <v>15</v>
      </c>
      <c r="G103" s="32">
        <v>41</v>
      </c>
      <c r="H103" s="542"/>
      <c r="I103" s="196">
        <v>23.3</v>
      </c>
      <c r="J103" s="196">
        <v>27.3</v>
      </c>
    </row>
    <row r="104" spans="2:10" ht="12.75">
      <c r="B104" s="539"/>
      <c r="C104" s="29" t="s">
        <v>223</v>
      </c>
      <c r="D104" s="30" t="s">
        <v>224</v>
      </c>
      <c r="E104" s="31">
        <v>1.18</v>
      </c>
      <c r="F104" s="32"/>
      <c r="G104" s="32"/>
      <c r="H104" s="542"/>
      <c r="I104" s="196">
        <v>15.5</v>
      </c>
      <c r="J104" s="196">
        <v>21.5</v>
      </c>
    </row>
    <row r="105" spans="2:10" ht="12.75">
      <c r="B105" s="539"/>
      <c r="C105" s="29" t="s">
        <v>227</v>
      </c>
      <c r="D105" s="30" t="s">
        <v>257</v>
      </c>
      <c r="E105" s="31">
        <v>0.6</v>
      </c>
      <c r="F105" s="32"/>
      <c r="G105" s="32"/>
      <c r="H105" s="542"/>
      <c r="I105" s="196">
        <v>11.7</v>
      </c>
      <c r="J105" s="196">
        <v>15.7</v>
      </c>
    </row>
    <row r="106" spans="2:10" ht="12.75">
      <c r="B106" s="539"/>
      <c r="C106" s="29" t="s">
        <v>230</v>
      </c>
      <c r="D106" s="30" t="s">
        <v>258</v>
      </c>
      <c r="E106" s="31">
        <v>0.3</v>
      </c>
      <c r="F106" s="32"/>
      <c r="G106" s="32"/>
      <c r="H106" s="542"/>
      <c r="I106" s="196">
        <v>10</v>
      </c>
      <c r="J106" s="196">
        <v>10</v>
      </c>
    </row>
    <row r="107" spans="2:10" ht="12.75">
      <c r="B107" s="540"/>
      <c r="C107" s="29" t="s">
        <v>39</v>
      </c>
      <c r="D107" s="30" t="s">
        <v>40</v>
      </c>
      <c r="E107" s="31">
        <v>0.075</v>
      </c>
      <c r="F107" s="32">
        <v>0</v>
      </c>
      <c r="G107" s="32">
        <v>6</v>
      </c>
      <c r="H107" s="543"/>
      <c r="I107" s="195"/>
      <c r="J107" s="195"/>
    </row>
    <row r="108" spans="2:10" ht="12.75">
      <c r="B108" s="530" t="s">
        <v>259</v>
      </c>
      <c r="C108" s="35" t="s">
        <v>23</v>
      </c>
      <c r="D108" s="36" t="s">
        <v>24</v>
      </c>
      <c r="E108" s="37">
        <v>37.5</v>
      </c>
      <c r="F108" s="38">
        <v>100</v>
      </c>
      <c r="G108" s="38">
        <v>100</v>
      </c>
      <c r="H108" s="533">
        <v>12.5</v>
      </c>
      <c r="I108" s="197"/>
      <c r="J108" s="197"/>
    </row>
    <row r="109" spans="2:10" ht="12.75">
      <c r="B109" s="531"/>
      <c r="C109" s="35" t="s">
        <v>42</v>
      </c>
      <c r="D109" s="36" t="s">
        <v>43</v>
      </c>
      <c r="E109" s="37">
        <v>25</v>
      </c>
      <c r="F109" s="38">
        <v>90</v>
      </c>
      <c r="G109" s="38">
        <v>100</v>
      </c>
      <c r="H109" s="534"/>
      <c r="I109" s="197"/>
      <c r="J109" s="197"/>
    </row>
    <row r="110" spans="2:10" ht="12.75">
      <c r="B110" s="531"/>
      <c r="C110" s="35" t="s">
        <v>211</v>
      </c>
      <c r="D110" s="36" t="s">
        <v>212</v>
      </c>
      <c r="E110" s="37">
        <v>19</v>
      </c>
      <c r="F110" s="38"/>
      <c r="G110" s="38"/>
      <c r="H110" s="534"/>
      <c r="I110" s="197"/>
      <c r="J110" s="197"/>
    </row>
    <row r="111" spans="2:10" ht="12.75">
      <c r="B111" s="531"/>
      <c r="C111" s="35" t="s">
        <v>31</v>
      </c>
      <c r="D111" s="36" t="s">
        <v>32</v>
      </c>
      <c r="E111" s="37">
        <v>4.75</v>
      </c>
      <c r="F111" s="38"/>
      <c r="G111" s="38"/>
      <c r="H111" s="534"/>
      <c r="I111" s="198">
        <v>39.5</v>
      </c>
      <c r="J111" s="198">
        <v>39.5</v>
      </c>
    </row>
    <row r="112" spans="2:10" ht="12.75">
      <c r="B112" s="531"/>
      <c r="C112" s="35" t="s">
        <v>219</v>
      </c>
      <c r="D112" s="36" t="s">
        <v>220</v>
      </c>
      <c r="E112" s="37">
        <v>2.36</v>
      </c>
      <c r="F112" s="38">
        <v>19</v>
      </c>
      <c r="G112" s="38">
        <v>45</v>
      </c>
      <c r="H112" s="534"/>
      <c r="I112" s="198">
        <v>26.8</v>
      </c>
      <c r="J112" s="198">
        <v>30.8</v>
      </c>
    </row>
    <row r="113" spans="2:10" ht="12.75">
      <c r="B113" s="531"/>
      <c r="C113" s="35" t="s">
        <v>223</v>
      </c>
      <c r="D113" s="36" t="s">
        <v>224</v>
      </c>
      <c r="E113" s="37">
        <v>1.18</v>
      </c>
      <c r="F113" s="38"/>
      <c r="G113" s="38"/>
      <c r="H113" s="534"/>
      <c r="I113" s="198">
        <v>18.1</v>
      </c>
      <c r="J113" s="198">
        <v>24.1</v>
      </c>
    </row>
    <row r="114" spans="2:10" ht="12.75">
      <c r="B114" s="531"/>
      <c r="C114" s="35" t="s">
        <v>227</v>
      </c>
      <c r="D114" s="36" t="s">
        <v>257</v>
      </c>
      <c r="E114" s="37">
        <v>0.6</v>
      </c>
      <c r="F114" s="38"/>
      <c r="G114" s="38"/>
      <c r="H114" s="534"/>
      <c r="I114" s="198">
        <v>13.6</v>
      </c>
      <c r="J114" s="198">
        <v>17.5</v>
      </c>
    </row>
    <row r="115" spans="2:10" ht="12.75">
      <c r="B115" s="531"/>
      <c r="C115" s="35" t="s">
        <v>230</v>
      </c>
      <c r="D115" s="36" t="s">
        <v>258</v>
      </c>
      <c r="E115" s="37">
        <v>0.3</v>
      </c>
      <c r="F115" s="38"/>
      <c r="G115" s="38"/>
      <c r="H115" s="534"/>
      <c r="I115" s="198">
        <v>11.4</v>
      </c>
      <c r="J115" s="198">
        <v>11.4</v>
      </c>
    </row>
    <row r="116" spans="2:10" ht="12.75">
      <c r="B116" s="532"/>
      <c r="C116" s="35" t="s">
        <v>39</v>
      </c>
      <c r="D116" s="36" t="s">
        <v>40</v>
      </c>
      <c r="E116" s="37">
        <v>0.075</v>
      </c>
      <c r="F116" s="38">
        <v>1</v>
      </c>
      <c r="G116" s="38">
        <v>7</v>
      </c>
      <c r="H116" s="535"/>
      <c r="I116" s="197"/>
      <c r="J116" s="197"/>
    </row>
    <row r="117" spans="2:10" ht="12.75">
      <c r="B117" s="538" t="s">
        <v>260</v>
      </c>
      <c r="C117" s="29" t="s">
        <v>42</v>
      </c>
      <c r="D117" s="30" t="s">
        <v>43</v>
      </c>
      <c r="E117" s="31">
        <v>25</v>
      </c>
      <c r="F117" s="32">
        <v>100</v>
      </c>
      <c r="G117" s="32">
        <v>100</v>
      </c>
      <c r="H117" s="541">
        <v>13.5</v>
      </c>
      <c r="I117" s="195"/>
      <c r="J117" s="195"/>
    </row>
    <row r="118" spans="2:10" ht="12.75">
      <c r="B118" s="539"/>
      <c r="C118" s="29" t="s">
        <v>211</v>
      </c>
      <c r="D118" s="30" t="s">
        <v>212</v>
      </c>
      <c r="E118" s="31">
        <v>19</v>
      </c>
      <c r="F118" s="32">
        <v>90</v>
      </c>
      <c r="G118" s="32">
        <v>100</v>
      </c>
      <c r="H118" s="542"/>
      <c r="I118" s="195"/>
      <c r="J118" s="195"/>
    </row>
    <row r="119" spans="2:10" ht="12.75">
      <c r="B119" s="539"/>
      <c r="C119" s="29" t="s">
        <v>29</v>
      </c>
      <c r="D119" s="30" t="s">
        <v>30</v>
      </c>
      <c r="E119" s="31">
        <v>12.5</v>
      </c>
      <c r="F119" s="32"/>
      <c r="G119" s="32"/>
      <c r="H119" s="542"/>
      <c r="I119" s="195"/>
      <c r="J119" s="195"/>
    </row>
    <row r="120" spans="2:10" ht="12.75">
      <c r="B120" s="539"/>
      <c r="C120" s="29" t="s">
        <v>219</v>
      </c>
      <c r="D120" s="30" t="s">
        <v>220</v>
      </c>
      <c r="E120" s="31">
        <v>2.36</v>
      </c>
      <c r="F120" s="32">
        <v>23</v>
      </c>
      <c r="G120" s="32">
        <v>49</v>
      </c>
      <c r="H120" s="542"/>
      <c r="I120" s="196">
        <v>34.6</v>
      </c>
      <c r="J120" s="196">
        <v>34.6</v>
      </c>
    </row>
    <row r="121" spans="2:10" ht="12.75">
      <c r="B121" s="539"/>
      <c r="C121" s="29" t="s">
        <v>223</v>
      </c>
      <c r="D121" s="30" t="s">
        <v>224</v>
      </c>
      <c r="E121" s="31">
        <v>1.18</v>
      </c>
      <c r="F121" s="32"/>
      <c r="G121" s="32"/>
      <c r="H121" s="542"/>
      <c r="I121" s="196">
        <v>22.3</v>
      </c>
      <c r="J121" s="196">
        <v>28.3</v>
      </c>
    </row>
    <row r="122" spans="2:10" ht="12.75">
      <c r="B122" s="539"/>
      <c r="C122" s="29" t="s">
        <v>227</v>
      </c>
      <c r="D122" s="30" t="s">
        <v>257</v>
      </c>
      <c r="E122" s="31">
        <v>0.6</v>
      </c>
      <c r="F122" s="32"/>
      <c r="G122" s="32"/>
      <c r="H122" s="542"/>
      <c r="I122" s="196">
        <v>16.7</v>
      </c>
      <c r="J122" s="196">
        <v>20.7</v>
      </c>
    </row>
    <row r="123" spans="2:10" ht="12.75">
      <c r="B123" s="539"/>
      <c r="C123" s="29" t="s">
        <v>230</v>
      </c>
      <c r="D123" s="30" t="s">
        <v>258</v>
      </c>
      <c r="E123" s="31">
        <v>0.3</v>
      </c>
      <c r="F123" s="32"/>
      <c r="G123" s="32"/>
      <c r="H123" s="542"/>
      <c r="I123" s="196">
        <v>13.7</v>
      </c>
      <c r="J123" s="196">
        <v>13.7</v>
      </c>
    </row>
    <row r="124" spans="2:10" ht="12.75">
      <c r="B124" s="540"/>
      <c r="C124" s="29" t="s">
        <v>39</v>
      </c>
      <c r="D124" s="30" t="s">
        <v>40</v>
      </c>
      <c r="E124" s="31">
        <v>0.075</v>
      </c>
      <c r="F124" s="32">
        <v>2</v>
      </c>
      <c r="G124" s="32">
        <v>8</v>
      </c>
      <c r="H124" s="543"/>
      <c r="I124" s="195"/>
      <c r="J124" s="195"/>
    </row>
    <row r="125" spans="2:10" ht="12.75">
      <c r="B125" s="530" t="s">
        <v>261</v>
      </c>
      <c r="C125" s="35" t="s">
        <v>211</v>
      </c>
      <c r="D125" s="36" t="s">
        <v>212</v>
      </c>
      <c r="E125" s="37">
        <v>19</v>
      </c>
      <c r="F125" s="38">
        <v>100</v>
      </c>
      <c r="G125" s="38">
        <v>100</v>
      </c>
      <c r="H125" s="533">
        <v>14.5</v>
      </c>
      <c r="I125" s="197"/>
      <c r="J125" s="197"/>
    </row>
    <row r="126" spans="2:10" ht="12.75">
      <c r="B126" s="531"/>
      <c r="C126" s="35" t="s">
        <v>29</v>
      </c>
      <c r="D126" s="36" t="s">
        <v>30</v>
      </c>
      <c r="E126" s="37">
        <v>12.5</v>
      </c>
      <c r="F126" s="38">
        <v>90</v>
      </c>
      <c r="G126" s="38">
        <v>100</v>
      </c>
      <c r="H126" s="534"/>
      <c r="I126" s="197"/>
      <c r="J126" s="197"/>
    </row>
    <row r="127" spans="2:10" ht="12.75">
      <c r="B127" s="531"/>
      <c r="C127" s="35" t="s">
        <v>46</v>
      </c>
      <c r="D127" s="36" t="s">
        <v>47</v>
      </c>
      <c r="E127" s="37">
        <v>9.5</v>
      </c>
      <c r="F127" s="38"/>
      <c r="G127" s="38"/>
      <c r="H127" s="534"/>
      <c r="I127" s="197"/>
      <c r="J127" s="197"/>
    </row>
    <row r="128" spans="2:10" ht="12.75">
      <c r="B128" s="531"/>
      <c r="C128" s="35" t="s">
        <v>219</v>
      </c>
      <c r="D128" s="36" t="s">
        <v>220</v>
      </c>
      <c r="E128" s="37">
        <v>2.36</v>
      </c>
      <c r="F128" s="38">
        <v>28</v>
      </c>
      <c r="G128" s="38">
        <v>58</v>
      </c>
      <c r="H128" s="534"/>
      <c r="I128" s="198">
        <v>39.1</v>
      </c>
      <c r="J128" s="198">
        <v>39.1</v>
      </c>
    </row>
    <row r="129" spans="2:10" ht="12.75">
      <c r="B129" s="531"/>
      <c r="C129" s="35" t="s">
        <v>223</v>
      </c>
      <c r="D129" s="36" t="s">
        <v>224</v>
      </c>
      <c r="E129" s="37">
        <v>1.18</v>
      </c>
      <c r="F129" s="38"/>
      <c r="G129" s="38"/>
      <c r="H129" s="534"/>
      <c r="I129" s="198">
        <v>25.6</v>
      </c>
      <c r="J129" s="198">
        <v>31.6</v>
      </c>
    </row>
    <row r="130" spans="2:10" ht="12.75">
      <c r="B130" s="531"/>
      <c r="C130" s="35" t="s">
        <v>227</v>
      </c>
      <c r="D130" s="36" t="s">
        <v>257</v>
      </c>
      <c r="E130" s="37">
        <v>0.6</v>
      </c>
      <c r="F130" s="38"/>
      <c r="G130" s="38"/>
      <c r="H130" s="534"/>
      <c r="I130" s="198">
        <v>19.1</v>
      </c>
      <c r="J130" s="198">
        <v>23.1</v>
      </c>
    </row>
    <row r="131" spans="2:10" ht="12.75">
      <c r="B131" s="531"/>
      <c r="C131" s="35" t="s">
        <v>230</v>
      </c>
      <c r="D131" s="36" t="s">
        <v>258</v>
      </c>
      <c r="E131" s="37">
        <v>0.3</v>
      </c>
      <c r="F131" s="38"/>
      <c r="G131" s="38"/>
      <c r="H131" s="534"/>
      <c r="I131" s="198">
        <v>15.5</v>
      </c>
      <c r="J131" s="198">
        <v>15.5</v>
      </c>
    </row>
    <row r="132" spans="2:10" ht="12.75">
      <c r="B132" s="532"/>
      <c r="C132" s="35" t="s">
        <v>39</v>
      </c>
      <c r="D132" s="36" t="s">
        <v>40</v>
      </c>
      <c r="E132" s="37">
        <v>0.075</v>
      </c>
      <c r="F132" s="38">
        <v>2</v>
      </c>
      <c r="G132" s="38">
        <v>10</v>
      </c>
      <c r="H132" s="535"/>
      <c r="I132" s="197"/>
      <c r="J132" s="197"/>
    </row>
    <row r="133" spans="3:5" ht="12.75">
      <c r="C133" s="39"/>
      <c r="D133" s="39"/>
      <c r="E133" s="39"/>
    </row>
    <row r="134" spans="3:5" ht="12.75">
      <c r="C134" s="39"/>
      <c r="D134" s="39"/>
      <c r="E134" s="39"/>
    </row>
    <row r="135" spans="2:8" ht="12.75">
      <c r="B135" s="160" t="s">
        <v>206</v>
      </c>
      <c r="C135"/>
      <c r="D135"/>
      <c r="E135"/>
      <c r="G135" s="536" t="s">
        <v>262</v>
      </c>
      <c r="H135" s="537"/>
    </row>
    <row r="136" spans="2:8" ht="12.75">
      <c r="B136" s="192" t="s">
        <v>237</v>
      </c>
      <c r="C136" s="184" t="s">
        <v>238</v>
      </c>
      <c r="D136" s="189" t="s">
        <v>236</v>
      </c>
      <c r="E136" s="187" t="s">
        <v>239</v>
      </c>
      <c r="G136" s="526" t="s">
        <v>263</v>
      </c>
      <c r="H136" s="527"/>
    </row>
    <row r="137" spans="2:8" ht="12.75">
      <c r="B137" s="185" t="s">
        <v>207</v>
      </c>
      <c r="C137" s="185" t="s">
        <v>208</v>
      </c>
      <c r="D137" s="190" t="str">
        <f>IF(specyear="","",IF(specyear="1995",C137,B137))</f>
        <v>2"</v>
      </c>
      <c r="E137" s="188">
        <v>50</v>
      </c>
      <c r="G137" s="526" t="s">
        <v>264</v>
      </c>
      <c r="H137" s="527"/>
    </row>
    <row r="138" spans="2:8" ht="12.75">
      <c r="B138" s="185" t="s">
        <v>209</v>
      </c>
      <c r="C138" s="185" t="s">
        <v>210</v>
      </c>
      <c r="D138" s="190" t="str">
        <f aca="true" t="shared" si="3" ref="D138:D162">IF(specyear="","",IF(specyear="1995",C138,B138))</f>
        <v>1-3/4"</v>
      </c>
      <c r="E138" s="188">
        <v>45</v>
      </c>
      <c r="G138" s="528" t="s">
        <v>265</v>
      </c>
      <c r="H138" s="529"/>
    </row>
    <row r="139" spans="2:8" ht="12.75">
      <c r="B139" s="185" t="s">
        <v>23</v>
      </c>
      <c r="C139" s="185" t="s">
        <v>24</v>
      </c>
      <c r="D139" s="190" t="str">
        <f t="shared" si="3"/>
        <v>1-1/2"</v>
      </c>
      <c r="E139" s="188">
        <v>37.5</v>
      </c>
      <c r="G139" s="528" t="s">
        <v>266</v>
      </c>
      <c r="H139" s="529"/>
    </row>
    <row r="140" spans="2:8" ht="12.75">
      <c r="B140" s="185" t="s">
        <v>25</v>
      </c>
      <c r="C140" s="185" t="s">
        <v>26</v>
      </c>
      <c r="D140" s="190" t="str">
        <f t="shared" si="3"/>
        <v>1-1/4"</v>
      </c>
      <c r="E140" s="188">
        <v>31.5</v>
      </c>
      <c r="G140" s="528" t="s">
        <v>267</v>
      </c>
      <c r="H140" s="529"/>
    </row>
    <row r="141" spans="2:8" ht="12.75">
      <c r="B141" s="185" t="s">
        <v>42</v>
      </c>
      <c r="C141" s="185" t="s">
        <v>43</v>
      </c>
      <c r="D141" s="190" t="str">
        <f t="shared" si="3"/>
        <v>1"</v>
      </c>
      <c r="E141" s="188">
        <v>25</v>
      </c>
      <c r="G141" s="528" t="s">
        <v>268</v>
      </c>
      <c r="H141" s="529"/>
    </row>
    <row r="142" spans="2:8" ht="12.75">
      <c r="B142" s="186" t="s">
        <v>27</v>
      </c>
      <c r="C142" s="185" t="s">
        <v>28</v>
      </c>
      <c r="D142" s="190" t="str">
        <f t="shared" si="3"/>
        <v>7/8"</v>
      </c>
      <c r="E142" s="188">
        <v>22.4</v>
      </c>
      <c r="G142" s="528" t="s">
        <v>269</v>
      </c>
      <c r="H142" s="529"/>
    </row>
    <row r="143" spans="2:8" ht="12.75">
      <c r="B143" s="185" t="s">
        <v>211</v>
      </c>
      <c r="C143" s="185" t="s">
        <v>212</v>
      </c>
      <c r="D143" s="190" t="str">
        <f t="shared" si="3"/>
        <v>3/4"</v>
      </c>
      <c r="E143" s="188">
        <v>19</v>
      </c>
      <c r="G143" s="528" t="s">
        <v>253</v>
      </c>
      <c r="H143" s="529"/>
    </row>
    <row r="144" spans="2:8" ht="12.75">
      <c r="B144" s="185" t="s">
        <v>44</v>
      </c>
      <c r="C144" s="185" t="s">
        <v>45</v>
      </c>
      <c r="D144" s="190" t="str">
        <f t="shared" si="3"/>
        <v>5/8"</v>
      </c>
      <c r="E144" s="188">
        <v>16</v>
      </c>
      <c r="G144" s="528" t="s">
        <v>254</v>
      </c>
      <c r="H144" s="529"/>
    </row>
    <row r="145" spans="2:8" ht="12.75">
      <c r="B145" s="185" t="s">
        <v>29</v>
      </c>
      <c r="C145" s="185" t="s">
        <v>30</v>
      </c>
      <c r="D145" s="190" t="str">
        <f t="shared" si="3"/>
        <v>1/2"</v>
      </c>
      <c r="E145" s="188">
        <v>12.5</v>
      </c>
      <c r="G145" s="528" t="s">
        <v>270</v>
      </c>
      <c r="H145" s="529"/>
    </row>
    <row r="146" spans="2:8" ht="12.75">
      <c r="B146" s="185" t="s">
        <v>213</v>
      </c>
      <c r="C146" s="185" t="s">
        <v>214</v>
      </c>
      <c r="D146" s="190" t="str">
        <f t="shared" si="3"/>
        <v>7/16"</v>
      </c>
      <c r="E146" s="188">
        <v>11.2</v>
      </c>
      <c r="G146" s="528" t="s">
        <v>271</v>
      </c>
      <c r="H146" s="529"/>
    </row>
    <row r="147" spans="2:8" ht="12.75">
      <c r="B147" s="185" t="s">
        <v>46</v>
      </c>
      <c r="C147" s="185" t="s">
        <v>47</v>
      </c>
      <c r="D147" s="190" t="str">
        <f t="shared" si="3"/>
        <v>3/8"</v>
      </c>
      <c r="E147" s="188">
        <v>9.5</v>
      </c>
      <c r="G147" s="528" t="s">
        <v>272</v>
      </c>
      <c r="H147" s="529"/>
    </row>
    <row r="148" spans="2:8" ht="12.75">
      <c r="B148" s="185" t="s">
        <v>215</v>
      </c>
      <c r="C148" s="185" t="s">
        <v>216</v>
      </c>
      <c r="D148" s="190" t="str">
        <f t="shared" si="3"/>
        <v>5/16"</v>
      </c>
      <c r="E148" s="188">
        <v>8</v>
      </c>
      <c r="G148" s="526" t="s">
        <v>273</v>
      </c>
      <c r="H148" s="527"/>
    </row>
    <row r="149" spans="2:8" ht="12.75">
      <c r="B149" s="185" t="s">
        <v>51</v>
      </c>
      <c r="C149" s="185" t="s">
        <v>52</v>
      </c>
      <c r="D149" s="190" t="str">
        <f t="shared" si="3"/>
        <v>1/4"</v>
      </c>
      <c r="E149" s="188">
        <v>6.3</v>
      </c>
      <c r="G149" s="526" t="s">
        <v>274</v>
      </c>
      <c r="H149" s="527"/>
    </row>
    <row r="150" spans="2:8" ht="12.75">
      <c r="B150" s="185" t="s">
        <v>31</v>
      </c>
      <c r="C150" s="185" t="s">
        <v>32</v>
      </c>
      <c r="D150" s="190" t="str">
        <f t="shared" si="3"/>
        <v>No. 4</v>
      </c>
      <c r="E150" s="188">
        <v>4.75</v>
      </c>
      <c r="G150" s="526" t="s">
        <v>275</v>
      </c>
      <c r="H150" s="527"/>
    </row>
    <row r="151" spans="2:8" ht="12.75">
      <c r="B151" s="185" t="s">
        <v>217</v>
      </c>
      <c r="C151" s="185" t="s">
        <v>218</v>
      </c>
      <c r="D151" s="190" t="str">
        <f t="shared" si="3"/>
        <v>No. 6</v>
      </c>
      <c r="E151" s="188">
        <v>3.35</v>
      </c>
      <c r="G151" s="526" t="s">
        <v>276</v>
      </c>
      <c r="H151" s="527"/>
    </row>
    <row r="152" spans="2:8" ht="12.75">
      <c r="B152" s="185" t="s">
        <v>219</v>
      </c>
      <c r="C152" s="185" t="s">
        <v>220</v>
      </c>
      <c r="D152" s="190" t="str">
        <f t="shared" si="3"/>
        <v>No. 8</v>
      </c>
      <c r="E152" s="188">
        <v>2.36</v>
      </c>
      <c r="G152" s="526" t="s">
        <v>277</v>
      </c>
      <c r="H152" s="527"/>
    </row>
    <row r="153" spans="2:8" ht="12.75">
      <c r="B153" s="185" t="s">
        <v>33</v>
      </c>
      <c r="C153" s="185" t="s">
        <v>34</v>
      </c>
      <c r="D153" s="190" t="str">
        <f t="shared" si="3"/>
        <v>No. 10</v>
      </c>
      <c r="E153" s="188">
        <v>2</v>
      </c>
      <c r="G153" s="526" t="s">
        <v>278</v>
      </c>
      <c r="H153" s="527"/>
    </row>
    <row r="154" spans="2:8" ht="12.75">
      <c r="B154" s="185" t="s">
        <v>221</v>
      </c>
      <c r="C154" s="185" t="s">
        <v>222</v>
      </c>
      <c r="D154" s="190" t="str">
        <f t="shared" si="3"/>
        <v>No. 14</v>
      </c>
      <c r="E154" s="188">
        <v>1.4</v>
      </c>
      <c r="G154" s="526" t="s">
        <v>279</v>
      </c>
      <c r="H154" s="527"/>
    </row>
    <row r="155" spans="2:8" ht="12.75">
      <c r="B155" s="185" t="s">
        <v>223</v>
      </c>
      <c r="C155" s="185" t="s">
        <v>224</v>
      </c>
      <c r="D155" s="190" t="str">
        <f t="shared" si="3"/>
        <v>No. 16</v>
      </c>
      <c r="E155" s="188">
        <v>1.18</v>
      </c>
      <c r="G155" s="526" t="s">
        <v>280</v>
      </c>
      <c r="H155" s="527"/>
    </row>
    <row r="156" spans="2:8" ht="12.75">
      <c r="B156" s="185" t="s">
        <v>225</v>
      </c>
      <c r="C156" s="187" t="s">
        <v>226</v>
      </c>
      <c r="D156" s="190" t="str">
        <f t="shared" si="3"/>
        <v>No. 20</v>
      </c>
      <c r="E156" s="188">
        <v>0.085</v>
      </c>
      <c r="G156" s="526" t="s">
        <v>281</v>
      </c>
      <c r="H156" s="527"/>
    </row>
    <row r="157" spans="2:5" ht="12.75">
      <c r="B157" s="185" t="s">
        <v>227</v>
      </c>
      <c r="C157" s="187" t="s">
        <v>228</v>
      </c>
      <c r="D157" s="190" t="str">
        <f t="shared" si="3"/>
        <v>No. 30</v>
      </c>
      <c r="E157" s="188">
        <v>0.06</v>
      </c>
    </row>
    <row r="158" spans="2:5" ht="12.75">
      <c r="B158" s="185" t="s">
        <v>35</v>
      </c>
      <c r="C158" s="187" t="s">
        <v>229</v>
      </c>
      <c r="D158" s="190" t="str">
        <f t="shared" si="3"/>
        <v>No. 40</v>
      </c>
      <c r="E158" s="188">
        <v>0.0425</v>
      </c>
    </row>
    <row r="159" spans="2:5" ht="12.75">
      <c r="B159" s="185" t="s">
        <v>230</v>
      </c>
      <c r="C159" s="187" t="s">
        <v>231</v>
      </c>
      <c r="D159" s="190" t="str">
        <f t="shared" si="3"/>
        <v>No. 50</v>
      </c>
      <c r="E159" s="188">
        <v>0.03</v>
      </c>
    </row>
    <row r="160" spans="2:5" ht="12.75">
      <c r="B160" s="185" t="s">
        <v>37</v>
      </c>
      <c r="C160" s="187" t="s">
        <v>232</v>
      </c>
      <c r="D160" s="190" t="str">
        <f t="shared" si="3"/>
        <v>No. 80</v>
      </c>
      <c r="E160" s="188">
        <v>0.018</v>
      </c>
    </row>
    <row r="161" spans="2:5" ht="12.75">
      <c r="B161" s="185" t="s">
        <v>233</v>
      </c>
      <c r="C161" s="187" t="s">
        <v>234</v>
      </c>
      <c r="D161" s="190" t="str">
        <f t="shared" si="3"/>
        <v>No. 100</v>
      </c>
      <c r="E161" s="188">
        <v>0.015</v>
      </c>
    </row>
    <row r="162" spans="2:5" ht="12.75">
      <c r="B162" s="185" t="s">
        <v>39</v>
      </c>
      <c r="C162" s="187" t="s">
        <v>235</v>
      </c>
      <c r="D162" s="190" t="str">
        <f t="shared" si="3"/>
        <v>No. 200</v>
      </c>
      <c r="E162" s="188">
        <v>0.0075</v>
      </c>
    </row>
    <row r="163" spans="2:5" ht="12.75">
      <c r="B163" s="184"/>
      <c r="C163" s="184"/>
      <c r="D163" s="190"/>
      <c r="E163" s="184"/>
    </row>
    <row r="164" spans="3:5" ht="12.75">
      <c r="C164" s="39"/>
      <c r="D164" s="39"/>
      <c r="E164" s="39"/>
    </row>
    <row r="165" spans="3:5" ht="12.75">
      <c r="C165" s="39"/>
      <c r="D165" s="39"/>
      <c r="E165" s="39"/>
    </row>
    <row r="166" spans="3:5" ht="12.75">
      <c r="C166" s="39"/>
      <c r="D166" s="39"/>
      <c r="E166" s="39"/>
    </row>
    <row r="167" spans="3:5" ht="12.75">
      <c r="C167" s="39"/>
      <c r="D167" s="39"/>
      <c r="E167" s="39"/>
    </row>
    <row r="168" spans="3:5" ht="12.75">
      <c r="C168" s="39"/>
      <c r="D168" s="39"/>
      <c r="E168" s="39"/>
    </row>
    <row r="169" spans="3:5" ht="12.75">
      <c r="C169" s="39"/>
      <c r="D169" s="39"/>
      <c r="E169" s="39"/>
    </row>
    <row r="170" spans="3:5" ht="12.75">
      <c r="C170" s="39"/>
      <c r="D170" s="39"/>
      <c r="E170" s="39"/>
    </row>
    <row r="171" spans="3:5" ht="12.75">
      <c r="C171" s="39"/>
      <c r="D171" s="39"/>
      <c r="E171" s="39"/>
    </row>
    <row r="172" spans="3:5" ht="12.75">
      <c r="C172" s="39"/>
      <c r="D172" s="39"/>
      <c r="E172" s="39"/>
    </row>
    <row r="173" spans="3:5" ht="12.75">
      <c r="C173" s="39"/>
      <c r="D173" s="39"/>
      <c r="E173" s="39"/>
    </row>
    <row r="174" spans="3:5" ht="12.75">
      <c r="C174" s="39"/>
      <c r="D174" s="39"/>
      <c r="E174" s="39"/>
    </row>
    <row r="175" spans="3:5" ht="12.75">
      <c r="C175" s="39"/>
      <c r="D175" s="39"/>
      <c r="E175" s="39"/>
    </row>
    <row r="176" spans="3:5" ht="12.75">
      <c r="C176" s="39"/>
      <c r="D176" s="39"/>
      <c r="E176" s="39"/>
    </row>
    <row r="177" spans="3:5" ht="12.75">
      <c r="C177" s="39"/>
      <c r="D177" s="39"/>
      <c r="E177" s="39"/>
    </row>
    <row r="178" spans="3:5" ht="12.75">
      <c r="C178" s="39"/>
      <c r="D178" s="39"/>
      <c r="E178" s="39"/>
    </row>
    <row r="179" spans="3:5" ht="12.75">
      <c r="C179" s="39"/>
      <c r="D179" s="39"/>
      <c r="E179" s="39"/>
    </row>
    <row r="180" spans="3:5" ht="12.75">
      <c r="C180" s="39"/>
      <c r="D180" s="39"/>
      <c r="E180" s="39"/>
    </row>
    <row r="181" spans="3:5" ht="12.75">
      <c r="C181" s="39"/>
      <c r="D181" s="39"/>
      <c r="E181" s="39"/>
    </row>
    <row r="182" spans="3:5" ht="12.75">
      <c r="C182" s="39"/>
      <c r="D182" s="39"/>
      <c r="E182" s="39"/>
    </row>
    <row r="183" spans="3:5" ht="12.75">
      <c r="C183" s="39"/>
      <c r="D183" s="39"/>
      <c r="E183" s="39"/>
    </row>
    <row r="184" spans="3:5" ht="12.75">
      <c r="C184" s="39"/>
      <c r="D184" s="39"/>
      <c r="E184" s="39"/>
    </row>
    <row r="185" spans="3:5" ht="12.75">
      <c r="C185" s="39"/>
      <c r="D185" s="39"/>
      <c r="E185" s="39"/>
    </row>
    <row r="186" spans="3:5" ht="12.75">
      <c r="C186" s="39"/>
      <c r="D186" s="39"/>
      <c r="E186" s="39"/>
    </row>
    <row r="187" spans="3:5" ht="12.75">
      <c r="C187" s="39"/>
      <c r="D187" s="39"/>
      <c r="E187" s="39"/>
    </row>
    <row r="188" spans="3:5" ht="12.75">
      <c r="C188" s="39"/>
      <c r="D188" s="39"/>
      <c r="E188" s="39"/>
    </row>
    <row r="189" spans="3:5" ht="12.75">
      <c r="C189" s="39"/>
      <c r="D189" s="39"/>
      <c r="E189" s="39"/>
    </row>
    <row r="190" spans="3:5" ht="12.75">
      <c r="C190" s="39"/>
      <c r="D190" s="39"/>
      <c r="E190" s="39"/>
    </row>
    <row r="191" spans="3:5" ht="12.75">
      <c r="C191" s="39"/>
      <c r="D191" s="39"/>
      <c r="E191" s="39"/>
    </row>
    <row r="192" spans="3:5" ht="12.75">
      <c r="C192" s="39"/>
      <c r="D192" s="39"/>
      <c r="E192" s="39"/>
    </row>
    <row r="193" spans="3:5" ht="12.75">
      <c r="C193" s="39"/>
      <c r="D193" s="39"/>
      <c r="E193" s="39"/>
    </row>
    <row r="194" spans="3:5" ht="12.75">
      <c r="C194" s="39"/>
      <c r="D194" s="39"/>
      <c r="E194" s="39"/>
    </row>
    <row r="195" spans="3:5" ht="12.75">
      <c r="C195" s="39"/>
      <c r="D195" s="39"/>
      <c r="E195" s="39"/>
    </row>
    <row r="196" spans="3:5" ht="12.75">
      <c r="C196" s="39"/>
      <c r="D196" s="39"/>
      <c r="E196" s="39"/>
    </row>
    <row r="197" spans="3:5" ht="12.75">
      <c r="C197" s="39"/>
      <c r="D197" s="39"/>
      <c r="E197" s="39"/>
    </row>
    <row r="198" spans="3:5" ht="12.75">
      <c r="C198" s="39"/>
      <c r="D198" s="39"/>
      <c r="E198" s="39"/>
    </row>
    <row r="199" spans="3:5" ht="12.75">
      <c r="C199" s="39"/>
      <c r="D199" s="39"/>
      <c r="E199" s="39"/>
    </row>
    <row r="200" spans="3:5" ht="12.75">
      <c r="C200" s="39"/>
      <c r="D200" s="39"/>
      <c r="E200" s="39"/>
    </row>
    <row r="201" spans="3:5" ht="12.75">
      <c r="C201" s="39"/>
      <c r="D201" s="39"/>
      <c r="E201" s="39"/>
    </row>
    <row r="202" spans="3:5" ht="12.75">
      <c r="C202" s="39"/>
      <c r="D202" s="39"/>
      <c r="E202" s="39"/>
    </row>
    <row r="203" spans="3:5" ht="12.75">
      <c r="C203" s="39"/>
      <c r="D203" s="39"/>
      <c r="E203" s="39"/>
    </row>
    <row r="204" spans="3:5" ht="12.75">
      <c r="C204" s="39"/>
      <c r="D204" s="39"/>
      <c r="E204" s="39"/>
    </row>
    <row r="205" spans="3:5" ht="12.75">
      <c r="C205" s="39"/>
      <c r="D205" s="39"/>
      <c r="E205" s="39"/>
    </row>
    <row r="206" spans="3:5" ht="12.75">
      <c r="C206" s="39"/>
      <c r="D206" s="39"/>
      <c r="E206" s="39"/>
    </row>
    <row r="207" spans="3:5" ht="12.75">
      <c r="C207" s="39"/>
      <c r="D207" s="39"/>
      <c r="E207" s="39"/>
    </row>
    <row r="208" spans="3:5" ht="12.75">
      <c r="C208" s="39"/>
      <c r="D208" s="39"/>
      <c r="E208" s="39"/>
    </row>
    <row r="209" spans="3:5" ht="12.75">
      <c r="C209" s="39"/>
      <c r="D209" s="39"/>
      <c r="E209" s="39"/>
    </row>
    <row r="210" spans="3:5" ht="12.75">
      <c r="C210" s="39"/>
      <c r="D210" s="39"/>
      <c r="E210" s="39"/>
    </row>
    <row r="211" spans="3:5" ht="12.75">
      <c r="C211" s="39"/>
      <c r="D211" s="39"/>
      <c r="E211" s="39"/>
    </row>
    <row r="212" spans="3:5" ht="12.75">
      <c r="C212" s="39"/>
      <c r="D212" s="39"/>
      <c r="E212" s="39"/>
    </row>
    <row r="213" spans="3:5" ht="12.75">
      <c r="C213" s="39"/>
      <c r="D213" s="39"/>
      <c r="E213" s="39"/>
    </row>
    <row r="214" spans="3:5" ht="12.75">
      <c r="C214" s="39"/>
      <c r="D214" s="39"/>
      <c r="E214" s="39"/>
    </row>
    <row r="215" spans="3:5" ht="12.75">
      <c r="C215" s="39"/>
      <c r="D215" s="39"/>
      <c r="E215" s="39"/>
    </row>
    <row r="216" spans="3:5" ht="12.75">
      <c r="C216" s="39"/>
      <c r="D216" s="39"/>
      <c r="E216" s="39"/>
    </row>
    <row r="217" spans="3:5" ht="12.75">
      <c r="C217" s="39"/>
      <c r="D217" s="39"/>
      <c r="E217" s="39"/>
    </row>
    <row r="218" spans="3:5" ht="12.75">
      <c r="C218" s="39"/>
      <c r="D218" s="39"/>
      <c r="E218" s="39"/>
    </row>
    <row r="219" spans="3:5" ht="12.75">
      <c r="C219" s="39"/>
      <c r="D219" s="39"/>
      <c r="E219" s="39"/>
    </row>
    <row r="220" spans="3:5" ht="12.75">
      <c r="C220" s="39"/>
      <c r="D220" s="39"/>
      <c r="E220" s="39"/>
    </row>
    <row r="221" spans="3:5" ht="12.75">
      <c r="C221" s="39"/>
      <c r="D221" s="39"/>
      <c r="E221" s="39"/>
    </row>
    <row r="222" spans="3:5" ht="12.75">
      <c r="C222" s="39"/>
      <c r="D222" s="39"/>
      <c r="E222" s="39"/>
    </row>
    <row r="223" spans="3:5" ht="12.75">
      <c r="C223" s="39"/>
      <c r="D223" s="39"/>
      <c r="E223" s="39"/>
    </row>
    <row r="224" spans="3:5" ht="12.75">
      <c r="C224" s="39"/>
      <c r="D224" s="39"/>
      <c r="E224" s="39"/>
    </row>
    <row r="225" spans="3:5" ht="12.75">
      <c r="C225" s="39"/>
      <c r="D225" s="39"/>
      <c r="E225" s="39"/>
    </row>
    <row r="226" spans="3:5" ht="12.75">
      <c r="C226" s="39"/>
      <c r="D226" s="39"/>
      <c r="E226" s="39"/>
    </row>
    <row r="227" spans="3:5" ht="12.75">
      <c r="C227" s="39"/>
      <c r="D227" s="39"/>
      <c r="E227" s="39"/>
    </row>
    <row r="228" spans="3:5" ht="12.75">
      <c r="C228" s="39"/>
      <c r="D228" s="39"/>
      <c r="E228" s="39"/>
    </row>
    <row r="229" spans="3:5" ht="12.75">
      <c r="C229" s="39"/>
      <c r="D229" s="39"/>
      <c r="E229" s="39"/>
    </row>
    <row r="230" spans="3:5" ht="12.75">
      <c r="C230" s="39"/>
      <c r="D230" s="39"/>
      <c r="E230" s="39"/>
    </row>
    <row r="231" spans="3:5" ht="12.75">
      <c r="C231" s="39"/>
      <c r="D231" s="39"/>
      <c r="E231" s="39"/>
    </row>
    <row r="232" spans="3:5" ht="12.75">
      <c r="C232" s="39"/>
      <c r="D232" s="39"/>
      <c r="E232" s="39"/>
    </row>
    <row r="233" spans="3:5" ht="12.75">
      <c r="C233" s="39"/>
      <c r="D233" s="39"/>
      <c r="E233" s="39"/>
    </row>
    <row r="234" spans="3:5" ht="12.75">
      <c r="C234" s="39"/>
      <c r="D234" s="39"/>
      <c r="E234" s="39"/>
    </row>
    <row r="235" spans="3:5" ht="12.75">
      <c r="C235" s="39"/>
      <c r="D235" s="39"/>
      <c r="E235" s="39"/>
    </row>
    <row r="236" spans="3:5" ht="12.75">
      <c r="C236" s="39"/>
      <c r="D236" s="39"/>
      <c r="E236" s="39"/>
    </row>
    <row r="237" spans="3:5" ht="12.75">
      <c r="C237" s="39"/>
      <c r="D237" s="39"/>
      <c r="E237" s="39"/>
    </row>
    <row r="238" spans="3:5" ht="12.75">
      <c r="C238" s="39"/>
      <c r="D238" s="39"/>
      <c r="E238" s="39"/>
    </row>
    <row r="239" spans="3:5" ht="12.75">
      <c r="C239" s="39"/>
      <c r="D239" s="39"/>
      <c r="E239" s="39"/>
    </row>
    <row r="240" spans="3:5" ht="12.75">
      <c r="C240" s="39"/>
      <c r="D240" s="39"/>
      <c r="E240" s="39"/>
    </row>
    <row r="241" spans="3:5" ht="12.75">
      <c r="C241" s="39"/>
      <c r="D241" s="39"/>
      <c r="E241" s="39"/>
    </row>
    <row r="242" spans="3:5" ht="12.75">
      <c r="C242" s="39"/>
      <c r="D242" s="39"/>
      <c r="E242" s="39"/>
    </row>
    <row r="243" spans="3:5" ht="12.75">
      <c r="C243" s="39"/>
      <c r="D243" s="39"/>
      <c r="E243" s="39"/>
    </row>
    <row r="244" spans="3:5" ht="12.75">
      <c r="C244" s="39"/>
      <c r="D244" s="39"/>
      <c r="E244" s="39"/>
    </row>
    <row r="245" spans="3:5" ht="12.75">
      <c r="C245" s="39"/>
      <c r="D245" s="39"/>
      <c r="E245" s="39"/>
    </row>
    <row r="246" spans="3:5" ht="12.75">
      <c r="C246" s="39"/>
      <c r="D246" s="39"/>
      <c r="E246" s="39"/>
    </row>
    <row r="247" spans="3:5" ht="12.75">
      <c r="C247" s="39"/>
      <c r="D247" s="39"/>
      <c r="E247" s="39"/>
    </row>
    <row r="248" spans="3:5" ht="12.75">
      <c r="C248" s="39"/>
      <c r="D248" s="39"/>
      <c r="E248" s="39"/>
    </row>
    <row r="249" spans="3:5" ht="12.75">
      <c r="C249" s="39"/>
      <c r="D249" s="39"/>
      <c r="E249" s="39"/>
    </row>
    <row r="250" spans="3:5" ht="12.75">
      <c r="C250" s="39"/>
      <c r="D250" s="39"/>
      <c r="E250" s="39"/>
    </row>
    <row r="251" spans="3:5" ht="12.75">
      <c r="C251" s="39"/>
      <c r="D251" s="39"/>
      <c r="E251" s="39"/>
    </row>
    <row r="252" spans="3:5" ht="12.75">
      <c r="C252" s="39"/>
      <c r="D252" s="39"/>
      <c r="E252" s="39"/>
    </row>
    <row r="253" spans="3:5" ht="12.75">
      <c r="C253" s="39"/>
      <c r="D253" s="39"/>
      <c r="E253" s="39"/>
    </row>
    <row r="254" spans="3:5" ht="12.75">
      <c r="C254" s="39"/>
      <c r="D254" s="39"/>
      <c r="E254" s="39"/>
    </row>
    <row r="255" spans="3:5" ht="12.75">
      <c r="C255" s="39"/>
      <c r="D255" s="39"/>
      <c r="E255" s="39"/>
    </row>
    <row r="256" spans="3:5" ht="12.75">
      <c r="C256" s="39"/>
      <c r="D256" s="39"/>
      <c r="E256" s="39"/>
    </row>
    <row r="257" spans="3:5" ht="12.75">
      <c r="C257" s="39"/>
      <c r="D257" s="39"/>
      <c r="E257" s="39"/>
    </row>
    <row r="258" spans="3:5" ht="12.75">
      <c r="C258" s="39"/>
      <c r="D258" s="39"/>
      <c r="E258" s="39"/>
    </row>
    <row r="259" spans="3:5" ht="12.75">
      <c r="C259" s="39"/>
      <c r="D259" s="39"/>
      <c r="E259" s="39"/>
    </row>
    <row r="260" spans="3:5" ht="12.75">
      <c r="C260" s="39"/>
      <c r="D260" s="39"/>
      <c r="E260" s="39"/>
    </row>
    <row r="261" spans="3:5" ht="12.75">
      <c r="C261" s="39"/>
      <c r="D261" s="39"/>
      <c r="E261" s="39"/>
    </row>
    <row r="262" spans="3:5" ht="12.75">
      <c r="C262" s="39"/>
      <c r="D262" s="39"/>
      <c r="E262" s="39"/>
    </row>
    <row r="263" spans="3:5" ht="12.75">
      <c r="C263" s="39"/>
      <c r="D263" s="39"/>
      <c r="E263" s="39"/>
    </row>
    <row r="264" spans="3:5" ht="12.75">
      <c r="C264" s="39"/>
      <c r="D264" s="39"/>
      <c r="E264" s="39"/>
    </row>
    <row r="265" spans="3:5" ht="12.75">
      <c r="C265" s="39"/>
      <c r="D265" s="39"/>
      <c r="E265" s="39"/>
    </row>
    <row r="266" spans="3:5" ht="12.75">
      <c r="C266" s="39"/>
      <c r="D266" s="39"/>
      <c r="E266" s="39"/>
    </row>
    <row r="267" spans="3:5" ht="12.75">
      <c r="C267" s="39"/>
      <c r="D267" s="39"/>
      <c r="E267" s="39"/>
    </row>
    <row r="268" spans="3:5" ht="12.75">
      <c r="C268" s="39"/>
      <c r="D268" s="39"/>
      <c r="E268" s="39"/>
    </row>
    <row r="269" spans="3:5" ht="12.75">
      <c r="C269" s="39"/>
      <c r="D269" s="39"/>
      <c r="E269" s="39"/>
    </row>
    <row r="270" spans="3:5" ht="12.75">
      <c r="C270" s="39"/>
      <c r="D270" s="39"/>
      <c r="E270" s="39"/>
    </row>
    <row r="271" spans="3:5" ht="12.75">
      <c r="C271" s="39"/>
      <c r="D271" s="39"/>
      <c r="E271" s="39"/>
    </row>
    <row r="272" spans="3:5" ht="12.75">
      <c r="C272" s="39"/>
      <c r="D272" s="39"/>
      <c r="E272" s="39"/>
    </row>
    <row r="273" spans="3:5" ht="12.75">
      <c r="C273" s="39"/>
      <c r="D273" s="39"/>
      <c r="E273" s="39"/>
    </row>
    <row r="274" spans="3:5" ht="12.75">
      <c r="C274" s="39"/>
      <c r="D274" s="39"/>
      <c r="E274" s="39"/>
    </row>
    <row r="275" spans="3:5" ht="12.75">
      <c r="C275" s="39"/>
      <c r="D275" s="39"/>
      <c r="E275" s="39"/>
    </row>
    <row r="276" spans="3:5" ht="12.75">
      <c r="C276" s="39"/>
      <c r="D276" s="39"/>
      <c r="E276" s="39"/>
    </row>
    <row r="277" spans="3:5" ht="12.75">
      <c r="C277" s="39"/>
      <c r="D277" s="39"/>
      <c r="E277" s="39"/>
    </row>
    <row r="278" spans="3:5" ht="12.75">
      <c r="C278" s="39"/>
      <c r="D278" s="39"/>
      <c r="E278" s="39"/>
    </row>
    <row r="279" spans="3:5" ht="12.75">
      <c r="C279" s="39"/>
      <c r="D279" s="39"/>
      <c r="E279" s="39"/>
    </row>
    <row r="280" spans="3:5" ht="12.75">
      <c r="C280" s="39"/>
      <c r="D280" s="39"/>
      <c r="E280" s="39"/>
    </row>
  </sheetData>
  <sheetProtection sheet="1" objects="1" scenarios="1"/>
  <mergeCells count="58">
    <mergeCell ref="I98:J98"/>
    <mergeCell ref="B4:B12"/>
    <mergeCell ref="B13:B21"/>
    <mergeCell ref="B43:B50"/>
    <mergeCell ref="H51:H57"/>
    <mergeCell ref="B30:B36"/>
    <mergeCell ref="B51:B57"/>
    <mergeCell ref="B37:B42"/>
    <mergeCell ref="B58:B66"/>
    <mergeCell ref="H58:H66"/>
    <mergeCell ref="F2:G2"/>
    <mergeCell ref="H30:H36"/>
    <mergeCell ref="H37:H42"/>
    <mergeCell ref="H43:H50"/>
    <mergeCell ref="H4:H12"/>
    <mergeCell ref="H13:H21"/>
    <mergeCell ref="H22:H29"/>
    <mergeCell ref="B22:B29"/>
    <mergeCell ref="B67:B72"/>
    <mergeCell ref="H67:H72"/>
    <mergeCell ref="B73:B78"/>
    <mergeCell ref="H73:H78"/>
    <mergeCell ref="B79:B86"/>
    <mergeCell ref="H79:H86"/>
    <mergeCell ref="B87:B92"/>
    <mergeCell ref="H87:H92"/>
    <mergeCell ref="B93:B98"/>
    <mergeCell ref="H93:H98"/>
    <mergeCell ref="B99:B107"/>
    <mergeCell ref="H99:H107"/>
    <mergeCell ref="B108:B116"/>
    <mergeCell ref="H108:H116"/>
    <mergeCell ref="B117:B124"/>
    <mergeCell ref="H117:H124"/>
    <mergeCell ref="B125:B132"/>
    <mergeCell ref="H125:H132"/>
    <mergeCell ref="G135:H135"/>
    <mergeCell ref="G136:H136"/>
    <mergeCell ref="G140:H140"/>
    <mergeCell ref="G141:H141"/>
    <mergeCell ref="G142:H142"/>
    <mergeCell ref="G137:H137"/>
    <mergeCell ref="G138:H138"/>
    <mergeCell ref="G139:H139"/>
    <mergeCell ref="G143:H143"/>
    <mergeCell ref="G144:H144"/>
    <mergeCell ref="G145:H145"/>
    <mergeCell ref="G146:H146"/>
    <mergeCell ref="G147:H147"/>
    <mergeCell ref="G148:H148"/>
    <mergeCell ref="G149:H149"/>
    <mergeCell ref="G150:H150"/>
    <mergeCell ref="G155:H155"/>
    <mergeCell ref="G156:H156"/>
    <mergeCell ref="G151:H151"/>
    <mergeCell ref="G152:H152"/>
    <mergeCell ref="G153:H153"/>
    <mergeCell ref="G154:H154"/>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TxDOT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STEWART DEWITT</dc:creator>
  <cp:keywords/>
  <dc:description/>
  <cp:lastModifiedBy>x-hu</cp:lastModifiedBy>
  <cp:lastPrinted>2005-02-08T23:21:40Z</cp:lastPrinted>
  <dcterms:created xsi:type="dcterms:W3CDTF">2001-01-26T17:31:04Z</dcterms:created>
  <dcterms:modified xsi:type="dcterms:W3CDTF">2010-11-18T21:44:23Z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