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45" yWindow="65521" windowWidth="2595" windowHeight="5490" tabRatio="822" activeTab="0"/>
  </bookViews>
  <sheets>
    <sheet name="Combined Gradation" sheetId="1" r:id="rId1"/>
    <sheet name="Matl Properties" sheetId="2" r:id="rId2"/>
    <sheet name="Aggregate Classification" sheetId="3" r:id="rId3"/>
    <sheet name="Weigh Up" sheetId="4" r:id="rId4"/>
    <sheet name="Bulk Gravity" sheetId="5" r:id="rId5"/>
    <sheet name="Summary" sheetId="6" r:id="rId6"/>
    <sheet name="Film Thickness" sheetId="7" state="hidden" r:id="rId7"/>
    <sheet name="Revisions" sheetId="8" state="hidden" r:id="rId8"/>
    <sheet name="Power 45 Curve" sheetId="9" r:id="rId9"/>
    <sheet name="Help" sheetId="10" r:id="rId10"/>
    <sheet name="Charts" sheetId="11" r:id="rId11"/>
    <sheet name="Std Spec GRADATIONS" sheetId="12" state="hidden" r:id="rId12"/>
  </sheets>
  <externalReferences>
    <externalReference r:id="rId15"/>
  </externalReferences>
  <definedNames>
    <definedName name="acfilmthick">'Summary'!$F$65</definedName>
    <definedName name="ACSource">'Combined Gradation'!$F$41</definedName>
    <definedName name="AggrWt">'Weigh Up'!$G$19</definedName>
    <definedName name="areaengineer" localSheetId="2">'Combined Gradation'!$G$16</definedName>
    <definedName name="areaengineer">'Combined Gradation'!$F$16</definedName>
    <definedName name="AuthorizedDate">'Combined Gradation'!$H$71</definedName>
    <definedName name="Authorizeperson">'Combined Gradation'!$B$71</definedName>
    <definedName name="Bin1Aggr" localSheetId="2">'Combined Gradation'!$E$23</definedName>
    <definedName name="Bin1Aggr">'Combined Gradation'!$E$23</definedName>
    <definedName name="Bin1CA">'Bulk Gravity'!$G$38</definedName>
    <definedName name="Bin1Frac" localSheetId="2">'Combined Gradation'!$E$27</definedName>
    <definedName name="Bin1Frac">'Combined Gradation'!$E$27</definedName>
    <definedName name="Bin1RAP">'Combined Gradation'!$E$25</definedName>
    <definedName name="BIN1rapac">'Combined Gradation'!$F$25</definedName>
    <definedName name="Bin1samp">'Combined Gradation'!$E$24</definedName>
    <definedName name="Bin1Source" localSheetId="2">'Combined Gradation'!$E$22</definedName>
    <definedName name="Bin1Source">'Combined Gradation'!$E$22</definedName>
    <definedName name="Bin2Aggr" localSheetId="2">'Combined Gradation'!$G$23</definedName>
    <definedName name="Bin2Aggr">'Combined Gradation'!$G$23</definedName>
    <definedName name="Bin2CA">'Bulk Gravity'!$K$38</definedName>
    <definedName name="Bin2Frac" localSheetId="2">'Combined Gradation'!$G$27</definedName>
    <definedName name="Bin2Frac">'Combined Gradation'!$G$27</definedName>
    <definedName name="Bin2RAP">'Combined Gradation'!$G$25</definedName>
    <definedName name="BIN2Rapac">'Combined Gradation'!$H$25</definedName>
    <definedName name="Bin2Samp">'Combined Gradation'!$G$24</definedName>
    <definedName name="Bin2Source" localSheetId="2">'Combined Gradation'!$G$22</definedName>
    <definedName name="Bin2Source">'Combined Gradation'!$G$22</definedName>
    <definedName name="Bin3Aggr" localSheetId="2">'Combined Gradation'!$I$23</definedName>
    <definedName name="Bin3Aggr">'Combined Gradation'!$I$23</definedName>
    <definedName name="Bin3CA">'Bulk Gravity'!$O$38</definedName>
    <definedName name="Bin3Frac" localSheetId="2">'Combined Gradation'!$I$27</definedName>
    <definedName name="Bin3Frac">'Combined Gradation'!$I$27</definedName>
    <definedName name="Bin3RAP">'Combined Gradation'!$I$25</definedName>
    <definedName name="Bin3Rapac">'Combined Gradation'!$J$25</definedName>
    <definedName name="Bin3Samp">'Combined Gradation'!$I$24</definedName>
    <definedName name="Bin3Source" localSheetId="2">'Combined Gradation'!$I$22</definedName>
    <definedName name="Bin3Source">'Combined Gradation'!$I$22</definedName>
    <definedName name="Bin4Aggr" localSheetId="2">'Combined Gradation'!$K$23</definedName>
    <definedName name="Bin4Aggr">'Combined Gradation'!$K$23</definedName>
    <definedName name="Bin4CA">'Bulk Gravity'!$S$38</definedName>
    <definedName name="Bin4Frac" localSheetId="2">'Combined Gradation'!$K$27</definedName>
    <definedName name="Bin4Frac">'Combined Gradation'!$K$27</definedName>
    <definedName name="Bin4RAP">'Combined Gradation'!$K$25</definedName>
    <definedName name="Bin4Rapac">'Combined Gradation'!$L$25</definedName>
    <definedName name="Bin4Samp">'Combined Gradation'!$K$24</definedName>
    <definedName name="Bin4Source" localSheetId="2">'Combined Gradation'!$K$22</definedName>
    <definedName name="Bin4Source">'Combined Gradation'!$K$22</definedName>
    <definedName name="Bin5Aggr" localSheetId="2">'Combined Gradation'!$M$23</definedName>
    <definedName name="Bin5Aggr">'Combined Gradation'!$M$23</definedName>
    <definedName name="Bin5CA">'Bulk Gravity'!$W$38</definedName>
    <definedName name="Bin5Frac" localSheetId="2">'Combined Gradation'!$M$27</definedName>
    <definedName name="Bin5Frac">'Combined Gradation'!$M$27</definedName>
    <definedName name="Bin5RAP">'Combined Gradation'!$M$25</definedName>
    <definedName name="Bin5Rapac">'Combined Gradation'!$N$25</definedName>
    <definedName name="Bin5Samp">'Combined Gradation'!$M$24</definedName>
    <definedName name="Bin5Source" localSheetId="2">'Combined Gradation'!$M$22</definedName>
    <definedName name="Bin5Source">'Combined Gradation'!$M$22</definedName>
    <definedName name="Bin6Aggr" localSheetId="2">'Combined Gradation'!$O$23</definedName>
    <definedName name="Bin6Aggr">'Combined Gradation'!$O$23</definedName>
    <definedName name="Bin6CA">'Bulk Gravity'!$AA$38</definedName>
    <definedName name="Bin6Frac" localSheetId="2">'Combined Gradation'!$O$27</definedName>
    <definedName name="Bin6Frac">'Combined Gradation'!$O$27</definedName>
    <definedName name="Bin6RAP">'Combined Gradation'!$O$25</definedName>
    <definedName name="Bin6Rapac">'Combined Gradation'!$P$25</definedName>
    <definedName name="Bin6Samp">'Combined Gradation'!$O$24</definedName>
    <definedName name="Bin6Source" localSheetId="2">'Combined Gradation'!$O$22</definedName>
    <definedName name="Bin6Source">'Combined Gradation'!$O$22</definedName>
    <definedName name="Bin7Aggr" localSheetId="2">'Combined Gradation'!$Q$23</definedName>
    <definedName name="Bin7Aggr">'Combined Gradation'!$Q$23</definedName>
    <definedName name="Bin7CA">'Bulk Gravity'!$AE$38</definedName>
    <definedName name="Bin7Frac" localSheetId="2">'Combined Gradation'!$Q$27</definedName>
    <definedName name="Bin7Frac">'Combined Gradation'!$Q$27</definedName>
    <definedName name="Bin7RAP">'Combined Gradation'!$Q$25</definedName>
    <definedName name="Bin7Rapac">'Combined Gradation'!$R$25</definedName>
    <definedName name="Bin7Samp">'Combined Gradation'!$Q$24</definedName>
    <definedName name="Bin7Source" localSheetId="2">'Combined Gradation'!$Q$22</definedName>
    <definedName name="Bin7Source">'Combined Gradation'!$Q$22</definedName>
    <definedName name="Binder">'Combined Gradation'!$O$41</definedName>
    <definedName name="bindercheck">'Combined Gradation'!$K$40</definedName>
    <definedName name="calcfilmthick">'Film Thickness'!$F$43</definedName>
    <definedName name="ccsj" localSheetId="2">'Combined Gradation'!$N$9</definedName>
    <definedName name="ccsj">'Combined Gradation'!$N$9</definedName>
    <definedName name="CoarseBSG">'Bulk Gravity'!$M$41</definedName>
    <definedName name="CombGrad">'Combined Gradation'!$S$30:$V$38</definedName>
    <definedName name="condesignnum">'Combined Gradation'!$V$18</definedName>
    <definedName name="county" localSheetId="2">'Combined Gradation'!$G$10</definedName>
    <definedName name="county">'Combined Gradation'!$F$10</definedName>
    <definedName name="courselift" localSheetId="2">'Combined Gradation'!$E$18</definedName>
    <definedName name="courselift">'Combined Gradation'!$E$18</definedName>
    <definedName name="DD_creep">'Combined Gradation'!$42:$42</definedName>
    <definedName name="distfromcl" localSheetId="2">'Combined Gradation'!$Q$18</definedName>
    <definedName name="distfromcl">'Combined Gradation'!$P$18</definedName>
    <definedName name="DLT">'Combined Gradation'!$S$3</definedName>
    <definedName name="Draindown">'[1]Design'!$W$13</definedName>
    <definedName name="DRunit">'Combined Gradation'!$S$22</definedName>
    <definedName name="DUST">'Combined Gradation'!$D$30:$S$39</definedName>
    <definedName name="EffSG">'Summary'!$F$61</definedName>
    <definedName name="fiberconstraint">'Combined Gradation'!$P$45</definedName>
    <definedName name="field1">'Combined Gradation'!$B$46</definedName>
    <definedName name="Field10">'Combined Gradation'!$K$22</definedName>
    <definedName name="Field100">'Combined Gradation'!$I$37</definedName>
    <definedName name="Field101">'Combined Gradation'!$K$37</definedName>
    <definedName name="Field102">'Combined Gradation'!$M$37</definedName>
    <definedName name="Field103">'Combined Gradation'!$O$37</definedName>
    <definedName name="Field104">'Combined Gradation'!$Q$37</definedName>
    <definedName name="Field105">'Combined Gradation'!$E$38</definedName>
    <definedName name="Field106">'Combined Gradation'!$G$38</definedName>
    <definedName name="Field107">'Combined Gradation'!$I$38</definedName>
    <definedName name="Field108">'Combined Gradation'!$K$38</definedName>
    <definedName name="Field109">'Combined Gradation'!$M$38</definedName>
    <definedName name="Field11">'Combined Gradation'!$M$22</definedName>
    <definedName name="Field110">'Combined Gradation'!$O$38</definedName>
    <definedName name="Field111">'Combined Gradation'!$Q$38</definedName>
    <definedName name="Field112">'Combined Gradation'!$F$41</definedName>
    <definedName name="Field113">'Combined Gradation'!$O$41</definedName>
    <definedName name="Field114">'Combined Gradation'!$S$41</definedName>
    <definedName name="Field115">'Combined Gradation'!$D$51</definedName>
    <definedName name="Field116">'Combined Gradation'!$J$51</definedName>
    <definedName name="Field117">'Combined Gradation'!$D$53</definedName>
    <definedName name="Field118">'Combined Gradation'!$J$53</definedName>
    <definedName name="Field119">'Combined Gradation'!$D$55</definedName>
    <definedName name="Field12">'Combined Gradation'!$O$22</definedName>
    <definedName name="Field120">'Combined Gradation'!$J$55</definedName>
    <definedName name="Field121">'Combined Gradation'!$D$57</definedName>
    <definedName name="Field122">'Combined Gradation'!$J$57</definedName>
    <definedName name="Field123">'Combined Gradation'!$D$59</definedName>
    <definedName name="Field124">'Combined Gradation'!$J$59</definedName>
    <definedName name="Field125">'Combined Gradation'!$D$61</definedName>
    <definedName name="Field126">'Combined Gradation'!$J$61</definedName>
    <definedName name="Field127">'Combined Gradation'!$D$63</definedName>
    <definedName name="Field128">'Combined Gradation'!$J$63</definedName>
    <definedName name="Field129">'Combined Gradation'!$D$65</definedName>
    <definedName name="Field13">'Combined Gradation'!$Q$22</definedName>
    <definedName name="Field130">'Combined Gradation'!$J$65</definedName>
    <definedName name="field131">'Combined Gradation'!$B$48:$M$48</definedName>
    <definedName name="Field132">'Weigh Up'!$G$19</definedName>
    <definedName name="Field133">'Weigh Up'!$E$43</definedName>
    <definedName name="Field134">'Weigh Up'!$B$63</definedName>
    <definedName name="Field135">'Bulk Gravity'!$F$26</definedName>
    <definedName name="Field136">'Bulk Gravity'!$J$26</definedName>
    <definedName name="Field137">'Bulk Gravity'!$N$26</definedName>
    <definedName name="Field138">'Bulk Gravity'!$R$26</definedName>
    <definedName name="Field139">'Bulk Gravity'!$V$26</definedName>
    <definedName name="Field14">'Combined Gradation'!$E$23</definedName>
    <definedName name="Field140">'Bulk Gravity'!$Z$26</definedName>
    <definedName name="Field141">'Bulk Gravity'!$AD$26</definedName>
    <definedName name="Field142">'Bulk Gravity'!$F$27</definedName>
    <definedName name="Field143">'Bulk Gravity'!$J$27</definedName>
    <definedName name="Field144">'Bulk Gravity'!$N$27</definedName>
    <definedName name="Field145">'Bulk Gravity'!$R$27</definedName>
    <definedName name="Field146">'Bulk Gravity'!$V$27</definedName>
    <definedName name="Field147">'Bulk Gravity'!$Z$27</definedName>
    <definedName name="Field148">'Bulk Gravity'!$AD$27</definedName>
    <definedName name="Field149">'Bulk Gravity'!$F$28</definedName>
    <definedName name="Field15">'Combined Gradation'!$G$23</definedName>
    <definedName name="Field150">'Bulk Gravity'!$J$28</definedName>
    <definedName name="Field151">'Bulk Gravity'!$N$28</definedName>
    <definedName name="Field152">'Bulk Gravity'!$R$28</definedName>
    <definedName name="Field153">'Bulk Gravity'!$V$28</definedName>
    <definedName name="Field154">'Bulk Gravity'!$Z$28</definedName>
    <definedName name="Field155">'Bulk Gravity'!$AD$28</definedName>
    <definedName name="Field156">'Bulk Gravity'!$F$29</definedName>
    <definedName name="Field157">'Bulk Gravity'!$J$29</definedName>
    <definedName name="Field158">'Bulk Gravity'!$N$29</definedName>
    <definedName name="Field159">'Bulk Gravity'!$R$29</definedName>
    <definedName name="Field16">'Combined Gradation'!$I$23</definedName>
    <definedName name="Field160">'Bulk Gravity'!$V$29</definedName>
    <definedName name="Field161">'Bulk Gravity'!$Z$29</definedName>
    <definedName name="Field162">'Bulk Gravity'!$AD$29</definedName>
    <definedName name="Field163">'Bulk Gravity'!$F$30</definedName>
    <definedName name="Field164">'Bulk Gravity'!$J$30</definedName>
    <definedName name="Field165">'Bulk Gravity'!$N$30</definedName>
    <definedName name="Field166">'Bulk Gravity'!$R$30</definedName>
    <definedName name="Field167">'Bulk Gravity'!$V$30</definedName>
    <definedName name="Field168">'Bulk Gravity'!$Z$30</definedName>
    <definedName name="Field169">'Bulk Gravity'!$AD$30</definedName>
    <definedName name="Field17">'Combined Gradation'!$K$23</definedName>
    <definedName name="Field170">'Bulk Gravity'!$F$31</definedName>
    <definedName name="Field171">'Bulk Gravity'!$J$31</definedName>
    <definedName name="Field172">'Bulk Gravity'!$N$31</definedName>
    <definedName name="Field173">'Bulk Gravity'!$R$31</definedName>
    <definedName name="Field174">'Bulk Gravity'!$V$31</definedName>
    <definedName name="Field175">'Bulk Gravity'!$Z$31</definedName>
    <definedName name="Field176">'Bulk Gravity'!$AD$31</definedName>
    <definedName name="Field177">'Bulk Gravity'!$F$32</definedName>
    <definedName name="Field178">'Bulk Gravity'!$J$32</definedName>
    <definedName name="Field179">'Bulk Gravity'!$N$32</definedName>
    <definedName name="Field18">'Combined Gradation'!$M$23</definedName>
    <definedName name="Field180">'Bulk Gravity'!$R$32</definedName>
    <definedName name="Field181">'Bulk Gravity'!$V$32</definedName>
    <definedName name="Field182">'Bulk Gravity'!$Z$32</definedName>
    <definedName name="Field183">'Bulk Gravity'!$AD$32</definedName>
    <definedName name="Field184">'Bulk Gravity'!$F$33</definedName>
    <definedName name="Field185">'Bulk Gravity'!$J$33</definedName>
    <definedName name="Field186">'Bulk Gravity'!$N$33</definedName>
    <definedName name="Field187">'Bulk Gravity'!$R$33</definedName>
    <definedName name="Field188">'Bulk Gravity'!$V$33</definedName>
    <definedName name="Field189">'Bulk Gravity'!$Z$33</definedName>
    <definedName name="Field19">'Combined Gradation'!$O$23</definedName>
    <definedName name="Field190">'Bulk Gravity'!$AD$33</definedName>
    <definedName name="Field191">'Bulk Gravity'!$F$34</definedName>
    <definedName name="Field192">'Bulk Gravity'!$J$34</definedName>
    <definedName name="Field193">'Bulk Gravity'!$N$34</definedName>
    <definedName name="Field194">'Bulk Gravity'!$R$34</definedName>
    <definedName name="Field195">'Bulk Gravity'!$V$34</definedName>
    <definedName name="Field196">'Bulk Gravity'!$Z$34</definedName>
    <definedName name="Field197">'Bulk Gravity'!$AD$34</definedName>
    <definedName name="Field198">'Bulk Gravity'!$F$36</definedName>
    <definedName name="Field199">'Bulk Gravity'!$J$36</definedName>
    <definedName name="Field2">'Combined Gradation'!$N$10</definedName>
    <definedName name="Field20">'Combined Gradation'!$Q$23</definedName>
    <definedName name="Field200">'Bulk Gravity'!$N$36</definedName>
    <definedName name="Field201">'Bulk Gravity'!$R$36</definedName>
    <definedName name="Field202">'Bulk Gravity'!$V$36</definedName>
    <definedName name="Field203">'Bulk Gravity'!$Z$36</definedName>
    <definedName name="Field204">'Bulk Gravity'!$AD$36</definedName>
    <definedName name="Field205">'Bulk Gravity'!$B$44</definedName>
    <definedName name="Field206">'Bulk Gravity'!$AE$44</definedName>
    <definedName name="Field207">'Bulk Gravity'!$AF$44</definedName>
    <definedName name="Field208">'Bulk Gravity'!$AE$45</definedName>
    <definedName name="Field209">'Bulk Gravity'!$AF$45</definedName>
    <definedName name="Field21">'Combined Gradation'!$E$24</definedName>
    <definedName name="Field210">'Summary'!$E$19</definedName>
    <definedName name="Field211">'Summary'!$B$24</definedName>
    <definedName name="Field212">'Summary'!$D$24</definedName>
    <definedName name="Field213">'Summary'!$F$24</definedName>
    <definedName name="Field214">'Summary'!$W$24</definedName>
    <definedName name="Field215">'Summary'!$Y$24</definedName>
    <definedName name="Field216">'Summary'!$AA$24</definedName>
    <definedName name="Field217">'Summary'!$AC$24</definedName>
    <definedName name="Field218">'Summary'!$B$25</definedName>
    <definedName name="Field219">'Summary'!$D$25</definedName>
    <definedName name="Field22">'Combined Gradation'!$G$24</definedName>
    <definedName name="Field220">'Summary'!$F$25</definedName>
    <definedName name="Field221">'Summary'!$M$61</definedName>
    <definedName name="Field222">'Summary'!$Y$25</definedName>
    <definedName name="Field223">'Summary'!$AA$25</definedName>
    <definedName name="Field224">'Summary'!$AC$25</definedName>
    <definedName name="Field225">'Summary'!$B$26</definedName>
    <definedName name="Field226">'Summary'!$D$26</definedName>
    <definedName name="Field227">'Summary'!$F$26</definedName>
    <definedName name="Field228">'Summary'!$W$26</definedName>
    <definedName name="Field229">'Summary'!$Y$26</definedName>
    <definedName name="Field23">'Combined Gradation'!$I$24</definedName>
    <definedName name="Field230">'Summary'!$AA$26</definedName>
    <definedName name="Field231">'Summary'!$AC$26</definedName>
    <definedName name="Field232">'Summary'!$B$27</definedName>
    <definedName name="Field233">'Summary'!$D$27</definedName>
    <definedName name="Field234">'Summary'!$F$27</definedName>
    <definedName name="Field235">'Summary'!$W$27</definedName>
    <definedName name="Field236">'Summary'!$Y$27</definedName>
    <definedName name="Field237">'Summary'!$AA$27</definedName>
    <definedName name="Field238">'Summary'!$AC$27</definedName>
    <definedName name="Field239">'Summary'!$B$28</definedName>
    <definedName name="Field24">'Combined Gradation'!$K$24</definedName>
    <definedName name="Field240">'Summary'!$D$28</definedName>
    <definedName name="Field241">'Summary'!$F$28</definedName>
    <definedName name="Field242">'Summary'!$W$28</definedName>
    <definedName name="Field243">'Summary'!$Y$28</definedName>
    <definedName name="Field244">'Summary'!$AA$28</definedName>
    <definedName name="Field245">'Summary'!$AC$28</definedName>
    <definedName name="Field246">'Summary'!$B$72</definedName>
    <definedName name="Field247">'Matl Properties'!$J$26</definedName>
    <definedName name="Field248">'Matl Properties'!$L$26</definedName>
    <definedName name="Field249">'Matl Properties'!$M$26</definedName>
    <definedName name="Field25">'Combined Gradation'!$M$24</definedName>
    <definedName name="Field250">'Matl Properties'!$O$26</definedName>
    <definedName name="Field251">'Matl Properties'!$P$26</definedName>
    <definedName name="Field252">'Matl Properties'!$R$26</definedName>
    <definedName name="Field253">'Matl Properties'!$S$26</definedName>
    <definedName name="Field254">'Matl Properties'!$U$26</definedName>
    <definedName name="Field255">'Matl Properties'!$V$26</definedName>
    <definedName name="Field256">'Matl Properties'!$X$26</definedName>
    <definedName name="Field257">'Matl Properties'!$Y$26</definedName>
    <definedName name="Field258">'Matl Properties'!$AA$26</definedName>
    <definedName name="Field259">'Matl Properties'!$AB$26</definedName>
    <definedName name="Field26">'Combined Gradation'!$O$24</definedName>
    <definedName name="Field260">'Matl Properties'!$AD$26</definedName>
    <definedName name="Field261">'Matl Properties'!$AE$26</definedName>
    <definedName name="Field262">'Matl Properties'!$J$27</definedName>
    <definedName name="Field263">'Matl Properties'!$L$27</definedName>
    <definedName name="Field264">'Matl Properties'!$M$27</definedName>
    <definedName name="Field265">'Matl Properties'!$O$27</definedName>
    <definedName name="Field266">'Matl Properties'!$P$27</definedName>
    <definedName name="Field267">'Matl Properties'!$R$27</definedName>
    <definedName name="Field268">'Matl Properties'!$S$27</definedName>
    <definedName name="Field269">'Matl Properties'!$U$27</definedName>
    <definedName name="Field27">'Combined Gradation'!$Q$24</definedName>
    <definedName name="Field270">'Matl Properties'!$V$27</definedName>
    <definedName name="Field271">'Matl Properties'!$X$27</definedName>
    <definedName name="Field272">'Matl Properties'!$Y$27</definedName>
    <definedName name="Field273">'Matl Properties'!$AA$27</definedName>
    <definedName name="Field274">'Matl Properties'!$AB$27</definedName>
    <definedName name="Field275">'Matl Properties'!$AD$27</definedName>
    <definedName name="Field276">'Matl Properties'!$AE$27</definedName>
    <definedName name="Field277">'Matl Properties'!$J$28</definedName>
    <definedName name="Field278">'Matl Properties'!$L$28</definedName>
    <definedName name="Field279">'Matl Properties'!$M$28</definedName>
    <definedName name="Field28">'Combined Gradation'!$E$25</definedName>
    <definedName name="Field280">'Matl Properties'!$O$28</definedName>
    <definedName name="Field281">'Matl Properties'!$P$28</definedName>
    <definedName name="Field282">'Matl Properties'!$R$28</definedName>
    <definedName name="Field283">'Matl Properties'!$S$28</definedName>
    <definedName name="Field284">'Matl Properties'!$U$28</definedName>
    <definedName name="Field285">'Matl Properties'!$V$28</definedName>
    <definedName name="Field286">'Matl Properties'!$X$28</definedName>
    <definedName name="Field287">'Matl Properties'!$Y$28</definedName>
    <definedName name="Field288">'Matl Properties'!$AA$28</definedName>
    <definedName name="Field289">'Matl Properties'!$AB$28</definedName>
    <definedName name="Field29">'Combined Gradation'!$F$25</definedName>
    <definedName name="Field290">'Matl Properties'!$AD$28</definedName>
    <definedName name="Field291">'Matl Properties'!$AE$28</definedName>
    <definedName name="Field292">'Matl Properties'!$J$29</definedName>
    <definedName name="Field293">'Matl Properties'!$L$29</definedName>
    <definedName name="Field294">'Matl Properties'!$M$29</definedName>
    <definedName name="Field295">'Matl Properties'!$O$29</definedName>
    <definedName name="Field296">'Matl Properties'!$P$29</definedName>
    <definedName name="Field297">'Matl Properties'!$R$29</definedName>
    <definedName name="Field298">'Matl Properties'!$S$29</definedName>
    <definedName name="Field299">'Matl Properties'!$U$29</definedName>
    <definedName name="Field3">'Combined Gradation'!$N$12</definedName>
    <definedName name="Field30">'Combined Gradation'!$G$25</definedName>
    <definedName name="Field300">'Matl Properties'!$V$29</definedName>
    <definedName name="Field301">'Matl Properties'!$X$29</definedName>
    <definedName name="Field302">'Matl Properties'!$Y$29</definedName>
    <definedName name="Field303">'Matl Properties'!$AA$29</definedName>
    <definedName name="Field304">'Matl Properties'!$AB$29</definedName>
    <definedName name="Field305">'Matl Properties'!$AD$29</definedName>
    <definedName name="Field306">'Matl Properties'!$AE$29</definedName>
    <definedName name="Field307">'Matl Properties'!$J$30</definedName>
    <definedName name="Field308">'Matl Properties'!$L$30</definedName>
    <definedName name="Field309">'Matl Properties'!$M$30</definedName>
    <definedName name="Field31">'Combined Gradation'!$H$25</definedName>
    <definedName name="Field310">'Matl Properties'!$O$30</definedName>
    <definedName name="Field311">'Matl Properties'!$P$30</definedName>
    <definedName name="Field312">'Matl Properties'!$R$30</definedName>
    <definedName name="Field313">'Matl Properties'!$S$30</definedName>
    <definedName name="Field314">'Matl Properties'!$U$30</definedName>
    <definedName name="Field315">'Matl Properties'!$V$30</definedName>
    <definedName name="Field316">'Matl Properties'!$X$30</definedName>
    <definedName name="Field317">'Matl Properties'!$Y$30</definedName>
    <definedName name="Field318">'Matl Properties'!$AA$30</definedName>
    <definedName name="Field319">'Matl Properties'!$AB$30</definedName>
    <definedName name="Field32">'Combined Gradation'!$I$25</definedName>
    <definedName name="Field320">'Matl Properties'!$AD$30</definedName>
    <definedName name="Field321">'Matl Properties'!$AE$30</definedName>
    <definedName name="Field322">'Matl Properties'!$J$31</definedName>
    <definedName name="Field323">'Matl Properties'!$L$31</definedName>
    <definedName name="Field324">'Matl Properties'!$M$31</definedName>
    <definedName name="Field325">'Matl Properties'!$O$31</definedName>
    <definedName name="Field326">'Matl Properties'!$P$31</definedName>
    <definedName name="Field327">'Matl Properties'!$R$31</definedName>
    <definedName name="Field328">'Matl Properties'!$S$31</definedName>
    <definedName name="Field329">'Matl Properties'!$U$31</definedName>
    <definedName name="Field33">'Combined Gradation'!$J$25</definedName>
    <definedName name="Field330">'Matl Properties'!$V$31</definedName>
    <definedName name="Field331">'Matl Properties'!$X$31</definedName>
    <definedName name="Field332">'Matl Properties'!$Y$31</definedName>
    <definedName name="Field333">'Matl Properties'!$AA$31</definedName>
    <definedName name="Field334">'Matl Properties'!$AB$31</definedName>
    <definedName name="Field335">'Matl Properties'!$AD$31</definedName>
    <definedName name="Field336">'Matl Properties'!$AE$31</definedName>
    <definedName name="Field337">'Matl Properties'!$J$32</definedName>
    <definedName name="Field338">'Matl Properties'!$L$32</definedName>
    <definedName name="Field339">'Matl Properties'!$M$32</definedName>
    <definedName name="Field34">'Combined Gradation'!$K$25</definedName>
    <definedName name="Field340">'Matl Properties'!$O$32</definedName>
    <definedName name="Field341">'Matl Properties'!$P$32</definedName>
    <definedName name="Field342">'Matl Properties'!$R$32</definedName>
    <definedName name="Field343">'Matl Properties'!$S$32</definedName>
    <definedName name="Field344">'Matl Properties'!$U$32</definedName>
    <definedName name="Field345">'Matl Properties'!$V$32</definedName>
    <definedName name="Field346">'Matl Properties'!$X$32</definedName>
    <definedName name="Field347">'Matl Properties'!$Y$32</definedName>
    <definedName name="Field348">'Matl Properties'!$AA$32</definedName>
    <definedName name="Field349">'Matl Properties'!$AB$32</definedName>
    <definedName name="Field35">'Combined Gradation'!$L$25</definedName>
    <definedName name="Field350">'Matl Properties'!$AD$32</definedName>
    <definedName name="Field351">'Matl Properties'!$AE$32</definedName>
    <definedName name="Field352">'Matl Properties'!$J$34</definedName>
    <definedName name="Field353">'Matl Properties'!$L$34</definedName>
    <definedName name="Field354">'Matl Properties'!$M$34</definedName>
    <definedName name="Field355">'Matl Properties'!$O$34</definedName>
    <definedName name="Field356">'Matl Properties'!$P$34</definedName>
    <definedName name="Field357">'Matl Properties'!$R$34</definedName>
    <definedName name="Field358">'Matl Properties'!$S$34</definedName>
    <definedName name="Field359">'Matl Properties'!$U$34</definedName>
    <definedName name="Field36">'Combined Gradation'!$M$25</definedName>
    <definedName name="Field360">'Matl Properties'!$V$34</definedName>
    <definedName name="Field361">'Matl Properties'!$X$34</definedName>
    <definedName name="Field362">'Matl Properties'!$Y$34</definedName>
    <definedName name="Field363">'Matl Properties'!$AA$34</definedName>
    <definedName name="Field364">'Matl Properties'!$AB$34</definedName>
    <definedName name="Field365">'Matl Properties'!$AD$34</definedName>
    <definedName name="Field366">'Matl Properties'!$AE$34</definedName>
    <definedName name="Field367">'Matl Properties'!$J$36</definedName>
    <definedName name="Field368">'Matl Properties'!$L$36</definedName>
    <definedName name="Field369">'Matl Properties'!$M$36</definedName>
    <definedName name="Field37">'Combined Gradation'!$N$25</definedName>
    <definedName name="Field370">'Matl Properties'!$O$36</definedName>
    <definedName name="Field371">'Matl Properties'!$P$36</definedName>
    <definedName name="Field372">'Matl Properties'!$R$36</definedName>
    <definedName name="Field373">'Matl Properties'!$S$36</definedName>
    <definedName name="Field374">'Matl Properties'!$U$36</definedName>
    <definedName name="Field375">'Matl Properties'!$V$36</definedName>
    <definedName name="Field376">'Matl Properties'!$X$36</definedName>
    <definedName name="Field377">'Matl Properties'!$Y$36</definedName>
    <definedName name="Field378">'Matl Properties'!$AA$36</definedName>
    <definedName name="Field379">'Matl Properties'!$AB$36</definedName>
    <definedName name="Field38">'Combined Gradation'!$O$25</definedName>
    <definedName name="Field380">'Matl Properties'!$AD$36</definedName>
    <definedName name="Field381">'Summary'!$M$61</definedName>
    <definedName name="Field382">'Summary'!$E$20</definedName>
    <definedName name="Field383">'Combined Gradation'!$S$43</definedName>
    <definedName name="Field384">'Combined Gradation'!$W$43</definedName>
    <definedName name="Field385">'Summary'!$M$63</definedName>
    <definedName name="Field386">'Summary'!$M$64</definedName>
    <definedName name="Field387">'Summary'!$X$64</definedName>
    <definedName name="Field388">'Summary'!$Y$64</definedName>
    <definedName name="Field389">'Summary'!$X$65</definedName>
    <definedName name="Field39">'Combined Gradation'!$P$25</definedName>
    <definedName name="Field390">'Summary'!$Y$65</definedName>
    <definedName name="Field391">'Summary'!$X$66</definedName>
    <definedName name="Field392">'Summary'!$Y$66</definedName>
    <definedName name="Field393">'Summary'!$X$67</definedName>
    <definedName name="Field394">'Summary'!$Y$67</definedName>
    <definedName name="Field395">'Summary'!$J$68</definedName>
    <definedName name="Field396">'Summary'!$J$69</definedName>
    <definedName name="Field397">'Summary'!$M$61</definedName>
    <definedName name="Field398">'Summary'!$M$61</definedName>
    <definedName name="Field399">'Summary'!$M$61</definedName>
    <definedName name="Field4">'Combined Gradation'!$N$13</definedName>
    <definedName name="Field40">'Combined Gradation'!$Q$25</definedName>
    <definedName name="Field400">'Summary'!$M$61</definedName>
    <definedName name="Field401">'Summary'!$M$61</definedName>
    <definedName name="Field402">'Summary'!$M$61</definedName>
    <definedName name="Field403">'Summary'!$M$61</definedName>
    <definedName name="Field404">'Summary'!$M$61</definedName>
    <definedName name="Field405">'Summary'!$M$61</definedName>
    <definedName name="Field406">'Summary'!$M$61</definedName>
    <definedName name="Field407">'Summary'!$M$61</definedName>
    <definedName name="Field408">'Summary'!$M$61</definedName>
    <definedName name="Field409">'Summary'!$M$61</definedName>
    <definedName name="Field41">'Combined Gradation'!$R$25</definedName>
    <definedName name="Field410">'Summary'!$M$61</definedName>
    <definedName name="Field411">'Summary'!$M$61</definedName>
    <definedName name="Field412">'Summary'!$M$61</definedName>
    <definedName name="Field413">'Summary'!$M$61</definedName>
    <definedName name="Field414">'Summary'!$M$61</definedName>
    <definedName name="Field415">'Summary'!$M$61</definedName>
    <definedName name="Field416">'Summary'!$M$61</definedName>
    <definedName name="Field417">'Summary'!$M$61</definedName>
    <definedName name="Field418">'Summary'!$M$61</definedName>
    <definedName name="Field419">'Summary'!$M$61</definedName>
    <definedName name="Field42">'Combined Gradation'!$E$27</definedName>
    <definedName name="Field420">'Summary'!$M$61</definedName>
    <definedName name="Field421">'Summary'!$M$61</definedName>
    <definedName name="Field422">'Summary'!$M$61</definedName>
    <definedName name="Field423">'Summary'!$M$61</definedName>
    <definedName name="Field424">'Summary'!$M$61</definedName>
    <definedName name="Field425">'Summary'!$M$61</definedName>
    <definedName name="Field426">'Summary'!$M$61</definedName>
    <definedName name="Field427">'Matl Properties'!$H$39</definedName>
    <definedName name="Field428">'Matl Properties'!$J$39</definedName>
    <definedName name="Field429">'Matl Properties'!$K$39</definedName>
    <definedName name="Field43">'Combined Gradation'!$G$27</definedName>
    <definedName name="Field430">'Matl Properties'!$L$39</definedName>
    <definedName name="Field431">'Matl Properties'!$M$39</definedName>
    <definedName name="Field432">'Matl Properties'!$O$39</definedName>
    <definedName name="Field433">'Matl Properties'!$P$39</definedName>
    <definedName name="Field434">'Matl Properties'!$R$39</definedName>
    <definedName name="Field435">'Matl Properties'!$S$39</definedName>
    <definedName name="Field436">'Matl Properties'!$U$39</definedName>
    <definedName name="Field437">'Matl Properties'!$V$39</definedName>
    <definedName name="Field438">'Matl Properties'!$X$39</definedName>
    <definedName name="Field439">'Matl Properties'!$Y$39</definedName>
    <definedName name="Field44">'Combined Gradation'!$I$27</definedName>
    <definedName name="Field440">'Matl Properties'!$AA$39</definedName>
    <definedName name="Field441">'Matl Properties'!$AB$39</definedName>
    <definedName name="Field442">'Matl Properties'!$AD$39</definedName>
    <definedName name="Field443">'Matl Properties'!$AE$39</definedName>
    <definedName name="Field444">'Matl Properties'!$H$40</definedName>
    <definedName name="Field445">'Matl Properties'!$J$40</definedName>
    <definedName name="Field446">'Matl Properties'!$K$40</definedName>
    <definedName name="Field447">'Matl Properties'!$L$40</definedName>
    <definedName name="Field448">'Matl Properties'!$M$40</definedName>
    <definedName name="Field449">'Matl Properties'!$O$40</definedName>
    <definedName name="Field45">'Combined Gradation'!$K$27</definedName>
    <definedName name="Field450">'Matl Properties'!$P$40</definedName>
    <definedName name="Field451">'Matl Properties'!$R$40</definedName>
    <definedName name="Field452">'Matl Properties'!$S$40</definedName>
    <definedName name="Field453">'Matl Properties'!$U$40</definedName>
    <definedName name="Field454">'Matl Properties'!$V$40</definedName>
    <definedName name="Field455">'Matl Properties'!$X$40</definedName>
    <definedName name="Field456">'Matl Properties'!$Y$40</definedName>
    <definedName name="Field457">'Matl Properties'!$AA$40</definedName>
    <definedName name="Field458">'Matl Properties'!$AB$40</definedName>
    <definedName name="Field459">'Matl Properties'!$AD$40</definedName>
    <definedName name="Field46">'Combined Gradation'!$M$27</definedName>
    <definedName name="Field460">'Matl Properties'!$AE$40</definedName>
    <definedName name="Field461">'Matl Properties'!$H$41</definedName>
    <definedName name="Field462">'Matl Properties'!$J$41</definedName>
    <definedName name="Field463">'Matl Properties'!$K$41</definedName>
    <definedName name="Field464">'Matl Properties'!$L$41</definedName>
    <definedName name="Field465">'Matl Properties'!$M$41</definedName>
    <definedName name="Field466">'Matl Properties'!$O$41</definedName>
    <definedName name="Field467">'Matl Properties'!$P$41</definedName>
    <definedName name="Field468">'Matl Properties'!$R$41</definedName>
    <definedName name="Field469">'Matl Properties'!$S$41</definedName>
    <definedName name="Field47">'Combined Gradation'!$O$27</definedName>
    <definedName name="Field470">'Matl Properties'!$U$41</definedName>
    <definedName name="Field471">'Matl Properties'!$V$41</definedName>
    <definedName name="Field472">'Matl Properties'!$X$41</definedName>
    <definedName name="Field473">'Matl Properties'!$Y$41</definedName>
    <definedName name="Field474">'Matl Properties'!$AA$41</definedName>
    <definedName name="Field475">'Matl Properties'!$AB$41</definedName>
    <definedName name="Field476">'Matl Properties'!$AD$41</definedName>
    <definedName name="Field477">'Matl Properties'!$AE$41</definedName>
    <definedName name="Field478">'Matl Properties'!$H$42</definedName>
    <definedName name="Field479">'Matl Properties'!$J$42</definedName>
    <definedName name="Field48">'Combined Gradation'!$Q$27</definedName>
    <definedName name="Field480">'Matl Properties'!$K$42</definedName>
    <definedName name="Field481">'Matl Properties'!$L$42</definedName>
    <definedName name="Field482">'Matl Properties'!$M$42</definedName>
    <definedName name="Field483">'Matl Properties'!$O$42</definedName>
    <definedName name="Field484">'Matl Properties'!$P$42</definedName>
    <definedName name="Field485">'Matl Properties'!$R$42</definedName>
    <definedName name="Field486">'Matl Properties'!$S$42</definedName>
    <definedName name="Field487">'Matl Properties'!$U$42</definedName>
    <definedName name="Field488">'Matl Properties'!$V$42</definedName>
    <definedName name="Field489">'Matl Properties'!$X$42</definedName>
    <definedName name="Field49">'Combined Gradation'!$E$30</definedName>
    <definedName name="Field490">'Matl Properties'!$Y$42</definedName>
    <definedName name="Field491">'Matl Properties'!$AA$42</definedName>
    <definedName name="Field492">'Matl Properties'!$AB$42</definedName>
    <definedName name="Field493">'Matl Properties'!$AD$42</definedName>
    <definedName name="Field494">'Matl Properties'!$AE$42</definedName>
    <definedName name="Field495">'Matl Properties'!$H$43</definedName>
    <definedName name="Field496">'Matl Properties'!$J$43</definedName>
    <definedName name="Field497">'Matl Properties'!$K$43</definedName>
    <definedName name="Field498">'Matl Properties'!$L$43</definedName>
    <definedName name="Field499">'Matl Properties'!$M$43</definedName>
    <definedName name="field5">'Combined Gradation'!$B$49:$M$49</definedName>
    <definedName name="Field50">'Combined Gradation'!$G$30</definedName>
    <definedName name="Field500">'Matl Properties'!$O$43</definedName>
    <definedName name="Field501">'Matl Properties'!$P$43</definedName>
    <definedName name="Field502">'Matl Properties'!$R$43</definedName>
    <definedName name="Field503">'Matl Properties'!$S$43</definedName>
    <definedName name="Field504">'Matl Properties'!$U$43</definedName>
    <definedName name="Field505">'Matl Properties'!$V$43</definedName>
    <definedName name="Field506">'Matl Properties'!$X$43</definedName>
    <definedName name="Field507">'Matl Properties'!$Y$43</definedName>
    <definedName name="Field508">'Matl Properties'!$AA$43</definedName>
    <definedName name="Field509">'Matl Properties'!$AB$43</definedName>
    <definedName name="Field51">'Combined Gradation'!$I$30</definedName>
    <definedName name="Field510">'Matl Properties'!$AD$43</definedName>
    <definedName name="Field511">'Matl Properties'!$AE$43</definedName>
    <definedName name="Field512">'Matl Properties'!$B$47</definedName>
    <definedName name="Field513">'Aggregate Classification'!$E$22</definedName>
    <definedName name="Field514">'Aggregate Classification'!$I$22</definedName>
    <definedName name="Field515">'Aggregate Classification'!$M$22</definedName>
    <definedName name="Field516">'Aggregate Classification'!$Q$22</definedName>
    <definedName name="Field517">'Aggregate Classification'!$U$22</definedName>
    <definedName name="Field518">'Aggregate Classification'!$Y$22</definedName>
    <definedName name="Field519">'Aggregate Classification'!$AC$22</definedName>
    <definedName name="Field52">'Combined Gradation'!$K$30</definedName>
    <definedName name="Field520">'Aggregate Classification'!$B$46</definedName>
    <definedName name="Field521">'Std Spec GRADATIONS'!$M$25</definedName>
    <definedName name="Field522">'Std Spec GRADATIONS'!$M$25</definedName>
    <definedName name="Field523">'Std Spec GRADATIONS'!$M$25</definedName>
    <definedName name="Field524">'Std Spec GRADATIONS'!$M$25</definedName>
    <definedName name="Field525">'Std Spec GRADATIONS'!$M$25</definedName>
    <definedName name="Field526">'Std Spec GRADATIONS'!$M$25</definedName>
    <definedName name="Field527">'Std Spec GRADATIONS'!$M$25</definedName>
    <definedName name="Field528">'Std Spec GRADATIONS'!$M$25</definedName>
    <definedName name="Field529">'Std Spec GRADATIONS'!$M$25</definedName>
    <definedName name="Field53">'Combined Gradation'!$M$30</definedName>
    <definedName name="Field530">'Std Spec GRADATIONS'!$M$25</definedName>
    <definedName name="Field531">'Std Spec GRADATIONS'!$M$25</definedName>
    <definedName name="Field532">'Std Spec GRADATIONS'!$M$25</definedName>
    <definedName name="Field533">'Std Spec GRADATIONS'!$M$25</definedName>
    <definedName name="Field534">'Std Spec GRADATIONS'!$M$25</definedName>
    <definedName name="Field535">'Std Spec GRADATIONS'!$M$25</definedName>
    <definedName name="Field536">'Std Spec GRADATIONS'!$M$25</definedName>
    <definedName name="Field537">'Std Spec GRADATIONS'!$M$25</definedName>
    <definedName name="Field538">'Std Spec GRADATIONS'!$M$25</definedName>
    <definedName name="Field539">'Std Spec GRADATIONS'!$M$25</definedName>
    <definedName name="Field54">'Combined Gradation'!$O$30</definedName>
    <definedName name="Field540">'Std Spec GRADATIONS'!$M$25</definedName>
    <definedName name="Field541">'Std Spec GRADATIONS'!$M$25</definedName>
    <definedName name="Field542">'Std Spec GRADATIONS'!$M$25</definedName>
    <definedName name="Field543">'Std Spec GRADATIONS'!$M$25</definedName>
    <definedName name="Field544">'Std Spec GRADATIONS'!$M$25</definedName>
    <definedName name="Field545">'Std Spec GRADATIONS'!$M$25</definedName>
    <definedName name="Field546">'Std Spec GRADATIONS'!$M$25</definedName>
    <definedName name="Field547">'Std Spec GRADATIONS'!$M$25</definedName>
    <definedName name="Field548">'Std Spec GRADATIONS'!$M$25</definedName>
    <definedName name="Field549">'Std Spec GRADATIONS'!$M$25</definedName>
    <definedName name="Field55">'Combined Gradation'!$Q$30</definedName>
    <definedName name="Field550">'Std Spec GRADATIONS'!$M$25</definedName>
    <definedName name="Field551">'Std Spec GRADATIONS'!$M$25</definedName>
    <definedName name="Field552">'Std Spec GRADATIONS'!$M$25</definedName>
    <definedName name="Field553">'Std Spec GRADATIONS'!$M$25</definedName>
    <definedName name="Field554">'Std Spec GRADATIONS'!$M$25</definedName>
    <definedName name="Field555">'Std Spec GRADATIONS'!$M$25</definedName>
    <definedName name="Field556">'Std Spec GRADATIONS'!$M$25</definedName>
    <definedName name="Field557">'Std Spec GRADATIONS'!$M$25</definedName>
    <definedName name="Field558">'Combined Gradation'!$E$39</definedName>
    <definedName name="Field559">'Combined Gradation'!$G$39</definedName>
    <definedName name="Field56">'Combined Gradation'!$E$31</definedName>
    <definedName name="Field560">'Combined Gradation'!$I$39</definedName>
    <definedName name="Field561">'Combined Gradation'!$K$39</definedName>
    <definedName name="Field562">'Combined Gradation'!$M$39</definedName>
    <definedName name="Field563">'Combined Gradation'!$O$39</definedName>
    <definedName name="Field564">'Combined Gradation'!$Q$39</definedName>
    <definedName name="Field565">'Bulk Gravity'!$F$35</definedName>
    <definedName name="Field566">'Bulk Gravity'!$J$35</definedName>
    <definedName name="Field567">'Bulk Gravity'!$N$35</definedName>
    <definedName name="Field568">'Bulk Gravity'!$R$35</definedName>
    <definedName name="Field569">'Bulk Gravity'!$V$35</definedName>
    <definedName name="Field57">'Combined Gradation'!$G$31</definedName>
    <definedName name="Field570">'Bulk Gravity'!$Z$35</definedName>
    <definedName name="Field571">'Bulk Gravity'!$AD$35</definedName>
    <definedName name="Field572">'Std Spec GRADATIONS'!$M$25</definedName>
    <definedName name="Field573">'Std Spec GRADATIONS'!$M$25</definedName>
    <definedName name="Field574">'Std Spec GRADATIONS'!$M$25</definedName>
    <definedName name="Field575">'Std Spec GRADATIONS'!$M$25</definedName>
    <definedName name="Field576">'Std Spec GRADATIONS'!$M$25</definedName>
    <definedName name="Field577">'Std Spec GRADATIONS'!$M$25</definedName>
    <definedName name="Field578">'Std Spec GRADATIONS'!$M$25</definedName>
    <definedName name="Field579">'Std Spec GRADATIONS'!$M$25</definedName>
    <definedName name="Field58">'Combined Gradation'!$I$31</definedName>
    <definedName name="Field580">'Std Spec GRADATIONS'!$M$25</definedName>
    <definedName name="Field581">'Std Spec GRADATIONS'!$M$25</definedName>
    <definedName name="Field582">'Std Spec GRADATIONS'!$M$25</definedName>
    <definedName name="Field583">'Std Spec GRADATIONS'!$M$25</definedName>
    <definedName name="Field584">'Std Spec GRADATIONS'!$M$25</definedName>
    <definedName name="Field585">'Std Spec GRADATIONS'!$M$25</definedName>
    <definedName name="Field586">'Std Spec GRADATIONS'!$M$25</definedName>
    <definedName name="Field587">'Std Spec GRADATIONS'!$M$25</definedName>
    <definedName name="Field588">'Combined Gradation'!$F$43</definedName>
    <definedName name="Field589">'Combined Gradation'!$O$43</definedName>
    <definedName name="Field59">'Combined Gradation'!$K$31</definedName>
    <definedName name="Field590">'Weigh Up'!$G$19</definedName>
    <definedName name="Field591">'Summary'!$X$63</definedName>
    <definedName name="Field592">'Summary'!$Y$63</definedName>
    <definedName name="Field593">'Combined Gradation'!$AA$41</definedName>
    <definedName name="Field594">'Summary'!$B$34</definedName>
    <definedName name="Field595">'Summary'!$D$34</definedName>
    <definedName name="Field596">'Std Spec GRADATIONS'!$C$159</definedName>
    <definedName name="Field597">'Std Spec GRADATIONS'!$C$160</definedName>
    <definedName name="Field598">'Std Spec GRADATIONS'!$C$161</definedName>
    <definedName name="Field599">'Std Spec GRADATIONS'!$C$162</definedName>
    <definedName name="Field6">'Combined Gradation'!$E$18</definedName>
    <definedName name="Field60">'Combined Gradation'!$M$31</definedName>
    <definedName name="Field600">'Std Spec GRADATIONS'!$C$163</definedName>
    <definedName name="Field601">'Std Spec GRADATIONS'!$C$164</definedName>
    <definedName name="Field602">'Std Spec GRADATIONS'!$C$165</definedName>
    <definedName name="Field603">'Std Spec GRADATIONS'!$C$166</definedName>
    <definedName name="Field604">'Std Spec GRADATIONS'!$C$167</definedName>
    <definedName name="Field605">'Std Spec GRADATIONS'!$C$168</definedName>
    <definedName name="Field606">'Std Spec GRADATIONS'!$D$159</definedName>
    <definedName name="Field607">'Std Spec GRADATIONS'!$D$160</definedName>
    <definedName name="Field608">'Std Spec GRADATIONS'!$D$161</definedName>
    <definedName name="Field609">'Std Spec GRADATIONS'!$D$162</definedName>
    <definedName name="Field61">'Combined Gradation'!$O$31</definedName>
    <definedName name="Field610">'Std Spec GRADATIONS'!$D$163</definedName>
    <definedName name="Field611">'Std Spec GRADATIONS'!$D$164</definedName>
    <definedName name="Field612">'Std Spec GRADATIONS'!$D$165</definedName>
    <definedName name="Field613">'Std Spec GRADATIONS'!$D$166</definedName>
    <definedName name="Field614">'Std Spec GRADATIONS'!$D$167</definedName>
    <definedName name="Field615">'Std Spec GRADATIONS'!$D$168</definedName>
    <definedName name="Field616">'Std Spec GRADATIONS'!$F$159</definedName>
    <definedName name="Field617">'Std Spec GRADATIONS'!$F$160</definedName>
    <definedName name="Field618">'Std Spec GRADATIONS'!$F$161</definedName>
    <definedName name="Field619">'Std Spec GRADATIONS'!$F$162</definedName>
    <definedName name="Field62">'Combined Gradation'!$Q$31</definedName>
    <definedName name="Field620">'Std Spec GRADATIONS'!$F$163</definedName>
    <definedName name="Field621">'Std Spec GRADATIONS'!$F$164</definedName>
    <definedName name="Field622">'Std Spec GRADATIONS'!$F$165</definedName>
    <definedName name="Field623">'Std Spec GRADATIONS'!$F$166</definedName>
    <definedName name="Field624">'Std Spec GRADATIONS'!$F$167</definedName>
    <definedName name="Field625">'Std Spec GRADATIONS'!$F$168</definedName>
    <definedName name="Field626">'Std Spec GRADATIONS'!$G$159</definedName>
    <definedName name="Field627">'Std Spec GRADATIONS'!$G$160</definedName>
    <definedName name="Field628">'Std Spec GRADATIONS'!$G$161</definedName>
    <definedName name="Field629">'Std Spec GRADATIONS'!$G$162</definedName>
    <definedName name="Field63">'Combined Gradation'!$E$32</definedName>
    <definedName name="Field630">'Std Spec GRADATIONS'!$G$163</definedName>
    <definedName name="Field631">'Std Spec GRADATIONS'!$G$164</definedName>
    <definedName name="Field632">'Std Spec GRADATIONS'!$G$165</definedName>
    <definedName name="Field633">'Std Spec GRADATIONS'!$G$166</definedName>
    <definedName name="Field634">'Std Spec GRADATIONS'!$G$167</definedName>
    <definedName name="Field635">'Std Spec GRADATIONS'!$G$168</definedName>
    <definedName name="Field636">'Std Spec GRADATIONS'!$H$159</definedName>
    <definedName name="Field637">'Combined Gradation'!$V$18</definedName>
    <definedName name="Field638">'Summary'!$B$41</definedName>
    <definedName name="Field639">'Summary'!$B$43</definedName>
    <definedName name="Field64">'Combined Gradation'!$G$32</definedName>
    <definedName name="Field640">'Summary'!$B$45</definedName>
    <definedName name="Field641">'Summary'!$D$41</definedName>
    <definedName name="Field642">'Summary'!$D$42</definedName>
    <definedName name="Field643">'Summary'!$D$43</definedName>
    <definedName name="Field644">'Summary'!$D$44</definedName>
    <definedName name="Field645">'Summary'!$D$45</definedName>
    <definedName name="Field646">'Summary'!$D$46</definedName>
    <definedName name="Field647">'Summary'!$B$50</definedName>
    <definedName name="Field648">'Summary'!$B$52</definedName>
    <definedName name="Field649">'Summary'!$B$54</definedName>
    <definedName name="Field65">'Combined Gradation'!$I$32</definedName>
    <definedName name="Field650">'Summary'!$B$56</definedName>
    <definedName name="Field651">'Summary'!$B$58</definedName>
    <definedName name="Field652">'Summary'!$D$50</definedName>
    <definedName name="Field653">'Summary'!$D$51</definedName>
    <definedName name="Field654">'Summary'!$D$52</definedName>
    <definedName name="Field655">'Summary'!$D$53</definedName>
    <definedName name="Field656">'Summary'!$D$54</definedName>
    <definedName name="Field657">'Summary'!$D$55</definedName>
    <definedName name="Field658">'Summary'!$D$56</definedName>
    <definedName name="Field659">'Summary'!$D$57</definedName>
    <definedName name="Field66">'Combined Gradation'!$K$32</definedName>
    <definedName name="Field660">'Summary'!$D$58</definedName>
    <definedName name="Field661">'Summary'!$D$59</definedName>
    <definedName name="Field662">'Summary'!$F$50</definedName>
    <definedName name="Field663">'Summary'!$F$51</definedName>
    <definedName name="Field664">'Summary'!$F$52</definedName>
    <definedName name="Field665">'Summary'!$F$53</definedName>
    <definedName name="Field666">'Summary'!$F$54</definedName>
    <definedName name="Field667">'Summary'!$F$55</definedName>
    <definedName name="Field668">'Summary'!$F$56</definedName>
    <definedName name="Field669">'Summary'!$F$57</definedName>
    <definedName name="Field67">'Combined Gradation'!$M$32</definedName>
    <definedName name="Field670">'Summary'!$F$58</definedName>
    <definedName name="Field671">'Summary'!$F$59</definedName>
    <definedName name="Field672">'Summary'!$H$50</definedName>
    <definedName name="Field673">'Summary'!$H$51</definedName>
    <definedName name="Field674">'Summary'!$H$52</definedName>
    <definedName name="Field675">'Summary'!$H$53</definedName>
    <definedName name="Field676">'Summary'!$H$54</definedName>
    <definedName name="Field677">'Summary'!$H$55</definedName>
    <definedName name="Field678">'Summary'!$H$56</definedName>
    <definedName name="Field679">'Summary'!$H$57</definedName>
    <definedName name="Field68">'Combined Gradation'!$O$32</definedName>
    <definedName name="Field680">'Summary'!$H$58</definedName>
    <definedName name="Field681">'Summary'!$H$59</definedName>
    <definedName name="Field682">'Combined Gradation'!$S$22</definedName>
    <definedName name="Field69">'Combined Gradation'!$Q$32</definedName>
    <definedName name="Field7">'Combined Gradation'!$E$22</definedName>
    <definedName name="Field70">'Combined Gradation'!$E$33</definedName>
    <definedName name="Field71">'Combined Gradation'!$G$33</definedName>
    <definedName name="Field72">'Combined Gradation'!$I$33</definedName>
    <definedName name="Field73">'Combined Gradation'!$K$33</definedName>
    <definedName name="Field74">'Combined Gradation'!$M$33</definedName>
    <definedName name="Field75">'Combined Gradation'!$O$33</definedName>
    <definedName name="Field76">'Combined Gradation'!$Q$33</definedName>
    <definedName name="Field77">'Combined Gradation'!$E$34</definedName>
    <definedName name="Field78">'Combined Gradation'!$G$34</definedName>
    <definedName name="Field79">'Combined Gradation'!$I$34</definedName>
    <definedName name="Field8">'Combined Gradation'!$G$22</definedName>
    <definedName name="Field80">'Combined Gradation'!$K$34</definedName>
    <definedName name="Field81">'Combined Gradation'!$M$34</definedName>
    <definedName name="Field82">'Combined Gradation'!$O$34</definedName>
    <definedName name="Field83">'Combined Gradation'!$Q$34</definedName>
    <definedName name="Field84">'Combined Gradation'!$E$35</definedName>
    <definedName name="Field85">'Combined Gradation'!$G$35</definedName>
    <definedName name="Field86">'Combined Gradation'!$I$35</definedName>
    <definedName name="Field87">'Combined Gradation'!$K$35</definedName>
    <definedName name="Field88">'Combined Gradation'!$M$35</definedName>
    <definedName name="Field89">'Combined Gradation'!$O$35</definedName>
    <definedName name="Field9">'Combined Gradation'!$I$22</definedName>
    <definedName name="Field90">'Combined Gradation'!$Q$35</definedName>
    <definedName name="Field91">'Combined Gradation'!$E$36</definedName>
    <definedName name="Field92">'Combined Gradation'!$G$36</definedName>
    <definedName name="Field93">'Combined Gradation'!$I$36</definedName>
    <definedName name="Field94">'Combined Gradation'!$K$36</definedName>
    <definedName name="Field95">'Combined Gradation'!$M$36</definedName>
    <definedName name="Field96">'Combined Gradation'!$O$36</definedName>
    <definedName name="Field97">'Combined Gradation'!$Q$36</definedName>
    <definedName name="Field98">'Combined Gradation'!$E$37</definedName>
    <definedName name="Field99">'Combined Gradation'!$G$37</definedName>
    <definedName name="film1">'Film Thickness'!$I$35</definedName>
    <definedName name="film2">'Film Thickness'!$I$36</definedName>
    <definedName name="film3">'Film Thickness'!$I$37</definedName>
    <definedName name="film4">'Film Thickness'!$I$38</definedName>
    <definedName name="film5">'Film Thickness'!$I$39</definedName>
    <definedName name="filmac1">'Summary'!$B$32</definedName>
    <definedName name="filmac2">'Summary'!$B$33</definedName>
    <definedName name="filmac3">'Summary'!$B$34</definedName>
    <definedName name="filmac4">'Summary'!$B$35</definedName>
    <definedName name="filmac5">'Summary'!$B$36</definedName>
    <definedName name="filmgr1">'Summary'!$D$32</definedName>
    <definedName name="filmgr2">'Summary'!$D$33</definedName>
    <definedName name="filmgr3">'Summary'!$D$34</definedName>
    <definedName name="filmgr4">'Summary'!$D$35</definedName>
    <definedName name="filmgr5">'Summary'!$D$36</definedName>
    <definedName name="filmthick">'Summary'!$F$70</definedName>
    <definedName name="Grade" localSheetId="2">'Combined Gradation'!$N$13</definedName>
    <definedName name="Grade">'Combined Gradation'!$N$13</definedName>
    <definedName name="Gsb">'Bulk Gravity'!$M$40</definedName>
    <definedName name="gtbl">'Std Spec GRADATIONS'!$C$202:$E$227</definedName>
    <definedName name="HD_SMA_.5_inch">'Std Spec GRADATIONS'!$B$84:$H$90</definedName>
    <definedName name="HD_SMA_.75_inch">'Std Spec GRADATIONS'!$B$76:$H$83</definedName>
    <definedName name="HD_SMA_1_inch">'Std Spec GRADATIONS'!$B$75:$H$75</definedName>
    <definedName name="ITEM3001_UTBWC_A">'Std Spec GRADATIONS'!$B$169:$O$176</definedName>
    <definedName name="ITEM3001_UTBWC_B">'Std Spec GRADATIONS'!$B$177:$O$185</definedName>
    <definedName name="ITEM3001_UTBWC_C">'Std Spec GRADATIONS'!$B$186:$O$195</definedName>
    <definedName name="ITEM340_A_Coarse_Base">'Std Spec GRADATIONS'!$B$5:$H$13</definedName>
    <definedName name="ITEM340_B_Fine_Base">'Std Spec GRADATIONS'!$B$14:$H$22</definedName>
    <definedName name="ITEM340_C_Coarse_Surface">'Std Spec GRADATIONS'!$B$23:$H$30</definedName>
    <definedName name="ITEM340_D_Fine_Surface">'Std Spec GRADATIONS'!$B$31:$H$38</definedName>
    <definedName name="ITEM340_F_Fine_Mixture">'Std Spec GRADATIONS'!$B$39:$H$45</definedName>
    <definedName name="ITEM341_A_Coarse_Base">'Std Spec GRADATIONS'!$B$5:$H$13</definedName>
    <definedName name="ITEM341_B_Fine_Base">'Std Spec GRADATIONS'!$B$14:$H$22</definedName>
    <definedName name="ITEM341_C_Coarse_Surface">'Std Spec GRADATIONS'!$B$23:$H$30</definedName>
    <definedName name="ITEM341_D_Fine_Surface">'Std Spec GRADATIONS'!$B$31:$H$38</definedName>
    <definedName name="ITEM341_F_Fine_Mixture">'Std Spec GRADATIONS'!$B$39:$H$45</definedName>
    <definedName name="ITEM342_PFC_A_R_Mixtures">'Std Spec GRADATIONS'!$B$153:$H$158</definedName>
    <definedName name="ITEM342_PFC_PG_76_Mixtures">'Std Spec GRADATIONS'!$B$147:$H$152</definedName>
    <definedName name="ITEM344_CMHB_C_Coarse_Surface">'Std Spec GRADATIONS'!$B$85:$K$94</definedName>
    <definedName name="ITEM344_CMHB_F_Fine_Surface">'Std Spec GRADATIONS'!$B$95:$K$103</definedName>
    <definedName name="ITEM344_SP_A_Base">'Std Spec GRADATIONS'!$B$46:$K$55</definedName>
    <definedName name="ITEM344_SP_B_Intermediate">'Std Spec GRADATIONS'!$B$56:$K$65</definedName>
    <definedName name="ITEM344_SP_C_Surface">'Std Spec GRADATIONS'!$B$66:$K$75</definedName>
    <definedName name="ITEM344_SP_D_Fine_Mixture">'Std Spec GRADATIONS'!$B$76:$K$84</definedName>
    <definedName name="ITEM346_SMA_C_Coarse">'Std Spec GRADATIONS'!$B$104:$K$112</definedName>
    <definedName name="ITEM346_SMA_D_Medium">'Std Spec GRADATIONS'!$B$113:$K$121</definedName>
    <definedName name="ITEM346_SMA_F_Fine">'Std Spec GRADATIONS'!$B$122:$K$129</definedName>
    <definedName name="ITEM346_SMAR_C_Coarse">'Std Spec GRADATIONS'!$B$130:$K$138</definedName>
    <definedName name="ITEM346_SMAR_F_Fine">'Std Spec GRADATIONS'!$B$139:$K$146</definedName>
    <definedName name="lettingdate" localSheetId="2">'Combined Gradation'!$N$8</definedName>
    <definedName name="lettingdate">'Combined Gradation'!$N$8</definedName>
    <definedName name="LEV1">'Combined Gradation'!$D$69</definedName>
    <definedName name="LEV2">'Combined Gradation'!$F$69</definedName>
    <definedName name="LEV3">'Combined Gradation'!$H$69</definedName>
    <definedName name="location" localSheetId="2">'Combined Gradation'!$B$3</definedName>
    <definedName name="location">'Combined Gradation'!$B$3</definedName>
    <definedName name="Locked_by">'Combined Gradation'!$B$69</definedName>
    <definedName name="LowerLimits45">'Std Spec GRADATIONS'!$P$4:$P$13</definedName>
    <definedName name="LowerSpecLimit">'Combined Gradation'!$T$30:$T$38</definedName>
    <definedName name="material" localSheetId="2">'Combined Gradation'!$G$13</definedName>
    <definedName name="material">'Combined Gradation'!$F$13</definedName>
    <definedName name="matl_nm">'Combined Gradation'!$F$14</definedName>
    <definedName name="MaxDensityLine45a">'Std Spec GRADATIONS'!$L$4:$L$13</definedName>
    <definedName name="MaxDensityLine45b">'Std Spec GRADATIONS'!$M$4:$M$13</definedName>
    <definedName name="memappcheck">'Std Spec GRADATIONS'!$J$201</definedName>
    <definedName name="memapprate">'Combined Gradation'!$AA$41</definedName>
    <definedName name="MixDes1" localSheetId="2">'Combined Gradation'!$U$30</definedName>
    <definedName name="MixDes1">'Combined Gradation'!$U$30</definedName>
    <definedName name="MixDes10">'Combined Gradation'!$U$39</definedName>
    <definedName name="Mixdes2">'Combined Gradation'!$U$31</definedName>
    <definedName name="MixDes3">'Combined Gradation'!$U$32</definedName>
    <definedName name="Mixdes4">'Combined Gradation'!$U$33</definedName>
    <definedName name="MixDes5">'Combined Gradation'!$U$34</definedName>
    <definedName name="MixDes6">'Combined Gradation'!$U$35</definedName>
    <definedName name="MixDes7">'Combined Gradation'!$U$36</definedName>
    <definedName name="MixDes8">'Combined Gradation'!$U$37</definedName>
    <definedName name="MixDes9">'Combined Gradation'!$U$38</definedName>
    <definedName name="mixtype">'Std Spec GRADATIONS'!$G$201:$G$227</definedName>
    <definedName name="omt_ind">'Combined Gradation'!$H$67:$I$67</definedName>
    <definedName name="optAC">'Summary'!$F$63</definedName>
    <definedName name="Other">'Std Spec GRADATIONS'!$B$159:$H$168</definedName>
    <definedName name="P45Sieve">'Std Spec GRADATIONS'!$M$4:$M$14</definedName>
    <definedName name="Pba">'Film Thickness'!$K$22</definedName>
    <definedName name="percentfiber">'Combined Gradation'!$S$43</definedName>
    <definedName name="percentfiberlabel">'Combined Gradation'!$P$43</definedName>
    <definedName name="PercentPassing45">'Std Spec GRADATIONS'!$N$4:$N$13</definedName>
    <definedName name="percentrubber">'Combined Gradation'!$W$43</definedName>
    <definedName name="PFC_AR">'Std Spec GRADATIONS'!$B$66:$H$74</definedName>
    <definedName name="_xlnm.Print_Area" localSheetId="2">'Aggregate Classification'!$A$1:$AF$47</definedName>
    <definedName name="_xlnm.Print_Area" localSheetId="4">'Bulk Gravity'!$A$1:$AD$45</definedName>
    <definedName name="_xlnm.Print_Area" localSheetId="10">'Charts'!$A$1:$N$56</definedName>
    <definedName name="_xlnm.Print_Area" localSheetId="0">'Combined Gradation'!$A$2:$Y$71</definedName>
    <definedName name="_xlnm.Print_Area" localSheetId="1">'Matl Properties'!$A$1:$AF$48</definedName>
    <definedName name="_xlnm.Print_Area" localSheetId="5">'Summary'!$A$1:$AE$73</definedName>
    <definedName name="_xlnm.Print_Area" localSheetId="3">'Weigh Up'!$A$1:$V$64</definedName>
    <definedName name="producer" localSheetId="2">'Combined Gradation'!$F$15</definedName>
    <definedName name="producer">'Combined Gradation'!$F$15</definedName>
    <definedName name="projectmanager" localSheetId="2">'Combined Gradation'!$O$16</definedName>
    <definedName name="projectmanager">'Combined Gradation'!$N$16</definedName>
    <definedName name="resname1">'Combined Gradation'!$F$29</definedName>
    <definedName name="resname10">'Combined Gradation'!$F$29</definedName>
    <definedName name="resname100">'Combined Gradation'!$Y$29</definedName>
    <definedName name="resname101">'Aggregate Classification'!$B$41</definedName>
    <definedName name="resname102">'Aggregate Classification'!$B$42</definedName>
    <definedName name="resname103">'Aggregate Classification'!$B$43</definedName>
    <definedName name="resname104">'Bulk Gravity'!$E$40</definedName>
    <definedName name="resname105">'Summary'!$G$38</definedName>
    <definedName name="resname106">'Summary'!$W$38</definedName>
    <definedName name="resname107">'Summary'!$B$61</definedName>
    <definedName name="resname108">'Summary'!$B$63</definedName>
    <definedName name="resname109">'Summary'!$B$64</definedName>
    <definedName name="resname11">'Combined Gradation'!$H$29</definedName>
    <definedName name="resname110">'Summary'!$B$65</definedName>
    <definedName name="resname111">'Summary'!$B$67</definedName>
    <definedName name="resname112">'Summary'!$B$68</definedName>
    <definedName name="resname113">'Summary'!$B$69</definedName>
    <definedName name="resname114">'Summary'!$B$70</definedName>
    <definedName name="resname115">'Summary'!$Z$62</definedName>
    <definedName name="resname116">'Summary'!$Z$62</definedName>
    <definedName name="resname117">'Summary'!$Z$62</definedName>
    <definedName name="resname118">'Summary'!$K$68</definedName>
    <definedName name="resname119">'Summary'!$K$69</definedName>
    <definedName name="resname12">'Combined Gradation'!$H$29</definedName>
    <definedName name="resname13">'Combined Gradation'!$H$29</definedName>
    <definedName name="resname14">'Combined Gradation'!$H$29</definedName>
    <definedName name="resname15">'Combined Gradation'!$H$29</definedName>
    <definedName name="resname16">'Combined Gradation'!$H$29</definedName>
    <definedName name="resname17">'Combined Gradation'!$H$29</definedName>
    <definedName name="resname18">'Combined Gradation'!$H$29</definedName>
    <definedName name="resname19">'Combined Gradation'!$H$29</definedName>
    <definedName name="resname2">'Combined Gradation'!$F$29</definedName>
    <definedName name="resname20">'Combined Gradation'!$H$29</definedName>
    <definedName name="resname21">'Combined Gradation'!$J$29</definedName>
    <definedName name="resname22">'Combined Gradation'!$J$29</definedName>
    <definedName name="resname23">'Combined Gradation'!$J$29</definedName>
    <definedName name="resname24">'Combined Gradation'!$J$29</definedName>
    <definedName name="resname25">'Combined Gradation'!$J$29</definedName>
    <definedName name="resname26">'Combined Gradation'!$J$29</definedName>
    <definedName name="resname27">'Combined Gradation'!$J$29</definedName>
    <definedName name="resname28">'Combined Gradation'!$J$29</definedName>
    <definedName name="resname29">'Combined Gradation'!$J$29</definedName>
    <definedName name="resname3">'Combined Gradation'!$F$29</definedName>
    <definedName name="resname30">'Combined Gradation'!$J$29</definedName>
    <definedName name="resname31">'Combined Gradation'!$L$29</definedName>
    <definedName name="resname32">'Combined Gradation'!$L$29</definedName>
    <definedName name="resname33">'Combined Gradation'!$L$29</definedName>
    <definedName name="resname34">'Combined Gradation'!$L$29</definedName>
    <definedName name="resname35">'Combined Gradation'!$L$29</definedName>
    <definedName name="resname36">'Combined Gradation'!$L$29</definedName>
    <definedName name="resname37">'Combined Gradation'!$L$29</definedName>
    <definedName name="resname38">'Combined Gradation'!$L$29</definedName>
    <definedName name="resname39">'Combined Gradation'!$L$29</definedName>
    <definedName name="resname4">'Combined Gradation'!$F$29</definedName>
    <definedName name="resname40">'Combined Gradation'!$L$29</definedName>
    <definedName name="resname41">'Combined Gradation'!$N$29</definedName>
    <definedName name="resname42">'Combined Gradation'!$N$29</definedName>
    <definedName name="resname43">'Combined Gradation'!$N$29</definedName>
    <definedName name="resname44">'Combined Gradation'!$N$29</definedName>
    <definedName name="resname45">'Combined Gradation'!$N$29</definedName>
    <definedName name="resname46">'Combined Gradation'!$N$29</definedName>
    <definedName name="resname47">'Combined Gradation'!$N$29</definedName>
    <definedName name="resname48">'Combined Gradation'!$N$29</definedName>
    <definedName name="resname49">'Combined Gradation'!$N$29</definedName>
    <definedName name="resname5">'Combined Gradation'!$F$29</definedName>
    <definedName name="resname50">'Combined Gradation'!$N$29</definedName>
    <definedName name="resname51">'Combined Gradation'!$P$29</definedName>
    <definedName name="resname52">'Combined Gradation'!$P$29</definedName>
    <definedName name="resname53">'Combined Gradation'!$P$29</definedName>
    <definedName name="resname54">'Combined Gradation'!$P$29</definedName>
    <definedName name="resname55">'Combined Gradation'!$P$29</definedName>
    <definedName name="resname56">'Combined Gradation'!$P$29</definedName>
    <definedName name="resname57">'Combined Gradation'!$P$29</definedName>
    <definedName name="resname58">'Combined Gradation'!$P$29</definedName>
    <definedName name="resname59">'Combined Gradation'!$P$29</definedName>
    <definedName name="resname6">'Combined Gradation'!$F$29</definedName>
    <definedName name="resname60">'Combined Gradation'!$P$29</definedName>
    <definedName name="resname61">'Combined Gradation'!$R$29</definedName>
    <definedName name="resname62">'Combined Gradation'!$R$29</definedName>
    <definedName name="resname63">'Combined Gradation'!$R$29</definedName>
    <definedName name="resname64">'Combined Gradation'!$R$29</definedName>
    <definedName name="resname65">'Combined Gradation'!$R$29</definedName>
    <definedName name="resname66">'Combined Gradation'!$R$29</definedName>
    <definedName name="resname67">'Combined Gradation'!$R$29</definedName>
    <definedName name="resname68">'Combined Gradation'!$R$29</definedName>
    <definedName name="resname69">'Combined Gradation'!$R$29</definedName>
    <definedName name="resname7">'Combined Gradation'!$F$29</definedName>
    <definedName name="resname70">'Combined Gradation'!$R$29</definedName>
    <definedName name="resname71">'Combined Gradation'!$S$29</definedName>
    <definedName name="resname72">'Combined Gradation'!$S$29</definedName>
    <definedName name="resname73">'Combined Gradation'!$S$29</definedName>
    <definedName name="resname74">'Combined Gradation'!$S$29</definedName>
    <definedName name="resname75">'Combined Gradation'!$S$29</definedName>
    <definedName name="resname76">'Combined Gradation'!$S$29</definedName>
    <definedName name="resname77">'Combined Gradation'!$S$29</definedName>
    <definedName name="resname78">'Combined Gradation'!$S$29</definedName>
    <definedName name="resname79">'Combined Gradation'!$S$29</definedName>
    <definedName name="resname8">'Combined Gradation'!$F$29</definedName>
    <definedName name="resname80">'Combined Gradation'!$S$29</definedName>
    <definedName name="resname81">'Combined Gradation'!$V$30</definedName>
    <definedName name="resname82">'Combined Gradation'!$V$30</definedName>
    <definedName name="resname83">'Combined Gradation'!$V$30</definedName>
    <definedName name="resname84">'Combined Gradation'!$V$30</definedName>
    <definedName name="resname85">'Combined Gradation'!$V$30</definedName>
    <definedName name="resname86">'Combined Gradation'!$V$30</definedName>
    <definedName name="resname87">'Combined Gradation'!$V$30</definedName>
    <definedName name="resname88">'Combined Gradation'!$V$30</definedName>
    <definedName name="resname89">'Combined Gradation'!$V$30</definedName>
    <definedName name="resname9">'Combined Gradation'!$F$29</definedName>
    <definedName name="resname90">'Combined Gradation'!$V$30</definedName>
    <definedName name="resname91">'Combined Gradation'!$Y$29</definedName>
    <definedName name="resname92">'Combined Gradation'!$Y$29</definedName>
    <definedName name="resname93">'Combined Gradation'!$Y$29</definedName>
    <definedName name="resname94">'Combined Gradation'!$Y$29</definedName>
    <definedName name="resname95">'Combined Gradation'!$Y$29</definedName>
    <definedName name="resname96">'Combined Gradation'!$Y$29</definedName>
    <definedName name="resname97">'Combined Gradation'!$Y$29</definedName>
    <definedName name="resname98">'Combined Gradation'!$Y$29</definedName>
    <definedName name="resname99">'Combined Gradation'!$Y$29</definedName>
    <definedName name="resval1">'Combined Gradation'!$F$30</definedName>
    <definedName name="resval10">'Combined Gradation'!$F$39</definedName>
    <definedName name="resval100">'Combined Gradation'!$Y$39</definedName>
    <definedName name="resval101">'Aggregate Classification'!$J$41</definedName>
    <definedName name="resval102">'Aggregate Classification'!$J$42</definedName>
    <definedName name="resval103">'Aggregate Classification'!$J$43</definedName>
    <definedName name="resval104">'Bulk Gravity'!$M$40</definedName>
    <definedName name="resval105">'Summary'!$J$38</definedName>
    <definedName name="resval106">'Summary'!$AA$38</definedName>
    <definedName name="resval107">'Summary'!$F$61</definedName>
    <definedName name="resval108">'Summary'!$F$63</definedName>
    <definedName name="resval109">'Summary'!$F$64</definedName>
    <definedName name="resval11">'Combined Gradation'!$H$30</definedName>
    <definedName name="resval110">'Summary'!$F$65</definedName>
    <definedName name="resval111">'Summary'!$F$67</definedName>
    <definedName name="resval112">'Summary'!$F$68</definedName>
    <definedName name="resval113">'Summary'!$F$69</definedName>
    <definedName name="resval114">'Summary'!$F$70</definedName>
    <definedName name="resval115">'Summary'!$Z$65</definedName>
    <definedName name="resval116">'Summary'!$Z$66</definedName>
    <definedName name="resval117">'Summary'!$Z$67</definedName>
    <definedName name="resval118">'Summary'!$M$68</definedName>
    <definedName name="resval119">'Summary'!$M$69</definedName>
    <definedName name="resval12">'Combined Gradation'!$H$31</definedName>
    <definedName name="resval13">'Combined Gradation'!$H$32</definedName>
    <definedName name="resval14">'Combined Gradation'!$H$33</definedName>
    <definedName name="resval15">'Combined Gradation'!$H$34</definedName>
    <definedName name="resval16">'Combined Gradation'!$H$35</definedName>
    <definedName name="resval17">'Combined Gradation'!$H$36</definedName>
    <definedName name="resval18">'Combined Gradation'!$H$37</definedName>
    <definedName name="resval19">'Combined Gradation'!$H$38</definedName>
    <definedName name="resval2">'Combined Gradation'!$F$31</definedName>
    <definedName name="resval20">'Combined Gradation'!$H$39</definedName>
    <definedName name="resval21">'Combined Gradation'!$J$30</definedName>
    <definedName name="resval22">'Combined Gradation'!$J$31</definedName>
    <definedName name="resval23">'Combined Gradation'!$J$32</definedName>
    <definedName name="resval24">'Combined Gradation'!$J$33</definedName>
    <definedName name="resval25">'Combined Gradation'!$J$34</definedName>
    <definedName name="resval26">'Combined Gradation'!$J$35</definedName>
    <definedName name="resval27">'Combined Gradation'!$J$36</definedName>
    <definedName name="resval28">'Combined Gradation'!$J$37</definedName>
    <definedName name="resval29">'Combined Gradation'!$J$38</definedName>
    <definedName name="resval3">'Combined Gradation'!$F$32</definedName>
    <definedName name="resval30">'Combined Gradation'!$J$39</definedName>
    <definedName name="resval31">'Combined Gradation'!$L$30</definedName>
    <definedName name="resval32">'Combined Gradation'!$L$31</definedName>
    <definedName name="resval33">'Combined Gradation'!$L$32</definedName>
    <definedName name="resval34">'Combined Gradation'!$L$33</definedName>
    <definedName name="resval35">'Combined Gradation'!$L$34</definedName>
    <definedName name="resval36">'Combined Gradation'!$L$35</definedName>
    <definedName name="resval37">'Combined Gradation'!$L$36</definedName>
    <definedName name="resval38">'Combined Gradation'!$L$37</definedName>
    <definedName name="resval39">'Combined Gradation'!$L$38</definedName>
    <definedName name="resval4">'Combined Gradation'!$F$33</definedName>
    <definedName name="resval40">'Combined Gradation'!$L$39</definedName>
    <definedName name="resval41">'Combined Gradation'!$N$30</definedName>
    <definedName name="resval42">'Combined Gradation'!$N$31</definedName>
    <definedName name="resval43">'Combined Gradation'!$N$32</definedName>
    <definedName name="resval44">'Combined Gradation'!$N$33</definedName>
    <definedName name="resval45">'Combined Gradation'!$N$34</definedName>
    <definedName name="resval46">'Combined Gradation'!$N$35</definedName>
    <definedName name="resval47">'Combined Gradation'!$N$36</definedName>
    <definedName name="resval48">'Combined Gradation'!$N$37</definedName>
    <definedName name="resval49">'Combined Gradation'!$N$38</definedName>
    <definedName name="resval5">'Combined Gradation'!$F$34</definedName>
    <definedName name="resval50">'Combined Gradation'!$N$39</definedName>
    <definedName name="resval51">'Combined Gradation'!$P$30</definedName>
    <definedName name="resval52">'Combined Gradation'!$P$31</definedName>
    <definedName name="resval53">'Combined Gradation'!$P$32</definedName>
    <definedName name="resval54">'Combined Gradation'!$P$33</definedName>
    <definedName name="resval55">'Combined Gradation'!$P$34</definedName>
    <definedName name="resval56">'Combined Gradation'!$P$35</definedName>
    <definedName name="resval57">'Combined Gradation'!$P$36</definedName>
    <definedName name="resval58">'Combined Gradation'!$P$37</definedName>
    <definedName name="resval59">'Combined Gradation'!$P$38</definedName>
    <definedName name="resval6">'Combined Gradation'!$F$35</definedName>
    <definedName name="resval60">'Combined Gradation'!$P$39</definedName>
    <definedName name="resval61">'Combined Gradation'!$R$30</definedName>
    <definedName name="resval62">'Combined Gradation'!$R$31</definedName>
    <definedName name="resval63">'Combined Gradation'!$R$32</definedName>
    <definedName name="resval64">'Combined Gradation'!$R$33</definedName>
    <definedName name="resval65">'Combined Gradation'!$R$34</definedName>
    <definedName name="resval66">'Combined Gradation'!$R$35</definedName>
    <definedName name="resval67">'Combined Gradation'!$R$36</definedName>
    <definedName name="resval68">'Combined Gradation'!$R$37</definedName>
    <definedName name="resval69">'Combined Gradation'!$R$38</definedName>
    <definedName name="resval7">'Combined Gradation'!$F$36</definedName>
    <definedName name="resval70">'Combined Gradation'!$R$39</definedName>
    <definedName name="resval71">'Combined Gradation'!$S$30</definedName>
    <definedName name="resval72">'Combined Gradation'!$S$31</definedName>
    <definedName name="resval73">'Combined Gradation'!$S$32</definedName>
    <definedName name="resval74">'Combined Gradation'!$S$33</definedName>
    <definedName name="resval75">'Combined Gradation'!$S$34</definedName>
    <definedName name="resval76">'Combined Gradation'!$S$35</definedName>
    <definedName name="resval77">'Combined Gradation'!$S$36</definedName>
    <definedName name="resval78">'Combined Gradation'!$S$37</definedName>
    <definedName name="resval79">'Combined Gradation'!$S$38</definedName>
    <definedName name="resval8">'Combined Gradation'!$F$37</definedName>
    <definedName name="resval80">'Combined Gradation'!$S$39</definedName>
    <definedName name="resval81">'Combined Gradation'!$V$30</definedName>
    <definedName name="resval82">'Combined Gradation'!$V$31</definedName>
    <definedName name="resval83">'Combined Gradation'!$V$32</definedName>
    <definedName name="resval84">'Combined Gradation'!$V$33</definedName>
    <definedName name="resval85">'Combined Gradation'!$V$34</definedName>
    <definedName name="resval86">'Combined Gradation'!$V$35</definedName>
    <definedName name="resval87">'Combined Gradation'!$V$36</definedName>
    <definedName name="resval88">'Combined Gradation'!$V$37</definedName>
    <definedName name="resval89">'Combined Gradation'!$V$38</definedName>
    <definedName name="resval9">'Combined Gradation'!$F$38</definedName>
    <definedName name="resval90">'Combined Gradation'!$V$39</definedName>
    <definedName name="resval91">'Combined Gradation'!$Y$30</definedName>
    <definedName name="resval92">'Combined Gradation'!$Y$31</definedName>
    <definedName name="resval93">'Combined Gradation'!$Y$32</definedName>
    <definedName name="resval94">'Combined Gradation'!$Y$33</definedName>
    <definedName name="resval95">'Combined Gradation'!$Y$34</definedName>
    <definedName name="resval96">'Combined Gradation'!$Y$35</definedName>
    <definedName name="resval97">'Combined Gradation'!$Y$36</definedName>
    <definedName name="resval98">'Combined Gradation'!$Y$37</definedName>
    <definedName name="resval99">'Combined Gradation'!$Y$38</definedName>
    <definedName name="Revieweddate">'Combined Gradation'!$J$67</definedName>
    <definedName name="ReviewPerson">'Combined Gradation'!$L$67</definedName>
    <definedName name="RunningT">'Weigh Up'!$E$43</definedName>
    <definedName name="sampledby" localSheetId="2">'Combined Gradation'!$G$11</definedName>
    <definedName name="sampledby">'Combined Gradation'!$F$11</definedName>
    <definedName name="sampleddate" localSheetId="2">'Combined Gradation'!$N$7</definedName>
    <definedName name="sampleddate">'Combined Gradation'!$N$7</definedName>
    <definedName name="sampleid" localSheetId="2">'Combined Gradation'!$G$7</definedName>
    <definedName name="sampleid">'Combined Gradation'!$F$7</definedName>
    <definedName name="samplelocation" localSheetId="2">'Combined Gradation'!$G$12</definedName>
    <definedName name="samplelocation">'Combined Gradation'!$F$12</definedName>
    <definedName name="SF_HMACP_.5_inch">'Std Spec GRADATIONS'!$B$122:$J$129</definedName>
    <definedName name="SF_HMACP_.75_inch">'Std Spec GRADATIONS'!$B$113:$J$121</definedName>
    <definedName name="SF_HMACP_1.5_inch">'Std Spec GRADATIONS'!$B$91:$J$103</definedName>
    <definedName name="SF_HMACP_1_inch">'Std Spec GRADATIONS'!$B$104:$J$112</definedName>
    <definedName name="SGAsph">'Combined Gradation'!$S$41</definedName>
    <definedName name="sieve1">'Combined Gradation'!$B$30</definedName>
    <definedName name="sieve10">'Combined Gradation'!$B$39</definedName>
    <definedName name="sieve2">'Combined Gradation'!$B$31</definedName>
    <definedName name="sieve3">'Combined Gradation'!$B$32</definedName>
    <definedName name="sieve4">'Combined Gradation'!$B$33</definedName>
    <definedName name="sieve5">'Combined Gradation'!$B$34</definedName>
    <definedName name="sieve6">'Combined Gradation'!$B$35</definedName>
    <definedName name="sieve7">'Combined Gradation'!$B$36</definedName>
    <definedName name="sieve8">'Combined Gradation'!$B$37</definedName>
    <definedName name="sieve9">'Combined Gradation'!$B$38</definedName>
    <definedName name="sievemeasurement45">'Std Spec GRADATIONS'!$K$4:$K$13</definedName>
    <definedName name="sievesize45">'Std Spec GRADATIONS'!$J$4:$J$13</definedName>
    <definedName name="sievesizes">'Std Spec GRADATIONS'!$B$202:$E$228</definedName>
    <definedName name="sn" localSheetId="2">'Combined Gradation'!$S$5</definedName>
    <definedName name="sn">'Combined Gradation'!$S$5</definedName>
    <definedName name="SP_HMACP_.5_inch">'Std Spec GRADATIONS'!$B$122:$J$129</definedName>
    <definedName name="SP_HMACP_.75_inch">'Std Spec GRADATIONS'!$B$113:$J$121</definedName>
    <definedName name="SP_HMACP_1.5_inch">'Std Spec GRADATIONS'!$B$91:$J$103</definedName>
    <definedName name="SP_HMACP_1_inch">'Std Spec GRADATIONS'!$B$104:$J$112</definedName>
    <definedName name="Spec1">'Combined Gradation'!$T$30:$T$30</definedName>
    <definedName name="Spec10">'Combined Gradation'!$T$39</definedName>
    <definedName name="Spec2">'Combined Gradation'!$T$31:$T$31</definedName>
    <definedName name="Spec3">'Combined Gradation'!$T$32:$T$32</definedName>
    <definedName name="Spec4">'Combined Gradation'!$T$33:$T$33</definedName>
    <definedName name="Spec5">'Combined Gradation'!$T$34:$T$34</definedName>
    <definedName name="Spec6">'Combined Gradation'!$T$35:$T$35</definedName>
    <definedName name="Spec7">'Combined Gradation'!$T$36:$T$36</definedName>
    <definedName name="Spec8">'Combined Gradation'!$T$37:$T$37</definedName>
    <definedName name="Spec9">'Combined Gradation'!$T$38:$T$38</definedName>
    <definedName name="specialprovision" localSheetId="2">'Combined Gradation'!$N$12</definedName>
    <definedName name="specialprovision">'Combined Gradation'!$N$12</definedName>
    <definedName name="specitem" localSheetId="2">'Combined Gradation'!$N$11</definedName>
    <definedName name="specitem">'Combined Gradation'!$N$11</definedName>
    <definedName name="specyear" localSheetId="2">'Combined Gradation'!$N$10</definedName>
    <definedName name="specyear">'Combined Gradation'!$N$10</definedName>
    <definedName name="SSize1" localSheetId="2">'Combined Gradation'!$D$30</definedName>
    <definedName name="SSize1">'Combined Gradation'!$D$30</definedName>
    <definedName name="SSize10">'Combined Gradation'!$D$39</definedName>
    <definedName name="SSize2" localSheetId="2">'Combined Gradation'!$D$31</definedName>
    <definedName name="SSize2">'Combined Gradation'!$D$31</definedName>
    <definedName name="SSize3" localSheetId="2">'Combined Gradation'!$D$32</definedName>
    <definedName name="SSize3">'Combined Gradation'!$D$32</definedName>
    <definedName name="SSize4" localSheetId="2">'Combined Gradation'!$D$33</definedName>
    <definedName name="SSize4">'Combined Gradation'!$D$33</definedName>
    <definedName name="SSize5" localSheetId="2">'Combined Gradation'!$D$34</definedName>
    <definedName name="SSize5">'Combined Gradation'!$D$34</definedName>
    <definedName name="SSize6" localSheetId="2">'Combined Gradation'!$D$35</definedName>
    <definedName name="SSize6">'Combined Gradation'!$D$35</definedName>
    <definedName name="SSize7" localSheetId="2">'Combined Gradation'!$D$36</definedName>
    <definedName name="SSize7">'Combined Gradation'!$D$36</definedName>
    <definedName name="SSize8">'Combined Gradation'!$D$37</definedName>
    <definedName name="SSize9">'Combined Gradation'!$D$38</definedName>
    <definedName name="station" localSheetId="2">'Combined Gradation'!$J$18</definedName>
    <definedName name="station">'Combined Gradation'!$J$18</definedName>
    <definedName name="status" localSheetId="2">'Combined Gradation'!$G$9</definedName>
    <definedName name="status">'Combined Gradation'!$F$9</definedName>
    <definedName name="status\">'Combined Gradation'!$G$9</definedName>
    <definedName name="stmp_cd">'Combined Gradation'!$B$67</definedName>
    <definedName name="TargDen">'Summary'!$E$19</definedName>
    <definedName name="Test1">'Combined Gradation'!$B$51</definedName>
    <definedName name="Test2">'Combined Gradation'!$B$53</definedName>
    <definedName name="Test3">'Combined Gradation'!$B$55</definedName>
    <definedName name="Test4">'Combined Gradation'!$B$57</definedName>
    <definedName name="Test5">'Combined Gradation'!$B$59</definedName>
    <definedName name="Test6">'Combined Gradation'!$B$61</definedName>
    <definedName name="Test7">'Combined Gradation'!$B$63</definedName>
    <definedName name="Test8">'Combined Gradation'!$B$65</definedName>
    <definedName name="TestDate1">'Combined Gradation'!$J$51</definedName>
    <definedName name="TestDate2">'Combined Gradation'!$J$53</definedName>
    <definedName name="TestDate3">'Combined Gradation'!$J$55</definedName>
    <definedName name="TestDate4">'Combined Gradation'!$J$57</definedName>
    <definedName name="TestDate5">'Combined Gradation'!$J$59</definedName>
    <definedName name="TestDate6">'Combined Gradation'!$J$61</definedName>
    <definedName name="TestDate7">'Combined Gradation'!$J$63</definedName>
    <definedName name="TestDate8">'Combined Gradation'!$J$65</definedName>
    <definedName name="testnumber" localSheetId="2">'Combined Gradation'!$G$8</definedName>
    <definedName name="testnumber">'Combined Gradation'!$F$8</definedName>
    <definedName name="TestPerson1">'Combined Gradation'!$D$51</definedName>
    <definedName name="TestPerson2">'Combined Gradation'!$D$53</definedName>
    <definedName name="TestPerson3">'Combined Gradation'!$D$55</definedName>
    <definedName name="TestPerson4">'Combined Gradation'!$D$57</definedName>
    <definedName name="TestPerson5">'Combined Gradation'!$D$59</definedName>
    <definedName name="TestPerson6">'Combined Gradation'!$D$61</definedName>
    <definedName name="TestPerson7">'Combined Gradation'!$D$63</definedName>
    <definedName name="TestPerson8">'Combined Gradation'!$D$65</definedName>
    <definedName name="TodaysDate">'Combined Gradation'!$E$45</definedName>
    <definedName name="Type_A">'Std Spec GRADATIONS'!$B$5:$H$13</definedName>
    <definedName name="Type_B">'Std Spec GRADATIONS'!$B$14:$H$22</definedName>
    <definedName name="Type_C">'Std Spec GRADATIONS'!$B$23:$H$30</definedName>
    <definedName name="Type_CMHB_C">'Std Spec GRADATIONS'!$B$46:$H$55</definedName>
    <definedName name="Type_CMHB_F">'Std Spec GRADATIONS'!$B$56:$H$65</definedName>
    <definedName name="Type_D">'Std Spec GRADATIONS'!$B$31:$H$38</definedName>
    <definedName name="Type_F">'Std Spec GRADATIONS'!$B$39:$H$45</definedName>
    <definedName name="ULOV">'Combined Gradation'!$S$6</definedName>
    <definedName name="UPLC">'Combined Gradation'!$S$2</definedName>
    <definedName name="UpperLimits45">'Std Spec GRADATIONS'!$O$4:$O$13</definedName>
    <definedName name="UpperSpecLimit">'Combined Gradation'!$U$30:$U$38</definedName>
    <definedName name="version">'Combined Gradation'!$J$71</definedName>
  </definedNames>
  <calcPr fullCalcOnLoad="1"/>
</workbook>
</file>

<file path=xl/comments1.xml><?xml version="1.0" encoding="utf-8"?>
<comments xmlns="http://schemas.openxmlformats.org/spreadsheetml/2006/main">
  <authors>
    <author>User Id Unavailable</author>
    <author>STEWART DEWITT</author>
  </authors>
  <commentList>
    <comment ref="F25" authorId="0">
      <text>
        <r>
          <rPr>
            <sz val="8"/>
            <rFont val="Tahoma"/>
            <family val="0"/>
          </rPr>
          <t xml:space="preserve">Asphalt Content of RAP.
</t>
        </r>
      </text>
    </comment>
    <comment ref="H25" authorId="0">
      <text>
        <r>
          <rPr>
            <sz val="8"/>
            <rFont val="Tahoma"/>
            <family val="0"/>
          </rPr>
          <t xml:space="preserve">Asphalt Content of RAP.
</t>
        </r>
      </text>
    </comment>
    <comment ref="J25" authorId="0">
      <text>
        <r>
          <rPr>
            <sz val="8"/>
            <rFont val="Tahoma"/>
            <family val="0"/>
          </rPr>
          <t xml:space="preserve">Asphalt Content of RAP.
</t>
        </r>
      </text>
    </comment>
    <comment ref="L25" authorId="0">
      <text>
        <r>
          <rPr>
            <sz val="8"/>
            <rFont val="Tahoma"/>
            <family val="0"/>
          </rPr>
          <t xml:space="preserve">Asphalt Content of RAP.
</t>
        </r>
      </text>
    </comment>
    <comment ref="N25" authorId="0">
      <text>
        <r>
          <rPr>
            <sz val="8"/>
            <rFont val="Tahoma"/>
            <family val="0"/>
          </rPr>
          <t xml:space="preserve">Asphalt Content of RAP.
</t>
        </r>
      </text>
    </comment>
    <comment ref="P25" authorId="0">
      <text>
        <r>
          <rPr>
            <sz val="8"/>
            <rFont val="Tahoma"/>
            <family val="0"/>
          </rPr>
          <t xml:space="preserve">Asphalt Content of RAP.
</t>
        </r>
      </text>
    </comment>
    <comment ref="R25" authorId="0">
      <text>
        <r>
          <rPr>
            <sz val="8"/>
            <rFont val="Tahoma"/>
            <family val="0"/>
          </rPr>
          <t xml:space="preserve">Asphalt Content of RAP.
</t>
        </r>
      </text>
    </comment>
    <comment ref="L67" authorId="1">
      <text>
        <r>
          <rPr>
            <sz val="8"/>
            <rFont val="Tahoma"/>
            <family val="0"/>
          </rPr>
          <t>This field is populated when a user records the test's stamp code.</t>
        </r>
      </text>
    </comment>
  </commentList>
</comments>
</file>

<file path=xl/comments4.xml><?xml version="1.0" encoding="utf-8"?>
<comments xmlns="http://schemas.openxmlformats.org/spreadsheetml/2006/main">
  <authors>
    <author>User Id Unavailable</author>
  </authors>
  <commentList>
    <comment ref="E43" authorId="0">
      <text>
        <r>
          <rPr>
            <sz val="8"/>
            <rFont val="Tahoma"/>
            <family val="2"/>
          </rPr>
          <t xml:space="preserve">Select "Yes" to calculate a running cumulative total across bins. Select "No" to calculate cumulative totals by individual bins only.
</t>
        </r>
      </text>
    </comment>
  </commentList>
</comments>
</file>

<file path=xl/sharedStrings.xml><?xml version="1.0" encoding="utf-8"?>
<sst xmlns="http://schemas.openxmlformats.org/spreadsheetml/2006/main" count="969" uniqueCount="434">
  <si>
    <t>TEXAS DEPARTMENT OF TRANSPORTATION</t>
  </si>
  <si>
    <t>COURSE\LIFT:</t>
  </si>
  <si>
    <t>STATION:</t>
  </si>
  <si>
    <t>DIST. FROM CL:</t>
  </si>
  <si>
    <t>Sieve Size:</t>
  </si>
  <si>
    <t>Remarks:</t>
  </si>
  <si>
    <t>Test Method</t>
  </si>
  <si>
    <t>Tex-227-F</t>
  </si>
  <si>
    <t>Tex-207-F</t>
  </si>
  <si>
    <t>Washed Sieve</t>
  </si>
  <si>
    <t>VMA:</t>
  </si>
  <si>
    <t>Grade</t>
  </si>
  <si>
    <t>Min</t>
  </si>
  <si>
    <t>Max</t>
  </si>
  <si>
    <t>Sieve Size</t>
  </si>
  <si>
    <t>1-1/2"</t>
  </si>
  <si>
    <t>37.5 mm</t>
  </si>
  <si>
    <t>1-1/4"</t>
  </si>
  <si>
    <t>31.5 mm</t>
  </si>
  <si>
    <t>7/8"</t>
  </si>
  <si>
    <t>22.4 mm</t>
  </si>
  <si>
    <t>1/2"</t>
  </si>
  <si>
    <t>12.5 mm</t>
  </si>
  <si>
    <t>No. 4</t>
  </si>
  <si>
    <t>4.75 mm</t>
  </si>
  <si>
    <t>No. 10</t>
  </si>
  <si>
    <t>2 mm</t>
  </si>
  <si>
    <t>No. 40</t>
  </si>
  <si>
    <t>No. 80</t>
  </si>
  <si>
    <t>No. 200</t>
  </si>
  <si>
    <t>1"</t>
  </si>
  <si>
    <t>25 mm</t>
  </si>
  <si>
    <t>5/8"</t>
  </si>
  <si>
    <t>16 mm</t>
  </si>
  <si>
    <t>3/8"</t>
  </si>
  <si>
    <t>9.5 mm</t>
  </si>
  <si>
    <t>1/4"</t>
  </si>
  <si>
    <t>6.3 mm</t>
  </si>
  <si>
    <t>TxDOT Manuals &gt;</t>
  </si>
  <si>
    <t>*</t>
  </si>
  <si>
    <t xml:space="preserve">  </t>
  </si>
  <si>
    <t>To move from page to page click on the different sheet tabs at the bottom of the page.</t>
  </si>
  <si>
    <t>•</t>
  </si>
  <si>
    <t>Percent</t>
  </si>
  <si>
    <t>Combined Gradation</t>
  </si>
  <si>
    <t>Asphalt Source &amp; Grade:</t>
  </si>
  <si>
    <t>SAMPLE ID:</t>
  </si>
  <si>
    <t>LOT NUMBER:</t>
  </si>
  <si>
    <t>LETTING DATE:</t>
  </si>
  <si>
    <t>CONTROLLING CSJ:</t>
  </si>
  <si>
    <t>COUNTY:</t>
  </si>
  <si>
    <t>SPEC YEAR:</t>
  </si>
  <si>
    <t>SAMPLED BY:</t>
  </si>
  <si>
    <t>SPEC ITEM:</t>
  </si>
  <si>
    <t>SAMPLE LOCATION:</t>
  </si>
  <si>
    <t>SPECIAL PROVISION:</t>
  </si>
  <si>
    <t>MIX TYPE:</t>
  </si>
  <si>
    <t>PRODUCER:</t>
  </si>
  <si>
    <t>AREA ENGINEER:</t>
  </si>
  <si>
    <t>PROJECT MANAGER:</t>
  </si>
  <si>
    <t>-</t>
  </si>
  <si>
    <t>grams</t>
  </si>
  <si>
    <t>Total Weights</t>
  </si>
  <si>
    <t>Totals</t>
  </si>
  <si>
    <t>INDIVIDUAL</t>
  </si>
  <si>
    <t>CUMULATIVE</t>
  </si>
  <si>
    <t>Asphalt Content (%)</t>
  </si>
  <si>
    <t>Density from Gt (Percent)</t>
  </si>
  <si>
    <t>Interpolated Values</t>
  </si>
  <si>
    <t>Stockpile</t>
  </si>
  <si>
    <t>Decantation</t>
  </si>
  <si>
    <t>Tex-217-F</t>
  </si>
  <si>
    <t>Deleterious Mat'l</t>
  </si>
  <si>
    <t>Tx217</t>
  </si>
  <si>
    <t>Tx4AgClas</t>
  </si>
  <si>
    <t>Magnesium Sulfate Soundness</t>
  </si>
  <si>
    <t>Tx411M</t>
  </si>
  <si>
    <t>LA Abrasion</t>
  </si>
  <si>
    <t>Tx410</t>
  </si>
  <si>
    <t>Crushed Faces Count</t>
  </si>
  <si>
    <t>Tx460</t>
  </si>
  <si>
    <t>Test Name</t>
  </si>
  <si>
    <t>SiteManager Test Template</t>
  </si>
  <si>
    <t>Tex-438-A              Tex-612-J</t>
  </si>
  <si>
    <t>Tex-411-A</t>
  </si>
  <si>
    <t>Tex-410-A</t>
  </si>
  <si>
    <t>Tex-460-A</t>
  </si>
  <si>
    <t>Specification Requirement</t>
  </si>
  <si>
    <t>Max.</t>
  </si>
  <si>
    <t>Min.</t>
  </si>
  <si>
    <t>Result</t>
  </si>
  <si>
    <t>Sample ID</t>
  </si>
  <si>
    <t>Fine Aggregate</t>
  </si>
  <si>
    <t>Bar Linear Shrinkage</t>
  </si>
  <si>
    <t>Tx107</t>
  </si>
  <si>
    <t>Tex-107-E</t>
  </si>
  <si>
    <t>Combined Aggregate</t>
  </si>
  <si>
    <t>Sand Equivalent</t>
  </si>
  <si>
    <t>Tx203</t>
  </si>
  <si>
    <t>Tex-203-F</t>
  </si>
  <si>
    <t>Surface Aggregate Classification</t>
  </si>
  <si>
    <r>
      <t>Mix Type</t>
    </r>
    <r>
      <rPr>
        <sz val="10"/>
        <rFont val="SWISS"/>
        <family val="0"/>
      </rPr>
      <t>: Select the correct mix type for this lot. Clicking in the green cell, adjacent to the mix type label, will reveal a small dropdown list. From this list select the mix type that most closely matches your mix. This value will determine what sieve sizes are displayed on the worksheets.</t>
    </r>
  </si>
  <si>
    <r>
      <t>Getting Started</t>
    </r>
    <r>
      <rPr>
        <sz val="12"/>
        <rFont val="SWISS"/>
        <family val="0"/>
      </rPr>
      <t>: Begin with the Combined Gradations or Summary sheet. Here you will select dependent variables such as specification year, mix type, asphalt content, combined aggregate, and others. These variable will affect the calculation of other sheets in the workbook.</t>
    </r>
  </si>
  <si>
    <t>Lower Spec Limit</t>
  </si>
  <si>
    <t>Upper Spec Limit</t>
  </si>
  <si>
    <t>Asphalt Content</t>
  </si>
  <si>
    <t>Density</t>
  </si>
  <si>
    <t>VMA</t>
  </si>
  <si>
    <t>Creep Properties</t>
  </si>
  <si>
    <t>Ga</t>
  </si>
  <si>
    <t>Gr</t>
  </si>
  <si>
    <t>SAMPLE DATE:</t>
  </si>
  <si>
    <t>Bin No.1</t>
  </si>
  <si>
    <t>Bin No.2</t>
  </si>
  <si>
    <t>Bin No.3</t>
  </si>
  <si>
    <t>Bin No.4</t>
  </si>
  <si>
    <t>Bin No.5</t>
  </si>
  <si>
    <t xml:space="preserve">Bin No.6 </t>
  </si>
  <si>
    <t xml:space="preserve">Bin No.7 </t>
  </si>
  <si>
    <t>BIN FRACTIONS</t>
  </si>
  <si>
    <r>
      <t>Wtd</t>
    </r>
    <r>
      <rPr>
        <sz val="8"/>
        <rFont val="Arial"/>
        <family val="2"/>
      </rPr>
      <t xml:space="preserve"> Cum. %</t>
    </r>
  </si>
  <si>
    <t>Cum. % Passing</t>
  </si>
  <si>
    <t>Individual % Retained</t>
  </si>
  <si>
    <t>Total Bin</t>
  </si>
  <si>
    <t>Binder Percent, (%):</t>
  </si>
  <si>
    <t>Sample ID:</t>
  </si>
  <si>
    <t>Specific Gravity of Asphalt:</t>
  </si>
  <si>
    <t>Test Method:</t>
  </si>
  <si>
    <t>Tested By:</t>
  </si>
  <si>
    <t>Reviewed By:</t>
  </si>
  <si>
    <t>Authorized By:</t>
  </si>
  <si>
    <t>Pan</t>
  </si>
  <si>
    <t>Total Weight:</t>
  </si>
  <si>
    <t>Aggregate Weight:</t>
  </si>
  <si>
    <t>Passing      -    Retained</t>
  </si>
  <si>
    <t>Individual Ret., %</t>
  </si>
  <si>
    <t>Bulk SG</t>
  </si>
  <si>
    <t>Combined Bulk Specific Gravity:</t>
  </si>
  <si>
    <t>Aggregate Source:</t>
  </si>
  <si>
    <t>Aggregate Number:</t>
  </si>
  <si>
    <t>Total includes asphalt from RAP Aggregate</t>
  </si>
  <si>
    <t>Effective Specific Gravity:</t>
  </si>
  <si>
    <t>Specific Gravity (Ga):</t>
  </si>
  <si>
    <t>Max. Specific Gravity (Gr):</t>
  </si>
  <si>
    <t>Target Density:</t>
  </si>
  <si>
    <t>Cum.% Passing</t>
  </si>
  <si>
    <t>Running Total:</t>
  </si>
  <si>
    <t>Total:</t>
  </si>
  <si>
    <t>Within Spec's</t>
  </si>
  <si>
    <t>Cumulative % Retained</t>
  </si>
  <si>
    <t>Individual Bin (%):</t>
  </si>
  <si>
    <r>
      <t>#</t>
    </r>
    <r>
      <rPr>
        <sz val="8"/>
        <rFont val="Arial"/>
        <family val="2"/>
      </rPr>
      <t xml:space="preserve"> Not within specifications    </t>
    </r>
    <r>
      <rPr>
        <b/>
        <sz val="10"/>
        <rFont val="Arial"/>
        <family val="2"/>
      </rPr>
      <t xml:space="preserve"> </t>
    </r>
    <r>
      <rPr>
        <b/>
        <sz val="10"/>
        <color indexed="12"/>
        <rFont val="Arial"/>
        <family val="2"/>
      </rPr>
      <t>#</t>
    </r>
    <r>
      <rPr>
        <sz val="8"/>
        <rFont val="Arial"/>
        <family val="2"/>
      </rPr>
      <t xml:space="preserve"> Not cumulative</t>
    </r>
  </si>
  <si>
    <t>Cumulative Retained, %</t>
  </si>
  <si>
    <t>HMACP MIXTURE DESIGN : COMBINED GRADATION</t>
  </si>
  <si>
    <t>HMACP MIXTURE DESIGN : WEIGH UP SHEET</t>
  </si>
  <si>
    <t>HMACP MIXTURE DESIGN : BULK GRAVITY</t>
  </si>
  <si>
    <t>HMACP MIXTURE DESIGN : SUMMARY SHEET</t>
  </si>
  <si>
    <t>HMACP MIXTURE DESIGN : MATERIAL PROPERTIES</t>
  </si>
  <si>
    <t>Completed Date:</t>
  </si>
  <si>
    <t>Authorized Date:</t>
  </si>
  <si>
    <t>Tested Date:</t>
  </si>
  <si>
    <t/>
  </si>
  <si>
    <t>Theo. Max. Specific Gravity (Gt)</t>
  </si>
  <si>
    <t>Effective Gravity (Ge)</t>
  </si>
  <si>
    <t>Specific Gravity Of Specimen (Ga)</t>
  </si>
  <si>
    <t>Maxium Specific Gravity (Gr)</t>
  </si>
  <si>
    <t>Theo. Max. Specific Gravity (Gt):</t>
  </si>
  <si>
    <t>Maximum Specific Gravity (Gr)</t>
  </si>
  <si>
    <t>Gradation Table</t>
  </si>
  <si>
    <t>2"</t>
  </si>
  <si>
    <t>50 mm</t>
  </si>
  <si>
    <t>1-3/4"</t>
  </si>
  <si>
    <t>45 mm</t>
  </si>
  <si>
    <t>3/4"</t>
  </si>
  <si>
    <t>19 mm</t>
  </si>
  <si>
    <t>7/16"</t>
  </si>
  <si>
    <t>11.2 mm</t>
  </si>
  <si>
    <t>5/16"</t>
  </si>
  <si>
    <t>8 mm</t>
  </si>
  <si>
    <t>No. 6</t>
  </si>
  <si>
    <t>3.35 mm</t>
  </si>
  <si>
    <t>No. 8</t>
  </si>
  <si>
    <t>2.36 mm</t>
  </si>
  <si>
    <t>No. 14</t>
  </si>
  <si>
    <t>1.4 mm</t>
  </si>
  <si>
    <t>No. 16</t>
  </si>
  <si>
    <t>1.18 mm</t>
  </si>
  <si>
    <t>No. 20</t>
  </si>
  <si>
    <t>.85 µm</t>
  </si>
  <si>
    <t>No. 30</t>
  </si>
  <si>
    <t>.6 µm</t>
  </si>
  <si>
    <t>.425 µm</t>
  </si>
  <si>
    <t>No. 50</t>
  </si>
  <si>
    <t>.3 µm</t>
  </si>
  <si>
    <t>.18 µm</t>
  </si>
  <si>
    <t>No. 100</t>
  </si>
  <si>
    <t>.15 µm</t>
  </si>
  <si>
    <t>.075 µm</t>
  </si>
  <si>
    <t>Selection</t>
  </si>
  <si>
    <t>English</t>
  </si>
  <si>
    <t>Metric</t>
  </si>
  <si>
    <t>Size</t>
  </si>
  <si>
    <t>User Defined Testing</t>
  </si>
  <si>
    <t>Use this area to enter any test methods, speciafications &amp; test result that apply to this material(s) but are not not listed above.</t>
  </si>
  <si>
    <t>HMACP MIXTURE DESIGN : Aggregate Classification</t>
  </si>
  <si>
    <t>Class (A) Rock (Y/N):</t>
  </si>
  <si>
    <t>Aggregate Classification</t>
  </si>
  <si>
    <t>MIX TYPES</t>
  </si>
  <si>
    <t>Other</t>
  </si>
  <si>
    <t>restricted</t>
  </si>
  <si>
    <t>Rap?, Asphalt%:</t>
  </si>
  <si>
    <t>Asphalt Spec. Grav.:</t>
  </si>
  <si>
    <t>ITEM341_A_Coarse_Base</t>
  </si>
  <si>
    <t>ITEM341_B_Fine_Base</t>
  </si>
  <si>
    <t>ITEM341_C_Coarse_Surface</t>
  </si>
  <si>
    <t>ITEM341_D_Fine_Surface</t>
  </si>
  <si>
    <t>ITEM341_F_Fine_Mixture</t>
  </si>
  <si>
    <t>ITEM344_SP_A_Base</t>
  </si>
  <si>
    <t>ITEM344_SP_B_Intermediate</t>
  </si>
  <si>
    <t>ITEM344_SP_C_Surface</t>
  </si>
  <si>
    <t>ITEM344_SP_D_Fine_Mixture</t>
  </si>
  <si>
    <t>ITEM344_CMHB_C_Coarse_Surface</t>
  </si>
  <si>
    <t>ITEM344_CMHB_F_Fine_Surface</t>
  </si>
  <si>
    <t>ITEM346_SMA_C_Coarse</t>
  </si>
  <si>
    <t>ITEM346_SMA_D_Medium</t>
  </si>
  <si>
    <t>ITEM346_SMA_F_Fine</t>
  </si>
  <si>
    <t>ITEM346_SMAR_C_Coarse</t>
  </si>
  <si>
    <t>ITEM346_SMAR_F_Fine</t>
  </si>
  <si>
    <t>ITEM342_PFC_PG_76_Mixtures</t>
  </si>
  <si>
    <t>ITEM342_PFC_A_R_Mixtures</t>
  </si>
  <si>
    <t>A Coarse Base</t>
  </si>
  <si>
    <t>B Fine Base</t>
  </si>
  <si>
    <t>C Coarse Surface</t>
  </si>
  <si>
    <t>D Fine Surface</t>
  </si>
  <si>
    <t>F Fine Mixture</t>
  </si>
  <si>
    <t>SP-A Base</t>
  </si>
  <si>
    <t>SP-B Intermediate</t>
  </si>
  <si>
    <t>SP-C Surface</t>
  </si>
  <si>
    <t>SP-D Fine Mixture</t>
  </si>
  <si>
    <t>CMHB-C Coarse Surface</t>
  </si>
  <si>
    <t>CMHB-F Fine Surface</t>
  </si>
  <si>
    <t>SMA-C Coarse</t>
  </si>
  <si>
    <t>SMA-D Medium</t>
  </si>
  <si>
    <t>SMA-F Fine</t>
  </si>
  <si>
    <t>SMAR-C Coarse</t>
  </si>
  <si>
    <t>SMAR-F Fine</t>
  </si>
  <si>
    <t>PFC PG 76 Mixtures</t>
  </si>
  <si>
    <t>PFC A-R Mixtures</t>
  </si>
  <si>
    <t>Note: Tex-210-F must be removed</t>
  </si>
  <si>
    <t>Indirect Tensile Strength (psi)</t>
  </si>
  <si>
    <t>Hamburg Wheel Tracking Test</t>
  </si>
  <si>
    <t>Number of cycles</t>
  </si>
  <si>
    <t>Rut depth (mm)</t>
  </si>
  <si>
    <r>
      <t>Spec Year</t>
    </r>
    <r>
      <rPr>
        <sz val="10"/>
        <rFont val="SWISS"/>
        <family val="0"/>
      </rPr>
      <t>: Must be 2004</t>
    </r>
  </si>
  <si>
    <t>Select Other if mix is not in the list and input parameters as required.</t>
  </si>
  <si>
    <t>Lower &amp; Upper Specification Limits</t>
  </si>
  <si>
    <t>Restricted Zone</t>
  </si>
  <si>
    <t>No. Cycles</t>
  </si>
  <si>
    <t>Rut Depth</t>
  </si>
  <si>
    <t>ITS</t>
  </si>
  <si>
    <t>Mixture Evaluation @ Optimum Asphalt Content</t>
  </si>
  <si>
    <t>Number of Gyrations:</t>
  </si>
  <si>
    <t>Fiber Content:</t>
  </si>
  <si>
    <t>* CRM - Crumb Rubber Modifier</t>
  </si>
  <si>
    <t>Percent, (%):</t>
  </si>
  <si>
    <t>Antistripping Agent:</t>
  </si>
  <si>
    <t>Estimated Percent of Stripping, %:</t>
  </si>
  <si>
    <t>STONE-ON-STONE CONTACT</t>
  </si>
  <si>
    <t>MIXTURE DENSIFICATION</t>
  </si>
  <si>
    <t>Drain-Down, %:</t>
  </si>
  <si>
    <t>Sample</t>
  </si>
  <si>
    <t>A</t>
  </si>
  <si>
    <t>B</t>
  </si>
  <si>
    <t>CRM* Content</t>
  </si>
  <si>
    <t>Cantabro Loss, %:</t>
  </si>
  <si>
    <t>VCA(CA)</t>
  </si>
  <si>
    <t>VCA(MIX)</t>
  </si>
  <si>
    <t>A button labeled 'Enter Specifications' will appear above the Bin Fractions Table.  Click on this button and a small table will appear on the screen labeled 'Other'.  Enter the required sieve sizes, maximum and minimum master grading limits, and the required minimum VMA.</t>
  </si>
  <si>
    <t>Height @ Nmax</t>
  </si>
  <si>
    <t>Height @ Ndes</t>
  </si>
  <si>
    <t>Height @ Nini</t>
  </si>
  <si>
    <t>Density (%)</t>
  </si>
  <si>
    <t>Date</t>
  </si>
  <si>
    <t>Changes</t>
  </si>
  <si>
    <t>By</t>
  </si>
  <si>
    <t>Add area to enter percent fiber and percent crumb rubber in the Summary worksheet (cell K18)</t>
  </si>
  <si>
    <t>Add conditional formatting for percent fiber and percent crumb rubber area so that only effected mixture types are represented on the combined gradation worksheet</t>
  </si>
  <si>
    <t>Add field to calculate the weight of fiber or crumb rubber in the Weigh Up worksheet (cells S18 to V20)</t>
  </si>
  <si>
    <t>Add conditional formatting to the fiber and crumb rubber queries in the Weight Up worksheet so that only corresponding mixture types are represented</t>
  </si>
  <si>
    <t>Add sieves: 3/4", 1/2" &amp; 3/8" to the SPA, SPB and SPC mixes, respectively, in the Std Spec GRADATIONS worksheet</t>
  </si>
  <si>
    <t>Set cell F38 in the summary sheet equal to IF(F31="Error","",VLOOKUP(0.075,DUST,16,FALSE)/F31).  This will calculate the Dust to Asphalt ratio</t>
  </si>
  <si>
    <t>Add Gr to the densification section in the Summary worksheet</t>
  </si>
  <si>
    <t>Calculate densities in cells Z33 to Z35 on the Summary worksheet by using the Gr instead of the Gt</t>
  </si>
  <si>
    <t>Add "No" to the validation list for cell E42 on the Weigh Up worksheet</t>
  </si>
  <si>
    <t>Brett Haggerty</t>
  </si>
  <si>
    <t>Summary Worksheet</t>
  </si>
  <si>
    <t>Combined Gradation Worksheet</t>
  </si>
  <si>
    <t>T40 - Add Membrane Target Application Rate, Gal/SY</t>
  </si>
  <si>
    <t>Need Draindown and Cantabro Loss for UTBHMWC mix option</t>
  </si>
  <si>
    <t>Add UTBWC Types A, B and C options to Mix Type</t>
  </si>
  <si>
    <t>Film Thickness Worksheet</t>
  </si>
  <si>
    <t>Need to create this worksheet to calculate film thickness at each asphalt content.</t>
  </si>
  <si>
    <t>Need to reference data in Summary worksheet</t>
  </si>
  <si>
    <t>Increase width column for column B to 8.00</t>
  </si>
  <si>
    <t>UTBWC-A</t>
  </si>
  <si>
    <t>UTBWC-B</t>
  </si>
  <si>
    <t>UTBWC-C</t>
  </si>
  <si>
    <t>ITEM3001_UTBWC_A</t>
  </si>
  <si>
    <t>ITEM3001_UTBWC_B</t>
  </si>
  <si>
    <t>ITEM3001_UTBWC_C</t>
  </si>
  <si>
    <t>AC CONTENT</t>
  </si>
  <si>
    <t>MIN</t>
  </si>
  <si>
    <t>MAX</t>
  </si>
  <si>
    <t>Membrane Application Rates</t>
  </si>
  <si>
    <t>Membrane Application Check</t>
  </si>
  <si>
    <t>Std Spec GRADATIONS</t>
  </si>
  <si>
    <t>The Membrane Application Check is necessary for the conditional formatting on the Combined Gradation Worksheet cell T40.  Because if a complex algorithm is entered for a second condition format the workbook becomes impossible to open and excel crashes.</t>
  </si>
  <si>
    <t>SA Factors</t>
  </si>
  <si>
    <t>Cumlative % Passing</t>
  </si>
  <si>
    <t>Suface Area Factor</t>
  </si>
  <si>
    <r>
      <t>Surface Area (m</t>
    </r>
    <r>
      <rPr>
        <b/>
        <vertAlign val="superscript"/>
        <sz val="10"/>
        <rFont val="Arial"/>
        <family val="0"/>
      </rPr>
      <t>2</t>
    </r>
    <r>
      <rPr>
        <b/>
        <sz val="10"/>
        <rFont val="Arial"/>
        <family val="0"/>
      </rPr>
      <t>/kg)</t>
    </r>
  </si>
  <si>
    <t>Effective Asphalt Content (%)</t>
  </si>
  <si>
    <t>Film Thickness (microns)</t>
  </si>
  <si>
    <t>Asphalt Absorption</t>
  </si>
  <si>
    <t>AC @ Min Film Thickness:</t>
  </si>
  <si>
    <t>Optimum Asphalt Content :</t>
  </si>
  <si>
    <t>Membrane Target Application Rate, gal/yd2</t>
  </si>
  <si>
    <t xml:space="preserve">Add area in the Combined Gradation worksheet to enter in percent fiber for respective PFC and SMA mixtures in cells P42 to S42 </t>
  </si>
  <si>
    <t>Change field# for S42 (on the Combined Gradation worksheet) to Field383, and reference %Fiber value in the Summary sheet to cell S42</t>
  </si>
  <si>
    <t>Add area in the Combined Gradation worksheet to enter in crumb rubber for respective PFC and SMA mixtures in cells T42 to W42</t>
  </si>
  <si>
    <t>Change field# for W40 (on the Combined Gradation worksheet) to Field384, and reference % Crumb Rubber value in the Summary sheet to cell W40</t>
  </si>
  <si>
    <t>Addition of "Version" to the Combined Gradation worksheet</t>
  </si>
  <si>
    <t>VMA @ Optimum AC:</t>
  </si>
  <si>
    <t>Asphalt Content at Minimum Film Thickness (%)</t>
  </si>
  <si>
    <t>Effective Ashpalt Content at Min Film Thickness (%)</t>
  </si>
  <si>
    <t>Asphalt Content at Maximum Film Thickness (%)</t>
  </si>
  <si>
    <t>Minimum Film Thickness (microns)</t>
  </si>
  <si>
    <t>Effective Ashpalt Content at Max Film Thickness (%)</t>
  </si>
  <si>
    <t>Maximum Film Thickness (microns)</t>
  </si>
  <si>
    <t>VMA (Percent)</t>
  </si>
  <si>
    <t>Dust/Asphalt Ratio:</t>
  </si>
  <si>
    <t>Min Film Thickness (microns)</t>
  </si>
  <si>
    <t>Max Film Thickness (microns)</t>
  </si>
  <si>
    <t>AC @ Max Film Thickness:</t>
  </si>
  <si>
    <t>Add AC%, Ga, Gr, Ge, Gt, Density from Gt, and Film Thickness columns to be used only for Film Thickness calculations in cells B29 to V35</t>
  </si>
  <si>
    <t>Add only two inputs for AC% and Gr in cells B33 &amp; F33, respectively.</t>
  </si>
  <si>
    <t>Add range of acceptable film thickness &amp; AC% at those film thicknesses in cells B37 to AA37 (all calculated fields)</t>
  </si>
  <si>
    <t>Allow AC%, Ga, Gr, Ge, Gt, Density from Gt, and Film Thickness columns to be hidden when not analyzing UTBWC</t>
  </si>
  <si>
    <t>Hide this sheet when UTBWC is not selected</t>
  </si>
  <si>
    <t>Tex-226-F</t>
  </si>
  <si>
    <t>Tex-235-F</t>
  </si>
  <si>
    <t>Tex-242-F</t>
  </si>
  <si>
    <t>Tex-530-F</t>
  </si>
  <si>
    <t>Specification tolerance for 1" sieve for Type A mix was incorrect. Corrected as specified in Item 341.</t>
  </si>
  <si>
    <t>Richard Izzo</t>
  </si>
  <si>
    <t>Flat &amp; Elongated</t>
  </si>
  <si>
    <t>Tx280</t>
  </si>
  <si>
    <t>Tex-280-F</t>
  </si>
  <si>
    <t>Matl Properties</t>
  </si>
  <si>
    <t>B31, F31, H31 - Replaced Flakiness Index with Flat &amp; Elongated. Flakiness Index not required in 2004 specifications.</t>
  </si>
  <si>
    <t>Added min &amp; max tolerances for the No. 4 sieve of SP mix types</t>
  </si>
  <si>
    <t>VFA @ Optimum AC:</t>
  </si>
  <si>
    <t>TX207</t>
  </si>
  <si>
    <t>TX226</t>
  </si>
  <si>
    <t>TX227</t>
  </si>
  <si>
    <t>TX235</t>
  </si>
  <si>
    <t>TX242</t>
  </si>
  <si>
    <t>TX530</t>
  </si>
  <si>
    <t>Sumary</t>
  </si>
  <si>
    <t>Changed conditional formatting of cells B44 to F47. Font color changed to black.</t>
  </si>
  <si>
    <t>Added VFA calculation at optimum asphalt content in cells B43 &amp; F43. Cells formatted to only show for Item 344.</t>
  </si>
  <si>
    <t>Color of cell B44 changed to distinguish cells above and below when using Item 344 as all cells will have text and may look confusing.</t>
  </si>
  <si>
    <t>JUNK FIELD #'S</t>
  </si>
  <si>
    <t>ITEM340_A_Coarse_Base</t>
  </si>
  <si>
    <t>ITEM340_B_Fine_Base</t>
  </si>
  <si>
    <t>ITEM340_C_Coarse_Surface</t>
  </si>
  <si>
    <t>ITEM340_D_Fine_Surface</t>
  </si>
  <si>
    <t>ITEM340_F_Fine_Mixture</t>
  </si>
  <si>
    <t>Changed the location of Fields 521 to 557 &amp; Fields 572 to 587 to M25, these field definitions were orignally found in different locations for different worksheets.  Now all of the definitions are identical and reference a dummy cell to prevent the overwrite of other data within the template.</t>
  </si>
  <si>
    <t>Added Mixtypes 340-A, 340-B, 340-C, 340-D, &amp; 340-F to the mixtype list, as well as the cell definition to direct mix specifcations.  This includes the addition of five new definitions, one for each of the new mixtypes.  The addition of the mixtype names to the mixtype definition is also adjusted to include the mixtypes.  No other changes were necessary for these mixtypes as they will reference the same limits as the 341 mixtypes.</t>
  </si>
  <si>
    <t>Add definitions Field596 to Field636, these are the definitions for the "Other" mixtype that should be stored in Sitemanager databases when accessing previous data.</t>
  </si>
  <si>
    <t>Revised minimum specification for percent passing for No. 4 sieve for SP-A, B, C, and D mix types.</t>
  </si>
  <si>
    <r>
      <t xml:space="preserve">If you have any questions or comments concerning this program, or would like to obtain an updated version of this program (if it has been updated) contact the </t>
    </r>
    <r>
      <rPr>
        <b/>
        <sz val="12"/>
        <rFont val="SWISS"/>
        <family val="0"/>
      </rPr>
      <t>Site Manager Tier I contact person for the District (District Lab)</t>
    </r>
    <r>
      <rPr>
        <sz val="12"/>
        <rFont val="SWISS"/>
        <family val="0"/>
      </rPr>
      <t xml:space="preserve">. If you have any other concerns or questions contact Richard Izzo at 512-506-5832 or </t>
    </r>
    <r>
      <rPr>
        <b/>
        <sz val="12"/>
        <rFont val="SWISS"/>
        <family val="0"/>
      </rPr>
      <t>Brett Haggerty at 512-506-5841</t>
    </r>
    <r>
      <rPr>
        <sz val="12"/>
        <rFont val="SWISS"/>
        <family val="0"/>
      </rPr>
      <t xml:space="preserve"> of the Construction Division or you may contact one of the representatives of the SiteManager material management system.</t>
    </r>
  </si>
  <si>
    <t>Height (in)</t>
  </si>
  <si>
    <t>Diameter (in)</t>
  </si>
  <si>
    <t>Dry Weight (grams)</t>
  </si>
  <si>
    <t>Backcalculated Gr</t>
  </si>
  <si>
    <t>Lab Measured Gr</t>
  </si>
  <si>
    <t>Effective Specific Gravity (Ge)</t>
  </si>
  <si>
    <t>Density from Backcalculated Gr (%)</t>
  </si>
  <si>
    <t>Add the Backcalculated Rice for PFC mixtures (these calculations are new to the sheet and not adjustments to the old equations)</t>
  </si>
  <si>
    <t>Add the Dimensional Analysis for PFC mixtures (these calculations are new, and not adjustments to the old equations)</t>
  </si>
  <si>
    <t>Remove the Interpolated Values for UTBWC mixtypes and Mixture Densification</t>
  </si>
  <si>
    <t>CONTRACTOR DESIGN # :</t>
  </si>
  <si>
    <t>Add the Contractor's Design Number to cell V17, as well as the addition of the new field #</t>
  </si>
  <si>
    <t>Select three asphalt contents starting from 2.0 to 3.0% and produce a mixture with the design gradation. Measure Gr at each selected asphalt content. Gr values determined at these lower asphalt contents are use to backcalculate Gr values at the higher asphalt contents in the table below used for laboratory molds.</t>
  </si>
  <si>
    <t>Dimensional analysis procedure. Selected asphalt contents in this table are used for laboratory molded specimens using the Superpave Gyratory Compactor.</t>
  </si>
  <si>
    <t>Include comments for the backcalculated specific gravities when using PFC.  This will provide users with a better idea of how to read the specifications</t>
  </si>
  <si>
    <t>Include the new output results, which there are 117 values.  This is the resval &amp; resname values.  The 117 values are expressed by the ULOV cell</t>
  </si>
  <si>
    <t>Added Field#'s 638-681</t>
  </si>
  <si>
    <t>Remove the 3/8" sieve from the Item341-A, Item340-A &amp; Type-A mixtypes</t>
  </si>
  <si>
    <t>Dry Rodded Unit Weight of Coarse Agg. (pcf)</t>
  </si>
  <si>
    <t># of Sieves with Coarse Aggregate</t>
  </si>
  <si>
    <t>VCA(CA, calc.)</t>
  </si>
  <si>
    <t>VCA(MIX, calc.)</t>
  </si>
  <si>
    <t>Coarse Agg. Combined BSG:</t>
  </si>
  <si>
    <t>Bulk Gravity</t>
  </si>
  <si>
    <t>Include the Combined Bulk Specific Gravity for Coarse Aggregate calculation in cell "M40"</t>
  </si>
  <si>
    <t>Add the number of sieves that contribute to coarse aggreagte to the following mixtypes: SP-A, SP-B, SP-C, SP-D, CMHB-C, CMHB-F, SMA-C, SMA-D, SMA-F, SMAR-C, SMAR-F</t>
  </si>
  <si>
    <t>Add the Dry Rodded Unit Weight cell, "S22".  Also because this is an input field, change the ULOV to 682</t>
  </si>
  <si>
    <t>Add a new version number "3" for the calculation of VCA, as opposed to when it was manually entered</t>
  </si>
  <si>
    <t>Add the new calculated fields for VCA, "M67" &amp; "M68".  And adjust the conditional formatting to account for new version numbers.</t>
  </si>
  <si>
    <t>Weigh Up</t>
  </si>
  <si>
    <t>Adjust Cell L39 to reference only column L in the Combined Gradation Worksheet</t>
  </si>
  <si>
    <t>Test Stamp Code:</t>
  </si>
  <si>
    <t>Omit Test:</t>
  </si>
  <si>
    <t>MATERIAL NAME:</t>
  </si>
  <si>
    <t>SAMPLE STATUS:</t>
  </si>
  <si>
    <t>MATERIAL CODE:</t>
  </si>
  <si>
    <t>Locked By:</t>
  </si>
  <si>
    <t>TxDOT:</t>
  </si>
  <si>
    <t>District:</t>
  </si>
  <si>
    <t>Area:</t>
  </si>
  <si>
    <t>Tx2MixDe4.xls::39212.396308</t>
  </si>
  <si>
    <t>2004</t>
  </si>
  <si>
    <t>Screenings</t>
  </si>
  <si>
    <t xml:space="preserve">Xiaodi </t>
  </si>
  <si>
    <t>TTI</t>
  </si>
  <si>
    <t>Hoban</t>
  </si>
  <si>
    <t>Grade 5</t>
  </si>
  <si>
    <t>Turner</t>
  </si>
  <si>
    <t>11/18/2010</t>
  </si>
  <si>
    <t>Tx-Gyrator Press</t>
  </si>
  <si>
    <t>TTI_Hoban+Turner_SMA</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</si>
</sst>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
    <numFmt numFmtId="167" formatCode="0.0%"/>
    <numFmt numFmtId="168" formatCode="mm/dd/yy"/>
    <numFmt numFmtId="169" formatCode="??0.0"/>
    <numFmt numFmtId="170" formatCode="?,??0.0"/>
    <numFmt numFmtId="171" formatCode="?0.000"/>
    <numFmt numFmtId="172" formatCode=";;"/>
    <numFmt numFmtId="173" formatCode="???,??0.0"/>
    <numFmt numFmtId="174" formatCode="???,??0.0\ "/>
    <numFmt numFmtId="175" formatCode="?,??0.0;[Red]\(?,??0.0\)"/>
    <numFmt numFmtId="176" formatCode="??,??0.0"/>
    <numFmt numFmtId="177" formatCode="0.0000"/>
    <numFmt numFmtId="178" formatCode="0.0000000000"/>
    <numFmt numFmtId="179" formatCode="0.00000000000"/>
    <numFmt numFmtId="180" formatCode="0.000000000000"/>
    <numFmt numFmtId="181" formatCode="0.0000000000000"/>
    <numFmt numFmtId="182" formatCode="0.000000000"/>
    <numFmt numFmtId="183" formatCode="0.00000000"/>
    <numFmt numFmtId="184" formatCode="0.0000000"/>
    <numFmt numFmtId="185" formatCode="0.000000"/>
    <numFmt numFmtId="186" formatCode="mmm\-yyyy"/>
    <numFmt numFmtId="187" formatCode="[$-409]dddd\,\ mmmm\ dd\,\ yyyy"/>
  </numFmts>
  <fonts count="50">
    <font>
      <sz val="10"/>
      <name val="Arial"/>
      <family val="0"/>
    </font>
    <font>
      <u val="single"/>
      <sz val="10"/>
      <color indexed="36"/>
      <name val="Arial"/>
      <family val="0"/>
    </font>
    <font>
      <u val="single"/>
      <sz val="10"/>
      <color indexed="12"/>
      <name val="Arial"/>
      <family val="0"/>
    </font>
    <font>
      <b/>
      <sz val="12"/>
      <color indexed="12"/>
      <name val="SWISS"/>
      <family val="0"/>
    </font>
    <font>
      <sz val="10"/>
      <color indexed="9"/>
      <name val="Arial"/>
      <family val="2"/>
    </font>
    <font>
      <sz val="10"/>
      <color indexed="10"/>
      <name val="Arial"/>
      <family val="2"/>
    </font>
    <font>
      <sz val="10"/>
      <color indexed="12"/>
      <name val="SWISS"/>
      <family val="0"/>
    </font>
    <font>
      <b/>
      <sz val="12"/>
      <color indexed="8"/>
      <name val="SWISS"/>
      <family val="0"/>
    </font>
    <font>
      <b/>
      <sz val="10"/>
      <name val="Arial"/>
      <family val="2"/>
    </font>
    <font>
      <sz val="9"/>
      <name val="Arial"/>
      <family val="2"/>
    </font>
    <font>
      <sz val="8"/>
      <name val="Arial"/>
      <family val="2"/>
    </font>
    <font>
      <sz val="10"/>
      <color indexed="12"/>
      <name val="Arial"/>
      <family val="2"/>
    </font>
    <font>
      <b/>
      <sz val="10"/>
      <color indexed="12"/>
      <name val="Arial"/>
      <family val="2"/>
    </font>
    <font>
      <b/>
      <sz val="10"/>
      <name val="SWISS"/>
      <family val="0"/>
    </font>
    <font>
      <sz val="10"/>
      <name val="SWISS"/>
      <family val="0"/>
    </font>
    <font>
      <b/>
      <sz val="10"/>
      <color indexed="10"/>
      <name val="Arial"/>
      <family val="2"/>
    </font>
    <font>
      <u val="single"/>
      <sz val="8"/>
      <color indexed="12"/>
      <name val="Arial"/>
      <family val="2"/>
    </font>
    <font>
      <sz val="12"/>
      <color indexed="8"/>
      <name val="SWISS"/>
      <family val="0"/>
    </font>
    <font>
      <sz val="12"/>
      <color indexed="12"/>
      <name val="SWISS"/>
      <family val="0"/>
    </font>
    <font>
      <b/>
      <sz val="12"/>
      <color indexed="10"/>
      <name val="SWISS"/>
      <family val="0"/>
    </font>
    <font>
      <b/>
      <sz val="20"/>
      <name val="Arial"/>
      <family val="2"/>
    </font>
    <font>
      <sz val="12"/>
      <color indexed="48"/>
      <name val="SWISS"/>
      <family val="0"/>
    </font>
    <font>
      <sz val="12"/>
      <name val="SWISS"/>
      <family val="0"/>
    </font>
    <font>
      <b/>
      <sz val="12"/>
      <name val="SWISS"/>
      <family val="0"/>
    </font>
    <font>
      <sz val="8"/>
      <color indexed="17"/>
      <name val="Arial"/>
      <family val="2"/>
    </font>
    <font>
      <sz val="20.5"/>
      <name val="Arial"/>
      <family val="0"/>
    </font>
    <font>
      <sz val="20.75"/>
      <name val="Arial"/>
      <family val="0"/>
    </font>
    <font>
      <b/>
      <sz val="10"/>
      <color indexed="9"/>
      <name val="Arial"/>
      <family val="2"/>
    </font>
    <font>
      <b/>
      <sz val="13.25"/>
      <name val="Arial"/>
      <family val="2"/>
    </font>
    <font>
      <i/>
      <sz val="8"/>
      <name val="Arial"/>
      <family val="2"/>
    </font>
    <font>
      <sz val="8"/>
      <name val="Tahoma"/>
      <family val="0"/>
    </font>
    <font>
      <sz val="8"/>
      <color indexed="10"/>
      <name val="Arial"/>
      <family val="2"/>
    </font>
    <font>
      <sz val="9.5"/>
      <name val="Arial"/>
      <family val="2"/>
    </font>
    <font>
      <b/>
      <u val="single"/>
      <sz val="11.5"/>
      <name val="Arial"/>
      <family val="2"/>
    </font>
    <font>
      <i/>
      <sz val="10"/>
      <color indexed="12"/>
      <name val="Arial"/>
      <family val="2"/>
    </font>
    <font>
      <b/>
      <sz val="12"/>
      <color indexed="12"/>
      <name val="Arial"/>
      <family val="2"/>
    </font>
    <font>
      <sz val="12"/>
      <color indexed="12"/>
      <name val="Arial"/>
      <family val="2"/>
    </font>
    <font>
      <sz val="10"/>
      <color indexed="8"/>
      <name val="Arial"/>
      <family val="2"/>
    </font>
    <font>
      <sz val="8"/>
      <color indexed="8"/>
      <name val="Arial"/>
      <family val="2"/>
    </font>
    <font>
      <b/>
      <sz val="10"/>
      <color indexed="8"/>
      <name val="Arial"/>
      <family val="2"/>
    </font>
    <font>
      <u val="single"/>
      <sz val="10"/>
      <color indexed="8"/>
      <name val="Arial"/>
      <family val="2"/>
    </font>
    <font>
      <sz val="8"/>
      <color indexed="9"/>
      <name val="Arial"/>
      <family val="2"/>
    </font>
    <font>
      <u val="single"/>
      <sz val="10"/>
      <color indexed="10"/>
      <name val="Arial"/>
      <family val="0"/>
    </font>
    <font>
      <i/>
      <sz val="10"/>
      <color indexed="9"/>
      <name val="Arial"/>
      <family val="2"/>
    </font>
    <font>
      <i/>
      <sz val="10"/>
      <color indexed="10"/>
      <name val="Arial"/>
      <family val="2"/>
    </font>
    <font>
      <b/>
      <sz val="12"/>
      <name val="Arial"/>
      <family val="2"/>
    </font>
    <font>
      <b/>
      <vertAlign val="superscript"/>
      <sz val="10"/>
      <name val="Arial"/>
      <family val="0"/>
    </font>
    <font>
      <b/>
      <i/>
      <sz val="10"/>
      <color indexed="9"/>
      <name val="Arial"/>
      <family val="2"/>
    </font>
    <font>
      <sz val="8"/>
      <color indexed="21"/>
      <name val="Arial"/>
      <family val="2"/>
    </font>
    <font>
      <b/>
      <sz val="8"/>
      <name val="Arial"/>
      <family val="2"/>
    </font>
  </fonts>
  <fills count="21">
    <fill>
      <patternFill/>
    </fill>
    <fill>
      <patternFill patternType="gray125"/>
    </fill>
    <fill>
      <patternFill patternType="solid">
        <fgColor indexed="43"/>
        <bgColor indexed="64"/>
      </patternFill>
    </fill>
    <fill>
      <patternFill patternType="solid">
        <fgColor indexed="51"/>
        <bgColor indexed="64"/>
      </patternFill>
    </fill>
    <fill>
      <patternFill patternType="solid">
        <fgColor indexed="41"/>
        <bgColor indexed="64"/>
      </patternFill>
    </fill>
    <fill>
      <patternFill patternType="mediumGray">
        <fgColor indexed="47"/>
      </patternFill>
    </fill>
    <fill>
      <patternFill patternType="mediumGray">
        <fgColor indexed="47"/>
        <bgColor indexed="41"/>
      </patternFill>
    </fill>
    <fill>
      <patternFill patternType="solid">
        <fgColor indexed="9"/>
        <bgColor indexed="64"/>
      </patternFill>
    </fill>
    <fill>
      <patternFill patternType="solid">
        <fgColor indexed="22"/>
        <bgColor indexed="64"/>
      </patternFill>
    </fill>
    <fill>
      <patternFill patternType="solid">
        <fgColor indexed="57"/>
        <bgColor indexed="64"/>
      </patternFill>
    </fill>
    <fill>
      <patternFill patternType="mediumGray">
        <fgColor indexed="47"/>
        <bgColor indexed="57"/>
      </patternFill>
    </fill>
    <fill>
      <patternFill patternType="solid">
        <fgColor indexed="42"/>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lightGray">
        <bgColor indexed="9"/>
      </patternFill>
    </fill>
    <fill>
      <patternFill patternType="solid">
        <fgColor indexed="43"/>
        <bgColor indexed="64"/>
      </patternFill>
    </fill>
    <fill>
      <patternFill patternType="lightUp"/>
    </fill>
    <fill>
      <patternFill patternType="lightUp">
        <bgColor indexed="43"/>
      </patternFill>
    </fill>
    <fill>
      <patternFill patternType="solid">
        <fgColor indexed="47"/>
        <bgColor indexed="64"/>
      </patternFill>
    </fill>
    <fill>
      <patternFill patternType="mediumGray">
        <fgColor indexed="47"/>
        <bgColor indexed="43"/>
      </patternFill>
    </fill>
  </fills>
  <borders count="59">
    <border>
      <left/>
      <right/>
      <top/>
      <bottom/>
      <diagonal/>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
      <left style="thin"/>
      <right style="thin"/>
      <top style="thin"/>
      <bottom>
        <color indexed="63"/>
      </bottom>
    </border>
    <border diagonalUp="1">
      <left style="thin"/>
      <right style="thin"/>
      <top style="thin"/>
      <bottom style="thin"/>
      <diagonal style="thin"/>
    </border>
    <border>
      <left style="thin"/>
      <right style="thin"/>
      <top>
        <color indexed="63"/>
      </top>
      <bottom>
        <color indexed="63"/>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style="thin"/>
    </border>
    <border>
      <left style="thin">
        <color indexed="9"/>
      </left>
      <right style="thin">
        <color indexed="9"/>
      </right>
      <top style="thin"/>
      <bottom style="thin"/>
    </border>
    <border>
      <left style="thin">
        <color indexed="9"/>
      </left>
      <right style="thin"/>
      <top style="thin">
        <color indexed="9"/>
      </top>
      <bottom style="thin">
        <color indexed="9"/>
      </bottom>
    </border>
    <border>
      <left style="thin">
        <color indexed="9"/>
      </left>
      <right>
        <color indexed="63"/>
      </right>
      <top style="thin">
        <color indexed="9"/>
      </top>
      <bottom style="thin">
        <color indexed="9"/>
      </bottom>
    </border>
    <border>
      <left>
        <color indexed="63"/>
      </left>
      <right style="thin"/>
      <top style="thin">
        <color indexed="9"/>
      </top>
      <bottom style="thin">
        <color indexed="9"/>
      </bottom>
    </border>
    <border>
      <left style="thin">
        <color indexed="9"/>
      </left>
      <right style="thin">
        <color indexed="9"/>
      </right>
      <top style="thin"/>
      <bottom style="thin">
        <color indexed="9"/>
      </bottom>
    </border>
    <border>
      <left style="thin">
        <color indexed="9"/>
      </left>
      <right>
        <color indexed="63"/>
      </right>
      <top style="thin"/>
      <bottom style="thin">
        <color indexed="9"/>
      </bottom>
    </border>
    <border>
      <left style="thin"/>
      <right>
        <color indexed="63"/>
      </right>
      <top style="thin">
        <color indexed="9"/>
      </top>
      <bottom style="thin">
        <color indexed="9"/>
      </bottom>
    </border>
    <border>
      <left style="thin">
        <color indexed="9"/>
      </left>
      <right style="thin">
        <color indexed="9"/>
      </right>
      <top style="thin"/>
      <bottom>
        <color indexed="63"/>
      </bottom>
    </border>
    <border>
      <left style="thin">
        <color indexed="9"/>
      </left>
      <right style="thin">
        <color indexed="9"/>
      </right>
      <top>
        <color indexed="63"/>
      </top>
      <bottom style="thin">
        <color indexed="9"/>
      </bottom>
    </border>
    <border>
      <left style="thin">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dotted">
        <color indexed="22"/>
      </right>
      <top style="hair">
        <color indexed="22"/>
      </top>
      <bottom style="hair">
        <color indexed="22"/>
      </bottom>
    </border>
    <border>
      <left style="dotted">
        <color indexed="22"/>
      </left>
      <right style="dotted">
        <color indexed="22"/>
      </right>
      <top style="hair">
        <color indexed="22"/>
      </top>
      <bottom style="hair">
        <color indexed="22"/>
      </bottom>
    </border>
    <border>
      <left style="dotted">
        <color indexed="22"/>
      </left>
      <right style="hair">
        <color indexed="22"/>
      </right>
      <top style="hair">
        <color indexed="22"/>
      </top>
      <bottom style="hair">
        <color indexed="22"/>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tted">
        <color indexed="22"/>
      </top>
      <bottom>
        <color indexed="63"/>
      </bottom>
    </border>
    <border>
      <left>
        <color indexed="63"/>
      </left>
      <right style="dotted">
        <color indexed="22"/>
      </right>
      <top style="dotted">
        <color indexed="22"/>
      </top>
      <bottom>
        <color indexed="63"/>
      </bottom>
    </border>
    <border>
      <left>
        <color indexed="63"/>
      </left>
      <right style="dotted">
        <color indexed="22"/>
      </right>
      <top>
        <color indexed="63"/>
      </top>
      <bottom>
        <color indexed="63"/>
      </bottom>
    </border>
    <border>
      <left style="thin"/>
      <right>
        <color indexed="63"/>
      </right>
      <top>
        <color indexed="63"/>
      </top>
      <bottom style="dotted">
        <color indexed="22"/>
      </bottom>
    </border>
    <border>
      <left>
        <color indexed="63"/>
      </left>
      <right style="dotted">
        <color indexed="22"/>
      </right>
      <top>
        <color indexed="63"/>
      </top>
      <bottom style="dotted">
        <color indexed="22"/>
      </bottom>
    </border>
    <border>
      <left style="dotted">
        <color indexed="22"/>
      </left>
      <right style="dotted">
        <color indexed="22"/>
      </right>
      <top style="dotted">
        <color indexed="22"/>
      </top>
      <bottom style="thin"/>
    </border>
    <border>
      <left style="dotted">
        <color indexed="22"/>
      </left>
      <right style="dotted">
        <color indexed="22"/>
      </right>
      <top style="thin"/>
      <bottom style="thin"/>
    </border>
    <border>
      <left style="dotted">
        <color indexed="22"/>
      </left>
      <right style="dotted">
        <color indexed="22"/>
      </right>
      <top style="thin"/>
      <bottom style="dotted">
        <color indexed="22"/>
      </bottom>
    </border>
    <border>
      <left style="thin">
        <color indexed="9"/>
      </left>
      <right style="thin"/>
      <top>
        <color indexed="63"/>
      </top>
      <bottom>
        <color indexed="63"/>
      </bottom>
    </border>
    <border>
      <left style="thin"/>
      <right style="thin">
        <color indexed="9"/>
      </right>
      <top>
        <color indexed="63"/>
      </top>
      <bottom>
        <color indexed="63"/>
      </bottom>
    </border>
    <border>
      <left>
        <color indexed="63"/>
      </left>
      <right>
        <color indexed="63"/>
      </right>
      <top style="double"/>
      <bottom style="double"/>
    </border>
    <border>
      <left>
        <color indexed="63"/>
      </left>
      <right style="double"/>
      <top style="double"/>
      <bottom style="double"/>
    </border>
    <border>
      <left style="dotted">
        <color indexed="22"/>
      </left>
      <right style="dotted">
        <color indexed="22"/>
      </right>
      <top style="dotted">
        <color indexed="22"/>
      </top>
      <bottom style="dotted">
        <color indexed="22"/>
      </bottom>
    </border>
    <border>
      <left style="dotted">
        <color indexed="22"/>
      </left>
      <right style="thin"/>
      <top style="dotted">
        <color indexed="22"/>
      </top>
      <bottom style="dotted">
        <color indexed="22"/>
      </bottom>
    </border>
    <border>
      <left style="thin"/>
      <right style="thin"/>
      <top style="dotted">
        <color indexed="22"/>
      </top>
      <bottom style="dotted">
        <color indexed="22"/>
      </bottom>
    </border>
    <border>
      <left style="thin"/>
      <right style="dotted">
        <color indexed="22"/>
      </right>
      <top style="dotted">
        <color indexed="22"/>
      </top>
      <bottom style="dotted">
        <color indexed="22"/>
      </bottom>
    </border>
    <border>
      <left style="double"/>
      <right>
        <color indexed="63"/>
      </right>
      <top style="double"/>
      <bottom style="double"/>
    </border>
    <border>
      <left style="thin">
        <color indexed="9"/>
      </left>
      <right style="thin"/>
      <top>
        <color indexed="63"/>
      </top>
      <bottom style="thin">
        <color indexed="9"/>
      </bottom>
    </border>
    <border>
      <left style="thin"/>
      <right style="thin"/>
      <top>
        <color indexed="63"/>
      </top>
      <bottom style="thin">
        <color indexed="9"/>
      </bottom>
    </border>
    <border>
      <left style="thin"/>
      <right style="thin">
        <color indexed="9"/>
      </right>
      <top>
        <color indexed="63"/>
      </top>
      <bottom style="thin">
        <color indexed="9"/>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876">
    <xf numFmtId="0" fontId="0" fillId="0" borderId="0" xfId="0" applyAlignment="1">
      <alignment/>
    </xf>
    <xf numFmtId="0" fontId="0" fillId="0" borderId="0" xfId="0" applyNumberFormat="1" applyFill="1" applyBorder="1" applyAlignment="1" applyProtection="1">
      <alignment vertical="center"/>
      <protection/>
    </xf>
    <xf numFmtId="0" fontId="3" fillId="0" borderId="0" xfId="0" applyNumberFormat="1" applyFont="1" applyFill="1" applyBorder="1" applyAlignment="1" applyProtection="1">
      <alignment horizontal="centerContinuous" vertical="center"/>
      <protection/>
    </xf>
    <xf numFmtId="0" fontId="0" fillId="0" borderId="0" xfId="0" applyFill="1" applyAlignment="1" applyProtection="1">
      <alignment horizontal="centerContinuous" vertical="center"/>
      <protection/>
    </xf>
    <xf numFmtId="0" fontId="0" fillId="0" borderId="0" xfId="0" applyNumberFormat="1" applyFill="1" applyBorder="1" applyAlignment="1" applyProtection="1">
      <alignment horizontal="centerContinuous" vertical="center"/>
      <protection/>
    </xf>
    <xf numFmtId="0" fontId="0" fillId="0" borderId="0" xfId="0" applyAlignment="1" applyProtection="1">
      <alignment vertical="center"/>
      <protection/>
    </xf>
    <xf numFmtId="0" fontId="0" fillId="0" borderId="0" xfId="0" applyFont="1" applyAlignment="1" applyProtection="1">
      <alignment vertical="center"/>
      <protection/>
    </xf>
    <xf numFmtId="0" fontId="4" fillId="0" borderId="0" xfId="0" applyFont="1" applyAlignment="1" applyProtection="1">
      <alignment vertical="center"/>
      <protection/>
    </xf>
    <xf numFmtId="0" fontId="6" fillId="0" borderId="0" xfId="0" applyNumberFormat="1" applyFont="1" applyFill="1" applyBorder="1" applyAlignment="1" applyProtection="1">
      <alignment horizontal="centerContinuous" vertical="center"/>
      <protection/>
    </xf>
    <xf numFmtId="0" fontId="7" fillId="0" borderId="0" xfId="0" applyNumberFormat="1" applyFont="1" applyFill="1" applyBorder="1" applyAlignment="1" applyProtection="1">
      <alignment horizontal="centerContinuous" vertical="center"/>
      <protection/>
    </xf>
    <xf numFmtId="0" fontId="0" fillId="0" borderId="0" xfId="0" applyAlignment="1">
      <alignment vertical="center"/>
    </xf>
    <xf numFmtId="49" fontId="0" fillId="0" borderId="0" xfId="0" applyNumberFormat="1" applyFill="1" applyAlignment="1" applyProtection="1">
      <alignment horizontal="right" vertical="center"/>
      <protection/>
    </xf>
    <xf numFmtId="49" fontId="0" fillId="0" borderId="0" xfId="0" applyNumberFormat="1" applyFill="1" applyAlignment="1" applyProtection="1">
      <alignment vertical="center"/>
      <protection/>
    </xf>
    <xf numFmtId="49" fontId="0" fillId="0" borderId="0" xfId="0" applyNumberFormat="1" applyFont="1" applyFill="1" applyBorder="1" applyAlignment="1" applyProtection="1">
      <alignment vertical="center"/>
      <protection/>
    </xf>
    <xf numFmtId="0" fontId="2" fillId="0" borderId="0" xfId="20" applyBorder="1" applyAlignment="1" applyProtection="1">
      <alignment horizontal="center" vertical="center"/>
      <protection/>
    </xf>
    <xf numFmtId="0" fontId="2" fillId="0" borderId="0" xfId="20" applyFont="1" applyBorder="1" applyAlignment="1" applyProtection="1">
      <alignment horizontal="center" vertical="center"/>
      <protection/>
    </xf>
    <xf numFmtId="0" fontId="0" fillId="0" borderId="0" xfId="0" applyNumberFormat="1" applyFont="1" applyBorder="1" applyAlignment="1" applyProtection="1">
      <alignment horizontal="left" vertical="center"/>
      <protection/>
    </xf>
    <xf numFmtId="168" fontId="4" fillId="0" borderId="0" xfId="0" applyNumberFormat="1" applyFont="1" applyBorder="1" applyAlignment="1" applyProtection="1">
      <alignment vertical="center"/>
      <protection/>
    </xf>
    <xf numFmtId="0" fontId="0" fillId="0" borderId="0" xfId="0" applyNumberFormat="1" applyFill="1" applyBorder="1" applyAlignment="1" applyProtection="1">
      <alignment horizontal="left" vertical="center"/>
      <protection/>
    </xf>
    <xf numFmtId="0" fontId="0" fillId="0" borderId="0" xfId="0" applyFill="1" applyAlignment="1" applyProtection="1">
      <alignment horizontal="left" vertical="center"/>
      <protection/>
    </xf>
    <xf numFmtId="0" fontId="0" fillId="0" borderId="0" xfId="0" applyAlignment="1">
      <alignment horizontal="left" vertical="center"/>
    </xf>
    <xf numFmtId="0" fontId="0" fillId="0" borderId="0" xfId="0" applyFill="1" applyAlignment="1">
      <alignment/>
    </xf>
    <xf numFmtId="0" fontId="8" fillId="0" borderId="0" xfId="0" applyFont="1" applyFill="1" applyAlignment="1">
      <alignment horizontal="center"/>
    </xf>
    <xf numFmtId="0" fontId="8" fillId="2" borderId="1" xfId="0" applyFont="1" applyFill="1" applyBorder="1" applyAlignment="1">
      <alignment horizontal="center" vertical="center"/>
    </xf>
    <xf numFmtId="0" fontId="0" fillId="0" borderId="0" xfId="0" applyFill="1" applyAlignment="1">
      <alignment horizontal="center"/>
    </xf>
    <xf numFmtId="0" fontId="8"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5" fillId="0" borderId="1" xfId="0" applyFont="1" applyFill="1" applyBorder="1" applyAlignment="1">
      <alignment horizontal="center"/>
    </xf>
    <xf numFmtId="0" fontId="11" fillId="0" borderId="1" xfId="0" applyFont="1" applyFill="1" applyBorder="1" applyAlignment="1">
      <alignment horizontal="center"/>
    </xf>
    <xf numFmtId="0" fontId="0" fillId="0" borderId="1" xfId="0" applyFill="1" applyBorder="1" applyAlignment="1">
      <alignment horizontal="center"/>
    </xf>
    <xf numFmtId="0" fontId="0" fillId="4" borderId="1" xfId="0" applyFill="1" applyBorder="1" applyAlignment="1">
      <alignment horizontal="center"/>
    </xf>
    <xf numFmtId="0" fontId="0" fillId="3" borderId="1" xfId="0" applyFill="1" applyBorder="1" applyAlignment="1">
      <alignment horizontal="center" vertical="center"/>
    </xf>
    <xf numFmtId="0" fontId="0" fillId="3" borderId="1" xfId="0" applyFill="1" applyBorder="1" applyAlignment="1">
      <alignment horizontal="center"/>
    </xf>
    <xf numFmtId="0" fontId="5" fillId="5" borderId="1" xfId="0" applyFont="1" applyFill="1" applyBorder="1" applyAlignment="1">
      <alignment horizontal="center"/>
    </xf>
    <xf numFmtId="0" fontId="11" fillId="5" borderId="1" xfId="0" applyFont="1" applyFill="1" applyBorder="1" applyAlignment="1">
      <alignment horizontal="center"/>
    </xf>
    <xf numFmtId="0" fontId="0" fillId="6" borderId="1" xfId="0" applyFill="1" applyBorder="1" applyAlignment="1">
      <alignment horizontal="center"/>
    </xf>
    <xf numFmtId="0" fontId="0" fillId="0" borderId="0" xfId="0" applyFill="1" applyAlignment="1">
      <alignment/>
    </xf>
    <xf numFmtId="0" fontId="0" fillId="0" borderId="0" xfId="0" applyAlignment="1" applyProtection="1">
      <alignment horizontal="left" vertical="center"/>
      <protection/>
    </xf>
    <xf numFmtId="0" fontId="10" fillId="0" borderId="0" xfId="0" applyFont="1" applyAlignment="1">
      <alignment vertical="center"/>
    </xf>
    <xf numFmtId="0" fontId="16" fillId="0" borderId="0" xfId="20" applyFont="1" applyAlignment="1">
      <alignment horizontal="center" vertical="center"/>
    </xf>
    <xf numFmtId="0" fontId="17" fillId="7" borderId="0" xfId="0" applyNumberFormat="1" applyFont="1" applyFill="1" applyAlignment="1">
      <alignment/>
    </xf>
    <xf numFmtId="0" fontId="18" fillId="7" borderId="0" xfId="0" applyNumberFormat="1" applyFont="1" applyFill="1" applyAlignment="1">
      <alignment/>
    </xf>
    <xf numFmtId="0" fontId="0" fillId="7" borderId="0" xfId="0" applyNumberFormat="1" applyFill="1" applyAlignment="1">
      <alignment/>
    </xf>
    <xf numFmtId="0" fontId="20" fillId="0" borderId="0" xfId="0" applyFont="1" applyAlignment="1">
      <alignment horizontal="right" vertical="center"/>
    </xf>
    <xf numFmtId="0" fontId="21" fillId="7" borderId="0" xfId="0" applyNumberFormat="1" applyFont="1" applyFill="1" applyAlignment="1">
      <alignment/>
    </xf>
    <xf numFmtId="0" fontId="22" fillId="7" borderId="0" xfId="0" applyNumberFormat="1" applyFont="1" applyFill="1" applyAlignment="1">
      <alignment/>
    </xf>
    <xf numFmtId="0" fontId="23" fillId="7" borderId="0" xfId="0" applyNumberFormat="1" applyFont="1" applyFill="1" applyAlignment="1">
      <alignment/>
    </xf>
    <xf numFmtId="0" fontId="0" fillId="0" borderId="0" xfId="0" applyAlignment="1">
      <alignment horizontal="right"/>
    </xf>
    <xf numFmtId="0" fontId="14" fillId="7" borderId="0" xfId="0" applyNumberFormat="1" applyFont="1" applyFill="1" applyAlignment="1">
      <alignment horizontal="left" vertical="top" wrapText="1"/>
    </xf>
    <xf numFmtId="0" fontId="22" fillId="7" borderId="0" xfId="0" applyNumberFormat="1" applyFont="1" applyFill="1" applyAlignment="1">
      <alignment horizontal="left" vertical="top"/>
    </xf>
    <xf numFmtId="0" fontId="0" fillId="0" borderId="0" xfId="0" applyAlignment="1">
      <alignment horizontal="left" vertical="top"/>
    </xf>
    <xf numFmtId="0" fontId="20" fillId="0" borderId="0" xfId="0" applyFont="1" applyAlignment="1">
      <alignment horizontal="right" vertical="top"/>
    </xf>
    <xf numFmtId="0" fontId="0" fillId="0" borderId="1" xfId="0" applyFont="1" applyFill="1" applyBorder="1" applyAlignment="1" applyProtection="1">
      <alignment horizontal="center" vertical="center"/>
      <protection/>
    </xf>
    <xf numFmtId="0" fontId="0" fillId="0" borderId="2" xfId="0" applyFont="1" applyBorder="1" applyAlignment="1" applyProtection="1">
      <alignment horizontal="center" vertical="center"/>
      <protection/>
    </xf>
    <xf numFmtId="164" fontId="0" fillId="0" borderId="1"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164" fontId="0" fillId="0" borderId="0" xfId="0" applyNumberFormat="1" applyFont="1" applyFill="1" applyBorder="1" applyAlignment="1" applyProtection="1">
      <alignment horizontal="center" vertical="center"/>
      <protection/>
    </xf>
    <xf numFmtId="164" fontId="0" fillId="0" borderId="0" xfId="0" applyNumberFormat="1" applyFont="1" applyFill="1" applyBorder="1" applyAlignment="1" applyProtection="1">
      <alignment horizontal="center" vertical="center" wrapText="1"/>
      <protection/>
    </xf>
    <xf numFmtId="164" fontId="0" fillId="0" borderId="0" xfId="0" applyNumberFormat="1" applyFill="1" applyBorder="1" applyAlignment="1" applyProtection="1">
      <alignment horizontal="center" vertical="center"/>
      <protection/>
    </xf>
    <xf numFmtId="164" fontId="0" fillId="0" borderId="0" xfId="0" applyNumberFormat="1" applyFill="1" applyBorder="1" applyAlignment="1">
      <alignment horizontal="center" vertical="center"/>
    </xf>
    <xf numFmtId="0" fontId="0" fillId="0" borderId="3" xfId="0" applyFont="1" applyFill="1" applyBorder="1" applyAlignment="1" applyProtection="1">
      <alignment horizontal="center" vertical="center"/>
      <protection/>
    </xf>
    <xf numFmtId="0" fontId="0" fillId="0" borderId="0" xfId="0" applyBorder="1" applyAlignment="1">
      <alignment horizontal="center" vertical="center" wrapText="1"/>
    </xf>
    <xf numFmtId="0" fontId="0" fillId="8" borderId="1" xfId="0" applyFill="1" applyBorder="1" applyAlignment="1">
      <alignment vertical="center"/>
    </xf>
    <xf numFmtId="4" fontId="0" fillId="0" borderId="1" xfId="0" applyNumberFormat="1" applyFill="1" applyBorder="1" applyAlignment="1">
      <alignment horizontal="center" vertical="center"/>
    </xf>
    <xf numFmtId="164"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Font="1" applyBorder="1" applyAlignment="1" applyProtection="1">
      <alignment horizontal="center" vertical="center"/>
      <protection/>
    </xf>
    <xf numFmtId="0" fontId="0" fillId="0" borderId="0" xfId="0" applyBorder="1" applyAlignment="1">
      <alignment horizontal="center" vertical="center" textRotation="90"/>
    </xf>
    <xf numFmtId="0" fontId="0" fillId="0" borderId="2" xfId="0" applyBorder="1" applyAlignment="1">
      <alignment horizontal="center" vertical="center"/>
    </xf>
    <xf numFmtId="0" fontId="8" fillId="0" borderId="0" xfId="0" applyFont="1" applyBorder="1" applyAlignment="1">
      <alignment horizontal="center" vertical="center"/>
    </xf>
    <xf numFmtId="4" fontId="0" fillId="0" borderId="1" xfId="0" applyNumberFormat="1" applyFont="1" applyBorder="1" applyAlignment="1" applyProtection="1">
      <alignment horizontal="center" vertical="center"/>
      <protection/>
    </xf>
    <xf numFmtId="1" fontId="0" fillId="0" borderId="0" xfId="0" applyNumberFormat="1" applyBorder="1" applyAlignment="1">
      <alignment horizontal="center" vertical="center"/>
    </xf>
    <xf numFmtId="4" fontId="0" fillId="0" borderId="4" xfId="0" applyNumberFormat="1" applyFont="1" applyBorder="1" applyAlignment="1" applyProtection="1">
      <alignment horizontal="center" vertical="center"/>
      <protection/>
    </xf>
    <xf numFmtId="0" fontId="8" fillId="0" borderId="0" xfId="0" applyFont="1" applyFill="1" applyBorder="1" applyAlignment="1">
      <alignment horizontal="center" vertical="center"/>
    </xf>
    <xf numFmtId="0" fontId="0" fillId="0" borderId="0" xfId="0" applyFill="1" applyBorder="1" applyAlignment="1">
      <alignment vertical="center"/>
    </xf>
    <xf numFmtId="1" fontId="0" fillId="0" borderId="0" xfId="0" applyNumberForma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165" fontId="0" fillId="0" borderId="0" xfId="0" applyNumberFormat="1" applyFont="1" applyFill="1" applyBorder="1" applyAlignment="1" applyProtection="1">
      <alignment horizontal="center" vertical="center"/>
      <protection/>
    </xf>
    <xf numFmtId="0" fontId="19" fillId="7" borderId="0" xfId="0" applyNumberFormat="1" applyFont="1" applyFill="1" applyBorder="1" applyAlignment="1">
      <alignment/>
    </xf>
    <xf numFmtId="164" fontId="0" fillId="0" borderId="1" xfId="0" applyNumberFormat="1" applyBorder="1" applyAlignment="1" applyProtection="1">
      <alignment horizontal="center" vertical="center"/>
      <protection/>
    </xf>
    <xf numFmtId="0" fontId="27" fillId="0" borderId="0" xfId="0" applyFont="1" applyBorder="1" applyAlignment="1">
      <alignment horizontal="center" vertical="center" wrapText="1"/>
    </xf>
    <xf numFmtId="2" fontId="4" fillId="0" borderId="0" xfId="0" applyNumberFormat="1" applyFont="1" applyBorder="1" applyAlignment="1">
      <alignment horizontal="center"/>
    </xf>
    <xf numFmtId="0" fontId="4" fillId="0" borderId="0" xfId="0" applyFont="1" applyBorder="1" applyAlignment="1">
      <alignment horizontal="center"/>
    </xf>
    <xf numFmtId="0" fontId="24" fillId="0" borderId="0" xfId="0" applyNumberFormat="1" applyFont="1" applyFill="1" applyBorder="1" applyAlignment="1" applyProtection="1">
      <alignment horizontal="right" vertical="center"/>
      <protection/>
    </xf>
    <xf numFmtId="0" fontId="0" fillId="0" borderId="0" xfId="0" applyNumberFormat="1" applyFont="1" applyBorder="1" applyAlignment="1" applyProtection="1">
      <alignment vertical="center"/>
      <protection/>
    </xf>
    <xf numFmtId="0" fontId="0" fillId="0" borderId="0" xfId="0" applyFont="1" applyAlignment="1" applyProtection="1">
      <alignment horizontal="left" vertical="center"/>
      <protection/>
    </xf>
    <xf numFmtId="0" fontId="4" fillId="0" borderId="0" xfId="0" applyFont="1" applyAlignment="1" applyProtection="1">
      <alignment horizontal="left" vertical="center"/>
      <protection/>
    </xf>
    <xf numFmtId="0" fontId="0" fillId="0" borderId="0" xfId="0" applyNumberFormat="1" applyFont="1" applyFill="1" applyBorder="1" applyAlignment="1" applyProtection="1">
      <alignment horizontal="centerContinuous" vertical="center"/>
      <protection/>
    </xf>
    <xf numFmtId="0" fontId="0" fillId="0" borderId="0" xfId="0" applyFont="1" applyAlignment="1" applyProtection="1">
      <alignment horizontal="right" vertical="center"/>
      <protection/>
    </xf>
    <xf numFmtId="0" fontId="0" fillId="0" borderId="0" xfId="0" applyFont="1" applyFill="1" applyAlignment="1" applyProtection="1">
      <alignment horizontal="centerContinuous" vertical="center"/>
      <protection/>
    </xf>
    <xf numFmtId="166" fontId="0" fillId="0" borderId="0" xfId="0" applyNumberFormat="1" applyFont="1" applyAlignment="1" applyProtection="1">
      <alignment horizontal="left" vertical="center"/>
      <protection/>
    </xf>
    <xf numFmtId="0" fontId="10" fillId="0" borderId="1" xfId="0" applyFont="1" applyBorder="1" applyAlignment="1" applyProtection="1">
      <alignment horizontal="center" vertical="center"/>
      <protection/>
    </xf>
    <xf numFmtId="0" fontId="10" fillId="0" borderId="1" xfId="0" applyFont="1" applyBorder="1" applyAlignment="1" applyProtection="1">
      <alignment horizontal="center" vertical="center" wrapText="1"/>
      <protection/>
    </xf>
    <xf numFmtId="0" fontId="29" fillId="0" borderId="1" xfId="0" applyFont="1" applyBorder="1" applyAlignment="1" applyProtection="1">
      <alignment horizontal="center" vertical="center" wrapText="1"/>
      <protection/>
    </xf>
    <xf numFmtId="169" fontId="0" fillId="0" borderId="1" xfId="0" applyNumberFormat="1" applyBorder="1" applyAlignment="1">
      <alignment horizontal="center" vertical="center"/>
    </xf>
    <xf numFmtId="169" fontId="0" fillId="0" borderId="1" xfId="0" applyNumberFormat="1" applyFont="1" applyFill="1" applyBorder="1" applyAlignment="1" applyProtection="1">
      <alignment horizontal="center" vertical="center" wrapText="1"/>
      <protection/>
    </xf>
    <xf numFmtId="169" fontId="0" fillId="0" borderId="3" xfId="0" applyNumberFormat="1" applyFont="1" applyFill="1" applyBorder="1" applyAlignment="1" applyProtection="1">
      <alignment horizontal="center" vertical="center"/>
      <protection/>
    </xf>
    <xf numFmtId="169" fontId="0" fillId="0" borderId="0" xfId="0" applyNumberFormat="1" applyAlignment="1">
      <alignment/>
    </xf>
    <xf numFmtId="169" fontId="0" fillId="0" borderId="1" xfId="0" applyNumberFormat="1" applyFont="1" applyFill="1" applyBorder="1" applyAlignment="1" applyProtection="1">
      <alignment horizontal="center" vertical="center"/>
      <protection/>
    </xf>
    <xf numFmtId="167" fontId="0" fillId="0" borderId="1" xfId="0" applyNumberFormat="1" applyFont="1" applyFill="1" applyBorder="1" applyAlignment="1" applyProtection="1">
      <alignment horizontal="center" vertical="center"/>
      <protection/>
    </xf>
    <xf numFmtId="0" fontId="0" fillId="0" borderId="5" xfId="0" applyBorder="1" applyAlignment="1">
      <alignment vertical="center"/>
    </xf>
    <xf numFmtId="0" fontId="0" fillId="0" borderId="0" xfId="0" applyNumberFormat="1" applyBorder="1" applyAlignment="1" applyProtection="1">
      <alignment vertical="center"/>
      <protection/>
    </xf>
    <xf numFmtId="0" fontId="0" fillId="0" borderId="6" xfId="0" applyNumberFormat="1" applyFont="1" applyBorder="1" applyAlignment="1" applyProtection="1">
      <alignment horizontal="center" vertical="center"/>
      <protection/>
    </xf>
    <xf numFmtId="0" fontId="0" fillId="0" borderId="7" xfId="0" applyFont="1" applyBorder="1" applyAlignment="1">
      <alignment horizontal="right" vertical="center"/>
    </xf>
    <xf numFmtId="0" fontId="8" fillId="0" borderId="4" xfId="0" applyFont="1" applyBorder="1" applyAlignment="1">
      <alignment horizontal="center" vertical="center"/>
    </xf>
    <xf numFmtId="0" fontId="0" fillId="0" borderId="1" xfId="20" applyFont="1" applyBorder="1" applyAlignment="1" applyProtection="1">
      <alignment horizontal="left" vertical="center"/>
      <protection/>
    </xf>
    <xf numFmtId="173" fontId="0" fillId="0" borderId="8" xfId="0" applyNumberFormat="1" applyFont="1" applyFill="1" applyBorder="1" applyAlignment="1" applyProtection="1">
      <alignment horizontal="center" vertical="center"/>
      <protection/>
    </xf>
    <xf numFmtId="172" fontId="0" fillId="0" borderId="0" xfId="0" applyNumberFormat="1" applyAlignment="1">
      <alignment horizontal="center" vertical="center"/>
    </xf>
    <xf numFmtId="166" fontId="10" fillId="0" borderId="3" xfId="0" applyNumberFormat="1" applyFont="1" applyFill="1" applyBorder="1" applyAlignment="1" applyProtection="1">
      <alignment horizontal="center" vertical="center"/>
      <protection/>
    </xf>
    <xf numFmtId="165" fontId="0" fillId="0" borderId="1" xfId="0" applyNumberFormat="1" applyBorder="1" applyAlignment="1">
      <alignment horizontal="center" vertical="center"/>
    </xf>
    <xf numFmtId="166" fontId="10" fillId="0" borderId="1" xfId="0" applyNumberFormat="1" applyFont="1" applyFill="1" applyBorder="1" applyAlignment="1" applyProtection="1">
      <alignment horizontal="center" vertical="center"/>
      <protection/>
    </xf>
    <xf numFmtId="0" fontId="8" fillId="0" borderId="0" xfId="0" applyFont="1" applyAlignment="1">
      <alignment horizontal="left" vertical="center"/>
    </xf>
    <xf numFmtId="0" fontId="8" fillId="0" borderId="0" xfId="0" applyFont="1" applyAlignment="1">
      <alignment vertical="center"/>
    </xf>
    <xf numFmtId="164" fontId="8" fillId="0" borderId="0" xfId="0" applyNumberFormat="1" applyFont="1" applyFill="1" applyBorder="1" applyAlignment="1" applyProtection="1">
      <alignment horizontal="center" vertical="center"/>
      <protection/>
    </xf>
    <xf numFmtId="164" fontId="8" fillId="0" borderId="0" xfId="0" applyNumberFormat="1" applyFont="1" applyFill="1" applyBorder="1" applyAlignment="1" applyProtection="1">
      <alignment horizontal="center" vertical="center" wrapText="1"/>
      <protection/>
    </xf>
    <xf numFmtId="164" fontId="8" fillId="0" borderId="0" xfId="0" applyNumberFormat="1" applyFont="1" applyFill="1" applyBorder="1" applyAlignment="1">
      <alignment horizontal="center" vertical="center"/>
    </xf>
    <xf numFmtId="165" fontId="8" fillId="0" borderId="1" xfId="0" applyNumberFormat="1" applyFont="1" applyFill="1" applyBorder="1" applyAlignment="1" applyProtection="1">
      <alignment horizontal="center" vertical="center"/>
      <protection/>
    </xf>
    <xf numFmtId="0" fontId="0" fillId="8" borderId="3" xfId="0" applyFill="1" applyBorder="1" applyAlignment="1">
      <alignment vertical="center"/>
    </xf>
    <xf numFmtId="4" fontId="0" fillId="0" borderId="3" xfId="0" applyNumberFormat="1" applyFont="1" applyBorder="1" applyAlignment="1" applyProtection="1">
      <alignment horizontal="center" vertical="center"/>
      <protection/>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horizontal="center" vertical="center" textRotation="90"/>
    </xf>
    <xf numFmtId="0" fontId="0" fillId="8" borderId="8" xfId="0" applyFill="1" applyBorder="1" applyAlignment="1">
      <alignment/>
    </xf>
    <xf numFmtId="0" fontId="0" fillId="8" borderId="4" xfId="0" applyFill="1" applyBorder="1" applyAlignment="1">
      <alignment/>
    </xf>
    <xf numFmtId="0" fontId="0" fillId="8" borderId="7" xfId="0" applyFill="1" applyBorder="1" applyAlignment="1">
      <alignment/>
    </xf>
    <xf numFmtId="0" fontId="0" fillId="8" borderId="8" xfId="0" applyFont="1" applyFill="1" applyBorder="1" applyAlignment="1">
      <alignment horizontal="right" vertical="center"/>
    </xf>
    <xf numFmtId="0" fontId="0" fillId="8" borderId="4" xfId="0" applyFont="1" applyFill="1" applyBorder="1" applyAlignment="1">
      <alignment horizontal="right" vertical="center"/>
    </xf>
    <xf numFmtId="0" fontId="0" fillId="8" borderId="7" xfId="0" applyFont="1" applyFill="1" applyBorder="1" applyAlignment="1">
      <alignment horizontal="right" vertical="center"/>
    </xf>
    <xf numFmtId="4" fontId="10" fillId="8" borderId="8" xfId="0" applyNumberFormat="1" applyFont="1" applyFill="1" applyBorder="1" applyAlignment="1" applyProtection="1">
      <alignment horizontal="left" vertical="center"/>
      <protection/>
    </xf>
    <xf numFmtId="4" fontId="10" fillId="8" borderId="7" xfId="0" applyNumberFormat="1" applyFont="1" applyFill="1" applyBorder="1" applyAlignment="1">
      <alignment horizontal="left" vertical="center"/>
    </xf>
    <xf numFmtId="4" fontId="10" fillId="8" borderId="7" xfId="0" applyNumberFormat="1" applyFont="1" applyFill="1" applyBorder="1" applyAlignment="1" applyProtection="1">
      <alignment horizontal="left" vertical="center"/>
      <protection/>
    </xf>
    <xf numFmtId="173" fontId="0" fillId="0" borderId="1" xfId="0" applyNumberFormat="1" applyFont="1" applyFill="1" applyBorder="1" applyAlignment="1" applyProtection="1">
      <alignment horizontal="center" vertical="center"/>
      <protection/>
    </xf>
    <xf numFmtId="0" fontId="4" fillId="0" borderId="0" xfId="0" applyFont="1" applyFill="1" applyAlignment="1" applyProtection="1">
      <alignment horizontal="left" vertical="center"/>
      <protection/>
    </xf>
    <xf numFmtId="166" fontId="4" fillId="0" borderId="0" xfId="0" applyNumberFormat="1" applyFont="1" applyAlignment="1" applyProtection="1">
      <alignment horizontal="left" vertical="center"/>
      <protection/>
    </xf>
    <xf numFmtId="0" fontId="0" fillId="0" borderId="0" xfId="0" applyAlignment="1">
      <alignment horizontal="left"/>
    </xf>
    <xf numFmtId="49" fontId="0" fillId="0" borderId="4" xfId="0" applyNumberFormat="1" applyFont="1" applyFill="1" applyBorder="1" applyAlignment="1" applyProtection="1">
      <alignment horizontal="right" vertical="center"/>
      <protection/>
    </xf>
    <xf numFmtId="49" fontId="0" fillId="0" borderId="8" xfId="0" applyNumberFormat="1" applyFill="1" applyBorder="1" applyAlignment="1" applyProtection="1">
      <alignment horizontal="left" vertical="center"/>
      <protection/>
    </xf>
    <xf numFmtId="0" fontId="8" fillId="3" borderId="1" xfId="0" applyFont="1" applyFill="1" applyBorder="1" applyAlignment="1">
      <alignment horizontal="center" vertical="center" wrapText="1"/>
    </xf>
    <xf numFmtId="0" fontId="4" fillId="0" borderId="0" xfId="0" applyFont="1" applyAlignment="1">
      <alignment/>
    </xf>
    <xf numFmtId="2" fontId="4" fillId="0" borderId="0" xfId="0" applyNumberFormat="1" applyFont="1" applyAlignment="1">
      <alignment horizontal="center"/>
    </xf>
    <xf numFmtId="49" fontId="0" fillId="0" borderId="4" xfId="0" applyNumberFormat="1" applyFont="1" applyFill="1" applyBorder="1" applyAlignment="1" applyProtection="1">
      <alignment horizontal="right" vertical="center"/>
      <protection/>
    </xf>
    <xf numFmtId="49" fontId="0" fillId="0" borderId="1" xfId="0" applyNumberFormat="1" applyFill="1" applyBorder="1" applyAlignment="1" applyProtection="1">
      <alignment horizontal="left" vertical="center"/>
      <protection/>
    </xf>
    <xf numFmtId="164" fontId="31" fillId="0" borderId="9" xfId="0" applyNumberFormat="1" applyFont="1" applyBorder="1" applyAlignment="1">
      <alignment horizontal="left" vertical="center"/>
    </xf>
    <xf numFmtId="173" fontId="8" fillId="0" borderId="1" xfId="0" applyNumberFormat="1" applyFont="1" applyFill="1" applyBorder="1" applyAlignment="1" applyProtection="1">
      <alignment horizontal="center" vertical="center"/>
      <protection/>
    </xf>
    <xf numFmtId="0" fontId="11" fillId="0" borderId="1" xfId="20" applyFont="1" applyBorder="1" applyAlignment="1" applyProtection="1">
      <alignment horizontal="left" vertical="center"/>
      <protection/>
    </xf>
    <xf numFmtId="172" fontId="0" fillId="0" borderId="4" xfId="0" applyNumberFormat="1" applyBorder="1" applyAlignment="1">
      <alignment horizontal="center" vertical="center"/>
    </xf>
    <xf numFmtId="0" fontId="4" fillId="0" borderId="0" xfId="0" applyFont="1" applyAlignment="1">
      <alignment horizontal="left" vertical="center"/>
    </xf>
    <xf numFmtId="164" fontId="4" fillId="0" borderId="0" xfId="0" applyNumberFormat="1" applyFont="1" applyFill="1" applyBorder="1" applyAlignment="1" applyProtection="1">
      <alignment horizontal="center" vertical="center"/>
      <protection/>
    </xf>
    <xf numFmtId="164" fontId="4" fillId="0" borderId="0" xfId="0" applyNumberFormat="1" applyFont="1" applyFill="1" applyBorder="1" applyAlignment="1" applyProtection="1">
      <alignment horizontal="center" vertical="center" wrapText="1"/>
      <protection/>
    </xf>
    <xf numFmtId="164" fontId="31" fillId="0" borderId="0" xfId="0" applyNumberFormat="1" applyFont="1" applyBorder="1" applyAlignment="1">
      <alignment horizontal="left" vertical="center"/>
    </xf>
    <xf numFmtId="0" fontId="0" fillId="0" borderId="6" xfId="0" applyBorder="1" applyAlignment="1">
      <alignment vertical="center"/>
    </xf>
    <xf numFmtId="0" fontId="0" fillId="0" borderId="0" xfId="0" applyBorder="1" applyAlignment="1">
      <alignment/>
    </xf>
    <xf numFmtId="0" fontId="0" fillId="0" borderId="0" xfId="0" applyFill="1" applyBorder="1" applyAlignment="1">
      <alignment/>
    </xf>
    <xf numFmtId="176" fontId="0" fillId="0" borderId="10" xfId="0" applyNumberFormat="1" applyFont="1" applyFill="1" applyBorder="1" applyAlignment="1" applyProtection="1">
      <alignment horizontal="center" vertical="center"/>
      <protection/>
    </xf>
    <xf numFmtId="176" fontId="0" fillId="0" borderId="3" xfId="0" applyNumberFormat="1" applyFont="1" applyFill="1" applyBorder="1" applyAlignment="1" applyProtection="1">
      <alignment horizontal="center" vertical="center"/>
      <protection/>
    </xf>
    <xf numFmtId="176" fontId="0" fillId="0" borderId="1" xfId="0" applyNumberFormat="1" applyBorder="1" applyAlignment="1">
      <alignment horizontal="center" vertical="center"/>
    </xf>
    <xf numFmtId="176" fontId="0" fillId="0" borderId="7" xfId="0" applyNumberFormat="1" applyBorder="1" applyAlignment="1">
      <alignment horizontal="center" vertical="center"/>
    </xf>
    <xf numFmtId="176" fontId="0" fillId="0" borderId="0" xfId="0" applyNumberFormat="1" applyAlignment="1">
      <alignment horizontal="center" vertical="center"/>
    </xf>
    <xf numFmtId="169" fontId="0" fillId="0" borderId="0" xfId="0" applyNumberFormat="1" applyBorder="1" applyAlignment="1">
      <alignment horizontal="center" vertical="center"/>
    </xf>
    <xf numFmtId="169" fontId="8" fillId="0" borderId="1" xfId="0" applyNumberFormat="1" applyFont="1" applyBorder="1" applyAlignment="1">
      <alignment horizontal="center" vertical="center"/>
    </xf>
    <xf numFmtId="169" fontId="8" fillId="0" borderId="0" xfId="0" applyNumberFormat="1" applyFont="1" applyBorder="1" applyAlignment="1">
      <alignment horizontal="center" vertical="center"/>
    </xf>
    <xf numFmtId="0" fontId="8" fillId="0" borderId="0" xfId="0" applyFont="1" applyAlignment="1">
      <alignment horizontal="centerContinuous" vertical="center"/>
    </xf>
    <xf numFmtId="0" fontId="0" fillId="0" borderId="0" xfId="0" applyAlignment="1">
      <alignment horizontal="centerContinuous" vertical="center"/>
    </xf>
    <xf numFmtId="169" fontId="0" fillId="0" borderId="8" xfId="0" applyNumberFormat="1" applyFont="1" applyFill="1" applyBorder="1" applyAlignment="1" applyProtection="1">
      <alignment horizontal="center" vertical="center"/>
      <protection/>
    </xf>
    <xf numFmtId="0" fontId="15" fillId="0" borderId="0" xfId="0" applyFont="1" applyAlignment="1">
      <alignment vertical="center"/>
    </xf>
    <xf numFmtId="176" fontId="0" fillId="8" borderId="10" xfId="0" applyNumberFormat="1" applyFont="1" applyFill="1" applyBorder="1" applyAlignment="1" applyProtection="1">
      <alignment horizontal="center" vertical="center"/>
      <protection/>
    </xf>
    <xf numFmtId="176" fontId="0" fillId="8" borderId="3" xfId="0" applyNumberFormat="1" applyFont="1" applyFill="1" applyBorder="1" applyAlignment="1" applyProtection="1">
      <alignment horizontal="center" vertical="center"/>
      <protection/>
    </xf>
    <xf numFmtId="0" fontId="23" fillId="0" borderId="0" xfId="0" applyNumberFormat="1" applyFont="1" applyFill="1" applyBorder="1" applyAlignment="1" applyProtection="1">
      <alignment horizontal="centerContinuous" vertical="center"/>
      <protection/>
    </xf>
    <xf numFmtId="165" fontId="0" fillId="0" borderId="8" xfId="0" applyNumberFormat="1" applyBorder="1" applyAlignment="1" applyProtection="1">
      <alignment horizontal="center" vertical="center"/>
      <protection/>
    </xf>
    <xf numFmtId="0" fontId="10" fillId="0" borderId="0" xfId="0" applyNumberFormat="1" applyFont="1" applyBorder="1" applyAlignment="1" applyProtection="1">
      <alignment horizontal="center" vertical="center"/>
      <protection/>
    </xf>
    <xf numFmtId="0" fontId="10" fillId="0" borderId="0" xfId="0" applyNumberFormat="1" applyFont="1" applyBorder="1" applyAlignment="1" applyProtection="1">
      <alignment horizontal="left" vertical="center"/>
      <protection/>
    </xf>
    <xf numFmtId="0" fontId="0" fillId="0" borderId="11" xfId="0" applyFont="1" applyBorder="1" applyAlignment="1">
      <alignment horizontal="center" vertical="center" wrapText="1"/>
    </xf>
    <xf numFmtId="0" fontId="0" fillId="0" borderId="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3" xfId="0" applyFont="1" applyBorder="1" applyAlignment="1">
      <alignment horizontal="center" vertical="center" wrapText="1"/>
    </xf>
    <xf numFmtId="0" fontId="0" fillId="0" borderId="1" xfId="0" applyBorder="1" applyAlignment="1">
      <alignment/>
    </xf>
    <xf numFmtId="0" fontId="10" fillId="0" borderId="1" xfId="0" applyFont="1" applyBorder="1" applyAlignment="1">
      <alignment horizontal="center" wrapText="1"/>
    </xf>
    <xf numFmtId="16" fontId="10" fillId="0" borderId="1" xfId="0" applyNumberFormat="1" applyFont="1" applyBorder="1" applyAlignment="1">
      <alignment horizontal="center" wrapText="1"/>
    </xf>
    <xf numFmtId="0" fontId="10" fillId="0" borderId="1" xfId="0" applyFont="1" applyBorder="1" applyAlignment="1">
      <alignment horizontal="center"/>
    </xf>
    <xf numFmtId="0" fontId="10" fillId="0" borderId="1" xfId="0" applyFont="1" applyFill="1" applyBorder="1" applyAlignment="1">
      <alignment/>
    </xf>
    <xf numFmtId="0" fontId="10" fillId="0" borderId="1" xfId="0" applyFont="1" applyFill="1" applyBorder="1" applyAlignment="1" applyProtection="1">
      <alignment horizontal="center"/>
      <protection/>
    </xf>
    <xf numFmtId="0" fontId="10" fillId="0" borderId="1" xfId="0" applyNumberFormat="1" applyFont="1" applyBorder="1" applyAlignment="1" applyProtection="1">
      <alignment horizontal="center"/>
      <protection/>
    </xf>
    <xf numFmtId="0" fontId="0" fillId="0" borderId="1" xfId="0" applyFill="1" applyBorder="1" applyAlignment="1">
      <alignment/>
    </xf>
    <xf numFmtId="0" fontId="10" fillId="0" borderId="6" xfId="0" applyNumberFormat="1" applyFont="1" applyBorder="1" applyAlignment="1" applyProtection="1">
      <alignment horizontal="left" vertical="center"/>
      <protection/>
    </xf>
    <xf numFmtId="0" fontId="4" fillId="9" borderId="12" xfId="0" applyFont="1" applyFill="1" applyBorder="1" applyAlignment="1">
      <alignment/>
    </xf>
    <xf numFmtId="0" fontId="4" fillId="9" borderId="1" xfId="0" applyFont="1" applyFill="1" applyBorder="1" applyAlignment="1">
      <alignment/>
    </xf>
    <xf numFmtId="0" fontId="4" fillId="10" borderId="12" xfId="0" applyFont="1" applyFill="1" applyBorder="1" applyAlignment="1">
      <alignment/>
    </xf>
    <xf numFmtId="0" fontId="4" fillId="10" borderId="1" xfId="0" applyFont="1" applyFill="1" applyBorder="1" applyAlignment="1">
      <alignment/>
    </xf>
    <xf numFmtId="0" fontId="0" fillId="0" borderId="0" xfId="0" applyBorder="1" applyAlignment="1">
      <alignment vertical="center"/>
    </xf>
    <xf numFmtId="0" fontId="0" fillId="0" borderId="0" xfId="0" applyFont="1" applyFill="1" applyAlignment="1" applyProtection="1">
      <alignment horizontal="left" vertical="center"/>
      <protection/>
    </xf>
    <xf numFmtId="0" fontId="0" fillId="0" borderId="0" xfId="0" applyAlignment="1" applyProtection="1">
      <alignment horizontal="centerContinuous" vertical="center"/>
      <protection/>
    </xf>
    <xf numFmtId="49" fontId="38" fillId="11" borderId="1" xfId="0" applyNumberFormat="1" applyFont="1" applyFill="1" applyBorder="1" applyAlignment="1" applyProtection="1">
      <alignment horizontal="center" vertical="center"/>
      <protection locked="0"/>
    </xf>
    <xf numFmtId="164" fontId="38" fillId="11" borderId="1" xfId="0" applyNumberFormat="1" applyFont="1" applyFill="1" applyBorder="1" applyAlignment="1" applyProtection="1">
      <alignment vertical="center"/>
      <protection locked="0"/>
    </xf>
    <xf numFmtId="169" fontId="37" fillId="11" borderId="1" xfId="0" applyNumberFormat="1" applyFont="1" applyFill="1" applyBorder="1" applyAlignment="1" applyProtection="1">
      <alignment horizontal="center" vertical="center"/>
      <protection locked="0"/>
    </xf>
    <xf numFmtId="169" fontId="37" fillId="11" borderId="3" xfId="0" applyNumberFormat="1" applyFont="1" applyFill="1" applyBorder="1" applyAlignment="1" applyProtection="1">
      <alignment horizontal="center" vertical="center"/>
      <protection locked="0"/>
    </xf>
    <xf numFmtId="164" fontId="37" fillId="11" borderId="1" xfId="0" applyNumberFormat="1" applyFont="1" applyFill="1" applyBorder="1" applyAlignment="1" applyProtection="1">
      <alignment horizontal="center" vertical="center"/>
      <protection locked="0"/>
    </xf>
    <xf numFmtId="165" fontId="37" fillId="11" borderId="1" xfId="0" applyNumberFormat="1" applyFont="1" applyFill="1" applyBorder="1" applyAlignment="1" applyProtection="1">
      <alignment horizontal="center" vertical="center"/>
      <protection locked="0"/>
    </xf>
    <xf numFmtId="0" fontId="37" fillId="11" borderId="1" xfId="0" applyFont="1" applyFill="1" applyBorder="1" applyAlignment="1" applyProtection="1">
      <alignment horizontal="center" vertical="center"/>
      <protection locked="0"/>
    </xf>
    <xf numFmtId="165" fontId="37" fillId="11" borderId="3" xfId="0" applyNumberFormat="1" applyFont="1" applyFill="1" applyBorder="1" applyAlignment="1" applyProtection="1">
      <alignment horizontal="center" vertical="center"/>
      <protection locked="0"/>
    </xf>
    <xf numFmtId="49" fontId="37" fillId="11" borderId="9" xfId="0" applyNumberFormat="1" applyFont="1" applyFill="1" applyBorder="1" applyAlignment="1" applyProtection="1">
      <alignment horizontal="center" vertical="top" wrapText="1"/>
      <protection locked="0"/>
    </xf>
    <xf numFmtId="49" fontId="37" fillId="11" borderId="6" xfId="0" applyNumberFormat="1" applyFont="1" applyFill="1" applyBorder="1" applyAlignment="1" applyProtection="1">
      <alignment horizontal="center" vertical="top" wrapText="1"/>
      <protection locked="0"/>
    </xf>
    <xf numFmtId="0" fontId="37" fillId="11" borderId="3" xfId="0" applyFont="1" applyFill="1" applyBorder="1" applyAlignment="1" applyProtection="1">
      <alignment horizontal="center" vertical="center"/>
      <protection locked="0"/>
    </xf>
    <xf numFmtId="4" fontId="37" fillId="11" borderId="1" xfId="0" applyNumberFormat="1" applyFont="1" applyFill="1" applyBorder="1" applyAlignment="1" applyProtection="1">
      <alignment horizontal="center" vertical="center"/>
      <protection locked="0"/>
    </xf>
    <xf numFmtId="0" fontId="37" fillId="11" borderId="1" xfId="0" applyFont="1" applyFill="1" applyBorder="1" applyAlignment="1" applyProtection="1">
      <alignment horizontal="center" vertical="center" wrapText="1"/>
      <protection locked="0"/>
    </xf>
    <xf numFmtId="0" fontId="4" fillId="12" borderId="12" xfId="0" applyFont="1" applyFill="1" applyBorder="1" applyAlignment="1">
      <alignment/>
    </xf>
    <xf numFmtId="0" fontId="4" fillId="12" borderId="1" xfId="0" applyFont="1" applyFill="1" applyBorder="1" applyAlignment="1">
      <alignment/>
    </xf>
    <xf numFmtId="0" fontId="0" fillId="2" borderId="11" xfId="0" applyFill="1" applyBorder="1" applyAlignment="1">
      <alignment vertical="center"/>
    </xf>
    <xf numFmtId="0" fontId="0" fillId="2" borderId="13" xfId="0" applyFill="1" applyBorder="1" applyAlignment="1">
      <alignment vertical="center"/>
    </xf>
    <xf numFmtId="0" fontId="0" fillId="0" borderId="0" xfId="20" applyFont="1" applyFill="1" applyBorder="1" applyAlignment="1" applyProtection="1">
      <alignment vertical="center" wrapText="1"/>
      <protection/>
    </xf>
    <xf numFmtId="0" fontId="0" fillId="3" borderId="0" xfId="0" applyFill="1" applyBorder="1" applyAlignment="1">
      <alignment horizontal="center"/>
    </xf>
    <xf numFmtId="0" fontId="0" fillId="3" borderId="0" xfId="0" applyFill="1" applyBorder="1" applyAlignment="1">
      <alignment horizontal="center" vertical="center"/>
    </xf>
    <xf numFmtId="0" fontId="10" fillId="0" borderId="7" xfId="0" applyFont="1" applyBorder="1" applyAlignment="1" applyProtection="1">
      <alignment horizontal="center" vertical="center" wrapText="1"/>
      <protection/>
    </xf>
    <xf numFmtId="171" fontId="41" fillId="0" borderId="7" xfId="0"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0" borderId="0" xfId="0" applyFont="1" applyFill="1" applyAlignment="1">
      <alignment/>
    </xf>
    <xf numFmtId="0" fontId="8"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xf>
    <xf numFmtId="164" fontId="38" fillId="11" borderId="1" xfId="0" applyNumberFormat="1" applyFont="1" applyFill="1" applyBorder="1" applyAlignment="1" applyProtection="1">
      <alignment horizontal="center" vertical="center"/>
      <protection locked="0"/>
    </xf>
    <xf numFmtId="0" fontId="8" fillId="0" borderId="4" xfId="0" applyFont="1" applyBorder="1" applyAlignment="1">
      <alignment horizontal="right" vertical="center"/>
    </xf>
    <xf numFmtId="0" fontId="0" fillId="0" borderId="1" xfId="0" applyBorder="1" applyAlignment="1">
      <alignment horizontal="center" vertical="center"/>
    </xf>
    <xf numFmtId="0" fontId="0" fillId="0" borderId="1" xfId="20" applyFont="1" applyBorder="1" applyAlignment="1" applyProtection="1" quotePrefix="1">
      <alignment horizontal="left" vertical="center"/>
      <protection/>
    </xf>
    <xf numFmtId="0" fontId="15" fillId="0" borderId="0" xfId="20" applyFont="1" applyBorder="1" applyAlignment="1" applyProtection="1" quotePrefix="1">
      <alignment horizontal="left" vertical="center"/>
      <protection/>
    </xf>
    <xf numFmtId="0" fontId="8" fillId="0" borderId="9" xfId="0" applyFont="1" applyBorder="1" applyAlignment="1">
      <alignment horizontal="right" vertical="center"/>
    </xf>
    <xf numFmtId="0" fontId="0" fillId="0" borderId="9" xfId="0" applyBorder="1" applyAlignment="1">
      <alignment horizontal="center" vertical="center"/>
    </xf>
    <xf numFmtId="0" fontId="0" fillId="0" borderId="9" xfId="0" applyFill="1" applyBorder="1" applyAlignment="1">
      <alignment horizontal="center" vertical="center"/>
    </xf>
    <xf numFmtId="0" fontId="0" fillId="0" borderId="9" xfId="20" applyFont="1" applyBorder="1" applyAlignment="1" applyProtection="1">
      <alignment horizontal="right" vertical="center"/>
      <protection/>
    </xf>
    <xf numFmtId="0" fontId="0" fillId="0" borderId="9" xfId="0" applyBorder="1" applyAlignment="1">
      <alignment horizontal="right" vertical="center"/>
    </xf>
    <xf numFmtId="165" fontId="0" fillId="0" borderId="9" xfId="20" applyNumberFormat="1" applyFont="1" applyBorder="1" applyAlignment="1" applyProtection="1">
      <alignment horizontal="center" vertical="center"/>
      <protection/>
    </xf>
    <xf numFmtId="0" fontId="0" fillId="0" borderId="9" xfId="0" applyFont="1" applyBorder="1" applyAlignment="1">
      <alignment horizontal="center" vertical="center"/>
    </xf>
    <xf numFmtId="0" fontId="0" fillId="0" borderId="1" xfId="0" applyNumberFormat="1" applyFill="1" applyBorder="1" applyAlignment="1" applyProtection="1">
      <alignment horizontal="center" vertical="center"/>
      <protection/>
    </xf>
    <xf numFmtId="0" fontId="0" fillId="0" borderId="1" xfId="0" applyBorder="1" applyAlignment="1">
      <alignment/>
    </xf>
    <xf numFmtId="0" fontId="0" fillId="0" borderId="8" xfId="0" applyBorder="1" applyAlignment="1">
      <alignment/>
    </xf>
    <xf numFmtId="0" fontId="0" fillId="0" borderId="8" xfId="0" applyBorder="1" applyAlignment="1">
      <alignment horizontal="center" vertical="center"/>
    </xf>
    <xf numFmtId="0" fontId="0" fillId="0" borderId="0" xfId="0" applyBorder="1" applyAlignment="1">
      <alignment/>
    </xf>
    <xf numFmtId="0" fontId="0" fillId="0" borderId="0" xfId="0" applyBorder="1" applyAlignment="1" applyProtection="1">
      <alignment vertical="center"/>
      <protection/>
    </xf>
    <xf numFmtId="0" fontId="39" fillId="0" borderId="1" xfId="20" applyFont="1" applyBorder="1" applyAlignment="1" applyProtection="1">
      <alignment horizontal="center" vertical="center"/>
      <protection/>
    </xf>
    <xf numFmtId="169" fontId="37" fillId="11" borderId="1" xfId="0" applyNumberFormat="1" applyFont="1" applyFill="1" applyBorder="1" applyAlignment="1" applyProtection="1">
      <alignment horizontal="left" vertical="center"/>
      <protection locked="0"/>
    </xf>
    <xf numFmtId="0" fontId="5" fillId="0" borderId="0" xfId="0" applyFont="1" applyFill="1" applyAlignment="1">
      <alignment/>
    </xf>
    <xf numFmtId="0" fontId="5" fillId="0" borderId="0" xfId="0" applyFont="1" applyFill="1" applyAlignment="1">
      <alignment vertical="center"/>
    </xf>
    <xf numFmtId="0" fontId="5" fillId="0" borderId="0" xfId="0" applyFont="1" applyFill="1" applyAlignment="1" applyProtection="1">
      <alignment vertical="center"/>
      <protection/>
    </xf>
    <xf numFmtId="0" fontId="5" fillId="0" borderId="1" xfId="0" applyFont="1" applyFill="1" applyBorder="1" applyAlignment="1">
      <alignment horizontal="center" vertical="center"/>
    </xf>
    <xf numFmtId="0" fontId="5" fillId="0" borderId="1" xfId="0" applyFont="1" applyFill="1" applyBorder="1" applyAlignment="1" applyProtection="1">
      <alignment vertical="center"/>
      <protection/>
    </xf>
    <xf numFmtId="0" fontId="42" fillId="0" borderId="0" xfId="20" applyFont="1" applyFill="1" applyBorder="1" applyAlignment="1" applyProtection="1">
      <alignment horizontal="center" vertical="center"/>
      <protection/>
    </xf>
    <xf numFmtId="0" fontId="15" fillId="0" borderId="4" xfId="0" applyFont="1" applyFill="1" applyBorder="1" applyAlignment="1" applyProtection="1">
      <alignment horizontal="right" vertical="center"/>
      <protection/>
    </xf>
    <xf numFmtId="0" fontId="15" fillId="0" borderId="6" xfId="0" applyFont="1" applyFill="1" applyBorder="1" applyAlignment="1">
      <alignment horizontal="right" vertical="center"/>
    </xf>
    <xf numFmtId="0" fontId="42" fillId="0" borderId="6" xfId="20" applyFont="1" applyFill="1" applyBorder="1" applyAlignment="1" applyProtection="1">
      <alignment horizontal="center" vertical="center"/>
      <protection/>
    </xf>
    <xf numFmtId="0" fontId="5" fillId="0" borderId="6" xfId="0" applyFont="1" applyFill="1" applyBorder="1" applyAlignment="1" applyProtection="1">
      <alignment vertical="center"/>
      <protection/>
    </xf>
    <xf numFmtId="0" fontId="5" fillId="0" borderId="10" xfId="20" applyFont="1" applyFill="1" applyBorder="1" applyAlignment="1" applyProtection="1" quotePrefix="1">
      <alignment horizontal="left" vertical="center"/>
      <protection/>
    </xf>
    <xf numFmtId="0" fontId="0" fillId="11" borderId="1" xfId="0" applyFill="1" applyBorder="1" applyAlignment="1" applyProtection="1">
      <alignment vertical="center"/>
      <protection locked="0"/>
    </xf>
    <xf numFmtId="0" fontId="11" fillId="11" borderId="1" xfId="20" applyFont="1" applyFill="1" applyBorder="1" applyAlignment="1" applyProtection="1">
      <alignment horizontal="center" vertical="center"/>
      <protection locked="0"/>
    </xf>
    <xf numFmtId="0" fontId="23" fillId="7" borderId="0" xfId="0" applyNumberFormat="1" applyFont="1" applyFill="1" applyAlignment="1">
      <alignment horizontal="left" vertical="center"/>
    </xf>
    <xf numFmtId="0" fontId="13" fillId="7" borderId="0" xfId="0" applyNumberFormat="1" applyFont="1" applyFill="1" applyAlignment="1">
      <alignment horizontal="left" vertical="top"/>
    </xf>
    <xf numFmtId="0" fontId="43" fillId="0" borderId="0" xfId="0" applyFont="1" applyAlignment="1">
      <alignment vertical="center"/>
    </xf>
    <xf numFmtId="0" fontId="12" fillId="11" borderId="1" xfId="20" applyFont="1" applyFill="1" applyBorder="1" applyAlignment="1" applyProtection="1">
      <alignment horizontal="center" vertical="center"/>
      <protection locked="0"/>
    </xf>
    <xf numFmtId="0" fontId="12" fillId="11" borderId="8" xfId="20" applyFont="1" applyFill="1" applyBorder="1" applyAlignment="1" applyProtection="1">
      <alignment horizontal="center" vertical="center"/>
      <protection locked="0"/>
    </xf>
    <xf numFmtId="0" fontId="12" fillId="11" borderId="1" xfId="0" applyFont="1" applyFill="1" applyBorder="1" applyAlignment="1" applyProtection="1">
      <alignment horizontal="center" vertical="center"/>
      <protection locked="0"/>
    </xf>
    <xf numFmtId="0" fontId="27" fillId="0" borderId="0" xfId="20" applyFont="1" applyFill="1" applyBorder="1" applyAlignment="1" applyProtection="1" quotePrefix="1">
      <alignment horizontal="left" vertical="center"/>
      <protection/>
    </xf>
    <xf numFmtId="0" fontId="39" fillId="0" borderId="1" xfId="20" applyFont="1" applyFill="1" applyBorder="1" applyAlignment="1" applyProtection="1">
      <alignment horizontal="center" vertical="center"/>
      <protection/>
    </xf>
    <xf numFmtId="0" fontId="39" fillId="0" borderId="1" xfId="20" applyFont="1" applyFill="1" applyBorder="1" applyAlignment="1" applyProtection="1" quotePrefix="1">
      <alignment horizontal="left" vertical="center"/>
      <protection/>
    </xf>
    <xf numFmtId="165" fontId="12" fillId="11" borderId="1" xfId="0" applyNumberFormat="1" applyFont="1" applyFill="1" applyBorder="1" applyAlignment="1" applyProtection="1">
      <alignment horizontal="center" vertical="center"/>
      <protection locked="0"/>
    </xf>
    <xf numFmtId="165" fontId="12" fillId="11" borderId="1" xfId="20" applyNumberFormat="1" applyFont="1" applyFill="1" applyBorder="1" applyAlignment="1" applyProtection="1">
      <alignment horizontal="center" vertical="center"/>
      <protection locked="0"/>
    </xf>
    <xf numFmtId="2" fontId="27" fillId="0" borderId="0" xfId="20" applyNumberFormat="1" applyFont="1" applyFill="1" applyBorder="1" applyAlignment="1" applyProtection="1">
      <alignment horizontal="center" vertical="center"/>
      <protection/>
    </xf>
    <xf numFmtId="0" fontId="8" fillId="11" borderId="1" xfId="0" applyFont="1" applyFill="1" applyBorder="1" applyAlignment="1" applyProtection="1">
      <alignment horizontal="center"/>
      <protection locked="0"/>
    </xf>
    <xf numFmtId="164" fontId="39" fillId="11" borderId="1" xfId="20" applyNumberFormat="1" applyFont="1" applyFill="1" applyBorder="1" applyAlignment="1" applyProtection="1">
      <alignment horizontal="center" vertical="center"/>
      <protection locked="0"/>
    </xf>
    <xf numFmtId="0" fontId="8" fillId="13" borderId="1" xfId="0" applyFont="1" applyFill="1" applyBorder="1" applyAlignment="1">
      <alignment horizontal="center"/>
    </xf>
    <xf numFmtId="0" fontId="8" fillId="1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left" vertical="center" wrapText="1"/>
    </xf>
    <xf numFmtId="0" fontId="8" fillId="0" borderId="0" xfId="0" applyFont="1" applyAlignment="1">
      <alignment horizontal="center" vertical="center" wrapText="1"/>
    </xf>
    <xf numFmtId="0" fontId="5" fillId="0" borderId="1" xfId="0" applyFont="1" applyFill="1" applyBorder="1" applyAlignment="1">
      <alignment horizontal="center" vertical="center"/>
    </xf>
    <xf numFmtId="0" fontId="0" fillId="0" borderId="1" xfId="0" applyFill="1" applyBorder="1" applyAlignment="1">
      <alignment horizontal="center" vertical="center"/>
    </xf>
    <xf numFmtId="0" fontId="0" fillId="4" borderId="1" xfId="0" applyFill="1" applyBorder="1" applyAlignment="1">
      <alignment horizontal="center" vertical="center"/>
    </xf>
    <xf numFmtId="0" fontId="5" fillId="5" borderId="1" xfId="0" applyFont="1" applyFill="1" applyBorder="1" applyAlignment="1">
      <alignment horizontal="center" vertical="center"/>
    </xf>
    <xf numFmtId="0" fontId="0" fillId="6" borderId="1" xfId="0" applyFill="1" applyBorder="1" applyAlignment="1">
      <alignment horizontal="center" vertical="center"/>
    </xf>
    <xf numFmtId="0" fontId="0" fillId="5" borderId="1" xfId="0" applyFill="1" applyBorder="1" applyAlignment="1">
      <alignment horizontal="center" vertical="center"/>
    </xf>
    <xf numFmtId="0" fontId="15" fillId="0" borderId="0" xfId="0" applyFont="1" applyFill="1" applyAlignment="1" quotePrefix="1">
      <alignment vertical="center"/>
    </xf>
    <xf numFmtId="0" fontId="0" fillId="0" borderId="0" xfId="0" applyFill="1" applyAlignment="1">
      <alignment vertical="center"/>
    </xf>
    <xf numFmtId="0" fontId="8" fillId="0" borderId="1" xfId="0" applyFont="1" applyFill="1" applyBorder="1" applyAlignment="1">
      <alignment horizontal="center"/>
    </xf>
    <xf numFmtId="165" fontId="0" fillId="0" borderId="0" xfId="0" applyNumberFormat="1" applyFill="1" applyBorder="1" applyAlignment="1" applyProtection="1">
      <alignment horizontal="center" vertical="center"/>
      <protection/>
    </xf>
    <xf numFmtId="0" fontId="0" fillId="5" borderId="1" xfId="0" applyFill="1" applyBorder="1" applyAlignment="1">
      <alignment/>
    </xf>
    <xf numFmtId="0" fontId="0" fillId="2" borderId="1" xfId="0" applyFill="1" applyBorder="1" applyAlignment="1">
      <alignment/>
    </xf>
    <xf numFmtId="0" fontId="0" fillId="0" borderId="1" xfId="0" applyBorder="1" applyAlignment="1">
      <alignment horizontal="lef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166" fontId="0" fillId="0" borderId="0" xfId="0" applyNumberFormat="1" applyAlignment="1">
      <alignment/>
    </xf>
    <xf numFmtId="0" fontId="15" fillId="0" borderId="0" xfId="0" applyFont="1" applyFill="1" applyAlignment="1" applyProtection="1">
      <alignment vertical="center"/>
      <protection/>
    </xf>
    <xf numFmtId="0" fontId="5" fillId="0" borderId="8" xfId="0" applyFont="1" applyFill="1" applyBorder="1" applyAlignment="1" applyProtection="1">
      <alignment vertical="center"/>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protection/>
    </xf>
    <xf numFmtId="185" fontId="0" fillId="0" borderId="14" xfId="0" applyNumberFormat="1" applyBorder="1" applyAlignment="1">
      <alignment/>
    </xf>
    <xf numFmtId="184" fontId="0" fillId="0" borderId="14" xfId="0" applyNumberFormat="1" applyBorder="1" applyAlignment="1">
      <alignment/>
    </xf>
    <xf numFmtId="0" fontId="0" fillId="0" borderId="0" xfId="20" applyFont="1" applyBorder="1" applyAlignment="1" applyProtection="1">
      <alignment vertical="center"/>
      <protection/>
    </xf>
    <xf numFmtId="0" fontId="4" fillId="0" borderId="0" xfId="20" applyFont="1" applyBorder="1" applyAlignment="1" applyProtection="1">
      <alignment horizontal="center" vertical="center"/>
      <protection/>
    </xf>
    <xf numFmtId="0" fontId="43" fillId="0" borderId="6" xfId="0" applyFont="1" applyBorder="1" applyAlignment="1">
      <alignment vertical="center"/>
    </xf>
    <xf numFmtId="0" fontId="0" fillId="11" borderId="1" xfId="0" applyFill="1" applyBorder="1" applyAlignment="1" applyProtection="1">
      <alignment horizontal="center" vertical="center"/>
      <protection locked="0"/>
    </xf>
    <xf numFmtId="0" fontId="4" fillId="0" borderId="0" xfId="0" applyFont="1" applyAlignment="1">
      <alignment vertical="center"/>
    </xf>
    <xf numFmtId="0" fontId="44" fillId="0" borderId="0" xfId="20" applyFont="1" applyBorder="1" applyAlignment="1" applyProtection="1">
      <alignment vertical="center"/>
      <protection/>
    </xf>
    <xf numFmtId="0" fontId="15" fillId="0" borderId="26" xfId="20" applyFont="1" applyBorder="1" applyAlignment="1" applyProtection="1" quotePrefix="1">
      <alignment horizontal="left" vertical="center"/>
      <protection/>
    </xf>
    <xf numFmtId="0" fontId="0" fillId="0" borderId="1" xfId="20" applyFont="1" applyBorder="1" applyAlignment="1" applyProtection="1">
      <alignment horizontal="center" vertical="center"/>
      <protection/>
    </xf>
    <xf numFmtId="164" fontId="0" fillId="0" borderId="1" xfId="20" applyNumberFormat="1" applyFont="1" applyBorder="1" applyAlignment="1" applyProtection="1">
      <alignment horizontal="center" vertical="center"/>
      <protection/>
    </xf>
    <xf numFmtId="0" fontId="0" fillId="0" borderId="0" xfId="0" applyFill="1" applyAlignment="1">
      <alignment horizontal="left" vertical="center" wrapText="1"/>
    </xf>
    <xf numFmtId="0" fontId="8" fillId="0" borderId="0" xfId="0" applyFont="1" applyFill="1" applyAlignment="1">
      <alignment horizontal="center" vertical="center" wrapText="1"/>
    </xf>
    <xf numFmtId="0" fontId="2" fillId="0" borderId="0" xfId="20" applyFont="1" applyFill="1" applyBorder="1" applyAlignment="1" applyProtection="1">
      <alignment horizontal="center" vertical="center"/>
      <protection/>
    </xf>
    <xf numFmtId="2" fontId="0" fillId="11" borderId="7" xfId="0" applyNumberFormat="1" applyFont="1" applyFill="1" applyBorder="1" applyAlignment="1" applyProtection="1">
      <alignment horizontal="center" vertical="center"/>
      <protection locked="0"/>
    </xf>
    <xf numFmtId="0" fontId="5" fillId="0" borderId="1" xfId="0" applyFont="1" applyFill="1" applyBorder="1" applyAlignment="1" quotePrefix="1">
      <alignment horizontal="center"/>
    </xf>
    <xf numFmtId="14" fontId="0" fillId="0" borderId="0" xfId="0" applyNumberFormat="1" applyAlignment="1">
      <alignment/>
    </xf>
    <xf numFmtId="0" fontId="0" fillId="0" borderId="0" xfId="0" applyAlignment="1">
      <alignment horizontal="center" vertical="center"/>
    </xf>
    <xf numFmtId="0" fontId="8" fillId="0" borderId="0" xfId="0" applyFont="1" applyAlignment="1">
      <alignment horizontal="center"/>
    </xf>
    <xf numFmtId="14" fontId="0" fillId="0" borderId="0" xfId="0" applyNumberFormat="1" applyAlignment="1">
      <alignment vertical="center"/>
    </xf>
    <xf numFmtId="0" fontId="8" fillId="14" borderId="1" xfId="0" applyFont="1" applyFill="1" applyBorder="1" applyAlignment="1">
      <alignment/>
    </xf>
    <xf numFmtId="0" fontId="0" fillId="11" borderId="1" xfId="0" applyFill="1" applyBorder="1" applyAlignment="1" applyProtection="1">
      <alignment/>
      <protection locked="0"/>
    </xf>
    <xf numFmtId="0" fontId="8" fillId="0" borderId="0" xfId="20" applyFont="1" applyBorder="1" applyAlignment="1" applyProtection="1">
      <alignment horizontal="center" vertical="center"/>
      <protection/>
    </xf>
    <xf numFmtId="164" fontId="0" fillId="0" borderId="11" xfId="20" applyNumberFormat="1" applyFont="1" applyBorder="1" applyAlignment="1" applyProtection="1">
      <alignment horizontal="center" vertical="center"/>
      <protection/>
    </xf>
    <xf numFmtId="0" fontId="0" fillId="0" borderId="11" xfId="20" applyFont="1" applyBorder="1" applyAlignment="1" applyProtection="1">
      <alignment horizontal="center" vertical="center"/>
      <protection/>
    </xf>
    <xf numFmtId="0" fontId="4" fillId="0" borderId="0" xfId="0" applyFont="1" applyAlignment="1">
      <alignment horizontal="left"/>
    </xf>
    <xf numFmtId="0" fontId="0" fillId="0" borderId="0" xfId="0" applyFont="1" applyAlignment="1">
      <alignment horizontal="center" vertical="center" wrapText="1"/>
    </xf>
    <xf numFmtId="0" fontId="5" fillId="11" borderId="1" xfId="0" applyFont="1" applyFill="1" applyBorder="1" applyAlignment="1" applyProtection="1">
      <alignment horizontal="center"/>
      <protection locked="0"/>
    </xf>
    <xf numFmtId="0" fontId="11" fillId="11" borderId="1" xfId="0" applyFont="1" applyFill="1" applyBorder="1" applyAlignment="1" applyProtection="1">
      <alignment horizontal="center"/>
      <protection locked="0"/>
    </xf>
    <xf numFmtId="0" fontId="0" fillId="11" borderId="1" xfId="0" applyFill="1" applyBorder="1" applyAlignment="1" applyProtection="1">
      <alignment horizontal="center"/>
      <protection locked="0"/>
    </xf>
    <xf numFmtId="0" fontId="27" fillId="0" borderId="0" xfId="0" applyFont="1" applyAlignment="1">
      <alignment vertical="center"/>
    </xf>
    <xf numFmtId="0" fontId="0" fillId="0" borderId="0" xfId="0" applyFill="1" applyAlignment="1">
      <alignment horizontal="center" vertical="center" wrapText="1"/>
    </xf>
    <xf numFmtId="0" fontId="39" fillId="0" borderId="8" xfId="20" applyFont="1" applyBorder="1" applyAlignment="1" applyProtection="1">
      <alignment vertical="center"/>
      <protection/>
    </xf>
    <xf numFmtId="165" fontId="4" fillId="0" borderId="0" xfId="0" applyNumberFormat="1" applyFont="1" applyFill="1" applyBorder="1" applyAlignment="1" applyProtection="1">
      <alignment horizontal="center" vertical="center"/>
      <protection/>
    </xf>
    <xf numFmtId="0" fontId="16" fillId="0" borderId="0" xfId="20" applyFont="1" applyAlignment="1">
      <alignment horizontal="center" vertical="center"/>
    </xf>
    <xf numFmtId="0" fontId="10" fillId="0" borderId="0" xfId="0" applyFont="1" applyBorder="1" applyAlignment="1">
      <alignment vertical="center"/>
    </xf>
    <xf numFmtId="0" fontId="48" fillId="0" borderId="0" xfId="0" applyNumberFormat="1" applyFont="1" applyFill="1" applyBorder="1" applyAlignment="1" applyProtection="1">
      <alignment horizontal="right"/>
      <protection/>
    </xf>
    <xf numFmtId="0" fontId="0" fillId="0" borderId="4" xfId="0" applyFont="1" applyFill="1" applyBorder="1" applyAlignment="1" applyProtection="1">
      <alignment horizontal="right" vertical="center"/>
      <protection/>
    </xf>
    <xf numFmtId="165" fontId="0" fillId="11" borderId="10" xfId="0" applyNumberFormat="1" applyFill="1" applyBorder="1" applyAlignment="1" applyProtection="1">
      <alignment horizontal="center" vertical="center" wrapText="1"/>
      <protection locked="0"/>
    </xf>
    <xf numFmtId="0" fontId="0" fillId="0" borderId="8" xfId="0" applyFont="1" applyFill="1" applyBorder="1" applyAlignment="1" applyProtection="1">
      <alignment horizontal="right" vertical="center"/>
      <protection/>
    </xf>
    <xf numFmtId="165" fontId="0" fillId="11" borderId="6" xfId="0" applyNumberFormat="1" applyFill="1" applyBorder="1" applyAlignment="1" applyProtection="1">
      <alignment horizontal="center" vertical="center" wrapText="1"/>
      <protection locked="0"/>
    </xf>
    <xf numFmtId="165" fontId="0" fillId="11" borderId="27" xfId="0" applyNumberFormat="1" applyFill="1" applyBorder="1" applyAlignment="1" applyProtection="1">
      <alignment horizontal="center" vertical="center" wrapText="1"/>
      <protection locked="0"/>
    </xf>
    <xf numFmtId="165" fontId="0" fillId="11" borderId="28" xfId="0" applyNumberFormat="1" applyFill="1" applyBorder="1" applyAlignment="1" applyProtection="1">
      <alignment horizontal="center" vertical="center" wrapText="1"/>
      <protection locked="0"/>
    </xf>
    <xf numFmtId="0" fontId="0" fillId="0" borderId="3" xfId="0" applyFont="1" applyBorder="1" applyAlignment="1">
      <alignment horizontal="center" vertical="center" textRotation="90" wrapText="1"/>
    </xf>
    <xf numFmtId="165" fontId="0" fillId="11" borderId="29" xfId="0" applyNumberFormat="1" applyFill="1" applyBorder="1" applyAlignment="1" applyProtection="1">
      <alignment horizontal="center" vertical="center" wrapText="1"/>
      <protection locked="0"/>
    </xf>
    <xf numFmtId="165" fontId="0" fillId="11" borderId="9" xfId="0" applyNumberForma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11" xfId="0" applyFont="1" applyBorder="1" applyAlignment="1">
      <alignment horizontal="center" vertical="center" textRotation="90" wrapText="1"/>
    </xf>
    <xf numFmtId="0" fontId="0" fillId="0" borderId="13" xfId="0" applyFont="1" applyBorder="1" applyAlignment="1">
      <alignment horizontal="center" vertical="center" textRotation="90" wrapText="1"/>
    </xf>
    <xf numFmtId="0" fontId="0" fillId="0" borderId="13" xfId="0" applyBorder="1" applyAlignment="1">
      <alignment horizontal="center" vertical="center" wrapText="1"/>
    </xf>
    <xf numFmtId="0" fontId="10" fillId="0" borderId="11" xfId="0" applyFont="1" applyBorder="1" applyAlignment="1">
      <alignment horizontal="center" vertical="center"/>
    </xf>
    <xf numFmtId="0" fontId="10" fillId="0" borderId="3" xfId="0" applyFont="1" applyBorder="1" applyAlignment="1">
      <alignment horizontal="center" vertical="center"/>
    </xf>
    <xf numFmtId="0" fontId="0" fillId="0" borderId="11" xfId="0" applyBorder="1" applyAlignment="1">
      <alignment horizontal="center" vertical="center" wrapText="1"/>
    </xf>
    <xf numFmtId="49" fontId="38" fillId="11" borderId="1" xfId="0" applyNumberFormat="1" applyFont="1" applyFill="1" applyBorder="1" applyAlignment="1" applyProtection="1">
      <alignment horizontal="center" vertical="top" wrapText="1"/>
      <protection locked="0"/>
    </xf>
    <xf numFmtId="49" fontId="0" fillId="0" borderId="1" xfId="0" applyNumberFormat="1" applyFill="1" applyBorder="1" applyAlignment="1" applyProtection="1">
      <alignment horizontal="right" vertical="center"/>
      <protection/>
    </xf>
    <xf numFmtId="0" fontId="0" fillId="0" borderId="8" xfId="0" applyFont="1" applyBorder="1" applyAlignment="1">
      <alignment horizontal="center" vertical="center"/>
    </xf>
    <xf numFmtId="0" fontId="0" fillId="0" borderId="4" xfId="0" applyFont="1" applyBorder="1" applyAlignment="1">
      <alignment horizontal="center" vertical="center"/>
    </xf>
    <xf numFmtId="0" fontId="0" fillId="0" borderId="7" xfId="0" applyFont="1" applyBorder="1" applyAlignment="1">
      <alignment horizontal="center" vertical="center"/>
    </xf>
    <xf numFmtId="49" fontId="37" fillId="11" borderId="1" xfId="0" applyNumberFormat="1" applyFont="1" applyFill="1" applyBorder="1" applyAlignment="1" applyProtection="1">
      <alignment vertical="center"/>
      <protection locked="0"/>
    </xf>
    <xf numFmtId="49" fontId="37" fillId="11" borderId="1" xfId="0" applyNumberFormat="1" applyFont="1" applyFill="1" applyBorder="1" applyAlignment="1" applyProtection="1">
      <alignment horizontal="left" vertical="center"/>
      <protection locked="0"/>
    </xf>
    <xf numFmtId="49" fontId="0" fillId="0" borderId="7" xfId="0" applyNumberFormat="1" applyFill="1" applyBorder="1" applyAlignment="1" applyProtection="1">
      <alignment horizontal="right" vertical="center"/>
      <protection locked="0"/>
    </xf>
    <xf numFmtId="49" fontId="37" fillId="0" borderId="1" xfId="0" applyNumberFormat="1" applyFont="1" applyFill="1" applyBorder="1" applyAlignment="1" applyProtection="1">
      <alignment vertical="center"/>
      <protection locked="0"/>
    </xf>
    <xf numFmtId="49" fontId="0" fillId="0" borderId="8" xfId="0" applyNumberFormat="1" applyFill="1" applyBorder="1" applyAlignment="1" applyProtection="1">
      <alignment horizontal="right" vertical="center"/>
      <protection locked="0"/>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7" xfId="0" applyFont="1" applyBorder="1" applyAlignment="1">
      <alignment horizontal="center" vertical="center"/>
    </xf>
    <xf numFmtId="49" fontId="0" fillId="0" borderId="8" xfId="0" applyNumberFormat="1" applyFill="1" applyBorder="1" applyAlignment="1" applyProtection="1">
      <alignment horizontal="right" vertical="center"/>
      <protection/>
    </xf>
    <xf numFmtId="49" fontId="0" fillId="0" borderId="7" xfId="0" applyNumberFormat="1" applyFill="1" applyBorder="1" applyAlignment="1" applyProtection="1">
      <alignment horizontal="right" vertical="center"/>
      <protection/>
    </xf>
    <xf numFmtId="49" fontId="0" fillId="0" borderId="8" xfId="0" applyNumberFormat="1" applyBorder="1" applyAlignment="1" applyProtection="1">
      <alignment horizontal="left" vertical="center"/>
      <protection locked="0"/>
    </xf>
    <xf numFmtId="49" fontId="0" fillId="0" borderId="4" xfId="0" applyNumberFormat="1" applyBorder="1" applyAlignment="1" applyProtection="1">
      <alignment horizontal="left" vertical="center"/>
      <protection locked="0"/>
    </xf>
    <xf numFmtId="49" fontId="0" fillId="0" borderId="7" xfId="0" applyNumberFormat="1" applyBorder="1" applyAlignment="1" applyProtection="1">
      <alignment horizontal="left" vertical="center"/>
      <protection locked="0"/>
    </xf>
    <xf numFmtId="0" fontId="37" fillId="11" borderId="8" xfId="0" applyFont="1" applyFill="1" applyBorder="1" applyAlignment="1" applyProtection="1">
      <alignment horizontal="left" vertical="center"/>
      <protection locked="0"/>
    </xf>
    <xf numFmtId="0" fontId="37" fillId="11" borderId="4" xfId="0" applyFont="1" applyFill="1" applyBorder="1" applyAlignment="1" applyProtection="1">
      <alignment horizontal="left" vertical="center"/>
      <protection locked="0"/>
    </xf>
    <xf numFmtId="0" fontId="0" fillId="11" borderId="8" xfId="0" applyFill="1" applyBorder="1" applyAlignment="1" applyProtection="1">
      <alignment horizontal="center" vertical="center"/>
      <protection locked="0"/>
    </xf>
    <xf numFmtId="0" fontId="0" fillId="11" borderId="4" xfId="0" applyFill="1" applyBorder="1" applyAlignment="1" applyProtection="1">
      <alignment horizontal="center" vertical="center"/>
      <protection locked="0"/>
    </xf>
    <xf numFmtId="0" fontId="0" fillId="11" borderId="7" xfId="0" applyFill="1" applyBorder="1" applyAlignment="1" applyProtection="1">
      <alignment horizontal="center" vertical="center"/>
      <protection locked="0"/>
    </xf>
    <xf numFmtId="49" fontId="0" fillId="0" borderId="1" xfId="0" applyNumberFormat="1" applyFill="1"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7" xfId="0" applyBorder="1" applyAlignment="1" applyProtection="1">
      <alignment horizontal="left" vertical="center"/>
      <protection locked="0"/>
    </xf>
    <xf numFmtId="49" fontId="0" fillId="0" borderId="3" xfId="0" applyNumberFormat="1" applyFont="1" applyFill="1" applyBorder="1" applyAlignment="1" applyProtection="1">
      <alignment horizontal="right" vertical="center"/>
      <protection/>
    </xf>
    <xf numFmtId="49" fontId="38" fillId="11" borderId="1" xfId="0" applyNumberFormat="1" applyFont="1" applyFill="1" applyBorder="1" applyAlignment="1" applyProtection="1">
      <alignment horizontal="center" vertical="center"/>
      <protection locked="0"/>
    </xf>
    <xf numFmtId="0" fontId="10" fillId="0" borderId="29" xfId="0" applyFont="1" applyBorder="1" applyAlignment="1" applyProtection="1">
      <alignment horizontal="center" vertical="center" wrapText="1"/>
      <protection/>
    </xf>
    <xf numFmtId="0" fontId="10" fillId="0" borderId="27" xfId="0" applyFont="1" applyBorder="1" applyAlignment="1" applyProtection="1">
      <alignment horizontal="center" vertical="center" wrapText="1"/>
      <protection/>
    </xf>
    <xf numFmtId="0" fontId="10" fillId="0" borderId="2" xfId="0" applyFont="1" applyBorder="1" applyAlignment="1" applyProtection="1">
      <alignment horizontal="center" vertical="center" wrapText="1"/>
      <protection/>
    </xf>
    <xf numFmtId="0" fontId="10" fillId="0" borderId="5" xfId="0" applyFont="1" applyBorder="1" applyAlignment="1" applyProtection="1">
      <alignment horizontal="center" vertical="center" wrapText="1"/>
      <protection/>
    </xf>
    <xf numFmtId="0" fontId="10" fillId="0" borderId="28" xfId="0" applyFont="1" applyBorder="1" applyAlignment="1" applyProtection="1">
      <alignment horizontal="center" vertical="center" wrapText="1"/>
      <protection/>
    </xf>
    <xf numFmtId="0" fontId="10" fillId="0" borderId="10" xfId="0" applyFont="1" applyBorder="1" applyAlignment="1" applyProtection="1">
      <alignment horizontal="center" vertical="center" wrapText="1"/>
      <protection/>
    </xf>
    <xf numFmtId="0" fontId="10" fillId="0" borderId="9" xfId="0" applyFont="1" applyBorder="1" applyAlignment="1" applyProtection="1">
      <alignment horizontal="center" vertical="center" wrapText="1"/>
      <protection/>
    </xf>
    <xf numFmtId="49" fontId="0" fillId="0" borderId="1" xfId="0" applyNumberFormat="1" applyFont="1" applyFill="1" applyBorder="1" applyAlignment="1" applyProtection="1">
      <alignment horizontal="right" vertical="center"/>
      <protection/>
    </xf>
    <xf numFmtId="0" fontId="8" fillId="0" borderId="8" xfId="0" applyFont="1" applyBorder="1" applyAlignment="1" applyProtection="1">
      <alignment horizontal="center" vertical="center"/>
      <protection/>
    </xf>
    <xf numFmtId="0" fontId="8" fillId="0" borderId="7" xfId="0" applyFont="1" applyBorder="1" applyAlignment="1" applyProtection="1">
      <alignment horizontal="center" vertical="center"/>
      <protection/>
    </xf>
    <xf numFmtId="49" fontId="0" fillId="0" borderId="1" xfId="0" applyNumberFormat="1" applyFont="1" applyFill="1" applyBorder="1" applyAlignment="1" applyProtection="1">
      <alignment horizontal="right" vertical="center"/>
      <protection/>
    </xf>
    <xf numFmtId="49" fontId="0" fillId="0" borderId="1" xfId="0" applyNumberFormat="1" applyFont="1" applyFill="1" applyBorder="1" applyAlignment="1" applyProtection="1">
      <alignment horizontal="left" vertical="center"/>
      <protection locked="0"/>
    </xf>
    <xf numFmtId="49" fontId="37" fillId="11" borderId="8" xfId="0" applyNumberFormat="1" applyFont="1" applyFill="1" applyBorder="1" applyAlignment="1" applyProtection="1">
      <alignment horizontal="left" vertical="center"/>
      <protection locked="0"/>
    </xf>
    <xf numFmtId="49" fontId="37" fillId="11" borderId="4" xfId="0" applyNumberFormat="1" applyFont="1" applyFill="1" applyBorder="1" applyAlignment="1" applyProtection="1">
      <alignment horizontal="left" vertical="center"/>
      <protection locked="0"/>
    </xf>
    <xf numFmtId="49" fontId="37" fillId="11" borderId="7" xfId="0" applyNumberFormat="1" applyFont="1" applyFill="1" applyBorder="1" applyAlignment="1" applyProtection="1">
      <alignment horizontal="left" vertical="center"/>
      <protection locked="0"/>
    </xf>
    <xf numFmtId="0" fontId="0" fillId="0" borderId="1" xfId="0" applyFont="1" applyBorder="1" applyAlignment="1">
      <alignment horizontal="right" vertical="center"/>
    </xf>
    <xf numFmtId="49" fontId="0" fillId="0" borderId="8" xfId="0" applyNumberFormat="1" applyFont="1" applyFill="1" applyBorder="1" applyAlignment="1" applyProtection="1">
      <alignment horizontal="right" vertical="center"/>
      <protection/>
    </xf>
    <xf numFmtId="49" fontId="0" fillId="0" borderId="4" xfId="0" applyNumberFormat="1" applyFont="1" applyFill="1" applyBorder="1" applyAlignment="1" applyProtection="1">
      <alignment horizontal="right" vertical="center"/>
      <protection/>
    </xf>
    <xf numFmtId="49" fontId="0" fillId="0" borderId="7" xfId="0" applyNumberFormat="1" applyFont="1" applyFill="1" applyBorder="1" applyAlignment="1" applyProtection="1">
      <alignment horizontal="right" vertical="center"/>
      <protection/>
    </xf>
    <xf numFmtId="0" fontId="16" fillId="0" borderId="0" xfId="20" applyFont="1" applyAlignment="1">
      <alignment horizontal="left" vertical="center"/>
    </xf>
    <xf numFmtId="0" fontId="2" fillId="0" borderId="0" xfId="20" applyAlignment="1">
      <alignment horizontal="left" vertical="center"/>
    </xf>
    <xf numFmtId="0" fontId="9" fillId="0" borderId="1" xfId="0" applyFont="1" applyBorder="1" applyAlignment="1">
      <alignment horizontal="right" vertical="center"/>
    </xf>
    <xf numFmtId="0" fontId="0" fillId="0" borderId="8" xfId="0" applyFont="1" applyBorder="1" applyAlignment="1" applyProtection="1">
      <alignment horizontal="center" vertical="center" wrapText="1"/>
      <protection/>
    </xf>
    <xf numFmtId="0" fontId="0" fillId="0" borderId="4" xfId="0" applyFont="1" applyBorder="1" applyAlignment="1" applyProtection="1">
      <alignment horizontal="center" vertical="center" wrapText="1"/>
      <protection/>
    </xf>
    <xf numFmtId="0" fontId="0" fillId="0" borderId="8"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0" fontId="0" fillId="0" borderId="7" xfId="0" applyFont="1" applyBorder="1" applyAlignment="1" applyProtection="1">
      <alignment horizontal="left" vertical="center"/>
      <protection locked="0"/>
    </xf>
    <xf numFmtId="168" fontId="0" fillId="0" borderId="8" xfId="0" applyNumberFormat="1" applyFont="1" applyBorder="1" applyAlignment="1" applyProtection="1">
      <alignment horizontal="left" vertical="center"/>
      <protection locked="0"/>
    </xf>
    <xf numFmtId="168" fontId="0" fillId="0" borderId="7" xfId="0" applyNumberFormat="1" applyFont="1" applyBorder="1" applyAlignment="1" applyProtection="1">
      <alignment horizontal="left" vertical="center"/>
      <protection locked="0"/>
    </xf>
    <xf numFmtId="0" fontId="10"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left" vertical="center"/>
      <protection/>
    </xf>
    <xf numFmtId="0" fontId="0" fillId="0" borderId="8" xfId="0" applyFill="1" applyBorder="1" applyAlignment="1" applyProtection="1">
      <alignment horizontal="left" vertical="center"/>
      <protection/>
    </xf>
    <xf numFmtId="0" fontId="0" fillId="0" borderId="7" xfId="0" applyFill="1" applyBorder="1" applyAlignment="1" applyProtection="1">
      <alignment horizontal="left" vertical="center"/>
      <protection/>
    </xf>
    <xf numFmtId="0" fontId="37" fillId="11" borderId="7" xfId="0" applyFont="1" applyFill="1" applyBorder="1" applyAlignment="1" applyProtection="1">
      <alignment horizontal="left" vertical="center"/>
      <protection locked="0"/>
    </xf>
    <xf numFmtId="49" fontId="0" fillId="0" borderId="8" xfId="0" applyNumberFormat="1" applyFont="1" applyBorder="1" applyAlignment="1" applyProtection="1">
      <alignment horizontal="left" vertical="center"/>
      <protection/>
    </xf>
    <xf numFmtId="49" fontId="0" fillId="0" borderId="7" xfId="0" applyNumberFormat="1" applyFont="1" applyBorder="1" applyAlignment="1" applyProtection="1">
      <alignment horizontal="left" vertical="center"/>
      <protection/>
    </xf>
    <xf numFmtId="0" fontId="37" fillId="0" borderId="8" xfId="0" applyFont="1" applyFill="1" applyBorder="1" applyAlignment="1" applyProtection="1">
      <alignment horizontal="left" vertical="center"/>
      <protection/>
    </xf>
    <xf numFmtId="0" fontId="37" fillId="11" borderId="4" xfId="0" applyFont="1" applyFill="1" applyBorder="1" applyAlignment="1" applyProtection="1">
      <alignment horizontal="left" vertical="center"/>
      <protection/>
    </xf>
    <xf numFmtId="0" fontId="37" fillId="11" borderId="7" xfId="0" applyFont="1" applyFill="1" applyBorder="1" applyAlignment="1" applyProtection="1">
      <alignment horizontal="left" vertical="center"/>
      <protection/>
    </xf>
    <xf numFmtId="168" fontId="37" fillId="11" borderId="8" xfId="0" applyNumberFormat="1" applyFont="1" applyFill="1" applyBorder="1" applyAlignment="1" applyProtection="1">
      <alignment horizontal="left" vertical="center"/>
      <protection locked="0"/>
    </xf>
    <xf numFmtId="168" fontId="37" fillId="11" borderId="7" xfId="0" applyNumberFormat="1" applyFont="1" applyFill="1" applyBorder="1" applyAlignment="1" applyProtection="1">
      <alignment horizontal="left" vertical="center"/>
      <protection locked="0"/>
    </xf>
    <xf numFmtId="0" fontId="10" fillId="0" borderId="0" xfId="0" applyNumberFormat="1" applyFont="1" applyBorder="1" applyAlignment="1" applyProtection="1">
      <alignment vertical="center"/>
      <protection/>
    </xf>
    <xf numFmtId="0" fontId="0" fillId="0" borderId="0" xfId="0" applyNumberFormat="1" applyFont="1" applyBorder="1" applyAlignment="1" applyProtection="1">
      <alignment vertical="center"/>
      <protection/>
    </xf>
    <xf numFmtId="49" fontId="37" fillId="11" borderId="29" xfId="0" applyNumberFormat="1" applyFont="1" applyFill="1" applyBorder="1" applyAlignment="1" applyProtection="1">
      <alignment horizontal="left" vertical="top" wrapText="1"/>
      <protection locked="0"/>
    </xf>
    <xf numFmtId="49" fontId="37" fillId="11" borderId="9" xfId="0" applyNumberFormat="1" applyFont="1" applyFill="1" applyBorder="1" applyAlignment="1" applyProtection="1">
      <alignment horizontal="left" vertical="top" wrapText="1"/>
      <protection locked="0"/>
    </xf>
    <xf numFmtId="49" fontId="37" fillId="11" borderId="27" xfId="0" applyNumberFormat="1" applyFont="1" applyFill="1" applyBorder="1" applyAlignment="1" applyProtection="1">
      <alignment horizontal="left" vertical="top" wrapText="1"/>
      <protection locked="0"/>
    </xf>
    <xf numFmtId="49" fontId="37" fillId="11" borderId="28" xfId="0" applyNumberFormat="1" applyFont="1" applyFill="1" applyBorder="1" applyAlignment="1" applyProtection="1">
      <alignment horizontal="left" vertical="top" wrapText="1"/>
      <protection locked="0"/>
    </xf>
    <xf numFmtId="49" fontId="37" fillId="11" borderId="6" xfId="0" applyNumberFormat="1" applyFont="1" applyFill="1" applyBorder="1" applyAlignment="1" applyProtection="1">
      <alignment horizontal="left" vertical="top" wrapText="1"/>
      <protection locked="0"/>
    </xf>
    <xf numFmtId="49" fontId="37" fillId="11" borderId="10" xfId="0" applyNumberFormat="1" applyFont="1" applyFill="1" applyBorder="1" applyAlignment="1" applyProtection="1">
      <alignment horizontal="left" vertical="top" wrapText="1"/>
      <protection locked="0"/>
    </xf>
    <xf numFmtId="49" fontId="37" fillId="11" borderId="1" xfId="0" applyNumberFormat="1" applyFont="1" applyFill="1" applyBorder="1" applyAlignment="1" applyProtection="1">
      <alignment horizontal="left" wrapText="1"/>
      <protection locked="0"/>
    </xf>
    <xf numFmtId="0" fontId="0" fillId="0" borderId="8" xfId="0" applyBorder="1" applyAlignment="1">
      <alignment horizontal="right" vertical="center"/>
    </xf>
    <xf numFmtId="0" fontId="0" fillId="0" borderId="4" xfId="0" applyBorder="1" applyAlignment="1">
      <alignment horizontal="right" vertical="center"/>
    </xf>
    <xf numFmtId="0" fontId="0" fillId="0" borderId="7" xfId="0" applyBorder="1" applyAlignment="1">
      <alignment horizontal="right" vertical="center"/>
    </xf>
    <xf numFmtId="0" fontId="0" fillId="0" borderId="8" xfId="0" applyFont="1" applyFill="1" applyBorder="1" applyAlignment="1" applyProtection="1">
      <alignment horizontal="right" vertical="center" wrapText="1"/>
      <protection/>
    </xf>
    <xf numFmtId="0" fontId="0" fillId="0" borderId="4" xfId="0" applyFont="1" applyFill="1" applyBorder="1" applyAlignment="1" applyProtection="1">
      <alignment horizontal="right" vertical="center" wrapText="1"/>
      <protection/>
    </xf>
    <xf numFmtId="0" fontId="0" fillId="0" borderId="7" xfId="0" applyFont="1" applyFill="1" applyBorder="1" applyAlignment="1" applyProtection="1">
      <alignment horizontal="right" vertical="center" wrapText="1"/>
      <protection/>
    </xf>
    <xf numFmtId="0" fontId="44" fillId="0" borderId="0" xfId="0" applyFont="1" applyBorder="1" applyAlignment="1">
      <alignment horizontal="center" vertical="center"/>
    </xf>
    <xf numFmtId="2" fontId="0" fillId="11" borderId="1" xfId="0" applyNumberFormat="1" applyFont="1" applyFill="1" applyBorder="1" applyAlignment="1" applyProtection="1">
      <alignment horizontal="center" vertical="center"/>
      <protection locked="0"/>
    </xf>
    <xf numFmtId="0" fontId="0" fillId="11" borderId="1" xfId="0" applyFill="1" applyBorder="1" applyAlignment="1" applyProtection="1">
      <alignment vertical="center"/>
      <protection locked="0"/>
    </xf>
    <xf numFmtId="0" fontId="0" fillId="0" borderId="1" xfId="0" applyBorder="1" applyAlignment="1">
      <alignment horizontal="right" vertical="center"/>
    </xf>
    <xf numFmtId="0" fontId="9" fillId="0" borderId="8" xfId="0" applyFont="1" applyBorder="1" applyAlignment="1">
      <alignment horizontal="right" vertical="center" wrapText="1"/>
    </xf>
    <xf numFmtId="0" fontId="9" fillId="0" borderId="4" xfId="0" applyFont="1" applyBorder="1" applyAlignment="1">
      <alignment horizontal="right" vertical="center" wrapText="1"/>
    </xf>
    <xf numFmtId="0" fontId="9" fillId="0" borderId="7" xfId="0" applyFont="1" applyBorder="1" applyAlignment="1">
      <alignment horizontal="right" vertical="center" wrapText="1"/>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164" fontId="0" fillId="0" borderId="8" xfId="0" applyNumberFormat="1" applyFont="1" applyFill="1" applyBorder="1" applyAlignment="1" applyProtection="1">
      <alignment horizontal="center" vertical="center"/>
      <protection/>
    </xf>
    <xf numFmtId="0" fontId="0" fillId="0" borderId="4" xfId="0" applyFont="1" applyFill="1" applyBorder="1" applyAlignment="1">
      <alignment horizontal="center" vertical="center"/>
    </xf>
    <xf numFmtId="164" fontId="0" fillId="0" borderId="1" xfId="0" applyNumberFormat="1" applyFont="1" applyFill="1" applyBorder="1" applyAlignment="1" applyProtection="1">
      <alignment horizontal="center" vertical="center" wrapText="1"/>
      <protection/>
    </xf>
    <xf numFmtId="0" fontId="8" fillId="0" borderId="1" xfId="0" applyFont="1" applyBorder="1" applyAlignment="1">
      <alignment horizontal="center" vertical="center" wrapText="1"/>
    </xf>
    <xf numFmtId="0" fontId="4" fillId="0" borderId="6" xfId="0" applyFont="1" applyBorder="1" applyAlignment="1">
      <alignment horizontal="center" vertical="center"/>
    </xf>
    <xf numFmtId="164" fontId="37" fillId="11" borderId="8" xfId="0" applyNumberFormat="1" applyFont="1" applyFill="1" applyBorder="1" applyAlignment="1" applyProtection="1">
      <alignment horizontal="left" vertical="center"/>
      <protection locked="0"/>
    </xf>
    <xf numFmtId="164" fontId="37" fillId="11" borderId="4" xfId="0" applyNumberFormat="1" applyFont="1" applyFill="1" applyBorder="1" applyAlignment="1" applyProtection="1">
      <alignment horizontal="left" vertical="center"/>
      <protection locked="0"/>
    </xf>
    <xf numFmtId="164" fontId="37" fillId="11" borderId="7" xfId="0" applyNumberFormat="1" applyFont="1" applyFill="1" applyBorder="1" applyAlignment="1" applyProtection="1">
      <alignment horizontal="left" vertical="center"/>
      <protection locked="0"/>
    </xf>
    <xf numFmtId="0" fontId="0" fillId="0" borderId="8" xfId="0" applyBorder="1" applyAlignment="1">
      <alignment horizontal="center" vertical="center"/>
    </xf>
    <xf numFmtId="0" fontId="0" fillId="0" borderId="7" xfId="0" applyBorder="1" applyAlignment="1">
      <alignment horizontal="center" vertical="center"/>
    </xf>
    <xf numFmtId="4" fontId="37" fillId="11" borderId="8" xfId="0" applyNumberFormat="1" applyFont="1" applyFill="1" applyBorder="1" applyAlignment="1" applyProtection="1">
      <alignment horizontal="center" vertical="center"/>
      <protection locked="0"/>
    </xf>
    <xf numFmtId="4" fontId="37" fillId="11" borderId="7" xfId="0" applyNumberFormat="1" applyFont="1" applyFill="1" applyBorder="1" applyAlignment="1" applyProtection="1">
      <alignment horizontal="center" vertical="center"/>
      <protection locked="0"/>
    </xf>
    <xf numFmtId="4" fontId="37" fillId="11" borderId="1" xfId="0" applyNumberFormat="1" applyFont="1" applyFill="1" applyBorder="1" applyAlignment="1" applyProtection="1">
      <alignment horizontal="center" vertical="center"/>
      <protection locked="0"/>
    </xf>
    <xf numFmtId="0" fontId="35" fillId="0" borderId="33" xfId="0" applyFont="1" applyBorder="1" applyAlignment="1">
      <alignment horizontal="left" vertical="center"/>
    </xf>
    <xf numFmtId="0" fontId="35" fillId="0" borderId="34" xfId="0" applyFont="1" applyBorder="1" applyAlignment="1">
      <alignment horizontal="left" vertical="center"/>
    </xf>
    <xf numFmtId="0" fontId="36" fillId="0" borderId="34" xfId="0" applyFont="1" applyBorder="1" applyAlignment="1">
      <alignment horizontal="left" vertical="center"/>
    </xf>
    <xf numFmtId="0" fontId="36" fillId="0" borderId="35" xfId="0" applyFont="1" applyBorder="1" applyAlignment="1">
      <alignment horizontal="left" vertical="center"/>
    </xf>
    <xf numFmtId="164" fontId="0" fillId="8" borderId="8" xfId="0" applyNumberFormat="1" applyFont="1" applyFill="1" applyBorder="1" applyAlignment="1" applyProtection="1">
      <alignment horizontal="center" vertical="center"/>
      <protection/>
    </xf>
    <xf numFmtId="164" fontId="0" fillId="8" borderId="4" xfId="0" applyNumberFormat="1" applyFont="1" applyFill="1" applyBorder="1" applyAlignment="1" applyProtection="1">
      <alignment horizontal="center" vertical="center"/>
      <protection/>
    </xf>
    <xf numFmtId="164" fontId="0" fillId="8" borderId="7" xfId="0" applyNumberFormat="1" applyFont="1" applyFill="1" applyBorder="1" applyAlignment="1" applyProtection="1">
      <alignment horizontal="center" vertical="center"/>
      <protection/>
    </xf>
    <xf numFmtId="0" fontId="8" fillId="0" borderId="36"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7" fillId="11" borderId="8" xfId="0" applyFont="1" applyFill="1" applyBorder="1" applyAlignment="1" applyProtection="1">
      <alignment horizontal="center" vertical="center"/>
      <protection locked="0"/>
    </xf>
    <xf numFmtId="0" fontId="37" fillId="11" borderId="7" xfId="0" applyFont="1" applyFill="1" applyBorder="1" applyAlignment="1" applyProtection="1">
      <alignment horizontal="center" vertical="center"/>
      <protection locked="0"/>
    </xf>
    <xf numFmtId="0" fontId="37" fillId="11" borderId="28" xfId="0" applyFont="1" applyFill="1" applyBorder="1" applyAlignment="1" applyProtection="1">
      <alignment horizontal="center" vertical="center"/>
      <protection locked="0"/>
    </xf>
    <xf numFmtId="0" fontId="37" fillId="11" borderId="10" xfId="0" applyFont="1" applyFill="1" applyBorder="1" applyAlignment="1" applyProtection="1">
      <alignment horizontal="center" vertical="center"/>
      <protection locked="0"/>
    </xf>
    <xf numFmtId="49" fontId="0" fillId="0" borderId="8" xfId="0" applyNumberFormat="1" applyFill="1" applyBorder="1" applyAlignment="1" applyProtection="1">
      <alignment horizontal="left" vertical="center"/>
      <protection/>
    </xf>
    <xf numFmtId="49" fontId="0" fillId="0" borderId="7" xfId="0" applyNumberFormat="1" applyFill="1" applyBorder="1" applyAlignment="1" applyProtection="1">
      <alignment horizontal="left" vertical="center"/>
      <protection/>
    </xf>
    <xf numFmtId="0" fontId="8" fillId="0" borderId="29"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0" xfId="0" applyFont="1" applyBorder="1" applyAlignment="1">
      <alignment horizontal="center" vertical="center" wrapText="1"/>
    </xf>
    <xf numFmtId="4" fontId="10" fillId="0" borderId="8" xfId="0" applyNumberFormat="1" applyFont="1" applyFill="1" applyBorder="1" applyAlignment="1" applyProtection="1">
      <alignment horizontal="center" vertical="center"/>
      <protection/>
    </xf>
    <xf numFmtId="4" fontId="10" fillId="0" borderId="4" xfId="0" applyNumberFormat="1" applyFont="1" applyFill="1" applyBorder="1" applyAlignment="1" applyProtection="1">
      <alignment horizontal="center" vertical="center"/>
      <protection/>
    </xf>
    <xf numFmtId="4" fontId="10" fillId="0" borderId="7" xfId="0" applyNumberFormat="1" applyFont="1" applyFill="1" applyBorder="1" applyAlignment="1" applyProtection="1">
      <alignment horizontal="center" vertical="center"/>
      <protection/>
    </xf>
    <xf numFmtId="4" fontId="0" fillId="0" borderId="8" xfId="0" applyNumberFormat="1" applyFont="1" applyBorder="1" applyAlignment="1" applyProtection="1">
      <alignment horizontal="center" vertical="center"/>
      <protection/>
    </xf>
    <xf numFmtId="4" fontId="0" fillId="0" borderId="4" xfId="0" applyNumberFormat="1" applyFont="1" applyBorder="1" applyAlignment="1" applyProtection="1">
      <alignment horizontal="center" vertical="center"/>
      <protection/>
    </xf>
    <xf numFmtId="4" fontId="0" fillId="0" borderId="7" xfId="0" applyNumberFormat="1" applyFont="1" applyBorder="1" applyAlignment="1" applyProtection="1">
      <alignment horizontal="center" vertical="center"/>
      <protection/>
    </xf>
    <xf numFmtId="49" fontId="0" fillId="0" borderId="8" xfId="0" applyNumberFormat="1" applyFont="1" applyFill="1" applyBorder="1" applyAlignment="1" applyProtection="1">
      <alignment vertical="center"/>
      <protection/>
    </xf>
    <xf numFmtId="49" fontId="0" fillId="0" borderId="4" xfId="0" applyNumberFormat="1" applyFont="1" applyFill="1" applyBorder="1" applyAlignment="1" applyProtection="1">
      <alignment vertical="center"/>
      <protection/>
    </xf>
    <xf numFmtId="49" fontId="0" fillId="0" borderId="7" xfId="0" applyNumberFormat="1" applyFont="1" applyFill="1" applyBorder="1" applyAlignment="1" applyProtection="1">
      <alignment vertical="center"/>
      <protection/>
    </xf>
    <xf numFmtId="49" fontId="0" fillId="0" borderId="8" xfId="0" applyNumberFormat="1" applyFont="1" applyFill="1" applyBorder="1" applyAlignment="1" applyProtection="1">
      <alignment horizontal="left" vertical="center"/>
      <protection/>
    </xf>
    <xf numFmtId="49" fontId="0" fillId="0" borderId="4" xfId="0" applyNumberFormat="1" applyFont="1" applyFill="1" applyBorder="1" applyAlignment="1" applyProtection="1">
      <alignment horizontal="left" vertical="center"/>
      <protection/>
    </xf>
    <xf numFmtId="49" fontId="0" fillId="0" borderId="7" xfId="0" applyNumberFormat="1" applyFont="1" applyFill="1" applyBorder="1" applyAlignment="1" applyProtection="1">
      <alignment horizontal="left" vertical="center"/>
      <protection/>
    </xf>
    <xf numFmtId="49" fontId="0" fillId="0" borderId="8" xfId="0" applyNumberFormat="1" applyFont="1" applyFill="1" applyBorder="1" applyAlignment="1" applyProtection="1">
      <alignment horizontal="right" vertical="center"/>
      <protection/>
    </xf>
    <xf numFmtId="49" fontId="0" fillId="0" borderId="4" xfId="0" applyNumberFormat="1" applyFont="1" applyFill="1" applyBorder="1" applyAlignment="1" applyProtection="1">
      <alignment horizontal="right" vertical="center"/>
      <protection/>
    </xf>
    <xf numFmtId="49" fontId="0" fillId="0" borderId="7" xfId="0" applyNumberFormat="1" applyFont="1" applyFill="1" applyBorder="1" applyAlignment="1" applyProtection="1">
      <alignment horizontal="right" vertical="center"/>
      <protection/>
    </xf>
    <xf numFmtId="0" fontId="0" fillId="0" borderId="8" xfId="0" applyBorder="1" applyAlignment="1">
      <alignment/>
    </xf>
    <xf numFmtId="0" fontId="0" fillId="0" borderId="4" xfId="0" applyBorder="1" applyAlignment="1">
      <alignment/>
    </xf>
    <xf numFmtId="0" fontId="0" fillId="0" borderId="7" xfId="0" applyBorder="1" applyAlignment="1">
      <alignment/>
    </xf>
    <xf numFmtId="49" fontId="0" fillId="0" borderId="8" xfId="0" applyNumberFormat="1" applyFont="1" applyFill="1" applyBorder="1" applyAlignment="1" applyProtection="1">
      <alignment horizontal="left" vertical="center"/>
      <protection/>
    </xf>
    <xf numFmtId="49" fontId="0" fillId="0" borderId="4" xfId="0" applyNumberFormat="1" applyFont="1" applyFill="1" applyBorder="1" applyAlignment="1" applyProtection="1">
      <alignment horizontal="left" vertical="center"/>
      <protection/>
    </xf>
    <xf numFmtId="49" fontId="0" fillId="0" borderId="7" xfId="0" applyNumberFormat="1" applyFont="1" applyFill="1" applyBorder="1" applyAlignment="1" applyProtection="1">
      <alignment horizontal="left" vertical="center"/>
      <protection/>
    </xf>
    <xf numFmtId="0" fontId="8" fillId="0" borderId="11" xfId="0" applyFont="1" applyBorder="1" applyAlignment="1">
      <alignment horizontal="center" vertical="center" wrapText="1"/>
    </xf>
    <xf numFmtId="0" fontId="8" fillId="0" borderId="3" xfId="0" applyFont="1" applyBorder="1" applyAlignment="1">
      <alignment horizontal="center" vertical="center" wrapText="1"/>
    </xf>
    <xf numFmtId="4" fontId="10" fillId="0" borderId="1"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horizontal="left" vertical="center"/>
      <protection/>
    </xf>
    <xf numFmtId="0" fontId="0" fillId="0" borderId="4" xfId="0" applyNumberFormat="1" applyFont="1" applyFill="1" applyBorder="1" applyAlignment="1" applyProtection="1">
      <alignment horizontal="left" vertical="center"/>
      <protection/>
    </xf>
    <xf numFmtId="0" fontId="0" fillId="0" borderId="7" xfId="0" applyNumberFormat="1" applyFont="1" applyFill="1" applyBorder="1" applyAlignment="1" applyProtection="1">
      <alignment horizontal="left" vertical="center"/>
      <protection/>
    </xf>
    <xf numFmtId="0" fontId="8" fillId="0" borderId="9"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8" fillId="0" borderId="8" xfId="0" applyFont="1" applyFill="1" applyBorder="1" applyAlignment="1">
      <alignment horizontal="left" vertical="center"/>
    </xf>
    <xf numFmtId="0" fontId="8" fillId="0" borderId="4" xfId="0" applyFont="1" applyFill="1" applyBorder="1" applyAlignment="1">
      <alignment horizontal="left" vertical="center"/>
    </xf>
    <xf numFmtId="0" fontId="8" fillId="0" borderId="7" xfId="0" applyFont="1" applyFill="1" applyBorder="1" applyAlignment="1">
      <alignment horizontal="left" vertical="center"/>
    </xf>
    <xf numFmtId="0" fontId="0" fillId="0" borderId="0" xfId="0" applyBorder="1" applyAlignment="1">
      <alignment horizontal="center" vertical="center" wrapText="1"/>
    </xf>
    <xf numFmtId="4" fontId="0" fillId="0" borderId="1" xfId="0" applyNumberFormat="1" applyFont="1" applyBorder="1" applyAlignment="1" applyProtection="1">
      <alignment horizontal="center" vertical="center"/>
      <protection/>
    </xf>
    <xf numFmtId="0" fontId="0" fillId="0" borderId="8" xfId="0" applyFont="1" applyFill="1" applyBorder="1" applyAlignment="1" applyProtection="1">
      <alignment horizontal="center" vertical="center"/>
      <protection/>
    </xf>
    <xf numFmtId="0" fontId="0" fillId="0" borderId="7" xfId="0" applyFont="1" applyFill="1" applyBorder="1" applyAlignment="1" applyProtection="1">
      <alignment horizontal="center" vertical="center"/>
      <protection/>
    </xf>
    <xf numFmtId="0" fontId="0" fillId="0" borderId="8" xfId="0" applyFont="1" applyFill="1" applyBorder="1" applyAlignment="1" applyProtection="1">
      <alignment horizontal="center" vertical="center" wrapText="1"/>
      <protection/>
    </xf>
    <xf numFmtId="0" fontId="0" fillId="0" borderId="7" xfId="0" applyFont="1" applyFill="1" applyBorder="1" applyAlignment="1" applyProtection="1">
      <alignment horizontal="center" vertical="center" wrapText="1"/>
      <protection/>
    </xf>
    <xf numFmtId="0" fontId="8" fillId="0" borderId="28" xfId="0" applyFont="1" applyFill="1" applyBorder="1" applyAlignment="1">
      <alignment horizontal="left" vertical="center"/>
    </xf>
    <xf numFmtId="0" fontId="8" fillId="0" borderId="6" xfId="0" applyFont="1" applyFill="1" applyBorder="1" applyAlignment="1">
      <alignment horizontal="left" vertical="center"/>
    </xf>
    <xf numFmtId="0" fontId="8" fillId="0" borderId="10" xfId="0" applyFont="1" applyFill="1" applyBorder="1" applyAlignment="1">
      <alignment horizontal="left" vertical="center"/>
    </xf>
    <xf numFmtId="0" fontId="8" fillId="0" borderId="8"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7" xfId="0" applyFont="1" applyFill="1" applyBorder="1" applyAlignment="1">
      <alignment horizontal="left" vertical="center" wrapText="1"/>
    </xf>
    <xf numFmtId="0" fontId="0" fillId="0" borderId="8" xfId="0" applyNumberFormat="1" applyFont="1" applyFill="1" applyBorder="1" applyAlignment="1" applyProtection="1">
      <alignment vertical="center"/>
      <protection/>
    </xf>
    <xf numFmtId="0" fontId="0" fillId="0" borderId="4" xfId="0" applyNumberFormat="1" applyFont="1" applyFill="1" applyBorder="1" applyAlignment="1" applyProtection="1">
      <alignment vertical="center"/>
      <protection/>
    </xf>
    <xf numFmtId="0" fontId="0" fillId="0" borderId="7" xfId="0" applyNumberFormat="1" applyFont="1" applyFill="1" applyBorder="1" applyAlignment="1" applyProtection="1">
      <alignment vertical="center"/>
      <protection/>
    </xf>
    <xf numFmtId="49" fontId="0" fillId="0" borderId="1" xfId="0" applyNumberFormat="1" applyFont="1" applyFill="1" applyBorder="1" applyAlignment="1" applyProtection="1">
      <alignment horizontal="center" vertical="center"/>
      <protection/>
    </xf>
    <xf numFmtId="176" fontId="0" fillId="0" borderId="8" xfId="0" applyNumberFormat="1" applyFont="1" applyFill="1" applyBorder="1" applyAlignment="1" applyProtection="1">
      <alignment horizontal="center" vertical="center"/>
      <protection/>
    </xf>
    <xf numFmtId="176" fontId="0" fillId="0" borderId="7" xfId="0" applyNumberFormat="1" applyFont="1" applyFill="1" applyBorder="1" applyAlignment="1" applyProtection="1">
      <alignment horizontal="center" vertical="center"/>
      <protection/>
    </xf>
    <xf numFmtId="4" fontId="37" fillId="11" borderId="4" xfId="0" applyNumberFormat="1" applyFont="1" applyFill="1" applyBorder="1" applyAlignment="1" applyProtection="1">
      <alignment horizontal="center" vertical="center"/>
      <protection locked="0"/>
    </xf>
    <xf numFmtId="4" fontId="10" fillId="0" borderId="11" xfId="0" applyNumberFormat="1" applyFont="1" applyBorder="1" applyAlignment="1" applyProtection="1">
      <alignment horizontal="center" vertical="center" wrapText="1"/>
      <protection/>
    </xf>
    <xf numFmtId="4" fontId="10" fillId="0" borderId="3" xfId="0" applyNumberFormat="1" applyFont="1" applyBorder="1" applyAlignment="1" applyProtection="1">
      <alignment horizontal="center" vertical="center" wrapText="1"/>
      <protection/>
    </xf>
    <xf numFmtId="0" fontId="0" fillId="0" borderId="8"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0" fillId="0" borderId="0" xfId="0" applyFont="1" applyBorder="1" applyAlignment="1">
      <alignment horizontal="center" vertical="center" wrapText="1"/>
    </xf>
    <xf numFmtId="4" fontId="10" fillId="0" borderId="1" xfId="0" applyNumberFormat="1" applyFont="1" applyFill="1" applyBorder="1" applyAlignment="1">
      <alignment horizontal="center" vertical="center"/>
    </xf>
    <xf numFmtId="0" fontId="0" fillId="0" borderId="8" xfId="0" applyBorder="1" applyAlignment="1">
      <alignment horizontal="right" vertical="center" wrapText="1"/>
    </xf>
    <xf numFmtId="0" fontId="0" fillId="0" borderId="4" xfId="0" applyBorder="1" applyAlignment="1">
      <alignment horizontal="right" vertical="center" wrapText="1"/>
    </xf>
    <xf numFmtId="0" fontId="0" fillId="0" borderId="7" xfId="0" applyBorder="1" applyAlignment="1">
      <alignment horizontal="right" vertical="center" wrapText="1"/>
    </xf>
    <xf numFmtId="176" fontId="0" fillId="0" borderId="1" xfId="0" applyNumberFormat="1" applyFont="1" applyFill="1" applyBorder="1" applyAlignment="1" applyProtection="1">
      <alignment horizontal="center" vertical="center"/>
      <protection/>
    </xf>
    <xf numFmtId="0" fontId="0" fillId="0" borderId="7" xfId="0" applyFont="1" applyBorder="1" applyAlignment="1" applyProtection="1">
      <alignment horizontal="center" vertical="center" wrapText="1"/>
      <protection/>
    </xf>
    <xf numFmtId="0" fontId="0" fillId="0" borderId="8" xfId="0"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4" fontId="0" fillId="0" borderId="8" xfId="0" applyNumberFormat="1" applyFont="1" applyBorder="1" applyAlignment="1" applyProtection="1">
      <alignment horizontal="center" vertical="center" wrapText="1"/>
      <protection/>
    </xf>
    <xf numFmtId="4" fontId="0" fillId="0" borderId="4" xfId="0" applyNumberFormat="1" applyFont="1" applyBorder="1" applyAlignment="1" applyProtection="1">
      <alignment horizontal="center" vertical="center" wrapText="1"/>
      <protection/>
    </xf>
    <xf numFmtId="4" fontId="0" fillId="0" borderId="7" xfId="0" applyNumberFormat="1" applyFont="1" applyBorder="1" applyAlignment="1" applyProtection="1">
      <alignment horizontal="center" vertical="center" wrapText="1"/>
      <protection/>
    </xf>
    <xf numFmtId="4" fontId="0" fillId="0" borderId="29" xfId="0" applyNumberFormat="1" applyFont="1" applyBorder="1" applyAlignment="1" applyProtection="1">
      <alignment horizontal="center" vertical="center" wrapText="1"/>
      <protection/>
    </xf>
    <xf numFmtId="4" fontId="0" fillId="0" borderId="27" xfId="0" applyNumberFormat="1" applyFont="1" applyBorder="1" applyAlignment="1" applyProtection="1">
      <alignment horizontal="center" vertical="center" wrapText="1"/>
      <protection/>
    </xf>
    <xf numFmtId="4" fontId="0" fillId="0" borderId="28" xfId="0" applyNumberFormat="1" applyFont="1" applyBorder="1" applyAlignment="1" applyProtection="1">
      <alignment horizontal="center" vertical="center" wrapText="1"/>
      <protection/>
    </xf>
    <xf numFmtId="4" fontId="0" fillId="0" borderId="10" xfId="0" applyNumberFormat="1" applyFont="1" applyBorder="1" applyAlignment="1" applyProtection="1">
      <alignment horizontal="center" vertical="center" wrapText="1"/>
      <protection/>
    </xf>
    <xf numFmtId="4" fontId="10" fillId="0" borderId="27" xfId="0" applyNumberFormat="1" applyFont="1" applyBorder="1" applyAlignment="1" applyProtection="1">
      <alignment horizontal="center" vertical="center" wrapText="1"/>
      <protection/>
    </xf>
    <xf numFmtId="4" fontId="10" fillId="0" borderId="10" xfId="0" applyNumberFormat="1" applyFont="1" applyBorder="1" applyAlignment="1" applyProtection="1">
      <alignment horizontal="center" vertical="center" wrapText="1"/>
      <protection/>
    </xf>
    <xf numFmtId="176" fontId="0" fillId="0" borderId="1" xfId="0" applyNumberFormat="1" applyBorder="1" applyAlignment="1">
      <alignment horizontal="center" vertical="center"/>
    </xf>
    <xf numFmtId="176" fontId="0" fillId="0" borderId="8" xfId="0" applyNumberFormat="1" applyBorder="1" applyAlignment="1">
      <alignment horizontal="center" vertical="center"/>
    </xf>
    <xf numFmtId="176" fontId="0" fillId="0" borderId="7" xfId="0" applyNumberFormat="1" applyBorder="1" applyAlignment="1">
      <alignment horizontal="center" vertical="center"/>
    </xf>
    <xf numFmtId="2" fontId="0" fillId="0" borderId="8" xfId="0" applyNumberFormat="1" applyFont="1" applyFill="1" applyBorder="1" applyAlignment="1" applyProtection="1">
      <alignment horizontal="left" vertical="center"/>
      <protection/>
    </xf>
    <xf numFmtId="2" fontId="0" fillId="0" borderId="4" xfId="0" applyNumberFormat="1" applyFont="1" applyFill="1" applyBorder="1" applyAlignment="1" applyProtection="1">
      <alignment horizontal="left" vertical="center"/>
      <protection/>
    </xf>
    <xf numFmtId="2" fontId="0" fillId="0" borderId="7" xfId="0" applyNumberFormat="1" applyFont="1" applyFill="1" applyBorder="1" applyAlignment="1" applyProtection="1">
      <alignment horizontal="left" vertical="center"/>
      <protection/>
    </xf>
    <xf numFmtId="0" fontId="0" fillId="0" borderId="8" xfId="0" applyNumberFormat="1" applyFont="1" applyFill="1" applyBorder="1" applyAlignment="1" applyProtection="1">
      <alignment horizontal="center" vertical="center"/>
      <protection/>
    </xf>
    <xf numFmtId="0" fontId="0" fillId="0" borderId="4" xfId="0" applyNumberFormat="1" applyFont="1" applyFill="1" applyBorder="1" applyAlignment="1" applyProtection="1">
      <alignment horizontal="center" vertical="center"/>
      <protection/>
    </xf>
    <xf numFmtId="0" fontId="0" fillId="0" borderId="7" xfId="0" applyNumberFormat="1" applyFont="1" applyFill="1" applyBorder="1" applyAlignment="1" applyProtection="1">
      <alignment horizontal="center" vertical="center"/>
      <protection/>
    </xf>
    <xf numFmtId="4" fontId="37" fillId="11" borderId="8" xfId="0" applyNumberFormat="1" applyFont="1" applyFill="1" applyBorder="1" applyAlignment="1" applyProtection="1">
      <alignment horizontal="center" vertical="center" wrapText="1"/>
      <protection locked="0"/>
    </xf>
    <xf numFmtId="4" fontId="37" fillId="11" borderId="4" xfId="0" applyNumberFormat="1" applyFont="1" applyFill="1" applyBorder="1" applyAlignment="1" applyProtection="1">
      <alignment horizontal="center" vertical="center" wrapText="1"/>
      <protection locked="0"/>
    </xf>
    <xf numFmtId="4" fontId="37" fillId="11" borderId="7" xfId="0" applyNumberFormat="1" applyFont="1" applyFill="1" applyBorder="1" applyAlignment="1" applyProtection="1">
      <alignment horizontal="center" vertical="center" wrapText="1"/>
      <protection locked="0"/>
    </xf>
    <xf numFmtId="49" fontId="0" fillId="0" borderId="4" xfId="0" applyNumberFormat="1" applyFill="1" applyBorder="1" applyAlignment="1" applyProtection="1">
      <alignment horizontal="right" vertical="center"/>
      <protection/>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164" fontId="27" fillId="0" borderId="44" xfId="0" applyNumberFormat="1" applyFont="1" applyBorder="1" applyAlignment="1">
      <alignment horizontal="center" vertical="center"/>
    </xf>
    <xf numFmtId="164" fontId="27" fillId="0" borderId="45" xfId="0" applyNumberFormat="1" applyFont="1" applyBorder="1" applyAlignment="1">
      <alignment horizontal="center" vertical="center"/>
    </xf>
    <xf numFmtId="164" fontId="27" fillId="0" borderId="46" xfId="0" applyNumberFormat="1"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0" fillId="0" borderId="8" xfId="20" applyFont="1" applyBorder="1" applyAlignment="1" applyProtection="1">
      <alignment horizontal="right" vertical="center"/>
      <protection/>
    </xf>
    <xf numFmtId="0" fontId="0" fillId="0" borderId="4" xfId="20" applyFont="1" applyBorder="1" applyAlignment="1" applyProtection="1">
      <alignment horizontal="right" vertical="center"/>
      <protection/>
    </xf>
    <xf numFmtId="0" fontId="0" fillId="0" borderId="7" xfId="20" applyFont="1" applyBorder="1" applyAlignment="1" applyProtection="1">
      <alignment horizontal="right" vertical="center"/>
      <protection/>
    </xf>
    <xf numFmtId="170" fontId="11" fillId="0" borderId="8" xfId="20" applyNumberFormat="1" applyFont="1" applyBorder="1" applyAlignment="1" applyProtection="1">
      <alignment horizontal="center" vertical="center"/>
      <protection/>
    </xf>
    <xf numFmtId="170" fontId="11" fillId="0" borderId="7" xfId="20" applyNumberFormat="1" applyFont="1" applyBorder="1" applyAlignment="1" applyProtection="1">
      <alignment horizontal="center" vertical="center"/>
      <protection/>
    </xf>
    <xf numFmtId="0" fontId="34" fillId="0" borderId="8" xfId="20" applyFont="1" applyBorder="1" applyAlignment="1" applyProtection="1">
      <alignment horizontal="right" vertical="center"/>
      <protection/>
    </xf>
    <xf numFmtId="0" fontId="34" fillId="0" borderId="4" xfId="20" applyFont="1" applyBorder="1" applyAlignment="1" applyProtection="1">
      <alignment horizontal="right" vertical="center"/>
      <protection/>
    </xf>
    <xf numFmtId="0" fontId="34" fillId="0" borderId="7" xfId="20" applyFont="1" applyBorder="1" applyAlignment="1" applyProtection="1">
      <alignment horizontal="right" vertical="center"/>
      <protection/>
    </xf>
    <xf numFmtId="174" fontId="0" fillId="0" borderId="8" xfId="20" applyNumberFormat="1" applyFont="1" applyBorder="1" applyAlignment="1" applyProtection="1">
      <alignment horizontal="center" vertical="center"/>
      <protection/>
    </xf>
    <xf numFmtId="174" fontId="0" fillId="0" borderId="7" xfId="20" applyNumberFormat="1" applyFont="1" applyBorder="1" applyAlignment="1" applyProtection="1">
      <alignment horizontal="center" vertical="center"/>
      <protection/>
    </xf>
    <xf numFmtId="49" fontId="0" fillId="0" borderId="8" xfId="0" applyNumberFormat="1" applyFont="1" applyFill="1" applyBorder="1" applyAlignment="1" applyProtection="1">
      <alignment horizontal="center" vertical="center"/>
      <protection/>
    </xf>
    <xf numFmtId="49" fontId="0" fillId="0" borderId="4" xfId="0" applyNumberFormat="1" applyFont="1" applyFill="1" applyBorder="1" applyAlignment="1" applyProtection="1">
      <alignment horizontal="center" vertical="center"/>
      <protection/>
    </xf>
    <xf numFmtId="164" fontId="0" fillId="0" borderId="8" xfId="20" applyNumberFormat="1" applyFont="1" applyBorder="1" applyAlignment="1" applyProtection="1">
      <alignment horizontal="center" vertical="center"/>
      <protection/>
    </xf>
    <xf numFmtId="164" fontId="0" fillId="0" borderId="7" xfId="20" applyNumberFormat="1" applyFont="1" applyBorder="1" applyAlignment="1" applyProtection="1">
      <alignment horizontal="center" vertical="center"/>
      <protection/>
    </xf>
    <xf numFmtId="0" fontId="8" fillId="0" borderId="11" xfId="0" applyFont="1" applyBorder="1" applyAlignment="1">
      <alignment horizontal="center" vertical="center" textRotation="90"/>
    </xf>
    <xf numFmtId="0" fontId="8" fillId="0" borderId="13" xfId="0" applyFont="1" applyBorder="1" applyAlignment="1">
      <alignment horizontal="center" vertical="center" textRotation="90"/>
    </xf>
    <xf numFmtId="0" fontId="8" fillId="0" borderId="3" xfId="0" applyFont="1" applyBorder="1" applyAlignment="1">
      <alignment horizontal="center" vertical="center" textRotation="90"/>
    </xf>
    <xf numFmtId="173" fontId="0" fillId="0" borderId="8" xfId="0" applyNumberFormat="1" applyFont="1" applyFill="1" applyBorder="1" applyAlignment="1" applyProtection="1">
      <alignment horizontal="center" vertical="center"/>
      <protection/>
    </xf>
    <xf numFmtId="173" fontId="0" fillId="0" borderId="7" xfId="0" applyNumberFormat="1" applyFont="1" applyFill="1" applyBorder="1" applyAlignment="1" applyProtection="1">
      <alignment horizontal="center" vertical="center"/>
      <protection/>
    </xf>
    <xf numFmtId="4" fontId="0" fillId="0" borderId="29" xfId="0" applyNumberFormat="1" applyFill="1" applyBorder="1" applyAlignment="1">
      <alignment horizontal="center" vertical="center" wrapText="1"/>
    </xf>
    <xf numFmtId="4" fontId="0" fillId="0" borderId="27" xfId="0" applyNumberFormat="1" applyFill="1" applyBorder="1" applyAlignment="1">
      <alignment horizontal="center" vertical="center" wrapText="1"/>
    </xf>
    <xf numFmtId="4" fontId="0" fillId="0" borderId="28" xfId="0" applyNumberFormat="1" applyFill="1" applyBorder="1" applyAlignment="1">
      <alignment horizontal="center" vertical="center" wrapText="1"/>
    </xf>
    <xf numFmtId="4" fontId="0" fillId="0" borderId="10" xfId="0" applyNumberFormat="1" applyFill="1" applyBorder="1" applyAlignment="1">
      <alignment horizontal="center" vertical="center" wrapText="1"/>
    </xf>
    <xf numFmtId="0" fontId="0" fillId="0" borderId="4" xfId="0" applyFont="1" applyFill="1" applyBorder="1" applyAlignment="1" applyProtection="1">
      <alignment horizontal="center" vertical="center" wrapText="1"/>
      <protection/>
    </xf>
    <xf numFmtId="170" fontId="0" fillId="0" borderId="8" xfId="20" applyNumberFormat="1" applyFont="1" applyBorder="1" applyAlignment="1" applyProtection="1">
      <alignment horizontal="center" vertical="center"/>
      <protection/>
    </xf>
    <xf numFmtId="170" fontId="0" fillId="0" borderId="7" xfId="20" applyNumberFormat="1" applyFont="1" applyBorder="1" applyAlignment="1" applyProtection="1">
      <alignment horizontal="center" vertical="center"/>
      <protection/>
    </xf>
    <xf numFmtId="175" fontId="8" fillId="0" borderId="1" xfId="20" applyNumberFormat="1" applyFont="1" applyBorder="1" applyAlignment="1" applyProtection="1">
      <alignment horizontal="center" vertical="center"/>
      <protection/>
    </xf>
    <xf numFmtId="0" fontId="0" fillId="0" borderId="1" xfId="20" applyFont="1" applyBorder="1" applyAlignment="1" applyProtection="1">
      <alignment horizontal="right" vertical="center"/>
      <protection/>
    </xf>
    <xf numFmtId="174" fontId="37" fillId="11" borderId="8" xfId="20" applyNumberFormat="1" applyFont="1" applyFill="1" applyBorder="1" applyAlignment="1" applyProtection="1">
      <alignment horizontal="center" vertical="center"/>
      <protection locked="0"/>
    </xf>
    <xf numFmtId="174" fontId="37" fillId="11" borderId="7" xfId="20" applyNumberFormat="1" applyFont="1" applyFill="1" applyBorder="1" applyAlignment="1" applyProtection="1">
      <alignment horizontal="center" vertical="center"/>
      <protection locked="0"/>
    </xf>
    <xf numFmtId="0" fontId="0" fillId="0" borderId="11"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3" xfId="0" applyFont="1" applyBorder="1" applyAlignment="1" applyProtection="1">
      <alignment horizontal="center" vertical="center" wrapText="1"/>
      <protection/>
    </xf>
    <xf numFmtId="0" fontId="0" fillId="0" borderId="11" xfId="0" applyBorder="1" applyAlignment="1">
      <alignment horizontal="center" vertical="center" textRotation="90" wrapText="1"/>
    </xf>
    <xf numFmtId="0" fontId="0" fillId="0" borderId="13" xfId="0" applyBorder="1" applyAlignment="1">
      <alignment horizontal="center" vertical="center" textRotation="90" wrapText="1"/>
    </xf>
    <xf numFmtId="0" fontId="0" fillId="0" borderId="3" xfId="0" applyBorder="1" applyAlignment="1">
      <alignment horizontal="center" vertical="center" textRotation="90" wrapText="1"/>
    </xf>
    <xf numFmtId="0" fontId="0" fillId="0" borderId="8" xfId="0" applyNumberFormat="1" applyFill="1" applyBorder="1" applyAlignment="1" applyProtection="1">
      <alignment horizontal="left" vertical="center"/>
      <protection/>
    </xf>
    <xf numFmtId="0" fontId="0" fillId="0" borderId="4" xfId="0" applyNumberFormat="1" applyFill="1" applyBorder="1" applyAlignment="1" applyProtection="1">
      <alignment horizontal="left" vertical="center"/>
      <protection/>
    </xf>
    <xf numFmtId="0" fontId="0" fillId="0" borderId="7" xfId="0" applyNumberFormat="1" applyFill="1" applyBorder="1" applyAlignment="1" applyProtection="1">
      <alignment horizontal="left" vertical="center"/>
      <protection/>
    </xf>
    <xf numFmtId="4" fontId="0" fillId="0" borderId="11" xfId="0" applyNumberFormat="1" applyFont="1" applyBorder="1" applyAlignment="1" applyProtection="1">
      <alignment horizontal="center" vertical="center"/>
      <protection/>
    </xf>
    <xf numFmtId="4" fontId="0" fillId="0" borderId="3" xfId="0" applyNumberFormat="1" applyFont="1" applyBorder="1" applyAlignment="1" applyProtection="1">
      <alignment horizontal="center" vertical="center"/>
      <protection/>
    </xf>
    <xf numFmtId="49" fontId="0" fillId="0" borderId="4" xfId="0" applyNumberFormat="1" applyFill="1" applyBorder="1" applyAlignment="1" applyProtection="1">
      <alignment horizontal="left" vertical="center"/>
      <protection/>
    </xf>
    <xf numFmtId="0" fontId="0" fillId="0" borderId="7" xfId="0" applyFont="1" applyFill="1" applyBorder="1" applyAlignment="1" applyProtection="1">
      <alignment horizontal="right" vertical="center"/>
      <protection/>
    </xf>
    <xf numFmtId="49" fontId="0" fillId="0" borderId="1" xfId="0" applyNumberFormat="1" applyFont="1" applyFill="1" applyBorder="1" applyAlignment="1" applyProtection="1">
      <alignment horizontal="left" vertical="center"/>
      <protection/>
    </xf>
    <xf numFmtId="49" fontId="0" fillId="0" borderId="1"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165" fontId="0" fillId="0" borderId="29" xfId="20" applyNumberFormat="1" applyFont="1" applyFill="1" applyBorder="1" applyAlignment="1" applyProtection="1">
      <alignment horizontal="center" vertical="center"/>
      <protection/>
    </xf>
    <xf numFmtId="165" fontId="0" fillId="0" borderId="27" xfId="20" applyNumberFormat="1" applyFont="1" applyFill="1" applyBorder="1" applyAlignment="1" applyProtection="1">
      <alignment horizontal="center" vertical="center"/>
      <protection/>
    </xf>
    <xf numFmtId="165" fontId="0" fillId="0" borderId="28" xfId="20" applyNumberFormat="1" applyFont="1" applyFill="1" applyBorder="1" applyAlignment="1" applyProtection="1">
      <alignment horizontal="center" vertical="center"/>
      <protection/>
    </xf>
    <xf numFmtId="165" fontId="0" fillId="0" borderId="10" xfId="20" applyNumberFormat="1" applyFont="1" applyFill="1" applyBorder="1" applyAlignment="1" applyProtection="1">
      <alignment horizontal="center" vertical="center"/>
      <protection/>
    </xf>
    <xf numFmtId="0" fontId="0" fillId="0" borderId="11" xfId="0" applyFont="1" applyBorder="1" applyAlignment="1">
      <alignment horizontal="center" wrapText="1"/>
    </xf>
    <xf numFmtId="0" fontId="0" fillId="0" borderId="3" xfId="0" applyFont="1" applyBorder="1" applyAlignment="1">
      <alignment horizontal="center" wrapText="1"/>
    </xf>
    <xf numFmtId="0" fontId="0" fillId="0" borderId="0" xfId="20" applyFont="1" applyBorder="1" applyAlignment="1" applyProtection="1">
      <alignment horizontal="center" vertical="center"/>
      <protection/>
    </xf>
    <xf numFmtId="164" fontId="0" fillId="0" borderId="29" xfId="20" applyNumberFormat="1" applyFont="1" applyBorder="1" applyAlignment="1" applyProtection="1">
      <alignment horizontal="center" vertical="center"/>
      <protection/>
    </xf>
    <xf numFmtId="164" fontId="0" fillId="0" borderId="27" xfId="20" applyNumberFormat="1" applyFont="1" applyBorder="1" applyAlignment="1" applyProtection="1">
      <alignment horizontal="center" vertical="center"/>
      <protection/>
    </xf>
    <xf numFmtId="164" fontId="0" fillId="0" borderId="28" xfId="20" applyNumberFormat="1" applyFont="1" applyBorder="1" applyAlignment="1" applyProtection="1">
      <alignment horizontal="center" vertical="center"/>
      <protection/>
    </xf>
    <xf numFmtId="164" fontId="0" fillId="0" borderId="10" xfId="20" applyNumberFormat="1" applyFont="1" applyBorder="1" applyAlignment="1" applyProtection="1">
      <alignment horizontal="center" vertical="center"/>
      <protection/>
    </xf>
    <xf numFmtId="165" fontId="0" fillId="0" borderId="1" xfId="20" applyNumberFormat="1" applyFont="1" applyBorder="1" applyAlignment="1" applyProtection="1">
      <alignment horizontal="center" vertical="center"/>
      <protection/>
    </xf>
    <xf numFmtId="0" fontId="39" fillId="0" borderId="1" xfId="20" applyFont="1" applyBorder="1" applyAlignment="1" applyProtection="1">
      <alignment horizontal="center" vertical="center"/>
      <protection/>
    </xf>
    <xf numFmtId="0" fontId="0" fillId="0" borderId="2" xfId="20" applyFont="1" applyBorder="1" applyAlignment="1" applyProtection="1">
      <alignment horizontal="center" vertical="center"/>
      <protection/>
    </xf>
    <xf numFmtId="164" fontId="0" fillId="11" borderId="1" xfId="20" applyNumberFormat="1" applyFont="1" applyFill="1" applyBorder="1" applyAlignment="1" applyProtection="1">
      <alignment horizontal="center" vertical="center"/>
      <protection locked="0"/>
    </xf>
    <xf numFmtId="2" fontId="0" fillId="11" borderId="1" xfId="20" applyNumberFormat="1" applyFont="1" applyFill="1" applyBorder="1" applyAlignment="1" applyProtection="1">
      <alignment horizontal="center" vertical="center"/>
      <protection locked="0"/>
    </xf>
    <xf numFmtId="165" fontId="0" fillId="11" borderId="1" xfId="20" applyNumberFormat="1" applyFont="1" applyFill="1" applyBorder="1" applyAlignment="1" applyProtection="1">
      <alignment horizontal="center" vertical="center"/>
      <protection locked="0"/>
    </xf>
    <xf numFmtId="165" fontId="0" fillId="0" borderId="29" xfId="20" applyNumberFormat="1" applyFont="1" applyBorder="1" applyAlignment="1" applyProtection="1">
      <alignment horizontal="center" vertical="center"/>
      <protection/>
    </xf>
    <xf numFmtId="165" fontId="0" fillId="0" borderId="27" xfId="20" applyNumberFormat="1" applyFont="1" applyBorder="1" applyAlignment="1" applyProtection="1">
      <alignment horizontal="center" vertical="center"/>
      <protection/>
    </xf>
    <xf numFmtId="165" fontId="0" fillId="0" borderId="28" xfId="20" applyNumberFormat="1" applyFont="1" applyBorder="1" applyAlignment="1" applyProtection="1">
      <alignment horizontal="center" vertical="center"/>
      <protection/>
    </xf>
    <xf numFmtId="165" fontId="0" fillId="0" borderId="10" xfId="20" applyNumberFormat="1" applyFont="1" applyBorder="1" applyAlignment="1" applyProtection="1">
      <alignment horizontal="center" vertical="center"/>
      <protection/>
    </xf>
    <xf numFmtId="0" fontId="8" fillId="0" borderId="1" xfId="20" applyFont="1" applyBorder="1" applyAlignment="1" applyProtection="1">
      <alignment horizontal="center" vertical="center" wrapText="1"/>
      <protection/>
    </xf>
    <xf numFmtId="0" fontId="15" fillId="0" borderId="2" xfId="0" applyFont="1" applyBorder="1" applyAlignment="1" applyProtection="1">
      <alignment horizontal="center" vertical="center" wrapText="1"/>
      <protection/>
    </xf>
    <xf numFmtId="0" fontId="15" fillId="0" borderId="0" xfId="0" applyFont="1" applyBorder="1" applyAlignment="1">
      <alignment horizontal="center" vertical="center" wrapText="1"/>
    </xf>
    <xf numFmtId="0" fontId="15" fillId="0" borderId="2" xfId="0" applyFont="1" applyBorder="1" applyAlignment="1">
      <alignment horizontal="center" vertical="center" wrapText="1"/>
    </xf>
    <xf numFmtId="165" fontId="0" fillId="0" borderId="8" xfId="0" applyNumberFormat="1" applyBorder="1" applyAlignment="1" applyProtection="1">
      <alignment horizontal="center" vertical="center"/>
      <protection/>
    </xf>
    <xf numFmtId="165" fontId="0" fillId="0" borderId="7" xfId="0" applyNumberFormat="1" applyBorder="1" applyAlignment="1" applyProtection="1">
      <alignment horizontal="center" vertical="center"/>
      <protection/>
    </xf>
    <xf numFmtId="165" fontId="37" fillId="7" borderId="8" xfId="0" applyNumberFormat="1" applyFont="1" applyFill="1" applyBorder="1" applyAlignment="1" applyProtection="1">
      <alignment horizontal="center" vertical="center"/>
      <protection/>
    </xf>
    <xf numFmtId="165" fontId="37" fillId="7" borderId="7" xfId="0" applyNumberFormat="1" applyFont="1" applyFill="1" applyBorder="1" applyAlignment="1" applyProtection="1">
      <alignment horizontal="center" vertical="center"/>
      <protection/>
    </xf>
    <xf numFmtId="164" fontId="37" fillId="7" borderId="8" xfId="0" applyNumberFormat="1" applyFont="1" applyFill="1" applyBorder="1" applyAlignment="1" applyProtection="1">
      <alignment horizontal="center" vertical="center"/>
      <protection/>
    </xf>
    <xf numFmtId="164" fontId="37" fillId="7" borderId="7" xfId="0" applyNumberFormat="1" applyFont="1" applyFill="1" applyBorder="1" applyAlignment="1" applyProtection="1">
      <alignment horizontal="center" vertical="center"/>
      <protection/>
    </xf>
    <xf numFmtId="164" fontId="0" fillId="0" borderId="8" xfId="0" applyNumberFormat="1" applyFill="1" applyBorder="1" applyAlignment="1" applyProtection="1">
      <alignment horizontal="center" vertical="center"/>
      <protection/>
    </xf>
    <xf numFmtId="164" fontId="0" fillId="0" borderId="7" xfId="0" applyNumberFormat="1" applyFill="1" applyBorder="1" applyAlignment="1" applyProtection="1">
      <alignment horizontal="center" vertical="center"/>
      <protection/>
    </xf>
    <xf numFmtId="0" fontId="0" fillId="0" borderId="29" xfId="20" applyFont="1" applyBorder="1" applyAlignment="1" applyProtection="1">
      <alignment horizontal="center" vertical="center" wrapText="1"/>
      <protection/>
    </xf>
    <xf numFmtId="0" fontId="0" fillId="0" borderId="27" xfId="20" applyFont="1" applyBorder="1" applyAlignment="1" applyProtection="1">
      <alignment horizontal="center" vertical="center" wrapText="1"/>
      <protection/>
    </xf>
    <xf numFmtId="0" fontId="0" fillId="0" borderId="28" xfId="20" applyFont="1" applyBorder="1" applyAlignment="1" applyProtection="1">
      <alignment horizontal="center" vertical="center" wrapText="1"/>
      <protection/>
    </xf>
    <xf numFmtId="0" fontId="0" fillId="0" borderId="10" xfId="20" applyFont="1" applyBorder="1" applyAlignment="1" applyProtection="1">
      <alignment horizontal="center" vertical="center" wrapText="1"/>
      <protection/>
    </xf>
    <xf numFmtId="165" fontId="0" fillId="0" borderId="29" xfId="0" applyNumberFormat="1" applyBorder="1" applyAlignment="1" applyProtection="1">
      <alignment horizontal="center" vertical="center"/>
      <protection/>
    </xf>
    <xf numFmtId="165" fontId="0" fillId="0" borderId="27" xfId="0" applyNumberFormat="1" applyBorder="1" applyAlignment="1" applyProtection="1">
      <alignment horizontal="center" vertical="center"/>
      <protection/>
    </xf>
    <xf numFmtId="165" fontId="0" fillId="0" borderId="2" xfId="0" applyNumberFormat="1" applyBorder="1" applyAlignment="1" applyProtection="1">
      <alignment horizontal="center" vertical="center"/>
      <protection/>
    </xf>
    <xf numFmtId="165" fontId="0" fillId="0" borderId="5" xfId="0" applyNumberFormat="1" applyBorder="1" applyAlignment="1" applyProtection="1">
      <alignment horizontal="center" vertical="center"/>
      <protection/>
    </xf>
    <xf numFmtId="165" fontId="0" fillId="0" borderId="28" xfId="0" applyNumberFormat="1" applyBorder="1" applyAlignment="1" applyProtection="1">
      <alignment horizontal="center" vertical="center"/>
      <protection/>
    </xf>
    <xf numFmtId="165" fontId="0" fillId="0" borderId="10" xfId="0" applyNumberFormat="1" applyBorder="1" applyAlignment="1" applyProtection="1">
      <alignment horizontal="center" vertical="center"/>
      <protection/>
    </xf>
    <xf numFmtId="165" fontId="37" fillId="11" borderId="8" xfId="0" applyNumberFormat="1" applyFont="1" applyFill="1" applyBorder="1" applyAlignment="1" applyProtection="1">
      <alignment horizontal="center" vertical="center"/>
      <protection locked="0"/>
    </xf>
    <xf numFmtId="165" fontId="37" fillId="11" borderId="7" xfId="0" applyNumberFormat="1" applyFont="1" applyFill="1" applyBorder="1" applyAlignment="1" applyProtection="1">
      <alignment horizontal="center" vertical="center"/>
      <protection locked="0"/>
    </xf>
    <xf numFmtId="164" fontId="37" fillId="11" borderId="8" xfId="0" applyNumberFormat="1" applyFont="1" applyFill="1" applyBorder="1" applyAlignment="1" applyProtection="1">
      <alignment horizontal="center" vertical="center"/>
      <protection locked="0"/>
    </xf>
    <xf numFmtId="164" fontId="37" fillId="11" borderId="7" xfId="0" applyNumberFormat="1" applyFont="1" applyFill="1" applyBorder="1" applyAlignment="1" applyProtection="1">
      <alignment horizontal="center" vertical="center"/>
      <protection locked="0"/>
    </xf>
    <xf numFmtId="0" fontId="8" fillId="0" borderId="8" xfId="0" applyNumberFormat="1" applyFont="1" applyFill="1" applyBorder="1" applyAlignment="1" applyProtection="1">
      <alignment horizontal="right" vertical="center"/>
      <protection/>
    </xf>
    <xf numFmtId="0" fontId="8" fillId="0" borderId="4" xfId="0" applyNumberFormat="1" applyFont="1" applyFill="1" applyBorder="1" applyAlignment="1" applyProtection="1">
      <alignment horizontal="right" vertical="center"/>
      <protection/>
    </xf>
    <xf numFmtId="0" fontId="8" fillId="0" borderId="7" xfId="0" applyNumberFormat="1" applyFont="1" applyFill="1" applyBorder="1" applyAlignment="1" applyProtection="1">
      <alignment horizontal="right" vertical="center"/>
      <protection/>
    </xf>
    <xf numFmtId="164" fontId="27" fillId="0" borderId="25" xfId="20" applyNumberFormat="1" applyFont="1" applyBorder="1" applyAlignment="1" applyProtection="1">
      <alignment horizontal="center" vertical="center"/>
      <protection/>
    </xf>
    <xf numFmtId="0" fontId="27" fillId="0" borderId="47" xfId="20" applyFont="1" applyBorder="1" applyAlignment="1" applyProtection="1">
      <alignment horizontal="right" vertical="center"/>
      <protection/>
    </xf>
    <xf numFmtId="0" fontId="27" fillId="0" borderId="13" xfId="20" applyFont="1" applyBorder="1" applyAlignment="1" applyProtection="1">
      <alignment horizontal="right" vertical="center"/>
      <protection/>
    </xf>
    <xf numFmtId="0" fontId="27" fillId="0" borderId="48" xfId="20" applyFont="1" applyBorder="1" applyAlignment="1" applyProtection="1">
      <alignment horizontal="right" vertical="center"/>
      <protection/>
    </xf>
    <xf numFmtId="164" fontId="8" fillId="0" borderId="3" xfId="20" applyNumberFormat="1" applyFont="1" applyBorder="1" applyAlignment="1" applyProtection="1">
      <alignment horizontal="center" vertical="center"/>
      <protection/>
    </xf>
    <xf numFmtId="0" fontId="0" fillId="0" borderId="3" xfId="0" applyBorder="1" applyAlignment="1">
      <alignment horizontal="center" vertical="center"/>
    </xf>
    <xf numFmtId="165" fontId="0" fillId="0" borderId="8" xfId="20" applyNumberFormat="1" applyFont="1" applyBorder="1" applyAlignment="1" applyProtection="1">
      <alignment horizontal="center" vertical="center"/>
      <protection/>
    </xf>
    <xf numFmtId="165" fontId="0" fillId="0" borderId="7" xfId="0" applyNumberFormat="1" applyFont="1" applyBorder="1" applyAlignment="1">
      <alignment horizontal="center" vertical="center"/>
    </xf>
    <xf numFmtId="164" fontId="0" fillId="0" borderId="8" xfId="0" applyNumberFormat="1" applyBorder="1" applyAlignment="1" applyProtection="1">
      <alignment horizontal="center" vertical="center"/>
      <protection/>
    </xf>
    <xf numFmtId="164" fontId="0" fillId="0" borderId="7" xfId="0" applyNumberFormat="1" applyBorder="1" applyAlignment="1" applyProtection="1">
      <alignment horizontal="center" vertical="center"/>
      <protection/>
    </xf>
    <xf numFmtId="0" fontId="0" fillId="0" borderId="28" xfId="0" applyFont="1" applyBorder="1" applyAlignment="1">
      <alignment horizontal="center" vertical="center" wrapText="1"/>
    </xf>
    <xf numFmtId="0" fontId="0" fillId="0" borderId="10" xfId="0" applyFont="1" applyBorder="1" applyAlignment="1">
      <alignment horizontal="center" vertical="center" wrapText="1"/>
    </xf>
    <xf numFmtId="0" fontId="8" fillId="0" borderId="1" xfId="0" applyFont="1" applyFill="1" applyBorder="1" applyAlignment="1" applyProtection="1">
      <alignment horizontal="right" vertical="center"/>
      <protection/>
    </xf>
    <xf numFmtId="0" fontId="0" fillId="0" borderId="1" xfId="0" applyBorder="1" applyAlignment="1">
      <alignment vertical="center"/>
    </xf>
    <xf numFmtId="0" fontId="8" fillId="0" borderId="1" xfId="0" applyFont="1" applyFill="1" applyBorder="1" applyAlignment="1" applyProtection="1">
      <alignment horizontal="center" vertical="center"/>
      <protection/>
    </xf>
    <xf numFmtId="0" fontId="8" fillId="0" borderId="11" xfId="20" applyFont="1" applyBorder="1" applyAlignment="1" applyProtection="1">
      <alignment horizontal="center" vertical="center"/>
      <protection/>
    </xf>
    <xf numFmtId="0" fontId="0" fillId="0" borderId="29" xfId="20" applyFont="1" applyFill="1" applyBorder="1" applyAlignment="1" applyProtection="1">
      <alignment horizontal="center" vertical="center" wrapText="1"/>
      <protection/>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39" fillId="0" borderId="8" xfId="20" applyFont="1" applyBorder="1" applyAlignment="1" applyProtection="1">
      <alignment horizontal="center" vertical="center"/>
      <protection/>
    </xf>
    <xf numFmtId="0" fontId="0" fillId="0" borderId="4" xfId="0" applyBorder="1" applyAlignment="1">
      <alignment horizontal="center" vertical="center"/>
    </xf>
    <xf numFmtId="0" fontId="40" fillId="11" borderId="28" xfId="20" applyFont="1" applyFill="1" applyBorder="1" applyAlignment="1" applyProtection="1">
      <alignment horizontal="center" vertical="center" wrapText="1"/>
      <protection locked="0"/>
    </xf>
    <xf numFmtId="0" fontId="40" fillId="11" borderId="6" xfId="20" applyFont="1" applyFill="1" applyBorder="1" applyAlignment="1" applyProtection="1">
      <alignment horizontal="center" vertical="center" wrapText="1"/>
      <protection locked="0"/>
    </xf>
    <xf numFmtId="0" fontId="40" fillId="11" borderId="10" xfId="20" applyFont="1" applyFill="1" applyBorder="1" applyAlignment="1" applyProtection="1">
      <alignment horizontal="center" vertical="center" wrapText="1"/>
      <protection locked="0"/>
    </xf>
    <xf numFmtId="0" fontId="37" fillId="11" borderId="29" xfId="0" applyFont="1" applyFill="1" applyBorder="1" applyAlignment="1" applyProtection="1">
      <alignment horizontal="center" vertical="center"/>
      <protection locked="0"/>
    </xf>
    <xf numFmtId="0" fontId="37" fillId="11" borderId="27" xfId="0" applyFont="1" applyFill="1" applyBorder="1" applyAlignment="1" applyProtection="1">
      <alignment horizontal="center" vertical="center"/>
      <protection locked="0"/>
    </xf>
    <xf numFmtId="0" fontId="0" fillId="0" borderId="2" xfId="0" applyBorder="1" applyAlignment="1">
      <alignment horizontal="center" vertical="center"/>
    </xf>
    <xf numFmtId="0" fontId="0" fillId="0" borderId="5" xfId="0" applyBorder="1" applyAlignment="1">
      <alignment horizontal="center" vertical="center"/>
    </xf>
    <xf numFmtId="0" fontId="0" fillId="0" borderId="28" xfId="0" applyBorder="1" applyAlignment="1">
      <alignment horizontal="center" vertical="center"/>
    </xf>
    <xf numFmtId="0" fontId="0" fillId="0" borderId="10" xfId="0" applyBorder="1" applyAlignment="1">
      <alignment horizontal="center" vertical="center"/>
    </xf>
    <xf numFmtId="0" fontId="0" fillId="0" borderId="0" xfId="20"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40" fillId="11" borderId="29" xfId="20" applyFont="1" applyFill="1" applyBorder="1" applyAlignment="1" applyProtection="1">
      <alignment horizontal="center" vertical="center" wrapText="1"/>
      <protection locked="0"/>
    </xf>
    <xf numFmtId="0" fontId="40" fillId="11" borderId="9" xfId="20" applyFont="1" applyFill="1" applyBorder="1" applyAlignment="1" applyProtection="1">
      <alignment horizontal="center" vertical="center" wrapText="1"/>
      <protection locked="0"/>
    </xf>
    <xf numFmtId="0" fontId="40" fillId="11" borderId="27" xfId="20" applyFont="1" applyFill="1" applyBorder="1" applyAlignment="1" applyProtection="1">
      <alignment horizontal="center" vertical="center" wrapText="1"/>
      <protection locked="0"/>
    </xf>
    <xf numFmtId="0" fontId="40" fillId="11" borderId="2" xfId="20" applyFont="1" applyFill="1" applyBorder="1" applyAlignment="1" applyProtection="1">
      <alignment horizontal="center" vertical="center" wrapText="1"/>
      <protection locked="0"/>
    </xf>
    <xf numFmtId="0" fontId="40" fillId="11" borderId="0" xfId="20" applyFont="1" applyFill="1" applyBorder="1" applyAlignment="1" applyProtection="1">
      <alignment horizontal="center" vertical="center" wrapText="1"/>
      <protection locked="0"/>
    </xf>
    <xf numFmtId="0" fontId="40" fillId="11" borderId="5" xfId="20" applyFont="1" applyFill="1" applyBorder="1" applyAlignment="1" applyProtection="1">
      <alignment horizontal="center" vertical="center" wrapText="1"/>
      <protection locked="0"/>
    </xf>
    <xf numFmtId="0" fontId="0" fillId="0" borderId="29" xfId="0" applyBorder="1" applyAlignment="1" applyProtection="1">
      <alignment horizontal="center" vertical="center" wrapText="1"/>
      <protection/>
    </xf>
    <xf numFmtId="0" fontId="0" fillId="0" borderId="27" xfId="0" applyBorder="1" applyAlignment="1" applyProtection="1">
      <alignment horizontal="center" vertical="center" wrapText="1"/>
      <protection/>
    </xf>
    <xf numFmtId="0" fontId="0" fillId="0" borderId="28" xfId="0"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10" fillId="0" borderId="11" xfId="0" applyFont="1" applyBorder="1" applyAlignment="1">
      <alignment horizontal="center" vertical="center" wrapText="1"/>
    </xf>
    <xf numFmtId="0" fontId="10" fillId="0" borderId="3" xfId="0" applyFont="1" applyBorder="1" applyAlignment="1">
      <alignment horizontal="center" vertical="center" wrapText="1"/>
    </xf>
    <xf numFmtId="0" fontId="0" fillId="0" borderId="2" xfId="20" applyFont="1" applyBorder="1" applyAlignment="1" applyProtection="1">
      <alignment horizontal="center" vertical="center" wrapText="1"/>
      <protection/>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0" fillId="0" borderId="28" xfId="0" applyBorder="1" applyAlignment="1">
      <alignment horizontal="center" vertical="center" wrapText="1"/>
    </xf>
    <xf numFmtId="0" fontId="0" fillId="0" borderId="10" xfId="0" applyBorder="1" applyAlignment="1">
      <alignment horizontal="center" vertical="center" wrapText="1"/>
    </xf>
    <xf numFmtId="164" fontId="8" fillId="0" borderId="49" xfId="20" applyNumberFormat="1" applyFont="1" applyBorder="1" applyAlignment="1" applyProtection="1">
      <alignment horizontal="center" vertical="center"/>
      <protection/>
    </xf>
    <xf numFmtId="0" fontId="0" fillId="0" borderId="50" xfId="0" applyBorder="1" applyAlignment="1">
      <alignment horizontal="center" vertical="center"/>
    </xf>
    <xf numFmtId="0" fontId="8" fillId="0" borderId="1" xfId="20" applyFont="1" applyBorder="1" applyAlignment="1" applyProtection="1">
      <alignment horizontal="center" vertical="center"/>
      <protection/>
    </xf>
    <xf numFmtId="0" fontId="8" fillId="0" borderId="8" xfId="20" applyFont="1" applyBorder="1" applyAlignment="1" applyProtection="1">
      <alignment horizontal="right" vertical="center"/>
      <protection/>
    </xf>
    <xf numFmtId="0" fontId="8" fillId="0" borderId="4" xfId="0" applyFont="1" applyBorder="1" applyAlignment="1">
      <alignment horizontal="right" vertical="center"/>
    </xf>
    <xf numFmtId="0" fontId="8" fillId="0" borderId="7" xfId="0" applyFont="1" applyBorder="1" applyAlignment="1">
      <alignment horizontal="right" vertical="center"/>
    </xf>
    <xf numFmtId="0" fontId="0" fillId="0" borderId="6" xfId="20" applyFont="1" applyBorder="1" applyAlignment="1" applyProtection="1">
      <alignment horizontal="center" vertical="center" wrapText="1"/>
      <protection/>
    </xf>
    <xf numFmtId="0" fontId="43" fillId="0" borderId="51" xfId="20" applyFont="1" applyBorder="1" applyAlignment="1" applyProtection="1">
      <alignment horizontal="right" vertical="center"/>
      <protection/>
    </xf>
    <xf numFmtId="0" fontId="43" fillId="0" borderId="51" xfId="0" applyFont="1" applyBorder="1" applyAlignment="1">
      <alignment horizontal="right" vertical="center"/>
    </xf>
    <xf numFmtId="165" fontId="43" fillId="0" borderId="51" xfId="20" applyNumberFormat="1" applyFont="1" applyBorder="1" applyAlignment="1" applyProtection="1">
      <alignment horizontal="center" vertical="center"/>
      <protection/>
    </xf>
    <xf numFmtId="165" fontId="43" fillId="0" borderId="51" xfId="0" applyNumberFormat="1" applyFont="1" applyBorder="1" applyAlignment="1">
      <alignment horizontal="center" vertical="center"/>
    </xf>
    <xf numFmtId="0" fontId="47" fillId="0" borderId="52" xfId="20" applyFont="1" applyBorder="1" applyAlignment="1" applyProtection="1">
      <alignment horizontal="center" vertical="center"/>
      <protection/>
    </xf>
    <xf numFmtId="0" fontId="47" fillId="0" borderId="53" xfId="0" applyFont="1" applyBorder="1" applyAlignment="1">
      <alignment horizontal="center" vertical="center"/>
    </xf>
    <xf numFmtId="0" fontId="47" fillId="0" borderId="54" xfId="0" applyFont="1" applyBorder="1" applyAlignment="1">
      <alignment horizontal="center" vertical="center"/>
    </xf>
    <xf numFmtId="0" fontId="8" fillId="0" borderId="55" xfId="20" applyFont="1" applyBorder="1" applyAlignment="1" applyProtection="1">
      <alignment horizontal="right" vertical="center"/>
      <protection/>
    </xf>
    <xf numFmtId="0" fontId="8" fillId="0" borderId="49" xfId="0" applyFont="1" applyBorder="1" applyAlignment="1">
      <alignment horizontal="right" vertical="center"/>
    </xf>
    <xf numFmtId="0" fontId="8" fillId="0" borderId="50" xfId="0" applyFont="1" applyBorder="1" applyAlignment="1">
      <alignment horizontal="right" vertical="center"/>
    </xf>
    <xf numFmtId="0" fontId="8" fillId="0" borderId="3" xfId="20" applyFont="1" applyBorder="1" applyAlignment="1" applyProtection="1">
      <alignment horizontal="right" vertical="center"/>
      <protection/>
    </xf>
    <xf numFmtId="0" fontId="8" fillId="0" borderId="3" xfId="0" applyFont="1" applyBorder="1" applyAlignment="1">
      <alignment horizontal="right" vertical="center"/>
    </xf>
    <xf numFmtId="0" fontId="8" fillId="0" borderId="8" xfId="0" applyFont="1" applyBorder="1" applyAlignment="1">
      <alignment horizontal="right" vertical="center"/>
    </xf>
    <xf numFmtId="0" fontId="27" fillId="0" borderId="0" xfId="0" applyFont="1" applyFill="1" applyBorder="1" applyAlignment="1" applyProtection="1">
      <alignment horizontal="right" vertical="center"/>
      <protection/>
    </xf>
    <xf numFmtId="0" fontId="27" fillId="0" borderId="0" xfId="0" applyFont="1" applyFill="1" applyBorder="1" applyAlignment="1">
      <alignment horizontal="right" vertical="center"/>
    </xf>
    <xf numFmtId="0" fontId="39" fillId="0" borderId="1" xfId="0" applyFont="1" applyFill="1" applyBorder="1" applyAlignment="1" applyProtection="1">
      <alignment horizontal="right" vertical="center"/>
      <protection/>
    </xf>
    <xf numFmtId="0" fontId="39" fillId="0" borderId="1" xfId="0" applyFont="1" applyFill="1" applyBorder="1" applyAlignment="1">
      <alignment horizontal="right" vertical="center"/>
    </xf>
    <xf numFmtId="0" fontId="8" fillId="11" borderId="8" xfId="0" applyFont="1" applyFill="1" applyBorder="1" applyAlignment="1" applyProtection="1">
      <alignment horizontal="center" vertical="center"/>
      <protection locked="0"/>
    </xf>
    <xf numFmtId="0" fontId="8" fillId="11" borderId="7" xfId="0" applyFont="1" applyFill="1" applyBorder="1" applyAlignment="1" applyProtection="1">
      <alignment horizontal="center" vertical="center"/>
      <protection locked="0"/>
    </xf>
    <xf numFmtId="164" fontId="39" fillId="11" borderId="8" xfId="20" applyNumberFormat="1" applyFont="1" applyFill="1" applyBorder="1" applyAlignment="1" applyProtection="1">
      <alignment horizontal="center" vertical="center"/>
      <protection locked="0"/>
    </xf>
    <xf numFmtId="164" fontId="39" fillId="11" borderId="7" xfId="20" applyNumberFormat="1" applyFont="1" applyFill="1" applyBorder="1" applyAlignment="1" applyProtection="1">
      <alignment horizontal="center" vertical="center"/>
      <protection locked="0"/>
    </xf>
    <xf numFmtId="164" fontId="0" fillId="0" borderId="11" xfId="0" applyNumberFormat="1" applyBorder="1" applyAlignment="1" applyProtection="1">
      <alignment horizontal="center" vertical="center"/>
      <protection/>
    </xf>
    <xf numFmtId="164" fontId="0" fillId="0" borderId="11" xfId="0" applyNumberFormat="1" applyBorder="1" applyAlignment="1">
      <alignment horizontal="center" vertical="center"/>
    </xf>
    <xf numFmtId="164" fontId="0" fillId="0" borderId="7" xfId="0" applyNumberFormat="1" applyBorder="1" applyAlignment="1">
      <alignment horizontal="center" vertical="center"/>
    </xf>
    <xf numFmtId="0" fontId="27" fillId="0" borderId="56" xfId="20" applyFont="1" applyBorder="1" applyAlignment="1" applyProtection="1">
      <alignment horizontal="right" vertical="center"/>
      <protection/>
    </xf>
    <xf numFmtId="0" fontId="27" fillId="0" borderId="57" xfId="20" applyFont="1" applyBorder="1" applyAlignment="1" applyProtection="1">
      <alignment horizontal="right" vertical="center"/>
      <protection/>
    </xf>
    <xf numFmtId="0" fontId="27" fillId="0" borderId="58" xfId="20" applyFont="1" applyBorder="1" applyAlignment="1" applyProtection="1">
      <alignment horizontal="right" vertical="center"/>
      <protection/>
    </xf>
    <xf numFmtId="164" fontId="27" fillId="0" borderId="56" xfId="20" applyNumberFormat="1" applyFont="1" applyFill="1" applyBorder="1" applyAlignment="1" applyProtection="1" quotePrefix="1">
      <alignment horizontal="center" vertical="center"/>
      <protection/>
    </xf>
    <xf numFmtId="164" fontId="27" fillId="0" borderId="58" xfId="20" applyNumberFormat="1" applyFont="1" applyFill="1" applyBorder="1" applyAlignment="1" applyProtection="1">
      <alignment horizontal="center" vertical="center"/>
      <protection/>
    </xf>
    <xf numFmtId="0" fontId="15" fillId="0" borderId="0" xfId="20" applyFont="1" applyBorder="1" applyAlignment="1" applyProtection="1">
      <alignment horizontal="center" vertical="center" wrapText="1"/>
      <protection/>
    </xf>
    <xf numFmtId="0" fontId="0" fillId="0" borderId="0" xfId="0" applyAlignment="1">
      <alignment horizontal="center" vertical="center" wrapText="1"/>
    </xf>
    <xf numFmtId="0" fontId="8" fillId="0" borderId="8" xfId="20" applyFont="1" applyBorder="1" applyAlignment="1" applyProtection="1">
      <alignment horizontal="center" vertical="center"/>
      <protection/>
    </xf>
    <xf numFmtId="0" fontId="8" fillId="0" borderId="4" xfId="20" applyFont="1" applyBorder="1" applyAlignment="1" applyProtection="1">
      <alignment horizontal="center" vertical="center"/>
      <protection/>
    </xf>
    <xf numFmtId="0" fontId="8" fillId="0" borderId="7" xfId="20" applyFont="1" applyBorder="1" applyAlignment="1" applyProtection="1">
      <alignment horizontal="center" vertical="center"/>
      <protection/>
    </xf>
    <xf numFmtId="164" fontId="0" fillId="0" borderId="3" xfId="0" applyNumberFormat="1" applyBorder="1" applyAlignment="1" applyProtection="1">
      <alignment horizontal="center" vertical="center"/>
      <protection/>
    </xf>
    <xf numFmtId="164" fontId="0" fillId="0" borderId="3" xfId="0" applyNumberFormat="1" applyBorder="1" applyAlignment="1">
      <alignment horizontal="center" vertical="center"/>
    </xf>
    <xf numFmtId="0" fontId="2" fillId="15" borderId="1" xfId="20" applyFont="1" applyFill="1" applyBorder="1" applyAlignment="1" applyProtection="1">
      <alignment horizontal="center" vertical="center"/>
      <protection/>
    </xf>
    <xf numFmtId="0" fontId="0" fillId="15" borderId="1" xfId="0" applyFill="1" applyBorder="1" applyAlignment="1">
      <alignment horizontal="center" vertical="center"/>
    </xf>
    <xf numFmtId="0" fontId="8" fillId="0" borderId="1" xfId="0" applyFont="1" applyBorder="1" applyAlignment="1" applyProtection="1">
      <alignment horizontal="center" vertical="center"/>
      <protection/>
    </xf>
    <xf numFmtId="0" fontId="0" fillId="15" borderId="8" xfId="0" applyFill="1" applyBorder="1" applyAlignment="1" applyProtection="1">
      <alignment horizontal="center" vertical="center"/>
      <protection/>
    </xf>
    <xf numFmtId="0" fontId="0" fillId="15" borderId="7" xfId="0" applyFill="1" applyBorder="1" applyAlignment="1" applyProtection="1">
      <alignment horizontal="center" vertical="center"/>
      <protection/>
    </xf>
    <xf numFmtId="0" fontId="0" fillId="0" borderId="1" xfId="0" applyBorder="1" applyAlignment="1">
      <alignment horizontal="center" vertical="center"/>
    </xf>
    <xf numFmtId="0" fontId="15" fillId="0" borderId="0" xfId="0" applyFont="1" applyAlignment="1">
      <alignment horizontal="center" vertical="center" wrapText="1"/>
    </xf>
    <xf numFmtId="2" fontId="0" fillId="0" borderId="8" xfId="0" applyNumberFormat="1" applyBorder="1" applyAlignment="1">
      <alignment horizontal="center"/>
    </xf>
    <xf numFmtId="2" fontId="0" fillId="0" borderId="7" xfId="0" applyNumberFormat="1" applyBorder="1" applyAlignment="1">
      <alignment horizontal="center"/>
    </xf>
    <xf numFmtId="165" fontId="0" fillId="0" borderId="8" xfId="0" applyNumberFormat="1" applyBorder="1" applyAlignment="1">
      <alignment horizontal="center" vertical="center"/>
    </xf>
    <xf numFmtId="165" fontId="0" fillId="0" borderId="7" xfId="0" applyNumberFormat="1" applyBorder="1" applyAlignment="1">
      <alignment horizontal="center" vertical="center"/>
    </xf>
    <xf numFmtId="0" fontId="8" fillId="0" borderId="29"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0" xfId="0" applyFont="1" applyBorder="1" applyAlignment="1">
      <alignment horizontal="center" vertical="center" wrapText="1"/>
    </xf>
    <xf numFmtId="2" fontId="0" fillId="0" borderId="1" xfId="0" applyNumberFormat="1" applyBorder="1" applyAlignment="1">
      <alignment horizontal="center"/>
    </xf>
    <xf numFmtId="0" fontId="8" fillId="0" borderId="1" xfId="0" applyFont="1" applyBorder="1" applyAlignment="1">
      <alignment horizontal="center" vertical="center" wrapText="1"/>
    </xf>
    <xf numFmtId="2" fontId="0" fillId="0" borderId="1" xfId="0" applyNumberFormat="1" applyBorder="1" applyAlignment="1">
      <alignment horizontal="center" vertical="center"/>
    </xf>
    <xf numFmtId="0" fontId="0" fillId="0" borderId="1" xfId="0" applyBorder="1" applyAlignment="1">
      <alignment horizontal="center"/>
    </xf>
    <xf numFmtId="2" fontId="0" fillId="0" borderId="29" xfId="0" applyNumberFormat="1" applyBorder="1" applyAlignment="1">
      <alignment horizontal="center" vertical="center"/>
    </xf>
    <xf numFmtId="2" fontId="0" fillId="0" borderId="27" xfId="0" applyNumberFormat="1" applyBorder="1" applyAlignment="1">
      <alignment horizontal="center" vertical="center"/>
    </xf>
    <xf numFmtId="2" fontId="0" fillId="0" borderId="2" xfId="0" applyNumberFormat="1" applyBorder="1" applyAlignment="1">
      <alignment horizontal="center" vertical="center"/>
    </xf>
    <xf numFmtId="2" fontId="0" fillId="0" borderId="5" xfId="0" applyNumberFormat="1" applyBorder="1" applyAlignment="1">
      <alignment horizontal="center" vertical="center"/>
    </xf>
    <xf numFmtId="2" fontId="0" fillId="0" borderId="28" xfId="0" applyNumberFormat="1" applyBorder="1" applyAlignment="1">
      <alignment horizontal="center" vertical="center"/>
    </xf>
    <xf numFmtId="2" fontId="0" fillId="0" borderId="10" xfId="0" applyNumberFormat="1" applyBorder="1" applyAlignment="1">
      <alignment horizontal="center" vertical="center"/>
    </xf>
    <xf numFmtId="0" fontId="0" fillId="0" borderId="8" xfId="0" applyBorder="1" applyAlignment="1">
      <alignment horizontal="left"/>
    </xf>
    <xf numFmtId="0" fontId="0" fillId="0" borderId="7" xfId="0" applyBorder="1" applyAlignment="1">
      <alignment horizontal="left"/>
    </xf>
    <xf numFmtId="0" fontId="0" fillId="0" borderId="4" xfId="0" applyBorder="1" applyAlignment="1">
      <alignment horizontal="left"/>
    </xf>
    <xf numFmtId="0" fontId="0" fillId="0" borderId="8" xfId="0" applyBorder="1" applyAlignment="1">
      <alignment horizontal="right"/>
    </xf>
    <xf numFmtId="0" fontId="0" fillId="0" borderId="4" xfId="0" applyBorder="1" applyAlignment="1">
      <alignment horizontal="right"/>
    </xf>
    <xf numFmtId="0" fontId="0" fillId="0" borderId="7" xfId="0" applyBorder="1" applyAlignment="1">
      <alignment horizontal="right"/>
    </xf>
    <xf numFmtId="0" fontId="0" fillId="0" borderId="1" xfId="0" applyBorder="1" applyAlignment="1">
      <alignment horizontal="left"/>
    </xf>
    <xf numFmtId="0" fontId="0" fillId="0" borderId="1" xfId="0" applyBorder="1" applyAlignment="1">
      <alignment horizontal="right"/>
    </xf>
    <xf numFmtId="0" fontId="0" fillId="0" borderId="1" xfId="0" applyNumberFormat="1" applyBorder="1" applyAlignment="1">
      <alignment horizontal="center"/>
    </xf>
    <xf numFmtId="0" fontId="45" fillId="0" borderId="14" xfId="0" applyFont="1" applyBorder="1" applyAlignment="1">
      <alignment horizontal="center"/>
    </xf>
    <xf numFmtId="14" fontId="0" fillId="0" borderId="0" xfId="0" applyNumberFormat="1" applyAlignment="1">
      <alignment horizontal="center"/>
    </xf>
    <xf numFmtId="0" fontId="0" fillId="0" borderId="0" xfId="0" applyAlignment="1">
      <alignment horizontal="center"/>
    </xf>
    <xf numFmtId="0" fontId="0" fillId="0" borderId="0" xfId="0" applyAlignment="1">
      <alignment horizontal="center" vertical="center"/>
    </xf>
    <xf numFmtId="14" fontId="0" fillId="0" borderId="9" xfId="0" applyNumberFormat="1" applyBorder="1" applyAlignment="1">
      <alignment horizontal="center" vertical="center"/>
    </xf>
    <xf numFmtId="14" fontId="0" fillId="0" borderId="0" xfId="0" applyNumberFormat="1"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14" fontId="0" fillId="0" borderId="0" xfId="0" applyNumberFormat="1" applyAlignment="1">
      <alignment horizontal="center" vertical="center"/>
    </xf>
    <xf numFmtId="0" fontId="13" fillId="7" borderId="0" xfId="0" applyNumberFormat="1" applyFont="1" applyFill="1" applyAlignment="1">
      <alignment horizontal="left" vertical="top" wrapText="1"/>
    </xf>
    <xf numFmtId="0" fontId="22" fillId="7" borderId="0" xfId="0" applyNumberFormat="1" applyFont="1" applyFill="1" applyAlignment="1">
      <alignment horizontal="left" vertical="top" wrapText="1"/>
    </xf>
    <xf numFmtId="0" fontId="22" fillId="7" borderId="0" xfId="0" applyNumberFormat="1" applyFont="1" applyFill="1" applyAlignment="1">
      <alignment horizontal="left" vertical="center" wrapText="1"/>
    </xf>
    <xf numFmtId="0" fontId="23" fillId="7" borderId="0" xfId="0" applyNumberFormat="1" applyFont="1" applyFill="1" applyAlignment="1">
      <alignment horizontal="left" vertical="top" wrapText="1"/>
    </xf>
    <xf numFmtId="0" fontId="14" fillId="7" borderId="0" xfId="0" applyNumberFormat="1" applyFont="1" applyFill="1" applyAlignment="1">
      <alignment horizontal="left" vertical="top" wrapText="1"/>
    </xf>
    <xf numFmtId="0" fontId="27" fillId="0" borderId="0" xfId="0" applyFont="1" applyBorder="1" applyAlignment="1">
      <alignment horizontal="center" vertical="center" wrapText="1"/>
    </xf>
    <xf numFmtId="0" fontId="27" fillId="0" borderId="0" xfId="0" applyFont="1" applyBorder="1" applyAlignment="1">
      <alignment horizontal="center" wrapText="1"/>
    </xf>
    <xf numFmtId="0" fontId="0" fillId="0" borderId="0" xfId="0" applyFill="1" applyAlignment="1">
      <alignment horizontal="center"/>
    </xf>
    <xf numFmtId="0" fontId="0" fillId="0" borderId="2" xfId="0" applyFill="1" applyBorder="1" applyAlignment="1">
      <alignment horizontal="center"/>
    </xf>
    <xf numFmtId="0" fontId="0" fillId="0" borderId="2" xfId="0" applyBorder="1" applyAlignment="1">
      <alignment horizontal="center"/>
    </xf>
    <xf numFmtId="0" fontId="8" fillId="0" borderId="1" xfId="0" applyFont="1" applyFill="1" applyBorder="1" applyAlignment="1">
      <alignment horizontal="center"/>
    </xf>
    <xf numFmtId="2" fontId="0" fillId="5" borderId="1" xfId="0" applyNumberFormat="1" applyFill="1" applyBorder="1" applyAlignment="1">
      <alignment horizontal="center" vertical="center"/>
    </xf>
    <xf numFmtId="0" fontId="8" fillId="0" borderId="29" xfId="0" applyFont="1" applyFill="1" applyBorder="1" applyAlignment="1">
      <alignment horizontal="center" vertical="center" wrapText="1"/>
    </xf>
    <xf numFmtId="0" fontId="8" fillId="0" borderId="27" xfId="0" applyFont="1" applyFill="1" applyBorder="1" applyAlignment="1">
      <alignment horizontal="center" vertical="center" wrapText="1"/>
    </xf>
    <xf numFmtId="2" fontId="0" fillId="16" borderId="1" xfId="0" applyNumberFormat="1" applyFill="1" applyBorder="1" applyAlignment="1">
      <alignment horizontal="center" vertical="center"/>
    </xf>
    <xf numFmtId="0" fontId="0" fillId="17" borderId="1" xfId="0" applyFill="1" applyBorder="1" applyAlignment="1">
      <alignment horizontal="center" vertical="center"/>
    </xf>
    <xf numFmtId="0" fontId="0" fillId="18" borderId="1" xfId="0" applyFill="1" applyBorder="1" applyAlignment="1">
      <alignment horizontal="center" vertical="center"/>
    </xf>
    <xf numFmtId="0" fontId="0" fillId="19" borderId="8" xfId="0" applyFill="1" applyBorder="1" applyAlignment="1">
      <alignment/>
    </xf>
    <xf numFmtId="0" fontId="0" fillId="19" borderId="7" xfId="0" applyFill="1" applyBorder="1" applyAlignment="1">
      <alignment/>
    </xf>
    <xf numFmtId="0" fontId="0" fillId="19" borderId="1" xfId="0" applyFill="1" applyBorder="1" applyAlignment="1">
      <alignment/>
    </xf>
    <xf numFmtId="0" fontId="0" fillId="19" borderId="1" xfId="0" applyFill="1" applyBorder="1" applyAlignment="1">
      <alignment/>
    </xf>
    <xf numFmtId="0" fontId="0" fillId="16" borderId="1" xfId="0" applyFill="1" applyBorder="1" applyAlignment="1">
      <alignment horizontal="center" vertical="center"/>
    </xf>
    <xf numFmtId="0" fontId="0" fillId="5" borderId="1" xfId="0" applyFill="1" applyBorder="1" applyAlignment="1">
      <alignment horizontal="center" vertical="center"/>
    </xf>
    <xf numFmtId="0" fontId="8" fillId="0" borderId="8" xfId="0" applyFont="1" applyFill="1" applyBorder="1" applyAlignment="1">
      <alignment horizontal="center"/>
    </xf>
    <xf numFmtId="0" fontId="8" fillId="0" borderId="7" xfId="0" applyFont="1" applyFill="1" applyBorder="1" applyAlignment="1">
      <alignment horizontal="center"/>
    </xf>
    <xf numFmtId="0" fontId="0" fillId="20" borderId="11" xfId="0" applyFill="1" applyBorder="1" applyAlignment="1">
      <alignment horizontal="center" vertical="center"/>
    </xf>
    <xf numFmtId="0" fontId="0" fillId="20" borderId="13" xfId="0" applyFill="1" applyBorder="1" applyAlignment="1">
      <alignment horizontal="center" vertical="center"/>
    </xf>
    <xf numFmtId="0" fontId="0" fillId="20" borderId="3" xfId="0" applyFill="1" applyBorder="1" applyAlignment="1">
      <alignment horizontal="center" vertical="center"/>
    </xf>
    <xf numFmtId="0" fontId="8" fillId="5" borderId="11"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11" borderId="11" xfId="0" applyFill="1" applyBorder="1" applyAlignment="1" applyProtection="1">
      <alignment horizontal="center" vertical="center"/>
      <protection locked="0"/>
    </xf>
    <xf numFmtId="0" fontId="0" fillId="11" borderId="13" xfId="0" applyFill="1" applyBorder="1" applyAlignment="1" applyProtection="1">
      <alignment horizontal="center" vertical="center"/>
      <protection locked="0"/>
    </xf>
    <xf numFmtId="0" fontId="0" fillId="11" borderId="3" xfId="0" applyFill="1" applyBorder="1" applyAlignment="1" applyProtection="1">
      <alignment horizontal="center" vertical="center"/>
      <protection locked="0"/>
    </xf>
    <xf numFmtId="0" fontId="8" fillId="5"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0" fillId="2" borderId="11" xfId="0" applyFill="1" applyBorder="1" applyAlignment="1">
      <alignment horizontal="center" vertical="center"/>
    </xf>
    <xf numFmtId="0" fontId="0" fillId="2" borderId="13" xfId="0" applyFill="1" applyBorder="1" applyAlignment="1">
      <alignment horizontal="center" vertical="center"/>
    </xf>
    <xf numFmtId="0" fontId="0" fillId="2" borderId="3" xfId="0" applyFill="1" applyBorder="1" applyAlignment="1">
      <alignment horizontal="center" vertical="center"/>
    </xf>
    <xf numFmtId="0" fontId="8" fillId="4" borderId="8" xfId="0" applyFont="1" applyFill="1" applyBorder="1" applyAlignment="1">
      <alignment horizontal="center"/>
    </xf>
    <xf numFmtId="0" fontId="8" fillId="4" borderId="7" xfId="0" applyFont="1" applyFill="1" applyBorder="1" applyAlignment="1">
      <alignment horizontal="center"/>
    </xf>
    <xf numFmtId="0" fontId="0" fillId="0" borderId="8" xfId="0" applyFill="1" applyBorder="1" applyAlignment="1">
      <alignment horizontal="center"/>
    </xf>
    <xf numFmtId="0" fontId="0" fillId="0" borderId="7" xfId="0" applyFill="1" applyBorder="1" applyAlignment="1">
      <alignment horizontal="center"/>
    </xf>
    <xf numFmtId="164" fontId="0" fillId="5" borderId="1" xfId="0" applyNumberFormat="1" applyFill="1" applyBorder="1" applyAlignment="1">
      <alignment horizontal="center" vertical="center"/>
    </xf>
    <xf numFmtId="164" fontId="0" fillId="16" borderId="1" xfId="0" applyNumberFormat="1" applyFill="1" applyBorder="1" applyAlignment="1">
      <alignment horizontal="center" vertical="center"/>
    </xf>
    <xf numFmtId="0" fontId="8" fillId="0" borderId="1"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9">
    <dxf>
      <font>
        <color rgb="FFFFFFFF"/>
      </font>
      <fill>
        <patternFill patternType="none">
          <bgColor indexed="65"/>
        </patternFill>
      </fill>
      <border>
        <left style="dotted">
          <color rgb="FFC0C0C0"/>
        </left>
        <right style="dotted">
          <color rgb="FFFF00FF"/>
        </right>
        <top style="dotted"/>
        <bottom style="dotted">
          <color rgb="FFFF00FF"/>
        </bottom>
      </border>
    </dxf>
    <dxf>
      <font>
        <b val="0"/>
        <i/>
        <color rgb="FF0000FF"/>
      </font>
      <border/>
    </dxf>
    <dxf>
      <font>
        <b val="0"/>
        <i/>
        <color rgb="FFFF0000"/>
      </font>
      <border/>
    </dxf>
    <dxf>
      <font>
        <b val="0"/>
        <i/>
        <color rgb="FF0000FF"/>
      </font>
      <border>
        <left>
          <color rgb="FF000000"/>
        </left>
        <right>
          <color rgb="FF000000"/>
        </right>
        <top>
          <color rgb="FF000000"/>
        </top>
        <bottom>
          <color rgb="FF000000"/>
        </bottom>
      </border>
    </dxf>
    <dxf>
      <font>
        <b/>
        <i/>
        <strike val="0"/>
        <color rgb="FFFF0000"/>
      </font>
      <fill>
        <patternFill>
          <fgColor rgb="FFC0C0C0"/>
          <bgColor rgb="FFC0C0C0"/>
        </patternFill>
      </fill>
      <border>
        <left style="dashDotDot">
          <color rgb="FFFF0000"/>
        </left>
        <right style="dashDotDot">
          <color rgb="FFFF0000"/>
        </right>
        <top style="dashDotDot"/>
        <bottom style="dashDotDot">
          <color rgb="FFFF0000"/>
        </bottom>
      </border>
    </dxf>
    <dxf>
      <font>
        <b/>
        <i val="0"/>
        <color rgb="FF00FF00"/>
      </font>
      <fill>
        <patternFill>
          <bgColor rgb="FF000000"/>
        </patternFill>
      </fill>
      <border/>
    </dxf>
    <dxf>
      <font>
        <b val="0"/>
        <i/>
        <color rgb="FFC0C0C0"/>
      </font>
      <border>
        <left style="dotted">
          <color rgb="FFC0C0C0"/>
        </left>
        <right style="dotted">
          <color rgb="FFFF00FF"/>
        </right>
        <top style="dotted"/>
        <bottom style="dotted">
          <color rgb="FFFF00FF"/>
        </bottom>
      </border>
    </dxf>
    <dxf>
      <font>
        <color rgb="FFFFFFFF"/>
      </font>
      <fill>
        <patternFill>
          <bgColor rgb="FFFFFFFF"/>
        </patternFill>
      </fill>
      <border>
        <left style="dotted">
          <color rgb="FFC0C0C0"/>
        </left>
        <right style="dotted">
          <color rgb="FFFF00FF"/>
        </right>
        <top style="dotted"/>
        <bottom style="dotted">
          <color rgb="FFFF00FF"/>
        </bottom>
      </border>
    </dxf>
    <dxf>
      <font>
        <color rgb="FFFFFFFF"/>
      </font>
      <border/>
    </dxf>
    <dxf>
      <font>
        <b val="0"/>
        <i/>
        <color rgb="FFFF0000"/>
      </font>
      <fill>
        <patternFill patternType="none">
          <bgColor indexed="65"/>
        </patternFill>
      </fill>
      <border/>
    </dxf>
    <dxf>
      <font>
        <color rgb="FFFFFFFF"/>
      </font>
      <fill>
        <patternFill patternType="none">
          <bgColor indexed="65"/>
        </patternFill>
      </fill>
      <border>
        <left style="hair">
          <color rgb="FFC0C0C0"/>
        </left>
        <right style="hair">
          <color rgb="FFFF00FF"/>
        </right>
        <top style="hair"/>
        <bottom style="hair">
          <color rgb="FFFF00FF"/>
        </bottom>
      </border>
    </dxf>
    <dxf>
      <font>
        <color auto="1"/>
      </font>
      <fill>
        <patternFill patternType="none">
          <bgColor indexed="65"/>
        </patternFill>
      </fill>
      <border>
        <left style="thin">
          <color rgb="FF000000"/>
        </left>
        <right style="thin">
          <color rgb="FF000000"/>
        </right>
        <top style="thin"/>
        <bottom style="thin">
          <color rgb="FF000000"/>
        </bottom>
      </border>
    </dxf>
    <dxf>
      <fill>
        <patternFill patternType="none"/>
      </fill>
      <border>
        <left style="hair">
          <color rgb="FFC0C0C0"/>
        </left>
        <right style="hair">
          <color rgb="FFFF00FF"/>
        </right>
        <top style="hair"/>
        <bottom style="hair">
          <color rgb="FFFF00FF"/>
        </bottom>
      </border>
    </dxf>
    <dxf>
      <font>
        <b/>
        <i/>
        <color rgb="FFFF0000"/>
      </font>
      <border/>
    </dxf>
    <dxf>
      <font>
        <color auto="1"/>
      </font>
      <border>
        <left style="thin">
          <color rgb="FF000000"/>
        </left>
        <right style="thin">
          <color rgb="FF000000"/>
        </right>
        <top style="thin"/>
        <bottom style="thin">
          <color rgb="FF000000"/>
        </bottom>
      </border>
    </dxf>
    <dxf>
      <font>
        <color rgb="FFFFFFFF"/>
      </font>
      <fill>
        <patternFill>
          <bgColor rgb="FFFFFFFF"/>
        </patternFill>
      </fill>
      <border>
        <left>
          <color rgb="FF000000"/>
        </left>
        <right>
          <color rgb="FF000000"/>
        </right>
        <top>
          <color rgb="FF000000"/>
        </top>
        <bottom>
          <color rgb="FF000000"/>
        </bottom>
      </border>
    </dxf>
    <dxf>
      <border>
        <left>
          <color rgb="FF000000"/>
        </left>
        <right>
          <color rgb="FF000000"/>
        </right>
        <top/>
        <bottom style="thin">
          <color rgb="FF000000"/>
        </bottom>
      </border>
    </dxf>
    <dxf>
      <font>
        <color rgb="FF000000"/>
      </font>
      <fill>
        <patternFill>
          <bgColor rgb="FFFFFFFF"/>
        </patternFill>
      </fill>
      <border>
        <left style="thin">
          <color rgb="FF000000"/>
        </left>
        <right style="thin">
          <color rgb="FF000000"/>
        </right>
        <top style="thin"/>
        <bottom style="thin">
          <color rgb="FF000000"/>
        </bottom>
      </border>
    </dxf>
    <dxf>
      <font>
        <b val="0"/>
        <i/>
        <color rgb="FFFF0000"/>
      </font>
      <border>
        <left>
          <color rgb="FF000000"/>
        </left>
        <right>
          <color rgb="FF000000"/>
        </right>
        <top/>
        <bottom style="thin">
          <color rgb="FF000000"/>
        </bottom>
      </border>
    </dxf>
    <dxf>
      <font>
        <color rgb="FFFFFFFF"/>
      </font>
      <fill>
        <patternFill>
          <bgColor rgb="FFFFFFFF"/>
        </patternFill>
      </fill>
      <border>
        <left>
          <color rgb="FF000000"/>
        </left>
        <right>
          <color rgb="FF000000"/>
        </right>
        <top style="thin">
          <color rgb="FF000000"/>
        </top>
        <bottom>
          <color rgb="FF000000"/>
        </bottom>
      </border>
    </dxf>
    <dxf>
      <font>
        <color rgb="FFFFFFFF"/>
      </font>
      <fill>
        <patternFill>
          <bgColor rgb="FFFFFFFF"/>
        </patternFill>
      </fill>
      <border>
        <left style="thin">
          <color rgb="FFFFFFFF"/>
        </left>
        <right style="thin">
          <color rgb="FFFFFFFF"/>
        </right>
        <top style="thin"/>
        <bottom style="thin">
          <color rgb="FFFFFFFF"/>
        </bottom>
      </border>
    </dxf>
    <dxf>
      <font>
        <color auto="1"/>
      </font>
      <fill>
        <patternFill>
          <bgColor rgb="FFFFFFFF"/>
        </patternFill>
      </fill>
      <border>
        <left style="thin">
          <color rgb="FF000000"/>
        </left>
        <right style="thin">
          <color rgb="FF000000"/>
        </right>
        <top style="thin"/>
        <bottom style="thin">
          <color rgb="FF000000"/>
        </bottom>
      </border>
    </dxf>
    <dxf>
      <font>
        <b/>
        <i val="0"/>
        <color rgb="FFFF0000"/>
      </font>
      <border>
        <left style="thin">
          <color rgb="FF000000"/>
        </left>
        <right style="thin">
          <color rgb="FF000000"/>
        </right>
        <top style="thin"/>
        <bottom style="thin">
          <color rgb="FF000000"/>
        </bottom>
      </border>
    </dxf>
    <dxf>
      <font>
        <b/>
        <i val="0"/>
        <color auto="1"/>
      </font>
      <border>
        <left style="thin">
          <color rgb="FF000000"/>
        </left>
        <right style="thin">
          <color rgb="FF000000"/>
        </right>
        <top style="thin"/>
        <bottom style="thin">
          <color rgb="FF000000"/>
        </bottom>
      </border>
    </dxf>
    <dxf>
      <font>
        <b val="0"/>
        <i val="0"/>
        <color rgb="FFFFFFFF"/>
      </font>
      <border>
        <left style="dotted">
          <color rgb="FFC0C0C0"/>
        </left>
        <right style="dotted">
          <color rgb="FFFF00FF"/>
        </right>
        <top style="dotted"/>
        <bottom style="dotted">
          <color rgb="FFFF00FF"/>
        </bottom>
      </border>
    </dxf>
    <dxf>
      <font>
        <b/>
        <i/>
        <color rgb="FFFF0000"/>
      </font>
      <fill>
        <patternFill patternType="none">
          <bgColor indexed="65"/>
        </patternFill>
      </fill>
      <border>
        <left style="thin">
          <color rgb="FF000000"/>
        </left>
        <right style="thin">
          <color rgb="FF000000"/>
        </right>
        <top style="thin"/>
        <bottom style="thin">
          <color rgb="FF000000"/>
        </bottom>
      </border>
    </dxf>
    <dxf>
      <font>
        <b/>
        <i val="0"/>
        <color rgb="FF000000"/>
      </font>
      <fill>
        <patternFill>
          <bgColor rgb="FFFFFF99"/>
        </patternFill>
      </fill>
      <border>
        <left style="thin">
          <color rgb="FF000000"/>
        </left>
        <right style="thin">
          <color rgb="FF000000"/>
        </right>
        <top style="thin"/>
        <bottom style="thin">
          <color rgb="FF000000"/>
        </bottom>
      </border>
    </dxf>
    <dxf>
      <font>
        <color rgb="FFFFFFFF"/>
      </font>
      <fill>
        <patternFill patternType="solid">
          <bgColor rgb="FFFFFFFF"/>
        </patternFill>
      </fill>
      <border>
        <left style="dotted">
          <color rgb="FFC0C0C0"/>
        </left>
        <right style="dotted">
          <color rgb="FFFF00FF"/>
        </right>
        <top style="dotted"/>
        <bottom style="dotted">
          <color rgb="FFFF00FF"/>
        </bottom>
      </border>
    </dxf>
    <dxf>
      <font>
        <color rgb="FFFFFFFF"/>
      </font>
      <fill>
        <patternFill patternType="none">
          <bgColor indexed="65"/>
        </patternFill>
      </fill>
      <border>
        <left style="thin">
          <color rgb="FFFFFFFF"/>
        </left>
        <right style="thin">
          <color rgb="FFFFFFFF"/>
        </right>
        <top style="thin"/>
        <bottom style="thin">
          <color rgb="FFFFFFFF"/>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9F3F9"/>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sng" baseline="0">
                <a:latin typeface="Arial"/>
                <a:ea typeface="Arial"/>
                <a:cs typeface="Arial"/>
              </a:rPr>
              <a:t>Power 45 Curve</a:t>
            </a:r>
          </a:p>
        </c:rich>
      </c:tx>
      <c:layout>
        <c:manualLayout>
          <c:xMode val="factor"/>
          <c:yMode val="factor"/>
          <c:x val="-0.053"/>
          <c:y val="-0.01975"/>
        </c:manualLayout>
      </c:layout>
      <c:spPr>
        <a:noFill/>
        <a:ln>
          <a:noFill/>
        </a:ln>
      </c:spPr>
    </c:title>
    <c:plotArea>
      <c:layout>
        <c:manualLayout>
          <c:xMode val="edge"/>
          <c:yMode val="edge"/>
          <c:x val="0.00625"/>
          <c:y val="0.06075"/>
          <c:w val="0.953"/>
          <c:h val="0.9245"/>
        </c:manualLayout>
      </c:layout>
      <c:scatterChart>
        <c:scatterStyle val="lineMarker"/>
        <c:varyColors val="0"/>
        <c:ser>
          <c:idx val="0"/>
          <c:order val="0"/>
          <c:tx>
            <c:v>Combined Gradation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0000FF"/>
                </a:solidFill>
              </a:ln>
            </c:spPr>
          </c:marker>
          <c:dLbls>
            <c:numFmt formatCode="General" sourceLinked="1"/>
            <c:txPr>
              <a:bodyPr vert="horz" rot="0" anchor="ctr"/>
              <a:lstStyle/>
              <a:p>
                <a:pPr algn="ctr">
                  <a:defRPr lang="en-US" cap="none" sz="800" b="0" i="0" u="none" baseline="0">
                    <a:latin typeface="Arial"/>
                    <a:ea typeface="Arial"/>
                    <a:cs typeface="Arial"/>
                  </a:defRPr>
                </a:pPr>
              </a:p>
            </c:txPr>
            <c:showLegendKey val="0"/>
            <c:showVal val="1"/>
            <c:showBubbleSize val="0"/>
            <c:showCatName val="0"/>
            <c:showSerName val="0"/>
            <c:showPercent val="0"/>
          </c:dLbls>
          <c:xVal>
            <c:numLit>
              <c:ptCount val="7"/>
              <c:pt idx="0">
                <c:v>2.75407410856612</c:v>
              </c:pt>
              <c:pt idx="1">
                <c:v>2.01610025396293</c:v>
              </c:pt>
              <c:pt idx="2">
                <c:v>1.47166987958204</c:v>
              </c:pt>
              <c:pt idx="3">
                <c:v>1.07732540992504</c:v>
              </c:pt>
              <c:pt idx="4">
                <c:v>0.794635682240205</c:v>
              </c:pt>
              <c:pt idx="5">
                <c:v>0.581707367927938</c:v>
              </c:pt>
              <c:pt idx="6">
                <c:v>0.3117292599535</c:v>
              </c:pt>
            </c:numLit>
          </c:xVal>
          <c:yVal>
            <c:numLit>
              <c:ptCount val="10"/>
              <c:pt idx="0">
                <c:v>100</c:v>
              </c:pt>
              <c:pt idx="1">
                <c:v>84.553</c:v>
              </c:pt>
              <c:pt idx="2">
                <c:v>43.264</c:v>
              </c:pt>
              <c:pt idx="3">
                <c:v>21.859</c:v>
              </c:pt>
              <c:pt idx="4">
                <c:v>13.717</c:v>
              </c:pt>
              <c:pt idx="5">
                <c:v>10.237</c:v>
              </c:pt>
              <c:pt idx="6">
                <c:v>7.309</c:v>
              </c:pt>
              <c:pt idx="7">
                <c:v>0</c:v>
              </c:pt>
              <c:pt idx="8">
                <c:v>0</c:v>
              </c:pt>
              <c:pt idx="9">
                <c:v>0</c:v>
              </c:pt>
            </c:numLit>
          </c:yVal>
          <c:smooth val="1"/>
        </c:ser>
        <c:ser>
          <c:idx val="1"/>
          <c:order val="1"/>
          <c:tx>
            <c:v>Maximum Density Line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7"/>
              <c:pt idx="0">
                <c:v>2.75407410856612</c:v>
              </c:pt>
              <c:pt idx="1">
                <c:v>2.01610025396293</c:v>
              </c:pt>
              <c:pt idx="2">
                <c:v>1.47166987958204</c:v>
              </c:pt>
              <c:pt idx="3">
                <c:v>1.07732540992504</c:v>
              </c:pt>
              <c:pt idx="4">
                <c:v>0.794635682240205</c:v>
              </c:pt>
              <c:pt idx="5">
                <c:v>0.581707367927938</c:v>
              </c:pt>
              <c:pt idx="6">
                <c:v>0.3117292599535</c:v>
              </c:pt>
            </c:numLit>
          </c:xVal>
          <c:yVal>
            <c:numLit>
              <c:ptCount val="7"/>
              <c:pt idx="0">
                <c:v>100</c:v>
              </c:pt>
              <c:pt idx="1">
                <c:v>73.2042847972813</c:v>
              </c:pt>
              <c:pt idx="2">
                <c:v>53.436103081055</c:v>
              </c:pt>
              <c:pt idx="3">
                <c:v>39.1175170840243</c:v>
              </c:pt>
              <c:pt idx="4">
                <c:v>28.8530972993288</c:v>
              </c:pt>
              <c:pt idx="5">
                <c:v>21.1217035198373</c:v>
              </c:pt>
              <c:pt idx="6">
                <c:v>11.3188406580605</c:v>
              </c:pt>
            </c:numLit>
          </c:yVal>
          <c:smooth val="0"/>
        </c:ser>
        <c:ser>
          <c:idx val="2"/>
          <c:order val="2"/>
          <c:tx>
            <c:v>Lower Specifcation Limits</c:v>
          </c:tx>
          <c:spPr>
            <a:ln w="25400">
              <a:solidFill>
                <a:srgbClr val="FF99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Lit>
              <c:ptCount val="7"/>
              <c:pt idx="0">
                <c:v>2.75407410856612</c:v>
              </c:pt>
              <c:pt idx="1">
                <c:v>2.01610025396293</c:v>
              </c:pt>
              <c:pt idx="2">
                <c:v>1.47166987958204</c:v>
              </c:pt>
              <c:pt idx="3">
                <c:v>1.07732540992504</c:v>
              </c:pt>
              <c:pt idx="4">
                <c:v>0.794635682240205</c:v>
              </c:pt>
              <c:pt idx="5">
                <c:v>0.581707367927938</c:v>
              </c:pt>
              <c:pt idx="6">
                <c:v>0.3117292599535</c:v>
              </c:pt>
            </c:numLit>
          </c:xVal>
          <c:yVal>
            <c:numLit>
              <c:ptCount val="7"/>
              <c:pt idx="0">
                <c:v>98</c:v>
              </c:pt>
              <c:pt idx="1">
                <c:v>70</c:v>
              </c:pt>
              <c:pt idx="2">
                <c:v>40</c:v>
              </c:pt>
              <c:pt idx="3">
                <c:v>20</c:v>
              </c:pt>
              <c:pt idx="4">
                <c:v>10</c:v>
              </c:pt>
              <c:pt idx="5">
                <c:v>10</c:v>
              </c:pt>
              <c:pt idx="6">
                <c:v>2</c:v>
              </c:pt>
            </c:numLit>
          </c:yVal>
          <c:smooth val="1"/>
        </c:ser>
        <c:ser>
          <c:idx val="3"/>
          <c:order val="3"/>
          <c:tx>
            <c:v>Upper Specification Limits</c:v>
          </c:tx>
          <c:spPr>
            <a:ln w="25400">
              <a:solidFill>
                <a:srgbClr val="9999FF"/>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7"/>
              <c:pt idx="0">
                <c:v>2.75407410856612</c:v>
              </c:pt>
              <c:pt idx="1">
                <c:v>2.01610025396293</c:v>
              </c:pt>
              <c:pt idx="2">
                <c:v>1.47166987958204</c:v>
              </c:pt>
              <c:pt idx="3">
                <c:v>1.07732540992504</c:v>
              </c:pt>
              <c:pt idx="4">
                <c:v>0.794635682240205</c:v>
              </c:pt>
              <c:pt idx="5">
                <c:v>0.581707367927938</c:v>
              </c:pt>
              <c:pt idx="6">
                <c:v>0.3117292599535</c:v>
              </c:pt>
            </c:numLit>
          </c:xVal>
          <c:yVal>
            <c:numLit>
              <c:ptCount val="7"/>
              <c:pt idx="0">
                <c:v>100</c:v>
              </c:pt>
              <c:pt idx="1">
                <c:v>90</c:v>
              </c:pt>
              <c:pt idx="2">
                <c:v>65</c:v>
              </c:pt>
              <c:pt idx="3">
                <c:v>45</c:v>
              </c:pt>
              <c:pt idx="4">
                <c:v>30</c:v>
              </c:pt>
              <c:pt idx="5">
                <c:v>20</c:v>
              </c:pt>
              <c:pt idx="6">
                <c:v>10</c:v>
              </c:pt>
            </c:numLit>
          </c:yVal>
          <c:smooth val="1"/>
        </c:ser>
        <c:axId val="51990267"/>
        <c:axId val="65259220"/>
      </c:scatterChart>
      <c:valAx>
        <c:axId val="51990267"/>
        <c:scaling>
          <c:orientation val="minMax"/>
        </c:scaling>
        <c:axPos val="b"/>
        <c:title>
          <c:tx>
            <c:rich>
              <a:bodyPr vert="horz" rot="0" anchor="ctr"/>
              <a:lstStyle/>
              <a:p>
                <a:pPr algn="ctr">
                  <a:defRPr/>
                </a:pPr>
                <a:r>
                  <a:rPr lang="en-US" cap="none" sz="1325" b="1" i="0" u="none" baseline="0">
                    <a:latin typeface="Arial"/>
                    <a:ea typeface="Arial"/>
                    <a:cs typeface="Arial"/>
                  </a:rPr>
                  <a:t>Sieve Size</a:t>
                </a:r>
              </a:p>
            </c:rich>
          </c:tx>
          <c:layout>
            <c:manualLayout>
              <c:xMode val="factor"/>
              <c:yMode val="factor"/>
              <c:x val="0.00375"/>
              <c:y val="-0.00125"/>
            </c:manualLayout>
          </c:layout>
          <c:overlay val="0"/>
          <c:spPr>
            <a:noFill/>
            <a:ln>
              <a:noFill/>
            </a:ln>
          </c:spPr>
        </c:title>
        <c:majorGridlines>
          <c:spPr>
            <a:ln w="3175">
              <a:solidFill>
                <a:srgbClr val="969696"/>
              </a:solidFill>
            </a:ln>
          </c:spPr>
        </c:majorGridlines>
        <c:delete val="1"/>
        <c:majorTickMark val="out"/>
        <c:minorTickMark val="none"/>
        <c:tickLblPos val="nextTo"/>
        <c:crossAx val="65259220"/>
        <c:crosses val="autoZero"/>
        <c:crossBetween val="midCat"/>
        <c:dispUnits/>
      </c:valAx>
      <c:valAx>
        <c:axId val="65259220"/>
        <c:scaling>
          <c:orientation val="minMax"/>
          <c:max val="105"/>
          <c:min val="-5"/>
        </c:scaling>
        <c:axPos val="l"/>
        <c:title>
          <c:tx>
            <c:rich>
              <a:bodyPr vert="horz" rot="-5400000" anchor="ctr"/>
              <a:lstStyle/>
              <a:p>
                <a:pPr algn="ctr">
                  <a:defRPr/>
                </a:pPr>
                <a:r>
                  <a:rPr lang="en-US" cap="none" sz="1325" b="1" i="0" u="none" baseline="0">
                    <a:latin typeface="Arial"/>
                    <a:ea typeface="Arial"/>
                    <a:cs typeface="Arial"/>
                  </a:rPr>
                  <a:t>Percent Passing</a:t>
                </a:r>
              </a:p>
            </c:rich>
          </c:tx>
          <c:layout/>
          <c:overlay val="0"/>
          <c:spPr>
            <a:noFill/>
            <a:ln>
              <a:noFill/>
            </a:ln>
          </c:spPr>
        </c:title>
        <c:majorGridlines>
          <c:spPr>
            <a:ln w="3175">
              <a:solidFill>
                <a:srgbClr val="969696"/>
              </a:solidFill>
            </a:ln>
          </c:spPr>
        </c:majorGridlines>
        <c:minorGridlines>
          <c:spPr>
            <a:ln w="3175">
              <a:solidFill>
                <a:srgbClr val="C0C0C0"/>
              </a:solidFill>
            </a:ln>
          </c:spPr>
        </c:minorGridlines>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51990267"/>
        <c:crosses val="autoZero"/>
        <c:crossBetween val="midCat"/>
        <c:dispUnits/>
        <c:majorUnit val="10"/>
      </c:valAx>
      <c:spPr>
        <a:gradFill rotWithShape="1">
          <a:gsLst>
            <a:gs pos="0">
              <a:srgbClr val="FFFFFF"/>
            </a:gs>
            <a:gs pos="50000">
              <a:srgbClr val="DBDBDB"/>
            </a:gs>
            <a:gs pos="100000">
              <a:srgbClr val="FFFFFF"/>
            </a:gs>
          </a:gsLst>
          <a:lin ang="2700000" scaled="1"/>
        </a:gradFill>
        <a:ln w="12700">
          <a:solidFill>
            <a:srgbClr val="C0C0C0"/>
          </a:solidFill>
        </a:ln>
      </c:spPr>
    </c:plotArea>
    <c:legend>
      <c:legendPos val="r"/>
      <c:layout>
        <c:manualLayout>
          <c:xMode val="edge"/>
          <c:yMode val="edge"/>
          <c:x val="0.2005"/>
          <c:y val="0.03525"/>
          <c:w val="0.52675"/>
          <c:h val="0.037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gradFill rotWithShape="1">
      <a:gsLst>
        <a:gs pos="0">
          <a:srgbClr val="757575"/>
        </a:gs>
        <a:gs pos="50000">
          <a:srgbClr val="FFFFFF"/>
        </a:gs>
        <a:gs pos="100000">
          <a:srgbClr val="757575"/>
        </a:gs>
      </a:gsLst>
      <a:lin ang="2700000" scaled="1"/>
    </a:gradFill>
    <a:ln w="3175">
      <a:noFill/>
    </a:ln>
  </c:spPr>
  <c:txPr>
    <a:bodyPr vert="horz" rot="0"/>
    <a:lstStyle/>
    <a:p>
      <a:pPr>
        <a:defRPr lang="en-US" cap="none" sz="2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AC vs. Density</a:t>
            </a:r>
          </a:p>
        </c:rich>
      </c:tx>
      <c:layout/>
      <c:spPr>
        <a:noFill/>
        <a:ln>
          <a:noFill/>
        </a:ln>
      </c:spPr>
    </c:title>
    <c:plotArea>
      <c:layout>
        <c:manualLayout>
          <c:xMode val="edge"/>
          <c:yMode val="edge"/>
          <c:x val="0.071"/>
          <c:y val="0.146"/>
          <c:w val="0.90675"/>
          <c:h val="0.73975"/>
        </c:manualLayout>
      </c:layout>
      <c:scatterChart>
        <c:scatterStyle val="lineMarker"/>
        <c:varyColors val="0"/>
        <c:ser>
          <c:idx val="0"/>
          <c:order val="0"/>
          <c:tx>
            <c:v>Density</c:v>
          </c:tx>
          <c:extLst>
            <c:ext xmlns:c14="http://schemas.microsoft.com/office/drawing/2007/8/2/chart" uri="{6F2FDCE9-48DA-4B69-8628-5D25D57E5C99}">
              <c14:invertSolidFillFmt>
                <c14:spPr>
                  <a:solidFill>
                    <a:srgbClr val="000000"/>
                  </a:solidFill>
                </c14:spPr>
              </c14:invertSolidFillFmt>
            </c:ext>
          </c:extLst>
          <c:marker>
            <c:symbol val="diamond"/>
          </c:marker>
          <c:dLbls>
            <c:numFmt formatCode="General" sourceLinked="1"/>
            <c:showLegendKey val="0"/>
            <c:showVal val="1"/>
            <c:showBubbleSize val="0"/>
            <c:showCatName val="0"/>
            <c:showSerName val="0"/>
            <c:showPercent val="0"/>
          </c:dLbls>
          <c:xVal>
            <c:numRef>
              <c:f>Charts!$A$3:$A$7</c:f>
              <c:numCache>
                <c:ptCount val="5"/>
                <c:pt idx="0">
                  <c:v>6</c:v>
                </c:pt>
                <c:pt idx="1">
                  <c:v>6.5</c:v>
                </c:pt>
                <c:pt idx="2">
                  <c:v>7</c:v>
                </c:pt>
                <c:pt idx="3">
                  <c:v>#N/A</c:v>
                </c:pt>
                <c:pt idx="4">
                  <c:v>#N/A</c:v>
                </c:pt>
              </c:numCache>
            </c:numRef>
          </c:xVal>
          <c:yVal>
            <c:numRef>
              <c:f>Charts!$C$3:$C$7</c:f>
              <c:numCache>
                <c:ptCount val="5"/>
                <c:pt idx="0">
                  <c:v>96.78276767920913</c:v>
                </c:pt>
                <c:pt idx="1">
                  <c:v>98.32300537218602</c:v>
                </c:pt>
                <c:pt idx="2">
                  <c:v>98.76650045014415</c:v>
                </c:pt>
                <c:pt idx="3">
                  <c:v>#N/A</c:v>
                </c:pt>
                <c:pt idx="4">
                  <c:v>#N/A</c:v>
                </c:pt>
              </c:numCache>
            </c:numRef>
          </c:yVal>
          <c:smooth val="0"/>
        </c:ser>
        <c:axId val="50462069"/>
        <c:axId val="51505438"/>
      </c:scatterChart>
      <c:valAx>
        <c:axId val="50462069"/>
        <c:scaling>
          <c:orientation val="minMax"/>
        </c:scaling>
        <c:axPos val="b"/>
        <c:title>
          <c:tx>
            <c:rich>
              <a:bodyPr vert="horz" rot="0" anchor="ctr"/>
              <a:lstStyle/>
              <a:p>
                <a:pPr algn="ctr">
                  <a:defRPr/>
                </a:pPr>
                <a:r>
                  <a:rPr lang="en-US"/>
                  <a:t>Asphalt Content (%)</a:t>
                </a:r>
              </a:p>
            </c:rich>
          </c:tx>
          <c:layout/>
          <c:overlay val="0"/>
          <c:spPr>
            <a:noFill/>
            <a:ln>
              <a:noFill/>
            </a:ln>
          </c:spPr>
        </c:title>
        <c:delete val="0"/>
        <c:numFmt formatCode="General" sourceLinked="1"/>
        <c:majorTickMark val="out"/>
        <c:minorTickMark val="none"/>
        <c:tickLblPos val="nextTo"/>
        <c:crossAx val="51505438"/>
        <c:crosses val="autoZero"/>
        <c:crossBetween val="midCat"/>
        <c:dispUnits/>
      </c:valAx>
      <c:valAx>
        <c:axId val="51505438"/>
        <c:scaling>
          <c:orientation val="minMax"/>
        </c:scaling>
        <c:axPos val="l"/>
        <c:title>
          <c:tx>
            <c:rich>
              <a:bodyPr vert="horz" rot="-5400000" anchor="ctr"/>
              <a:lstStyle/>
              <a:p>
                <a:pPr algn="ctr">
                  <a:defRPr/>
                </a:pPr>
                <a:r>
                  <a:rPr lang="en-US"/>
                  <a:t>Density (%)</a:t>
                </a:r>
              </a:p>
            </c:rich>
          </c:tx>
          <c:layout>
            <c:manualLayout>
              <c:xMode val="factor"/>
              <c:yMode val="factor"/>
              <c:x val="-0.003"/>
              <c:y val="-0.001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50462069"/>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AC vs. Hamburg </a:t>
            </a:r>
          </a:p>
        </c:rich>
      </c:tx>
      <c:layout>
        <c:manualLayout>
          <c:xMode val="factor"/>
          <c:yMode val="factor"/>
          <c:x val="-0.00625"/>
          <c:y val="-0.0165"/>
        </c:manualLayout>
      </c:layout>
      <c:spPr>
        <a:noFill/>
        <a:ln>
          <a:noFill/>
        </a:ln>
      </c:spPr>
    </c:title>
    <c:plotArea>
      <c:layout>
        <c:manualLayout>
          <c:xMode val="edge"/>
          <c:yMode val="edge"/>
          <c:x val="0.0395"/>
          <c:y val="0.14675"/>
          <c:w val="0.90275"/>
          <c:h val="0.78775"/>
        </c:manualLayout>
      </c:layout>
      <c:scatterChart>
        <c:scatterStyle val="lineMarker"/>
        <c:varyColors val="0"/>
        <c:ser>
          <c:idx val="0"/>
          <c:order val="0"/>
          <c:tx>
            <c:v>Number of Cycles</c:v>
          </c:tx>
          <c:extLst>
            <c:ext xmlns:c14="http://schemas.microsoft.com/office/drawing/2007/8/2/chart" uri="{6F2FDCE9-48DA-4B69-8628-5D25D57E5C99}">
              <c14:invertSolidFillFmt>
                <c14:spPr>
                  <a:solidFill>
                    <a:srgbClr val="000000"/>
                  </a:solidFill>
                </c14:spPr>
              </c14:invertSolidFillFmt>
            </c:ext>
          </c:extLst>
          <c:marker>
            <c:symbol val="diamond"/>
          </c:marker>
          <c:dLbls>
            <c:numFmt formatCode="General" sourceLinked="1"/>
            <c:showLegendKey val="0"/>
            <c:showVal val="1"/>
            <c:showBubbleSize val="0"/>
            <c:showCatName val="0"/>
            <c:showSerName val="0"/>
            <c:showPercent val="0"/>
          </c:dLbls>
          <c:xVal>
            <c:numRef>
              <c:f>Charts!$A$3:$A$7</c:f>
              <c:numCache>
                <c:ptCount val="5"/>
                <c:pt idx="0">
                  <c:v>6</c:v>
                </c:pt>
                <c:pt idx="1">
                  <c:v>6.5</c:v>
                </c:pt>
                <c:pt idx="2">
                  <c:v>7</c:v>
                </c:pt>
                <c:pt idx="3">
                  <c:v>#N/A</c:v>
                </c:pt>
                <c:pt idx="4">
                  <c:v>#N/A</c:v>
                </c:pt>
              </c:numCache>
            </c:numRef>
          </c:xVal>
          <c:yVal>
            <c:numRef>
              <c:f>Charts!$E$3:$E$7</c:f>
              <c:numCache>
                <c:ptCount val="5"/>
                <c:pt idx="0">
                  <c:v>#N/A</c:v>
                </c:pt>
                <c:pt idx="1">
                  <c:v>#N/A</c:v>
                </c:pt>
                <c:pt idx="2">
                  <c:v>#N/A</c:v>
                </c:pt>
                <c:pt idx="3">
                  <c:v>#N/A</c:v>
                </c:pt>
                <c:pt idx="4">
                  <c:v>#N/A</c:v>
                </c:pt>
              </c:numCache>
            </c:numRef>
          </c:yVal>
          <c:smooth val="0"/>
        </c:ser>
        <c:axId val="60895759"/>
        <c:axId val="11190920"/>
      </c:scatterChart>
      <c:scatterChart>
        <c:scatterStyle val="lineMarker"/>
        <c:varyColors val="0"/>
        <c:ser>
          <c:idx val="1"/>
          <c:order val="1"/>
          <c:tx>
            <c:v>Rut Depth (mm)</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dLbls>
            <c:numFmt formatCode="General" sourceLinked="1"/>
            <c:showLegendKey val="0"/>
            <c:showVal val="1"/>
            <c:showBubbleSize val="0"/>
            <c:showCatName val="0"/>
            <c:showSerName val="0"/>
            <c:showPercent val="0"/>
          </c:dLbls>
          <c:xVal>
            <c:numRef>
              <c:f>Charts!$A$3:$A$7</c:f>
              <c:numCache>
                <c:ptCount val="5"/>
                <c:pt idx="0">
                  <c:v>6</c:v>
                </c:pt>
                <c:pt idx="1">
                  <c:v>6.5</c:v>
                </c:pt>
                <c:pt idx="2">
                  <c:v>7</c:v>
                </c:pt>
                <c:pt idx="3">
                  <c:v>#N/A</c:v>
                </c:pt>
                <c:pt idx="4">
                  <c:v>#N/A</c:v>
                </c:pt>
              </c:numCache>
            </c:numRef>
          </c:xVal>
          <c:yVal>
            <c:numRef>
              <c:f>Charts!$F$3:$F$7</c:f>
              <c:numCache>
                <c:ptCount val="5"/>
                <c:pt idx="0">
                  <c:v>#N/A</c:v>
                </c:pt>
                <c:pt idx="1">
                  <c:v>#N/A</c:v>
                </c:pt>
                <c:pt idx="2">
                  <c:v>#N/A</c:v>
                </c:pt>
                <c:pt idx="3">
                  <c:v>#N/A</c:v>
                </c:pt>
                <c:pt idx="4">
                  <c:v>#N/A</c:v>
                </c:pt>
              </c:numCache>
            </c:numRef>
          </c:yVal>
          <c:smooth val="0"/>
        </c:ser>
        <c:axId val="33609417"/>
        <c:axId val="34049298"/>
      </c:scatterChart>
      <c:valAx>
        <c:axId val="60895759"/>
        <c:scaling>
          <c:orientation val="minMax"/>
        </c:scaling>
        <c:axPos val="b"/>
        <c:title>
          <c:tx>
            <c:rich>
              <a:bodyPr vert="horz" rot="0" anchor="ctr"/>
              <a:lstStyle/>
              <a:p>
                <a:pPr algn="ctr">
                  <a:defRPr/>
                </a:pPr>
                <a:r>
                  <a:rPr lang="en-US"/>
                  <a:t>Asphalt Content (%)</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11190920"/>
        <c:crosses val="autoZero"/>
        <c:crossBetween val="midCat"/>
        <c:dispUnits/>
      </c:valAx>
      <c:valAx>
        <c:axId val="11190920"/>
        <c:scaling>
          <c:orientation val="minMax"/>
        </c:scaling>
        <c:axPos val="l"/>
        <c:title>
          <c:tx>
            <c:rich>
              <a:bodyPr vert="horz" rot="-5400000" anchor="ctr"/>
              <a:lstStyle/>
              <a:p>
                <a:pPr algn="ctr">
                  <a:defRPr/>
                </a:pPr>
                <a:r>
                  <a:rPr lang="en-US"/>
                  <a:t/>
                </a:r>
              </a:p>
            </c:rich>
          </c:tx>
          <c:layout>
            <c:manualLayout>
              <c:xMode val="factor"/>
              <c:yMode val="factor"/>
              <c:x val="0.012"/>
              <c:y val="-0.00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60895759"/>
        <c:crosses val="autoZero"/>
        <c:crossBetween val="midCat"/>
        <c:dispUnits/>
      </c:valAx>
      <c:valAx>
        <c:axId val="33609417"/>
        <c:scaling>
          <c:orientation val="minMax"/>
        </c:scaling>
        <c:axPos val="b"/>
        <c:delete val="1"/>
        <c:majorTickMark val="in"/>
        <c:minorTickMark val="none"/>
        <c:tickLblPos val="nextTo"/>
        <c:crossAx val="34049298"/>
        <c:crosses val="max"/>
        <c:crossBetween val="midCat"/>
        <c:dispUnits/>
      </c:valAx>
      <c:valAx>
        <c:axId val="34049298"/>
        <c:scaling>
          <c:orientation val="minMax"/>
        </c:scaling>
        <c:axPos val="l"/>
        <c:delete val="0"/>
        <c:numFmt formatCode="General" sourceLinked="1"/>
        <c:majorTickMark val="in"/>
        <c:minorTickMark val="none"/>
        <c:tickLblPos val="nextTo"/>
        <c:crossAx val="33609417"/>
        <c:crosses val="max"/>
        <c:crossBetween val="midCat"/>
        <c:dispUnits/>
      </c:valAx>
      <c:spPr>
        <a:noFill/>
        <a:ln w="12700">
          <a:solidFill>
            <a:srgbClr val="808080"/>
          </a:solidFill>
        </a:ln>
      </c:spPr>
    </c:plotArea>
    <c:legend>
      <c:legendPos val="r"/>
      <c:layout>
        <c:manualLayout>
          <c:xMode val="edge"/>
          <c:yMode val="edge"/>
          <c:x val="0"/>
          <c:y val="0.0595"/>
          <c:w val="0.9"/>
          <c:h val="0.10275"/>
        </c:manualLayout>
      </c:layout>
      <c:overlay val="0"/>
      <c:spPr>
        <a:ln w="3175">
          <a:noFill/>
        </a:ln>
      </c:sp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AC vs. VMA</a:t>
            </a:r>
          </a:p>
        </c:rich>
      </c:tx>
      <c:layout>
        <c:manualLayout>
          <c:xMode val="factor"/>
          <c:yMode val="factor"/>
          <c:x val="-0.00275"/>
          <c:y val="-0.013"/>
        </c:manualLayout>
      </c:layout>
      <c:spPr>
        <a:noFill/>
        <a:ln>
          <a:noFill/>
        </a:ln>
      </c:spPr>
    </c:title>
    <c:plotArea>
      <c:layout>
        <c:manualLayout>
          <c:xMode val="edge"/>
          <c:yMode val="edge"/>
          <c:x val="0.05175"/>
          <c:y val="0.0925"/>
          <c:w val="0.92375"/>
          <c:h val="0.8015"/>
        </c:manualLayout>
      </c:layout>
      <c:scatterChart>
        <c:scatterStyle val="lineMarker"/>
        <c:varyColors val="0"/>
        <c:ser>
          <c:idx val="0"/>
          <c:order val="0"/>
          <c:tx>
            <c:v>VMA</c:v>
          </c:tx>
          <c:extLst>
            <c:ext xmlns:c14="http://schemas.microsoft.com/office/drawing/2007/8/2/chart" uri="{6F2FDCE9-48DA-4B69-8628-5D25D57E5C99}">
              <c14:invertSolidFillFmt>
                <c14:spPr>
                  <a:solidFill>
                    <a:srgbClr val="000000"/>
                  </a:solidFill>
                </c14:spPr>
              </c14:invertSolidFillFmt>
            </c:ext>
          </c:extLst>
          <c:marker>
            <c:symbol val="diamond"/>
          </c:marker>
          <c:dLbls>
            <c:numFmt formatCode="General" sourceLinked="1"/>
            <c:showLegendKey val="0"/>
            <c:showVal val="1"/>
            <c:showBubbleSize val="0"/>
            <c:showCatName val="0"/>
            <c:showSerName val="0"/>
            <c:showPercent val="0"/>
          </c:dLbls>
          <c:xVal>
            <c:numRef>
              <c:f>Charts!$A$3:$A$7</c:f>
              <c:numCache>
                <c:ptCount val="5"/>
                <c:pt idx="0">
                  <c:v>6</c:v>
                </c:pt>
                <c:pt idx="1">
                  <c:v>6.5</c:v>
                </c:pt>
                <c:pt idx="2">
                  <c:v>7</c:v>
                </c:pt>
                <c:pt idx="3">
                  <c:v>#N/A</c:v>
                </c:pt>
                <c:pt idx="4">
                  <c:v>#N/A</c:v>
                </c:pt>
              </c:numCache>
            </c:numRef>
          </c:xVal>
          <c:yVal>
            <c:numRef>
              <c:f>Charts!$D$3:$D$7</c:f>
              <c:numCache>
                <c:ptCount val="5"/>
                <c:pt idx="0">
                  <c:v>16.59735043102709</c:v>
                </c:pt>
                <c:pt idx="1">
                  <c:v>16.301354864034465</c:v>
                </c:pt>
                <c:pt idx="2">
                  <c:v>16.945605849068436</c:v>
                </c:pt>
                <c:pt idx="3">
                  <c:v>0</c:v>
                </c:pt>
                <c:pt idx="4">
                  <c:v>0</c:v>
                </c:pt>
              </c:numCache>
            </c:numRef>
          </c:yVal>
          <c:smooth val="0"/>
        </c:ser>
        <c:axId val="38008227"/>
        <c:axId val="6529724"/>
      </c:scatterChart>
      <c:valAx>
        <c:axId val="38008227"/>
        <c:scaling>
          <c:orientation val="minMax"/>
        </c:scaling>
        <c:axPos val="b"/>
        <c:title>
          <c:tx>
            <c:rich>
              <a:bodyPr vert="horz" rot="0" anchor="ctr"/>
              <a:lstStyle/>
              <a:p>
                <a:pPr algn="ctr">
                  <a:defRPr/>
                </a:pPr>
                <a:r>
                  <a:rPr lang="en-US"/>
                  <a:t>Asphalt Content (%)</a:t>
                </a:r>
              </a:p>
            </c:rich>
          </c:tx>
          <c:layout/>
          <c:overlay val="0"/>
          <c:spPr>
            <a:noFill/>
            <a:ln>
              <a:noFill/>
            </a:ln>
          </c:spPr>
        </c:title>
        <c:delete val="0"/>
        <c:numFmt formatCode="General" sourceLinked="1"/>
        <c:majorTickMark val="out"/>
        <c:minorTickMark val="none"/>
        <c:tickLblPos val="nextTo"/>
        <c:crossAx val="6529724"/>
        <c:crosses val="autoZero"/>
        <c:crossBetween val="midCat"/>
        <c:dispUnits/>
      </c:valAx>
      <c:valAx>
        <c:axId val="6529724"/>
        <c:scaling>
          <c:orientation val="minMax"/>
        </c:scaling>
        <c:axPos val="l"/>
        <c:title>
          <c:tx>
            <c:rich>
              <a:bodyPr vert="horz" rot="-5400000" anchor="ctr"/>
              <a:lstStyle/>
              <a:p>
                <a:pPr algn="ctr">
                  <a:defRPr/>
                </a:pPr>
                <a:r>
                  <a:rPr lang="en-US"/>
                  <a:t>VMA</a:t>
                </a:r>
              </a:p>
            </c:rich>
          </c:tx>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38008227"/>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AC vs. Ga</a:t>
            </a:r>
          </a:p>
        </c:rich>
      </c:tx>
      <c:layout/>
      <c:spPr>
        <a:noFill/>
        <a:ln>
          <a:noFill/>
        </a:ln>
      </c:spPr>
    </c:title>
    <c:plotArea>
      <c:layout>
        <c:manualLayout>
          <c:xMode val="edge"/>
          <c:yMode val="edge"/>
          <c:x val="0.05925"/>
          <c:y val="0.096"/>
          <c:w val="0.9205"/>
          <c:h val="0.828"/>
        </c:manualLayout>
      </c:layout>
      <c:scatterChart>
        <c:scatterStyle val="lineMarker"/>
        <c:varyColors val="0"/>
        <c:ser>
          <c:idx val="0"/>
          <c:order val="0"/>
          <c:tx>
            <c:v>Ga</c:v>
          </c:tx>
          <c:extLst>
            <c:ext xmlns:c14="http://schemas.microsoft.com/office/drawing/2007/8/2/chart" uri="{6F2FDCE9-48DA-4B69-8628-5D25D57E5C99}">
              <c14:invertSolidFillFmt>
                <c14:spPr>
                  <a:solidFill>
                    <a:srgbClr val="000000"/>
                  </a:solidFill>
                </c14:spPr>
              </c14:invertSolidFillFmt>
            </c:ext>
          </c:extLst>
          <c:marker>
            <c:symbol val="diamond"/>
          </c:marker>
          <c:dLbls>
            <c:numFmt formatCode="General" sourceLinked="1"/>
            <c:showLegendKey val="0"/>
            <c:showVal val="1"/>
            <c:showBubbleSize val="0"/>
            <c:showCatName val="0"/>
            <c:showSerName val="0"/>
            <c:showPercent val="0"/>
          </c:dLbls>
          <c:xVal>
            <c:numRef>
              <c:f>Charts!$A$3:$A$7</c:f>
              <c:numCache>
                <c:ptCount val="5"/>
                <c:pt idx="0">
                  <c:v>6</c:v>
                </c:pt>
                <c:pt idx="1">
                  <c:v>6.5</c:v>
                </c:pt>
                <c:pt idx="2">
                  <c:v>7</c:v>
                </c:pt>
                <c:pt idx="3">
                  <c:v>#N/A</c:v>
                </c:pt>
                <c:pt idx="4">
                  <c:v>#N/A</c:v>
                </c:pt>
              </c:numCache>
            </c:numRef>
          </c:xVal>
          <c:yVal>
            <c:numRef>
              <c:f>Charts!$I$3:$I$7</c:f>
              <c:numCache>
                <c:ptCount val="5"/>
                <c:pt idx="0">
                  <c:v>2.2657</c:v>
                </c:pt>
                <c:pt idx="1">
                  <c:v>2.2859</c:v>
                </c:pt>
                <c:pt idx="2">
                  <c:v>2.2805</c:v>
                </c:pt>
                <c:pt idx="3">
                  <c:v>#N/A</c:v>
                </c:pt>
                <c:pt idx="4">
                  <c:v>#N/A</c:v>
                </c:pt>
              </c:numCache>
            </c:numRef>
          </c:yVal>
          <c:smooth val="0"/>
        </c:ser>
        <c:axId val="58767517"/>
        <c:axId val="59145606"/>
      </c:scatterChart>
      <c:valAx>
        <c:axId val="58767517"/>
        <c:scaling>
          <c:orientation val="minMax"/>
        </c:scaling>
        <c:axPos val="b"/>
        <c:title>
          <c:tx>
            <c:rich>
              <a:bodyPr vert="horz" rot="0" anchor="ctr"/>
              <a:lstStyle/>
              <a:p>
                <a:pPr algn="ctr">
                  <a:defRPr/>
                </a:pPr>
                <a:r>
                  <a:rPr lang="en-US"/>
                  <a:t>Asphalt Content (%)</a:t>
                </a:r>
              </a:p>
            </c:rich>
          </c:tx>
          <c:layout/>
          <c:overlay val="0"/>
          <c:spPr>
            <a:noFill/>
            <a:ln>
              <a:noFill/>
            </a:ln>
          </c:spPr>
        </c:title>
        <c:delete val="0"/>
        <c:numFmt formatCode="General" sourceLinked="1"/>
        <c:majorTickMark val="out"/>
        <c:minorTickMark val="none"/>
        <c:tickLblPos val="nextTo"/>
        <c:crossAx val="59145606"/>
        <c:crosses val="autoZero"/>
        <c:crossBetween val="midCat"/>
        <c:dispUnits/>
      </c:valAx>
      <c:valAx>
        <c:axId val="59145606"/>
        <c:scaling>
          <c:orientation val="minMax"/>
        </c:scaling>
        <c:axPos val="l"/>
        <c:title>
          <c:tx>
            <c:rich>
              <a:bodyPr vert="horz" rot="-5400000" anchor="ctr"/>
              <a:lstStyle/>
              <a:p>
                <a:pPr algn="ctr">
                  <a:defRPr/>
                </a:pPr>
                <a:r>
                  <a:rPr lang="en-US"/>
                  <a:t>Ga</a:t>
                </a:r>
              </a:p>
            </c:rich>
          </c:tx>
          <c:layout>
            <c:manualLayout>
              <c:xMode val="factor"/>
              <c:yMode val="factor"/>
              <c:x val="-0.005"/>
              <c:y val="0"/>
            </c:manualLayout>
          </c:layout>
          <c:overlay val="0"/>
          <c:spPr>
            <a:noFill/>
            <a:ln>
              <a:noFill/>
            </a:ln>
          </c:spPr>
        </c:title>
        <c:majorGridlines>
          <c:spPr>
            <a:ln w="3175">
              <a:solidFill>
                <a:srgbClr val="C0C0C0"/>
              </a:solidFill>
              <a:prstDash val="sysDot"/>
            </a:ln>
          </c:spPr>
        </c:majorGridlines>
        <c:delete val="0"/>
        <c:numFmt formatCode="0.000" sourceLinked="0"/>
        <c:majorTickMark val="out"/>
        <c:minorTickMark val="none"/>
        <c:tickLblPos val="nextTo"/>
        <c:crossAx val="58767517"/>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AC vs. ITS</a:t>
            </a:r>
          </a:p>
        </c:rich>
      </c:tx>
      <c:layout/>
      <c:spPr>
        <a:noFill/>
        <a:ln>
          <a:noFill/>
        </a:ln>
      </c:spPr>
    </c:title>
    <c:plotArea>
      <c:layout>
        <c:manualLayout>
          <c:xMode val="edge"/>
          <c:yMode val="edge"/>
          <c:x val="0.07125"/>
          <c:y val="0.0795"/>
          <c:w val="0.89775"/>
          <c:h val="0.818"/>
        </c:manualLayout>
      </c:layout>
      <c:scatterChart>
        <c:scatterStyle val="lineMarker"/>
        <c:varyColors val="0"/>
        <c:ser>
          <c:idx val="0"/>
          <c:order val="0"/>
          <c:tx>
            <c:v>Hveem</c:v>
          </c:tx>
          <c:extLst>
            <c:ext xmlns:c14="http://schemas.microsoft.com/office/drawing/2007/8/2/chart" uri="{6F2FDCE9-48DA-4B69-8628-5D25D57E5C99}">
              <c14:invertSolidFillFmt>
                <c14:spPr>
                  <a:solidFill>
                    <a:srgbClr val="000000"/>
                  </a:solidFill>
                </c14:spPr>
              </c14:invertSolidFillFmt>
            </c:ext>
          </c:extLst>
          <c:marker>
            <c:symbol val="diamond"/>
          </c:marker>
          <c:dLbls>
            <c:numFmt formatCode="General" sourceLinked="1"/>
            <c:showLegendKey val="0"/>
            <c:showVal val="1"/>
            <c:showBubbleSize val="0"/>
            <c:showCatName val="0"/>
            <c:showSerName val="0"/>
            <c:showPercent val="0"/>
          </c:dLbls>
          <c:xVal>
            <c:numRef>
              <c:f>Charts!$A$3:$A$7</c:f>
              <c:numCache>
                <c:ptCount val="5"/>
                <c:pt idx="0">
                  <c:v>6</c:v>
                </c:pt>
                <c:pt idx="1">
                  <c:v>6.5</c:v>
                </c:pt>
                <c:pt idx="2">
                  <c:v>7</c:v>
                </c:pt>
                <c:pt idx="3">
                  <c:v>#N/A</c:v>
                </c:pt>
                <c:pt idx="4">
                  <c:v>#N/A</c:v>
                </c:pt>
              </c:numCache>
            </c:numRef>
          </c:xVal>
          <c:yVal>
            <c:numRef>
              <c:f>Charts!$H$3:$H$7</c:f>
              <c:numCache>
                <c:ptCount val="5"/>
                <c:pt idx="0">
                  <c:v>#N/A</c:v>
                </c:pt>
                <c:pt idx="1">
                  <c:v>#N/A</c:v>
                </c:pt>
                <c:pt idx="2">
                  <c:v>#N/A</c:v>
                </c:pt>
                <c:pt idx="3">
                  <c:v>#N/A</c:v>
                </c:pt>
                <c:pt idx="4">
                  <c:v>#N/A</c:v>
                </c:pt>
              </c:numCache>
            </c:numRef>
          </c:yVal>
          <c:smooth val="0"/>
        </c:ser>
        <c:axId val="62548407"/>
        <c:axId val="26064752"/>
      </c:scatterChart>
      <c:valAx>
        <c:axId val="62548407"/>
        <c:scaling>
          <c:orientation val="minMax"/>
        </c:scaling>
        <c:axPos val="b"/>
        <c:title>
          <c:tx>
            <c:rich>
              <a:bodyPr vert="horz" rot="0" anchor="ctr"/>
              <a:lstStyle/>
              <a:p>
                <a:pPr algn="ctr">
                  <a:defRPr/>
                </a:pPr>
                <a:r>
                  <a:rPr lang="en-US"/>
                  <a:t>Asphalt Content (%)</a:t>
                </a:r>
              </a:p>
            </c:rich>
          </c:tx>
          <c:layout>
            <c:manualLayout>
              <c:xMode val="factor"/>
              <c:yMode val="factor"/>
              <c:x val="0.004"/>
              <c:y val="-0.00175"/>
            </c:manualLayout>
          </c:layout>
          <c:overlay val="0"/>
          <c:spPr>
            <a:noFill/>
            <a:ln>
              <a:noFill/>
            </a:ln>
          </c:spPr>
        </c:title>
        <c:delete val="0"/>
        <c:numFmt formatCode="General" sourceLinked="1"/>
        <c:majorTickMark val="out"/>
        <c:minorTickMark val="none"/>
        <c:tickLblPos val="nextTo"/>
        <c:crossAx val="26064752"/>
        <c:crosses val="autoZero"/>
        <c:crossBetween val="midCat"/>
        <c:dispUnits/>
      </c:valAx>
      <c:valAx>
        <c:axId val="26064752"/>
        <c:scaling>
          <c:orientation val="minMax"/>
        </c:scaling>
        <c:axPos val="l"/>
        <c:title>
          <c:tx>
            <c:rich>
              <a:bodyPr vert="horz" rot="-5400000" anchor="ctr"/>
              <a:lstStyle/>
              <a:p>
                <a:pPr algn="ctr">
                  <a:defRPr/>
                </a:pPr>
                <a:r>
                  <a:rPr lang="en-US" cap="none" sz="800" b="0" i="0" u="none" baseline="0">
                    <a:latin typeface="Arial"/>
                    <a:ea typeface="Arial"/>
                    <a:cs typeface="Arial"/>
                  </a:rPr>
                  <a:t>ITS (psi)</a:t>
                </a:r>
              </a:p>
            </c:rich>
          </c:tx>
          <c:layout>
            <c:manualLayout>
              <c:xMode val="factor"/>
              <c:yMode val="factor"/>
              <c:x val="-0.00575"/>
              <c:y val="0.004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62548407"/>
        <c:crosses val="autoZero"/>
        <c:crossBetween val="midCat"/>
        <c:dispUnits/>
      </c:valAx>
      <c:spPr>
        <a:noFill/>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AC vs. Rice Gravity</a:t>
            </a:r>
          </a:p>
        </c:rich>
      </c:tx>
      <c:layout/>
      <c:spPr>
        <a:noFill/>
        <a:ln>
          <a:noFill/>
        </a:ln>
      </c:spPr>
    </c:title>
    <c:plotArea>
      <c:layout>
        <c:manualLayout>
          <c:xMode val="edge"/>
          <c:yMode val="edge"/>
          <c:x val="0.07175"/>
          <c:y val="0.08875"/>
          <c:w val="0.90625"/>
          <c:h val="0.8185"/>
        </c:manualLayout>
      </c:layout>
      <c:scatterChart>
        <c:scatterStyle val="lineMarker"/>
        <c:varyColors val="0"/>
        <c:ser>
          <c:idx val="0"/>
          <c:order val="0"/>
          <c:tx>
            <c:v>Hveem</c:v>
          </c:tx>
          <c:extLst>
            <c:ext xmlns:c14="http://schemas.microsoft.com/office/drawing/2007/8/2/chart" uri="{6F2FDCE9-48DA-4B69-8628-5D25D57E5C99}">
              <c14:invertSolidFillFmt>
                <c14:spPr>
                  <a:solidFill>
                    <a:srgbClr val="000000"/>
                  </a:solidFill>
                </c14:spPr>
              </c14:invertSolidFillFmt>
            </c:ext>
          </c:extLst>
          <c:marker>
            <c:symbol val="diamond"/>
          </c:marker>
          <c:dLbls>
            <c:numFmt formatCode="General" sourceLinked="1"/>
            <c:showLegendKey val="0"/>
            <c:showVal val="1"/>
            <c:showBubbleSize val="0"/>
            <c:showCatName val="0"/>
            <c:showSerName val="0"/>
            <c:showPercent val="0"/>
          </c:dLbls>
          <c:xVal>
            <c:numRef>
              <c:f>Charts!$A$4:$A$6</c:f>
              <c:numCache>
                <c:ptCount val="3"/>
                <c:pt idx="0">
                  <c:v>6.5</c:v>
                </c:pt>
                <c:pt idx="1">
                  <c:v>7</c:v>
                </c:pt>
                <c:pt idx="2">
                  <c:v>#N/A</c:v>
                </c:pt>
              </c:numCache>
            </c:numRef>
          </c:xVal>
          <c:yVal>
            <c:numRef>
              <c:f>Charts!$J$4:$J$6</c:f>
              <c:numCache>
                <c:ptCount val="3"/>
                <c:pt idx="0">
                  <c:v>2.3265</c:v>
                </c:pt>
                <c:pt idx="1">
                  <c:v>2.3078</c:v>
                </c:pt>
                <c:pt idx="2">
                  <c:v>#N/A</c:v>
                </c:pt>
              </c:numCache>
            </c:numRef>
          </c:yVal>
          <c:smooth val="0"/>
        </c:ser>
        <c:axId val="33256177"/>
        <c:axId val="30870138"/>
      </c:scatterChart>
      <c:valAx>
        <c:axId val="33256177"/>
        <c:scaling>
          <c:orientation val="minMax"/>
        </c:scaling>
        <c:axPos val="b"/>
        <c:title>
          <c:tx>
            <c:rich>
              <a:bodyPr vert="horz" rot="0" anchor="ctr"/>
              <a:lstStyle/>
              <a:p>
                <a:pPr algn="ctr">
                  <a:defRPr/>
                </a:pPr>
                <a:r>
                  <a:rPr lang="en-US"/>
                  <a:t>Asphalt Content (%)</a:t>
                </a:r>
              </a:p>
            </c:rich>
          </c:tx>
          <c:layout>
            <c:manualLayout>
              <c:xMode val="factor"/>
              <c:yMode val="factor"/>
              <c:x val="0.00525"/>
              <c:y val="-0.00075"/>
            </c:manualLayout>
          </c:layout>
          <c:overlay val="0"/>
          <c:spPr>
            <a:noFill/>
            <a:ln>
              <a:noFill/>
            </a:ln>
          </c:spPr>
        </c:title>
        <c:delete val="0"/>
        <c:numFmt formatCode="General" sourceLinked="1"/>
        <c:majorTickMark val="out"/>
        <c:minorTickMark val="none"/>
        <c:tickLblPos val="nextTo"/>
        <c:crossAx val="30870138"/>
        <c:crosses val="autoZero"/>
        <c:crossBetween val="midCat"/>
        <c:dispUnits/>
      </c:valAx>
      <c:valAx>
        <c:axId val="30870138"/>
        <c:scaling>
          <c:orientation val="minMax"/>
        </c:scaling>
        <c:axPos val="l"/>
        <c:title>
          <c:tx>
            <c:rich>
              <a:bodyPr vert="horz" rot="-5400000" anchor="ctr"/>
              <a:lstStyle/>
              <a:p>
                <a:pPr algn="ctr">
                  <a:defRPr/>
                </a:pPr>
                <a:r>
                  <a:rPr lang="en-US"/>
                  <a:t>Rice Gravity</a:t>
                </a:r>
              </a:p>
            </c:rich>
          </c:tx>
          <c:layout>
            <c:manualLayout>
              <c:xMode val="factor"/>
              <c:yMode val="factor"/>
              <c:x val="-0.00625"/>
              <c:y val="0.0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33256177"/>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1"/>
  <sheetViews>
    <sheetView workbookViewId="0" zoomToFit="1"/>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 Id="rId6"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28575</xdr:rowOff>
    </xdr:from>
    <xdr:to>
      <xdr:col>3</xdr:col>
      <xdr:colOff>295275</xdr:colOff>
      <xdr:row>5</xdr:row>
      <xdr:rowOff>180975</xdr:rowOff>
    </xdr:to>
    <xdr:sp macro="[0]!ThisWorkbook.Cleaner">
      <xdr:nvSpPr>
        <xdr:cNvPr id="1" name="TextBox 131"/>
        <xdr:cNvSpPr txBox="1">
          <a:spLocks noChangeArrowheads="1"/>
        </xdr:cNvSpPr>
      </xdr:nvSpPr>
      <xdr:spPr>
        <a:xfrm>
          <a:off x="76200" y="809625"/>
          <a:ext cx="1047750" cy="152400"/>
        </a:xfrm>
        <a:prstGeom prst="rect">
          <a:avLst/>
        </a:prstGeom>
        <a:noFill/>
        <a:ln w="9525" cmpd="sng">
          <a:noFill/>
        </a:ln>
      </xdr:spPr>
      <xdr:txBody>
        <a:bodyPr vertOverflow="clip" wrap="square"/>
        <a:p>
          <a:pPr algn="l">
            <a:defRPr/>
          </a:pPr>
          <a:r>
            <a:rPr lang="en-US" cap="none" sz="800" b="0" i="0" u="sng" baseline="0">
              <a:solidFill>
                <a:srgbClr val="0000FF"/>
              </a:solidFill>
              <a:latin typeface="Arial"/>
              <a:ea typeface="Arial"/>
              <a:cs typeface="Arial"/>
            </a:rPr>
            <a:t>Refresh Workbook</a:t>
          </a:r>
        </a:p>
      </xdr:txBody>
    </xdr:sp>
    <xdr:clientData/>
  </xdr:twoCellAnchor>
  <xdr:twoCellAnchor editAs="oneCell">
    <xdr:from>
      <xdr:col>1</xdr:col>
      <xdr:colOff>0</xdr:colOff>
      <xdr:row>1</xdr:row>
      <xdr:rowOff>28575</xdr:rowOff>
    </xdr:from>
    <xdr:to>
      <xdr:col>2</xdr:col>
      <xdr:colOff>0</xdr:colOff>
      <xdr:row>2</xdr:row>
      <xdr:rowOff>123825</xdr:rowOff>
    </xdr:to>
    <xdr:pic>
      <xdr:nvPicPr>
        <xdr:cNvPr id="2" name="txdot"/>
        <xdr:cNvPicPr preferRelativeResize="1">
          <a:picLocks noChangeAspect="1"/>
        </xdr:cNvPicPr>
      </xdr:nvPicPr>
      <xdr:blipFill>
        <a:blip r:embed="rId1"/>
        <a:stretch>
          <a:fillRect/>
        </a:stretch>
      </xdr:blipFill>
      <xdr:spPr>
        <a:xfrm>
          <a:off x="66675" y="180975"/>
          <a:ext cx="381000"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5811500" cy="7915275"/>
    <xdr:graphicFrame>
      <xdr:nvGraphicFramePr>
        <xdr:cNvPr id="1" name="Shape 1025"/>
        <xdr:cNvGraphicFramePr/>
      </xdr:nvGraphicFramePr>
      <xdr:xfrm>
        <a:off x="0" y="0"/>
        <a:ext cx="15811500" cy="7915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1</xdr:row>
      <xdr:rowOff>38100</xdr:rowOff>
    </xdr:from>
    <xdr:to>
      <xdr:col>13</xdr:col>
      <xdr:colOff>657225</xdr:colOff>
      <xdr:row>18</xdr:row>
      <xdr:rowOff>104775</xdr:rowOff>
    </xdr:to>
    <xdr:graphicFrame>
      <xdr:nvGraphicFramePr>
        <xdr:cNvPr id="1" name="Chart 2"/>
        <xdr:cNvGraphicFramePr/>
      </xdr:nvGraphicFramePr>
      <xdr:xfrm>
        <a:off x="4800600" y="123825"/>
        <a:ext cx="4743450" cy="2981325"/>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1</xdr:row>
      <xdr:rowOff>57150</xdr:rowOff>
    </xdr:from>
    <xdr:to>
      <xdr:col>6</xdr:col>
      <xdr:colOff>657225</xdr:colOff>
      <xdr:row>18</xdr:row>
      <xdr:rowOff>104775</xdr:rowOff>
    </xdr:to>
    <xdr:graphicFrame>
      <xdr:nvGraphicFramePr>
        <xdr:cNvPr id="2" name="Chart 3"/>
        <xdr:cNvGraphicFramePr/>
      </xdr:nvGraphicFramePr>
      <xdr:xfrm>
        <a:off x="85725" y="142875"/>
        <a:ext cx="4657725" cy="2962275"/>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18</xdr:row>
      <xdr:rowOff>142875</xdr:rowOff>
    </xdr:from>
    <xdr:to>
      <xdr:col>6</xdr:col>
      <xdr:colOff>647700</xdr:colOff>
      <xdr:row>37</xdr:row>
      <xdr:rowOff>28575</xdr:rowOff>
    </xdr:to>
    <xdr:graphicFrame>
      <xdr:nvGraphicFramePr>
        <xdr:cNvPr id="3" name="Chart 4"/>
        <xdr:cNvGraphicFramePr/>
      </xdr:nvGraphicFramePr>
      <xdr:xfrm>
        <a:off x="76200" y="3143250"/>
        <a:ext cx="4657725" cy="2962275"/>
      </xdr:xfrm>
      <a:graphic>
        <a:graphicData uri="http://schemas.openxmlformats.org/drawingml/2006/chart">
          <c:chart xmlns:c="http://schemas.openxmlformats.org/drawingml/2006/chart" r:id="rId3"/>
        </a:graphicData>
      </a:graphic>
    </xdr:graphicFrame>
    <xdr:clientData/>
  </xdr:twoCellAnchor>
  <xdr:twoCellAnchor>
    <xdr:from>
      <xdr:col>7</xdr:col>
      <xdr:colOff>19050</xdr:colOff>
      <xdr:row>18</xdr:row>
      <xdr:rowOff>142875</xdr:rowOff>
    </xdr:from>
    <xdr:to>
      <xdr:col>13</xdr:col>
      <xdr:colOff>647700</xdr:colOff>
      <xdr:row>37</xdr:row>
      <xdr:rowOff>38100</xdr:rowOff>
    </xdr:to>
    <xdr:graphicFrame>
      <xdr:nvGraphicFramePr>
        <xdr:cNvPr id="4" name="Chart 5"/>
        <xdr:cNvGraphicFramePr/>
      </xdr:nvGraphicFramePr>
      <xdr:xfrm>
        <a:off x="4791075" y="3143250"/>
        <a:ext cx="4743450" cy="2971800"/>
      </xdr:xfrm>
      <a:graphic>
        <a:graphicData uri="http://schemas.openxmlformats.org/drawingml/2006/chart">
          <c:chart xmlns:c="http://schemas.openxmlformats.org/drawingml/2006/chart" r:id="rId4"/>
        </a:graphicData>
      </a:graphic>
    </xdr:graphicFrame>
    <xdr:clientData/>
  </xdr:twoCellAnchor>
  <xdr:twoCellAnchor>
    <xdr:from>
      <xdr:col>0</xdr:col>
      <xdr:colOff>76200</xdr:colOff>
      <xdr:row>37</xdr:row>
      <xdr:rowOff>76200</xdr:rowOff>
    </xdr:from>
    <xdr:to>
      <xdr:col>6</xdr:col>
      <xdr:colOff>638175</xdr:colOff>
      <xdr:row>55</xdr:row>
      <xdr:rowOff>133350</xdr:rowOff>
    </xdr:to>
    <xdr:graphicFrame>
      <xdr:nvGraphicFramePr>
        <xdr:cNvPr id="5" name="Chart 6"/>
        <xdr:cNvGraphicFramePr/>
      </xdr:nvGraphicFramePr>
      <xdr:xfrm>
        <a:off x="76200" y="6153150"/>
        <a:ext cx="4648200" cy="2971800"/>
      </xdr:xfrm>
      <a:graphic>
        <a:graphicData uri="http://schemas.openxmlformats.org/drawingml/2006/chart">
          <c:chart xmlns:c="http://schemas.openxmlformats.org/drawingml/2006/chart" r:id="rId5"/>
        </a:graphicData>
      </a:graphic>
    </xdr:graphicFrame>
    <xdr:clientData/>
  </xdr:twoCellAnchor>
  <xdr:twoCellAnchor>
    <xdr:from>
      <xdr:col>7</xdr:col>
      <xdr:colOff>0</xdr:colOff>
      <xdr:row>37</xdr:row>
      <xdr:rowOff>76200</xdr:rowOff>
    </xdr:from>
    <xdr:to>
      <xdr:col>13</xdr:col>
      <xdr:colOff>647700</xdr:colOff>
      <xdr:row>55</xdr:row>
      <xdr:rowOff>142875</xdr:rowOff>
    </xdr:to>
    <xdr:graphicFrame>
      <xdr:nvGraphicFramePr>
        <xdr:cNvPr id="6" name="Chart 7"/>
        <xdr:cNvGraphicFramePr/>
      </xdr:nvGraphicFramePr>
      <xdr:xfrm>
        <a:off x="4772025" y="6153150"/>
        <a:ext cx="4762500" cy="2981325"/>
      </xdr:xfrm>
      <a:graphic>
        <a:graphicData uri="http://schemas.openxmlformats.org/drawingml/2006/chart">
          <c:chart xmlns:c="http://schemas.openxmlformats.org/drawingml/2006/chart" r:id="rId6"/>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581025</xdr:colOff>
      <xdr:row>0</xdr:row>
      <xdr:rowOff>95250</xdr:rowOff>
    </xdr:from>
    <xdr:to>
      <xdr:col>12</xdr:col>
      <xdr:colOff>295275</xdr:colOff>
      <xdr:row>2</xdr:row>
      <xdr:rowOff>209550</xdr:rowOff>
    </xdr:to>
    <xdr:sp>
      <xdr:nvSpPr>
        <xdr:cNvPr id="1" name="AutoShape 1"/>
        <xdr:cNvSpPr>
          <a:spLocks/>
        </xdr:cNvSpPr>
      </xdr:nvSpPr>
      <xdr:spPr>
        <a:xfrm>
          <a:off x="6943725" y="95250"/>
          <a:ext cx="933450" cy="466725"/>
        </a:xfrm>
        <a:prstGeom prst="wedgeRectCallout">
          <a:avLst>
            <a:gd name="adj1" fmla="val -117347"/>
            <a:gd name="adj2" fmla="val 154083"/>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Goes with power 45 chart.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X:\SMGR\SM3x\msexceltemplates\DOCUME~1\rizzo\LOCALS~1\Temp\QCQABeta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sign"/>
      <sheetName val="Core &amp; Sampling"/>
      <sheetName val="TxDOT_1"/>
      <sheetName val="TxDOT_2"/>
      <sheetName val="TxDOT_3"/>
      <sheetName val="TxDOT_4"/>
      <sheetName val="CON_1"/>
      <sheetName val="CON_2"/>
      <sheetName val="CON_3"/>
      <sheetName val="CON_4"/>
      <sheetName val="Summary"/>
      <sheetName val="Pay"/>
      <sheetName val="Help"/>
      <sheetName val="Export"/>
      <sheetName val="Std Spec GRADA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ot.state.tx.us/services/construction/test_procedures/" TargetMode="External" /><Relationship Id="rId2" Type="http://schemas.openxmlformats.org/officeDocument/2006/relationships/hyperlink" Target="ftp://ftp.dot.state.tx.us/pub/txdot-info/cst/TMS/200-F_series/pdfs/bit207.pdf" TargetMode="External" /><Relationship Id="rId3" Type="http://schemas.openxmlformats.org/officeDocument/2006/relationships/hyperlink" Target="ftp://ftp.dot.state.tx.us/pub/txdot-info/cst/TMS/200-F_series/pdfs/bit226.pdf" TargetMode="External" /><Relationship Id="rId4" Type="http://schemas.openxmlformats.org/officeDocument/2006/relationships/hyperlink" Target="ftp://ftp.dot.state.tx.us/pub/txdot-info/cst/TMS/200-F_series/pdfs/bit227.pdf" TargetMode="External" /><Relationship Id="rId5" Type="http://schemas.openxmlformats.org/officeDocument/2006/relationships/hyperlink" Target="ftp://ftp.dot.state.tx.us/pub/txdot-info/cst/TMS/200-F_series/pdfs/bit235.pdf" TargetMode="External" /><Relationship Id="rId6" Type="http://schemas.openxmlformats.org/officeDocument/2006/relationships/hyperlink" Target="ftp://ftp.dot.state.tx.us/pub/txdot-info/cst/TMS/200-F_series/pdfs/bit242.pdf" TargetMode="External" /><Relationship Id="rId7" Type="http://schemas.openxmlformats.org/officeDocument/2006/relationships/hyperlink" Target="ftp://ftp.dot.state.tx.us/pub/txdot-info/cst/TMS/500-C_series/pdfs/aph530.pdf" TargetMode="External" /><Relationship Id="rId8" Type="http://schemas.openxmlformats.org/officeDocument/2006/relationships/comments" Target="../comments1.xml" /><Relationship Id="rId9" Type="http://schemas.openxmlformats.org/officeDocument/2006/relationships/vmlDrawing" Target="../drawings/vmlDrawing1.vml" /><Relationship Id="rId10" Type="http://schemas.openxmlformats.org/officeDocument/2006/relationships/drawing" Target="../drawings/drawing1.xml" /><Relationship Id="rId1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BG71"/>
  <sheetViews>
    <sheetView showGridLines="0" tabSelected="1" zoomScaleSheetLayoutView="25" workbookViewId="0" topLeftCell="A1">
      <pane ySplit="1" topLeftCell="BM2" activePane="bottomLeft" state="frozen"/>
      <selection pane="topLeft" activeCell="E7" sqref="E7:J7"/>
      <selection pane="bottomLeft" activeCell="AE15" sqref="AE15"/>
    </sheetView>
  </sheetViews>
  <sheetFormatPr defaultColWidth="9.140625" defaultRowHeight="15" customHeight="1"/>
  <cols>
    <col min="1" max="1" width="0.9921875" style="20" customWidth="1"/>
    <col min="2" max="4" width="5.7109375" style="10" customWidth="1"/>
    <col min="5" max="5" width="6.28125" style="10" customWidth="1"/>
    <col min="6" max="6" width="5.7109375" style="10" customWidth="1"/>
    <col min="7" max="7" width="6.28125" style="10" customWidth="1"/>
    <col min="8" max="8" width="5.7109375" style="10" customWidth="1"/>
    <col min="9" max="9" width="6.28125" style="10" customWidth="1"/>
    <col min="10" max="10" width="5.7109375" style="10" customWidth="1"/>
    <col min="11" max="11" width="6.28125" style="10" customWidth="1"/>
    <col min="12" max="12" width="5.7109375" style="10" customWidth="1"/>
    <col min="13" max="13" width="6.28125" style="10" customWidth="1"/>
    <col min="14" max="14" width="5.7109375" style="10" customWidth="1"/>
    <col min="15" max="15" width="6.28125" style="10" customWidth="1"/>
    <col min="16" max="16" width="5.7109375" style="10" customWidth="1"/>
    <col min="17" max="17" width="6.28125" style="10" customWidth="1"/>
    <col min="18" max="18" width="5.7109375" style="10" customWidth="1"/>
    <col min="19" max="19" width="7.140625" style="10" customWidth="1"/>
    <col min="20" max="22" width="5.7109375" style="10" customWidth="1"/>
    <col min="23" max="23" width="6.00390625" style="10" customWidth="1"/>
    <col min="24" max="27" width="5.7109375" style="10" customWidth="1"/>
    <col min="28" max="28" width="9.421875" style="10" customWidth="1"/>
    <col min="29" max="54" width="6.28125" style="10" customWidth="1"/>
    <col min="55" max="62" width="11.7109375" style="10" customWidth="1"/>
    <col min="63" max="16384" width="6.7109375" style="10" customWidth="1"/>
  </cols>
  <sheetData>
    <row r="1" spans="1:27" s="40" customFormat="1" ht="12" customHeight="1">
      <c r="A1" s="404" t="s">
        <v>38</v>
      </c>
      <c r="B1" s="405"/>
      <c r="C1" s="405"/>
      <c r="E1" s="337" t="s">
        <v>8</v>
      </c>
      <c r="G1" s="337" t="s">
        <v>349</v>
      </c>
      <c r="I1" s="337" t="s">
        <v>7</v>
      </c>
      <c r="K1" s="337" t="s">
        <v>350</v>
      </c>
      <c r="L1" s="41"/>
      <c r="M1" s="337" t="s">
        <v>351</v>
      </c>
      <c r="O1" s="337" t="s">
        <v>352</v>
      </c>
      <c r="P1" s="41"/>
      <c r="Q1" s="41"/>
      <c r="S1" s="41"/>
      <c r="T1" s="41"/>
      <c r="U1" s="40" t="s">
        <v>248</v>
      </c>
      <c r="X1" s="41"/>
      <c r="AA1" s="41"/>
    </row>
    <row r="2" spans="1:41" s="5" customFormat="1" ht="15" customHeight="1">
      <c r="A2" s="18"/>
      <c r="B2" s="170" t="s">
        <v>0</v>
      </c>
      <c r="C2" s="2"/>
      <c r="D2" s="2"/>
      <c r="E2" s="2"/>
      <c r="F2" s="2"/>
      <c r="G2" s="3"/>
      <c r="H2" s="3"/>
      <c r="I2" s="3"/>
      <c r="J2" s="3"/>
      <c r="K2" s="3"/>
      <c r="L2" s="3"/>
      <c r="M2" s="3"/>
      <c r="N2" s="3"/>
      <c r="O2" s="193"/>
      <c r="P2" s="4"/>
      <c r="Q2" s="4"/>
      <c r="R2" s="18"/>
      <c r="S2" s="89">
        <v>682</v>
      </c>
      <c r="U2" s="88"/>
      <c r="V2" s="88"/>
      <c r="W2" s="18"/>
      <c r="X2" s="18"/>
      <c r="Y2" s="18"/>
      <c r="Z2" s="18"/>
      <c r="AA2" s="18"/>
      <c r="AB2" s="18"/>
      <c r="AC2" s="18"/>
      <c r="AD2" s="18"/>
      <c r="AE2" s="18"/>
      <c r="AF2" s="18"/>
      <c r="AG2" s="39"/>
      <c r="AH2" s="39"/>
      <c r="AI2" s="88"/>
      <c r="AJ2" s="88"/>
      <c r="AK2" s="88"/>
      <c r="AL2" s="88"/>
      <c r="AM2" s="88"/>
      <c r="AO2" s="6"/>
    </row>
    <row r="3" spans="1:41" s="5" customFormat="1" ht="15" customHeight="1">
      <c r="A3" s="18"/>
      <c r="B3" s="2"/>
      <c r="C3" s="2"/>
      <c r="D3" s="2"/>
      <c r="E3" s="2"/>
      <c r="F3" s="2"/>
      <c r="G3" s="3"/>
      <c r="H3" s="3"/>
      <c r="I3" s="3"/>
      <c r="J3" s="3"/>
      <c r="K3" s="3"/>
      <c r="L3" s="3"/>
      <c r="M3" s="3"/>
      <c r="N3" s="19"/>
      <c r="P3" s="19"/>
      <c r="Q3" s="19"/>
      <c r="R3" s="19"/>
      <c r="S3" s="89">
        <v>8</v>
      </c>
      <c r="U3" s="88"/>
      <c r="V3" s="88"/>
      <c r="W3" s="18"/>
      <c r="X3" s="4"/>
      <c r="Y3" s="4"/>
      <c r="Z3" s="4"/>
      <c r="AA3" s="4"/>
      <c r="AB3" s="4"/>
      <c r="AC3" s="4"/>
      <c r="AD3" s="4"/>
      <c r="AE3" s="4"/>
      <c r="AF3" s="4"/>
      <c r="AG3" s="4"/>
      <c r="AH3" s="4"/>
      <c r="AI3" s="90"/>
      <c r="AJ3" s="90"/>
      <c r="AK3" s="6"/>
      <c r="AL3" s="6"/>
      <c r="AM3" s="6"/>
      <c r="AN3" s="6"/>
      <c r="AO3" s="91"/>
    </row>
    <row r="4" spans="1:42" s="5" customFormat="1" ht="5.25" customHeight="1">
      <c r="A4" s="19"/>
      <c r="B4" s="8"/>
      <c r="C4" s="8"/>
      <c r="D4" s="8"/>
      <c r="E4" s="8"/>
      <c r="F4" s="8"/>
      <c r="G4" s="3"/>
      <c r="H4" s="3"/>
      <c r="I4" s="3"/>
      <c r="J4" s="3"/>
      <c r="K4" s="3"/>
      <c r="L4" s="3"/>
      <c r="M4" s="3"/>
      <c r="N4" s="19"/>
      <c r="O4" s="192"/>
      <c r="P4" s="19"/>
      <c r="Q4" s="19"/>
      <c r="R4" s="19"/>
      <c r="S4" s="135"/>
      <c r="U4" s="19"/>
      <c r="V4" s="19"/>
      <c r="W4" s="19"/>
      <c r="X4" s="3"/>
      <c r="Y4" s="3"/>
      <c r="Z4" s="3"/>
      <c r="AA4" s="3"/>
      <c r="AB4" s="3"/>
      <c r="AC4" s="3"/>
      <c r="AD4" s="3"/>
      <c r="AE4" s="3"/>
      <c r="AF4" s="3"/>
      <c r="AG4" s="3"/>
      <c r="AH4" s="3"/>
      <c r="AI4" s="92"/>
      <c r="AJ4" s="92"/>
      <c r="AK4" s="6"/>
      <c r="AL4" s="6"/>
      <c r="AM4" s="6"/>
      <c r="AN4" s="6"/>
      <c r="AO4" s="91"/>
      <c r="AP4" s="7"/>
    </row>
    <row r="5" spans="1:41" s="5" customFormat="1" ht="14.25" customHeight="1">
      <c r="A5" s="18"/>
      <c r="B5" s="9" t="s">
        <v>153</v>
      </c>
      <c r="C5" s="9"/>
      <c r="D5" s="9"/>
      <c r="E5" s="9"/>
      <c r="F5" s="9"/>
      <c r="G5" s="3"/>
      <c r="H5" s="3"/>
      <c r="I5" s="3"/>
      <c r="J5" s="3"/>
      <c r="K5" s="4"/>
      <c r="L5" s="4"/>
      <c r="M5" s="165"/>
      <c r="N5" s="165"/>
      <c r="O5" s="165"/>
      <c r="P5" s="165"/>
      <c r="Q5" s="165"/>
      <c r="R5" s="18"/>
      <c r="S5" s="136" t="s">
        <v>423</v>
      </c>
      <c r="U5" s="93"/>
      <c r="V5" s="93"/>
      <c r="W5" s="18"/>
      <c r="X5" s="18"/>
      <c r="Y5" s="18"/>
      <c r="Z5" s="18"/>
      <c r="AA5" s="18"/>
      <c r="AB5" s="18"/>
      <c r="AC5" s="39"/>
      <c r="AD5" s="39"/>
      <c r="AE5" s="88"/>
      <c r="AF5" s="88"/>
      <c r="AG5" s="89"/>
      <c r="AH5" s="89"/>
      <c r="AI5" s="88"/>
      <c r="AJ5" s="88"/>
      <c r="AL5" s="6"/>
      <c r="AM5" s="6"/>
      <c r="AN5" s="6"/>
      <c r="AO5" s="6"/>
    </row>
    <row r="6" spans="1:43" s="5" customFormat="1" ht="15" customHeight="1">
      <c r="A6" s="18"/>
      <c r="G6" s="1"/>
      <c r="H6" s="1"/>
      <c r="I6" s="1"/>
      <c r="J6" s="1"/>
      <c r="K6" s="1"/>
      <c r="L6" s="1"/>
      <c r="N6" s="18"/>
      <c r="O6" s="39"/>
      <c r="P6" s="39"/>
      <c r="Q6" s="339" t="str">
        <f>"File Version: "&amp;TEXT(MID(sn,SEARCH("::",sn,1)+2,20),"mm/dd/yy hh:mm:ss")</f>
        <v>File Version: 05/10/07 09:30:41</v>
      </c>
      <c r="R6" s="39"/>
      <c r="S6" s="328">
        <v>119</v>
      </c>
      <c r="T6" s="137"/>
      <c r="U6" s="137"/>
      <c r="V6" s="137"/>
      <c r="W6" s="137"/>
      <c r="X6"/>
      <c r="Y6"/>
      <c r="Z6"/>
      <c r="AA6"/>
      <c r="AB6"/>
      <c r="AC6"/>
      <c r="AD6"/>
      <c r="AG6" s="6"/>
      <c r="AH6" s="6"/>
      <c r="AI6" s="7"/>
      <c r="AJ6" s="7"/>
      <c r="AK6" s="6"/>
      <c r="AL6" s="6"/>
      <c r="AM6" s="6"/>
      <c r="AN6" s="6"/>
      <c r="AO6" s="6"/>
      <c r="AP6" s="6"/>
      <c r="AQ6" s="6"/>
    </row>
    <row r="7" spans="1:38" s="5" customFormat="1" ht="15" customHeight="1">
      <c r="A7" s="18"/>
      <c r="B7" s="392" t="s">
        <v>46</v>
      </c>
      <c r="C7" s="392"/>
      <c r="D7" s="392"/>
      <c r="E7" s="392"/>
      <c r="F7" s="371" t="s">
        <v>433</v>
      </c>
      <c r="G7" s="372"/>
      <c r="H7" s="372"/>
      <c r="I7" s="373"/>
      <c r="J7" s="395" t="s">
        <v>111</v>
      </c>
      <c r="K7" s="395"/>
      <c r="L7" s="395"/>
      <c r="M7" s="395"/>
      <c r="N7" s="396" t="s">
        <v>431</v>
      </c>
      <c r="O7" s="396"/>
      <c r="P7" s="396"/>
      <c r="Q7" s="396"/>
      <c r="R7" s="20"/>
      <c r="S7" s="20"/>
      <c r="T7" s="20"/>
      <c r="X7" s="10"/>
      <c r="Y7" s="10"/>
      <c r="AF7" s="6"/>
      <c r="AG7" s="6"/>
      <c r="AH7" s="6"/>
      <c r="AI7" s="6"/>
      <c r="AJ7" s="6"/>
      <c r="AK7" s="6"/>
      <c r="AL7" s="6"/>
    </row>
    <row r="8" spans="1:38" s="5" customFormat="1" ht="15" customHeight="1">
      <c r="A8" s="39"/>
      <c r="B8" s="392" t="s">
        <v>47</v>
      </c>
      <c r="C8" s="392"/>
      <c r="D8" s="392"/>
      <c r="E8" s="392"/>
      <c r="F8" s="380"/>
      <c r="G8" s="381"/>
      <c r="H8" s="381"/>
      <c r="I8" s="382"/>
      <c r="J8" s="395" t="s">
        <v>48</v>
      </c>
      <c r="K8" s="395"/>
      <c r="L8" s="395"/>
      <c r="M8" s="395"/>
      <c r="N8" s="396"/>
      <c r="O8" s="396"/>
      <c r="P8" s="396"/>
      <c r="Q8" s="396"/>
      <c r="AF8" s="6"/>
      <c r="AG8" s="6"/>
      <c r="AH8" s="6"/>
      <c r="AI8" s="6"/>
      <c r="AJ8" s="6"/>
      <c r="AK8" s="6"/>
      <c r="AL8" s="6"/>
    </row>
    <row r="9" spans="1:38" s="5" customFormat="1" ht="15" customHeight="1">
      <c r="A9" s="39"/>
      <c r="B9" s="392" t="s">
        <v>417</v>
      </c>
      <c r="C9" s="392"/>
      <c r="D9" s="392"/>
      <c r="E9" s="392"/>
      <c r="F9" s="380"/>
      <c r="G9" s="381"/>
      <c r="H9" s="381"/>
      <c r="I9" s="382"/>
      <c r="J9" s="395" t="s">
        <v>49</v>
      </c>
      <c r="K9" s="395"/>
      <c r="L9" s="395"/>
      <c r="M9" s="395"/>
      <c r="N9" s="396"/>
      <c r="O9" s="396"/>
      <c r="P9" s="396"/>
      <c r="Q9" s="396"/>
      <c r="AF9" s="6"/>
      <c r="AG9" s="6"/>
      <c r="AH9" s="6"/>
      <c r="AI9" s="6"/>
      <c r="AJ9" s="6"/>
      <c r="AK9" s="6"/>
      <c r="AL9" s="6"/>
    </row>
    <row r="10" spans="1:20" s="5" customFormat="1" ht="15" customHeight="1">
      <c r="A10" s="39"/>
      <c r="B10" s="392" t="s">
        <v>50</v>
      </c>
      <c r="C10" s="392"/>
      <c r="D10" s="392"/>
      <c r="E10" s="392"/>
      <c r="F10" s="380"/>
      <c r="G10" s="381"/>
      <c r="H10" s="381"/>
      <c r="I10" s="382"/>
      <c r="J10" s="395" t="s">
        <v>51</v>
      </c>
      <c r="K10" s="395"/>
      <c r="L10" s="395"/>
      <c r="M10" s="395"/>
      <c r="N10" s="397" t="s">
        <v>424</v>
      </c>
      <c r="O10" s="398"/>
      <c r="P10" s="398"/>
      <c r="Q10" s="399"/>
      <c r="R10" s="10"/>
      <c r="S10" s="10"/>
      <c r="T10" s="10"/>
    </row>
    <row r="11" spans="1:17" s="5" customFormat="1" ht="15" customHeight="1">
      <c r="A11" s="39"/>
      <c r="B11" s="392" t="s">
        <v>52</v>
      </c>
      <c r="C11" s="392"/>
      <c r="D11" s="392"/>
      <c r="E11" s="392"/>
      <c r="F11" s="380" t="s">
        <v>426</v>
      </c>
      <c r="G11" s="381"/>
      <c r="H11" s="381"/>
      <c r="I11" s="382"/>
      <c r="J11" s="392" t="s">
        <v>53</v>
      </c>
      <c r="K11" s="392"/>
      <c r="L11" s="392"/>
      <c r="M11" s="392"/>
      <c r="N11" s="396"/>
      <c r="O11" s="396"/>
      <c r="P11" s="396"/>
      <c r="Q11" s="396"/>
    </row>
    <row r="12" spans="1:17" ht="15" customHeight="1">
      <c r="A12" s="39"/>
      <c r="B12" s="392" t="s">
        <v>54</v>
      </c>
      <c r="C12" s="392"/>
      <c r="D12" s="392"/>
      <c r="E12" s="392"/>
      <c r="F12" s="380" t="s">
        <v>427</v>
      </c>
      <c r="G12" s="381"/>
      <c r="H12" s="381"/>
      <c r="I12" s="382"/>
      <c r="J12" s="395" t="s">
        <v>55</v>
      </c>
      <c r="K12" s="395"/>
      <c r="L12" s="395"/>
      <c r="M12" s="395"/>
      <c r="N12" s="362"/>
      <c r="O12" s="362"/>
      <c r="P12" s="362"/>
      <c r="Q12" s="362"/>
    </row>
    <row r="13" spans="1:22" ht="15" customHeight="1">
      <c r="A13" s="39"/>
      <c r="B13" s="392" t="s">
        <v>418</v>
      </c>
      <c r="C13" s="392"/>
      <c r="D13" s="392"/>
      <c r="E13" s="392"/>
      <c r="F13" s="380"/>
      <c r="G13" s="381"/>
      <c r="H13" s="381"/>
      <c r="I13" s="382"/>
      <c r="J13" s="392" t="s">
        <v>56</v>
      </c>
      <c r="K13" s="392"/>
      <c r="L13" s="392"/>
      <c r="M13" s="392"/>
      <c r="N13" s="362" t="s">
        <v>208</v>
      </c>
      <c r="O13" s="362"/>
      <c r="P13" s="362"/>
      <c r="Q13" s="362"/>
      <c r="R13" s="279"/>
      <c r="S13" s="280"/>
      <c r="T13" s="280"/>
      <c r="U13" s="280"/>
      <c r="V13" s="280"/>
    </row>
    <row r="14" spans="1:17" ht="15" customHeight="1">
      <c r="A14" s="39"/>
      <c r="B14" s="392" t="s">
        <v>416</v>
      </c>
      <c r="C14" s="392"/>
      <c r="D14" s="392"/>
      <c r="E14" s="392"/>
      <c r="F14" s="364"/>
      <c r="G14" s="361"/>
      <c r="H14" s="361"/>
      <c r="I14" s="361"/>
      <c r="J14" s="361"/>
      <c r="K14" s="361"/>
      <c r="L14" s="361"/>
      <c r="M14" s="361"/>
      <c r="N14" s="361"/>
      <c r="O14" s="361"/>
      <c r="P14" s="361"/>
      <c r="Q14" s="361"/>
    </row>
    <row r="15" spans="1:17" ht="15" customHeight="1">
      <c r="A15" s="39"/>
      <c r="B15" s="392" t="s">
        <v>57</v>
      </c>
      <c r="C15" s="392"/>
      <c r="D15" s="392"/>
      <c r="E15" s="392"/>
      <c r="F15" s="364"/>
      <c r="G15" s="361"/>
      <c r="H15" s="361"/>
      <c r="I15" s="361"/>
      <c r="J15" s="361"/>
      <c r="K15" s="361"/>
      <c r="L15" s="361"/>
      <c r="M15" s="361"/>
      <c r="N15" s="361"/>
      <c r="O15" s="361"/>
      <c r="P15" s="361"/>
      <c r="Q15" s="361"/>
    </row>
    <row r="16" spans="1:17" ht="15" customHeight="1">
      <c r="A16" s="39"/>
      <c r="B16" s="392" t="s">
        <v>58</v>
      </c>
      <c r="C16" s="392"/>
      <c r="D16" s="392"/>
      <c r="E16" s="392"/>
      <c r="F16" s="380"/>
      <c r="G16" s="381"/>
      <c r="H16" s="381"/>
      <c r="I16" s="382"/>
      <c r="J16" s="383" t="s">
        <v>59</v>
      </c>
      <c r="K16" s="383"/>
      <c r="L16" s="383"/>
      <c r="M16" s="383"/>
      <c r="N16" s="380"/>
      <c r="O16" s="381"/>
      <c r="P16" s="381"/>
      <c r="Q16" s="382"/>
    </row>
    <row r="17" spans="1:16" ht="3.75" customHeight="1">
      <c r="A17" s="39"/>
      <c r="B17" s="11"/>
      <c r="C17" s="11"/>
      <c r="D17" s="11"/>
      <c r="E17" s="12"/>
      <c r="F17" s="12"/>
      <c r="G17" s="12"/>
      <c r="H17" s="12"/>
      <c r="I17" s="12"/>
      <c r="J17" s="12"/>
      <c r="K17" s="12"/>
      <c r="L17" s="12"/>
      <c r="M17" s="13"/>
      <c r="N17" s="13"/>
      <c r="O17" s="13"/>
      <c r="P17" s="13"/>
    </row>
    <row r="18" spans="1:24" ht="15" customHeight="1">
      <c r="A18" s="39"/>
      <c r="B18" s="401" t="s">
        <v>1</v>
      </c>
      <c r="C18" s="402"/>
      <c r="D18" s="403"/>
      <c r="E18" s="362"/>
      <c r="F18" s="362"/>
      <c r="G18" s="362"/>
      <c r="H18" s="369" t="s">
        <v>2</v>
      </c>
      <c r="I18" s="370"/>
      <c r="J18" s="379" t="s">
        <v>161</v>
      </c>
      <c r="K18" s="379"/>
      <c r="L18" s="379"/>
      <c r="M18" s="357" t="s">
        <v>3</v>
      </c>
      <c r="N18" s="357"/>
      <c r="O18" s="357"/>
      <c r="P18" s="365"/>
      <c r="Q18" s="363"/>
      <c r="R18" s="395" t="s">
        <v>393</v>
      </c>
      <c r="S18" s="395"/>
      <c r="T18" s="395"/>
      <c r="U18" s="395"/>
      <c r="V18" s="376"/>
      <c r="W18" s="377"/>
      <c r="X18" s="378"/>
    </row>
    <row r="19" spans="1:52" s="5" customFormat="1" ht="18.75" customHeight="1">
      <c r="A19" s="39"/>
      <c r="F19" s="14"/>
      <c r="G19" s="14"/>
      <c r="L19" s="14"/>
      <c r="M19" s="15"/>
      <c r="N19" s="15"/>
      <c r="O19" s="15"/>
      <c r="P19" s="15"/>
      <c r="Q19" s="15"/>
      <c r="R19" s="15"/>
      <c r="S19"/>
      <c r="T19"/>
      <c r="U19"/>
      <c r="V19"/>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row>
    <row r="20" spans="5:22" ht="15" customHeight="1">
      <c r="E20" s="366" t="s">
        <v>119</v>
      </c>
      <c r="F20" s="367"/>
      <c r="G20" s="367"/>
      <c r="H20" s="367"/>
      <c r="I20" s="367"/>
      <c r="J20" s="367"/>
      <c r="K20" s="367"/>
      <c r="L20" s="367"/>
      <c r="M20" s="367"/>
      <c r="N20" s="367"/>
      <c r="O20" s="367"/>
      <c r="P20" s="367"/>
      <c r="Q20" s="367"/>
      <c r="R20" s="368"/>
      <c r="S20" s="454" t="s">
        <v>401</v>
      </c>
      <c r="T20" s="454"/>
      <c r="U20" s="454"/>
      <c r="V20" s="454"/>
    </row>
    <row r="21" spans="5:22" ht="15" customHeight="1">
      <c r="E21" s="393" t="s">
        <v>112</v>
      </c>
      <c r="F21" s="394"/>
      <c r="G21" s="393" t="s">
        <v>113</v>
      </c>
      <c r="H21" s="394"/>
      <c r="I21" s="393" t="s">
        <v>114</v>
      </c>
      <c r="J21" s="394"/>
      <c r="K21" s="393" t="s">
        <v>115</v>
      </c>
      <c r="L21" s="394"/>
      <c r="M21" s="393" t="s">
        <v>116</v>
      </c>
      <c r="N21" s="394"/>
      <c r="O21" s="393" t="s">
        <v>117</v>
      </c>
      <c r="P21" s="394"/>
      <c r="Q21" s="393" t="s">
        <v>118</v>
      </c>
      <c r="R21" s="394"/>
      <c r="S21" s="454"/>
      <c r="T21" s="454"/>
      <c r="U21" s="454"/>
      <c r="V21" s="454"/>
    </row>
    <row r="22" spans="1:22" ht="15" customHeight="1">
      <c r="A22" s="10"/>
      <c r="B22" s="400" t="s">
        <v>138</v>
      </c>
      <c r="C22" s="400"/>
      <c r="D22" s="400"/>
      <c r="E22" s="384" t="s">
        <v>428</v>
      </c>
      <c r="F22" s="384"/>
      <c r="G22" s="384" t="s">
        <v>430</v>
      </c>
      <c r="H22" s="384"/>
      <c r="I22" s="384"/>
      <c r="J22" s="384"/>
      <c r="K22" s="384"/>
      <c r="L22" s="384"/>
      <c r="M22" s="384"/>
      <c r="N22" s="384"/>
      <c r="O22" s="384"/>
      <c r="P22" s="384"/>
      <c r="Q22" s="384"/>
      <c r="R22" s="384"/>
      <c r="S22" s="347"/>
      <c r="T22" s="348"/>
      <c r="U22" s="348"/>
      <c r="V22" s="344"/>
    </row>
    <row r="23" spans="1:22" ht="15" customHeight="1">
      <c r="A23" s="10"/>
      <c r="B23" s="400" t="s">
        <v>139</v>
      </c>
      <c r="C23" s="400"/>
      <c r="D23" s="400"/>
      <c r="E23" s="384"/>
      <c r="F23" s="384"/>
      <c r="G23" s="384"/>
      <c r="H23" s="384"/>
      <c r="I23" s="384"/>
      <c r="J23" s="384"/>
      <c r="K23" s="384"/>
      <c r="L23" s="384"/>
      <c r="M23" s="384"/>
      <c r="N23" s="384"/>
      <c r="O23" s="384"/>
      <c r="P23" s="384"/>
      <c r="Q23" s="384"/>
      <c r="R23" s="384"/>
      <c r="S23" s="345"/>
      <c r="T23" s="343"/>
      <c r="U23" s="343"/>
      <c r="V23" s="341"/>
    </row>
    <row r="24" spans="1:25" ht="23.25" customHeight="1">
      <c r="A24" s="10"/>
      <c r="B24" s="358" t="s">
        <v>125</v>
      </c>
      <c r="C24" s="359"/>
      <c r="D24" s="360"/>
      <c r="E24" s="356" t="s">
        <v>429</v>
      </c>
      <c r="F24" s="356"/>
      <c r="G24" s="356" t="s">
        <v>425</v>
      </c>
      <c r="H24" s="356"/>
      <c r="I24" s="356"/>
      <c r="J24" s="356"/>
      <c r="K24" s="356"/>
      <c r="L24" s="356"/>
      <c r="M24" s="356"/>
      <c r="N24" s="356"/>
      <c r="O24" s="356"/>
      <c r="P24" s="356"/>
      <c r="Q24" s="356"/>
      <c r="R24" s="356"/>
      <c r="S24" s="385" t="s">
        <v>44</v>
      </c>
      <c r="T24" s="391"/>
      <c r="U24" s="391"/>
      <c r="V24" s="391"/>
      <c r="W24" s="391"/>
      <c r="X24" s="391"/>
      <c r="Y24" s="386"/>
    </row>
    <row r="25" spans="1:25" ht="15" customHeight="1">
      <c r="A25" s="10"/>
      <c r="B25" s="400" t="s">
        <v>210</v>
      </c>
      <c r="C25" s="400"/>
      <c r="D25" s="400"/>
      <c r="E25" s="194"/>
      <c r="F25" s="221"/>
      <c r="G25" s="194"/>
      <c r="H25" s="195"/>
      <c r="I25" s="194"/>
      <c r="J25" s="195"/>
      <c r="K25" s="194"/>
      <c r="L25" s="195"/>
      <c r="M25" s="194"/>
      <c r="N25" s="195"/>
      <c r="O25" s="194"/>
      <c r="P25" s="195"/>
      <c r="Q25" s="194"/>
      <c r="R25" s="195"/>
      <c r="S25" s="353" t="s">
        <v>123</v>
      </c>
      <c r="T25" s="191"/>
      <c r="U25" s="153"/>
      <c r="Y25" s="103"/>
    </row>
    <row r="26" spans="1:29" ht="3.75" customHeight="1">
      <c r="A26" s="10"/>
      <c r="B26" s="20"/>
      <c r="E26"/>
      <c r="S26" s="354"/>
      <c r="T26" s="385" t="s">
        <v>255</v>
      </c>
      <c r="U26" s="386"/>
      <c r="W26" s="385" t="s">
        <v>256</v>
      </c>
      <c r="X26" s="386"/>
      <c r="Z26" s="350" t="s">
        <v>122</v>
      </c>
      <c r="AA26" s="350" t="s">
        <v>149</v>
      </c>
      <c r="AB26" s="355" t="s">
        <v>14</v>
      </c>
      <c r="AC26"/>
    </row>
    <row r="27" spans="1:29" ht="17.25" customHeight="1">
      <c r="A27" s="10"/>
      <c r="B27" s="406" t="s">
        <v>150</v>
      </c>
      <c r="C27" s="406"/>
      <c r="D27" s="406"/>
      <c r="E27" s="240">
        <v>60</v>
      </c>
      <c r="F27" s="94" t="s">
        <v>43</v>
      </c>
      <c r="G27" s="240">
        <v>40</v>
      </c>
      <c r="H27" s="94" t="s">
        <v>43</v>
      </c>
      <c r="I27" s="240"/>
      <c r="J27" s="94" t="s">
        <v>43</v>
      </c>
      <c r="K27" s="240"/>
      <c r="L27" s="94" t="s">
        <v>43</v>
      </c>
      <c r="M27" s="240"/>
      <c r="N27" s="94" t="s">
        <v>43</v>
      </c>
      <c r="O27" s="240"/>
      <c r="P27" s="94" t="s">
        <v>43</v>
      </c>
      <c r="Q27" s="240"/>
      <c r="R27" s="94" t="s">
        <v>43</v>
      </c>
      <c r="S27" s="102">
        <f>SUM(E27,G27,I27,K27,M27,O27,Q27)/100</f>
        <v>1</v>
      </c>
      <c r="T27" s="387"/>
      <c r="U27" s="388"/>
      <c r="W27" s="387"/>
      <c r="X27" s="388"/>
      <c r="Z27" s="351"/>
      <c r="AA27" s="351"/>
      <c r="AB27" s="352"/>
      <c r="AC27"/>
    </row>
    <row r="28" spans="1:29" ht="3.75" customHeight="1">
      <c r="A28" s="10"/>
      <c r="B28"/>
      <c r="E28"/>
      <c r="F28"/>
      <c r="G28"/>
      <c r="H28"/>
      <c r="I28"/>
      <c r="J28"/>
      <c r="K28" s="100"/>
      <c r="L28"/>
      <c r="M28"/>
      <c r="N28"/>
      <c r="O28"/>
      <c r="P28"/>
      <c r="Q28"/>
      <c r="R28"/>
      <c r="S28"/>
      <c r="T28" s="387"/>
      <c r="U28" s="388"/>
      <c r="W28" s="387"/>
      <c r="X28" s="388"/>
      <c r="Z28" s="351"/>
      <c r="AA28" s="351"/>
      <c r="AB28" s="352"/>
      <c r="AC28"/>
    </row>
    <row r="29" spans="1:29" ht="33.75" customHeight="1">
      <c r="A29" s="10"/>
      <c r="B29" s="407" t="s">
        <v>4</v>
      </c>
      <c r="C29" s="408"/>
      <c r="D29" s="214"/>
      <c r="E29" s="95" t="s">
        <v>145</v>
      </c>
      <c r="F29" s="96" t="s">
        <v>120</v>
      </c>
      <c r="G29" s="95" t="s">
        <v>145</v>
      </c>
      <c r="H29" s="96" t="s">
        <v>120</v>
      </c>
      <c r="I29" s="95" t="s">
        <v>145</v>
      </c>
      <c r="J29" s="96" t="s">
        <v>120</v>
      </c>
      <c r="K29" s="95" t="s">
        <v>145</v>
      </c>
      <c r="L29" s="96" t="s">
        <v>120</v>
      </c>
      <c r="M29" s="95" t="s">
        <v>145</v>
      </c>
      <c r="N29" s="96" t="s">
        <v>120</v>
      </c>
      <c r="O29" s="95" t="s">
        <v>145</v>
      </c>
      <c r="P29" s="96" t="s">
        <v>120</v>
      </c>
      <c r="Q29" s="95" t="s">
        <v>145</v>
      </c>
      <c r="R29" s="96" t="s">
        <v>120</v>
      </c>
      <c r="S29" s="95" t="s">
        <v>121</v>
      </c>
      <c r="T29" s="389"/>
      <c r="U29" s="390"/>
      <c r="V29" s="95" t="s">
        <v>148</v>
      </c>
      <c r="W29" s="389"/>
      <c r="X29" s="390"/>
      <c r="Y29" s="95" t="s">
        <v>148</v>
      </c>
      <c r="Z29" s="346"/>
      <c r="AA29" s="346"/>
      <c r="AB29" s="349"/>
      <c r="AC29"/>
    </row>
    <row r="30" spans="1:29" ht="15" customHeight="1">
      <c r="A30" s="10"/>
      <c r="B30" s="342" t="str">
        <f ca="1">IF(ISERROR(INDEX(INDIRECT(Grade),1,IF(specyear="2004",2,3))),"",INDEX(INDIRECT(Grade),1,IF(specyear="2004",2,3)))</f>
        <v>3/8"</v>
      </c>
      <c r="C30" s="340"/>
      <c r="D30" s="215">
        <f ca="1">IF(ISERROR(INDEX(INDIRECT(Grade),1,4)),0,INDEX(INDIRECT(Grade),1,4))</f>
        <v>9.5</v>
      </c>
      <c r="E30" s="197">
        <v>99.5</v>
      </c>
      <c r="F30" s="99">
        <f aca="true" t="shared" si="0" ref="F30:F39">E30*(Bin1Frac/100)</f>
        <v>59.699999999999996</v>
      </c>
      <c r="G30" s="197">
        <v>100</v>
      </c>
      <c r="H30" s="99">
        <f aca="true" t="shared" si="1" ref="H30:H39">G30*(Bin2Frac/100)</f>
        <v>40</v>
      </c>
      <c r="I30" s="197"/>
      <c r="J30" s="99">
        <f aca="true" t="shared" si="2" ref="J30:J39">I30*(Bin3Frac/100)</f>
        <v>0</v>
      </c>
      <c r="K30" s="197"/>
      <c r="L30" s="99">
        <f aca="true" t="shared" si="3" ref="L30:L39">K30*(Bin4Frac/100)</f>
        <v>0</v>
      </c>
      <c r="M30" s="197"/>
      <c r="N30" s="99">
        <f aca="true" t="shared" si="4" ref="N30:N39">M30*(Bin5Frac/100)</f>
        <v>0</v>
      </c>
      <c r="O30" s="197"/>
      <c r="P30" s="99">
        <f aca="true" t="shared" si="5" ref="P30:P39">O30*(Bin6Frac/100)</f>
        <v>0</v>
      </c>
      <c r="Q30" s="197"/>
      <c r="R30" s="99">
        <f aca="true" t="shared" si="6" ref="R30:R39">Q30*(Bin7Frac/100)</f>
        <v>0</v>
      </c>
      <c r="S30" s="98">
        <f>SUM(F30,H30,J30,L30,N30,P30,R30)</f>
        <v>99.69999999999999</v>
      </c>
      <c r="T30" s="99">
        <f ca="1">IF(ISERROR(OR(INDEX(INDIRECT(Grade),1,5),INDEX(INDIRECT(Grade),1,6))),"",INDEX(INDIRECT(Grade),1,5))</f>
        <v>98</v>
      </c>
      <c r="U30" s="99">
        <f ca="1">IF(ISERROR(OR(INDEX(INDIRECT(Grade),1,5),INDEX(INDIRECT(Grade),1,6))),"",INDEX(INDIRECT(Grade),1,6))</f>
        <v>100</v>
      </c>
      <c r="V30" s="56" t="str">
        <f>IF(OR(T30="",U30=""),"",IF(OR(S30&lt;T30,S30&gt;U30),"No","Yes"))</f>
        <v>Yes</v>
      </c>
      <c r="W30" s="99">
        <f ca="1">IF(ISERROR(OR(INDEX(INDIRECT(Grade),1,8),INDEX(INDIRECT(Grade),1,9))),"",INDEX(INDIRECT(Grade),1,8))</f>
      </c>
      <c r="X30" s="99">
        <f ca="1">IF(ISERROR(OR(INDEX(INDIRECT(Grade),1,8),INDEX(INDIRECT(Grade),1,9))),"",INDEX(INDIRECT(Grade),1,9))</f>
      </c>
      <c r="Y30" s="56">
        <f>IF(OR(W30="",X30=""),"",IF(AND(S30&gt;=W30,S30&lt;=X30),"No","Yes"))</f>
      </c>
      <c r="Z30" s="97">
        <f>AA30</f>
        <v>0.30000000000001137</v>
      </c>
      <c r="AA30" s="97">
        <f aca="true" t="shared" si="7" ref="AA30:AA39">100-S30</f>
        <v>0.30000000000001137</v>
      </c>
      <c r="AB30" s="97" t="str">
        <f aca="true" t="shared" si="8" ref="AB30:AB39">$B30</f>
        <v>3/8"</v>
      </c>
      <c r="AC30"/>
    </row>
    <row r="31" spans="1:43" ht="15" customHeight="1">
      <c r="A31" s="10"/>
      <c r="B31" s="342" t="str">
        <f ca="1">IF(ISERROR(INDEX(INDIRECT(Grade),2,IF(specyear="2004",2,3))),"",INDEX(INDIRECT(Grade),2,IF(specyear="2004",2,3)))</f>
        <v>No. 4</v>
      </c>
      <c r="C31" s="340"/>
      <c r="D31" s="215">
        <f ca="1">IF(ISERROR(INDEX(INDIRECT(Grade),2,4)),0,INDEX(INDIRECT(Grade),2,4))</f>
        <v>4.75</v>
      </c>
      <c r="E31" s="196">
        <v>24.3</v>
      </c>
      <c r="F31" s="99">
        <f t="shared" si="0"/>
        <v>14.58</v>
      </c>
      <c r="G31" s="196">
        <v>97</v>
      </c>
      <c r="H31" s="99">
        <f t="shared" si="1"/>
        <v>38.800000000000004</v>
      </c>
      <c r="I31" s="196"/>
      <c r="J31" s="99">
        <f t="shared" si="2"/>
        <v>0</v>
      </c>
      <c r="K31" s="196"/>
      <c r="L31" s="99">
        <f t="shared" si="3"/>
        <v>0</v>
      </c>
      <c r="M31" s="196"/>
      <c r="N31" s="99">
        <f t="shared" si="4"/>
        <v>0</v>
      </c>
      <c r="O31" s="196"/>
      <c r="P31" s="99">
        <f t="shared" si="5"/>
        <v>0</v>
      </c>
      <c r="Q31" s="196"/>
      <c r="R31" s="99">
        <f t="shared" si="6"/>
        <v>0</v>
      </c>
      <c r="S31" s="98">
        <f aca="true" t="shared" si="9" ref="S31:S39">SUM(F31,H31,J31,L31,N31,P31,R31)</f>
        <v>53.38</v>
      </c>
      <c r="T31" s="166">
        <f ca="1">IF(ISERROR(OR(INDEX(INDIRECT(Grade),2,5),INDEX(INDIRECT(Grade),2,6))),"",INDEX(INDIRECT(Grade),2,5))</f>
        <v>70</v>
      </c>
      <c r="U31" s="101">
        <f ca="1">IF(ISERROR(OR(INDEX(INDIRECT(Grade),2,5),INDEX(INDIRECT(Grade),2,6))),"",INDEX(INDIRECT(Grade),2,6))</f>
        <v>90</v>
      </c>
      <c r="V31" s="56" t="str">
        <f aca="true" t="shared" si="10" ref="V31:V39">IF(OR(T31="",U31=""),"",IF(OR(S31&lt;T31,S31&gt;U31),"No","Yes"))</f>
        <v>No</v>
      </c>
      <c r="W31" s="166">
        <f ca="1">IF(ISERROR(OR(INDEX(INDIRECT(Grade),2,8),INDEX(INDIRECT(Grade),2,9))),"",INDEX(INDIRECT(Grade),2,8))</f>
      </c>
      <c r="X31" s="101">
        <f ca="1">IF(ISERROR(OR(INDEX(INDIRECT(Grade),2,8),INDEX(INDIRECT(Grade),2,9))),"",INDEX(INDIRECT(Grade),2,9))</f>
      </c>
      <c r="Y31" s="56">
        <f aca="true" t="shared" si="11" ref="Y31:Y39">IF(OR(W31="",X31=""),"",IF(AND(S31&gt;=W31,S31&lt;=X31),"No","Yes"))</f>
      </c>
      <c r="Z31" s="97">
        <f aca="true" t="shared" si="12" ref="Z31:Z39">100-S31-AA30</f>
        <v>46.319999999999986</v>
      </c>
      <c r="AA31" s="97">
        <f t="shared" si="7"/>
        <v>46.62</v>
      </c>
      <c r="AB31" s="97" t="str">
        <f t="shared" si="8"/>
        <v>No. 4</v>
      </c>
      <c r="AC31"/>
      <c r="AM31"/>
      <c r="AN31"/>
      <c r="AO31"/>
      <c r="AP31"/>
      <c r="AQ31"/>
    </row>
    <row r="32" spans="1:43" ht="15" customHeight="1">
      <c r="A32" s="10"/>
      <c r="B32" s="342" t="str">
        <f ca="1">IF(ISERROR(INDEX(INDIRECT(Grade),3,IF(specyear="2004",2,3))),"",INDEX(INDIRECT(Grade),3,IF(specyear="2004",2,3)))</f>
        <v>No. 8</v>
      </c>
      <c r="C32" s="340"/>
      <c r="D32" s="215">
        <f ca="1">IF(ISERROR(INDEX(INDIRECT(Grade),3,4)),0,INDEX(INDIRECT(Grade),3,4))</f>
        <v>2.36</v>
      </c>
      <c r="E32" s="196">
        <v>1.6</v>
      </c>
      <c r="F32" s="99">
        <f t="shared" si="0"/>
        <v>0.96</v>
      </c>
      <c r="G32" s="196">
        <v>83.1</v>
      </c>
      <c r="H32" s="99">
        <f t="shared" si="1"/>
        <v>33.24</v>
      </c>
      <c r="I32" s="196"/>
      <c r="J32" s="99">
        <f t="shared" si="2"/>
        <v>0</v>
      </c>
      <c r="K32" s="196"/>
      <c r="L32" s="99">
        <f t="shared" si="3"/>
        <v>0</v>
      </c>
      <c r="M32" s="196"/>
      <c r="N32" s="99">
        <f t="shared" si="4"/>
        <v>0</v>
      </c>
      <c r="O32" s="196"/>
      <c r="P32" s="99">
        <f t="shared" si="5"/>
        <v>0</v>
      </c>
      <c r="Q32" s="196"/>
      <c r="R32" s="99">
        <f t="shared" si="6"/>
        <v>0</v>
      </c>
      <c r="S32" s="98">
        <f t="shared" si="9"/>
        <v>34.2</v>
      </c>
      <c r="T32" s="166">
        <f ca="1">IF(ISERROR(OR(INDEX(INDIRECT(Grade),3,5),INDEX(INDIRECT(Grade),3,6))),"",INDEX(INDIRECT(Grade),3,5))</f>
        <v>40</v>
      </c>
      <c r="U32" s="101">
        <f ca="1">IF(ISERROR(OR(INDEX(INDIRECT(Grade),3,5),INDEX(INDIRECT(Grade),3,6))),"",INDEX(INDIRECT(Grade),3,6))</f>
        <v>65</v>
      </c>
      <c r="V32" s="56" t="str">
        <f t="shared" si="10"/>
        <v>No</v>
      </c>
      <c r="W32" s="166">
        <f ca="1">IF(ISERROR(OR(INDEX(INDIRECT(Grade),3,8),INDEX(INDIRECT(Grade),3,9))),"",INDEX(INDIRECT(Grade),3,8))</f>
      </c>
      <c r="X32" s="101">
        <f ca="1">IF(ISERROR(OR(INDEX(INDIRECT(Grade),3,8),INDEX(INDIRECT(Grade),3,9))),"",INDEX(INDIRECT(Grade),3,9))</f>
      </c>
      <c r="Y32" s="56">
        <f t="shared" si="11"/>
      </c>
      <c r="Z32" s="97">
        <f t="shared" si="12"/>
        <v>19.18</v>
      </c>
      <c r="AA32" s="97">
        <f t="shared" si="7"/>
        <v>65.8</v>
      </c>
      <c r="AB32" s="97" t="str">
        <f t="shared" si="8"/>
        <v>No. 8</v>
      </c>
      <c r="AC32"/>
      <c r="AM32"/>
      <c r="AN32"/>
      <c r="AO32"/>
      <c r="AP32"/>
      <c r="AQ32"/>
    </row>
    <row r="33" spans="1:43" ht="15" customHeight="1">
      <c r="A33" s="10"/>
      <c r="B33" s="342" t="str">
        <f ca="1">IF(ISERROR(INDEX(INDIRECT(Grade),4,IF(specyear="2004",2,3))),"",INDEX(INDIRECT(Grade),4,IF(specyear="2004",2,3)))</f>
        <v>No. 16</v>
      </c>
      <c r="C33" s="340"/>
      <c r="D33" s="215">
        <f ca="1">IF(ISERROR(INDEX(INDIRECT(Grade),4,4)),0,INDEX(INDIRECT(Grade),4,4))</f>
        <v>1.18</v>
      </c>
      <c r="E33" s="196">
        <v>0.7</v>
      </c>
      <c r="F33" s="99">
        <f t="shared" si="0"/>
        <v>0.42</v>
      </c>
      <c r="G33" s="196">
        <v>55.7</v>
      </c>
      <c r="H33" s="99">
        <f t="shared" si="1"/>
        <v>22.28</v>
      </c>
      <c r="I33" s="196"/>
      <c r="J33" s="99">
        <f t="shared" si="2"/>
        <v>0</v>
      </c>
      <c r="K33" s="196"/>
      <c r="L33" s="99">
        <f t="shared" si="3"/>
        <v>0</v>
      </c>
      <c r="M33" s="196"/>
      <c r="N33" s="99">
        <f t="shared" si="4"/>
        <v>0</v>
      </c>
      <c r="O33" s="196"/>
      <c r="P33" s="99">
        <f t="shared" si="5"/>
        <v>0</v>
      </c>
      <c r="Q33" s="196"/>
      <c r="R33" s="99">
        <f t="shared" si="6"/>
        <v>0</v>
      </c>
      <c r="S33" s="98">
        <f>SUM(F33,H33,J33,L33,N33,P33,R33)</f>
        <v>22.700000000000003</v>
      </c>
      <c r="T33" s="166">
        <f ca="1">IF(ISERROR(OR(INDEX(INDIRECT(Grade),4,5),INDEX(INDIRECT(Grade),4,6))),"",INDEX(INDIRECT(Grade),4,5))</f>
        <v>20</v>
      </c>
      <c r="U33" s="101">
        <f ca="1">IF(ISERROR(OR(INDEX(INDIRECT(Grade),4,5),INDEX(INDIRECT(Grade),4,6))),"",INDEX(INDIRECT(Grade),4,6))</f>
        <v>45</v>
      </c>
      <c r="V33" s="56" t="str">
        <f t="shared" si="10"/>
        <v>Yes</v>
      </c>
      <c r="W33" s="166">
        <f ca="1">IF(ISERROR(OR(INDEX(INDIRECT(Grade),4,8),INDEX(INDIRECT(Grade),4,9))),"",INDEX(INDIRECT(Grade),4,8))</f>
      </c>
      <c r="X33" s="101">
        <f ca="1">IF(ISERROR(OR(INDEX(INDIRECT(Grade),4,8),INDEX(INDIRECT(Grade),4,9))),"",INDEX(INDIRECT(Grade),4,9))</f>
      </c>
      <c r="Y33" s="56">
        <f t="shared" si="11"/>
      </c>
      <c r="Z33" s="97">
        <f t="shared" si="12"/>
        <v>11.5</v>
      </c>
      <c r="AA33" s="97">
        <f t="shared" si="7"/>
        <v>77.3</v>
      </c>
      <c r="AB33" s="97" t="str">
        <f t="shared" si="8"/>
        <v>No. 16</v>
      </c>
      <c r="AC33"/>
      <c r="AM33"/>
      <c r="AN33"/>
      <c r="AO33"/>
      <c r="AP33"/>
      <c r="AQ33"/>
    </row>
    <row r="34" spans="1:43" ht="15" customHeight="1">
      <c r="A34" s="10"/>
      <c r="B34" s="342" t="str">
        <f ca="1">IF(ISERROR(INDEX(INDIRECT(Grade),5,IF(specyear="2004",2,3))),"",INDEX(INDIRECT(Grade),5,IF(specyear="2004",2,3)))</f>
        <v>No. 30</v>
      </c>
      <c r="C34" s="340"/>
      <c r="D34" s="215">
        <f ca="1">IF(ISERROR(INDEX(INDIRECT(Grade),5,4)),0,INDEX(INDIRECT(Grade),5,4))</f>
        <v>0.6</v>
      </c>
      <c r="E34" s="196">
        <v>0.7</v>
      </c>
      <c r="F34" s="99">
        <f t="shared" si="0"/>
        <v>0.42</v>
      </c>
      <c r="G34" s="196">
        <v>42.3</v>
      </c>
      <c r="H34" s="99">
        <f t="shared" si="1"/>
        <v>16.919999999999998</v>
      </c>
      <c r="I34" s="196"/>
      <c r="J34" s="99">
        <f t="shared" si="2"/>
        <v>0</v>
      </c>
      <c r="K34" s="196"/>
      <c r="L34" s="99">
        <f t="shared" si="3"/>
        <v>0</v>
      </c>
      <c r="M34" s="196"/>
      <c r="N34" s="99">
        <f t="shared" si="4"/>
        <v>0</v>
      </c>
      <c r="O34" s="196"/>
      <c r="P34" s="99">
        <f t="shared" si="5"/>
        <v>0</v>
      </c>
      <c r="Q34" s="196"/>
      <c r="R34" s="99">
        <f t="shared" si="6"/>
        <v>0</v>
      </c>
      <c r="S34" s="98">
        <f t="shared" si="9"/>
        <v>17.34</v>
      </c>
      <c r="T34" s="166">
        <f ca="1">IF(ISERROR(OR(INDEX(INDIRECT(Grade),5,5),INDEX(INDIRECT(Grade),5,6))),"",INDEX(INDIRECT(Grade),5,5))</f>
        <v>10</v>
      </c>
      <c r="U34" s="101">
        <f ca="1">IF(ISERROR(OR(INDEX(INDIRECT(Grade),5,5),INDEX(INDIRECT(Grade),5,6))),"",INDEX(INDIRECT(Grade),5,6))</f>
        <v>30</v>
      </c>
      <c r="V34" s="56" t="str">
        <f t="shared" si="10"/>
        <v>Yes</v>
      </c>
      <c r="W34" s="166">
        <f ca="1">IF(ISERROR(OR(INDEX(INDIRECT(Grade),5,8),INDEX(INDIRECT(Grade),5,9))),"",INDEX(INDIRECT(Grade),5,8))</f>
      </c>
      <c r="X34" s="101">
        <f ca="1">IF(ISERROR(OR(INDEX(INDIRECT(Grade),5,8),INDEX(INDIRECT(Grade),5,9))),"",INDEX(INDIRECT(Grade),5,9))</f>
      </c>
      <c r="Y34" s="56">
        <f t="shared" si="11"/>
      </c>
      <c r="Z34" s="97">
        <f t="shared" si="12"/>
        <v>5.359999999999999</v>
      </c>
      <c r="AA34" s="97">
        <f t="shared" si="7"/>
        <v>82.66</v>
      </c>
      <c r="AB34" s="97" t="str">
        <f t="shared" si="8"/>
        <v>No. 30</v>
      </c>
      <c r="AC34"/>
      <c r="AM34"/>
      <c r="AN34"/>
      <c r="AO34"/>
      <c r="AP34"/>
      <c r="AQ34"/>
    </row>
    <row r="35" spans="1:43" ht="15" customHeight="1">
      <c r="A35" s="10"/>
      <c r="B35" s="342" t="str">
        <f ca="1">IF(ISERROR(INDEX(INDIRECT(Grade),6,IF(specyear="2004",2,3))),"",INDEX(INDIRECT(Grade),6,IF(specyear="2004",2,3)))</f>
        <v>No. 50</v>
      </c>
      <c r="C35" s="340"/>
      <c r="D35" s="215">
        <f ca="1">IF(ISERROR(INDEX(INDIRECT(Grade),6,4)),0,INDEX(INDIRECT(Grade),6,4))</f>
        <v>0.3</v>
      </c>
      <c r="E35" s="196">
        <v>0.6</v>
      </c>
      <c r="F35" s="99">
        <f t="shared" si="0"/>
        <v>0.36</v>
      </c>
      <c r="G35" s="196">
        <v>32.5</v>
      </c>
      <c r="H35" s="99">
        <f t="shared" si="1"/>
        <v>13</v>
      </c>
      <c r="I35" s="196"/>
      <c r="J35" s="99">
        <f t="shared" si="2"/>
        <v>0</v>
      </c>
      <c r="K35" s="196"/>
      <c r="L35" s="99">
        <f t="shared" si="3"/>
        <v>0</v>
      </c>
      <c r="M35" s="196"/>
      <c r="N35" s="99">
        <f t="shared" si="4"/>
        <v>0</v>
      </c>
      <c r="O35" s="196"/>
      <c r="P35" s="99">
        <f t="shared" si="5"/>
        <v>0</v>
      </c>
      <c r="Q35" s="196"/>
      <c r="R35" s="99">
        <f t="shared" si="6"/>
        <v>0</v>
      </c>
      <c r="S35" s="98">
        <f t="shared" si="9"/>
        <v>13.36</v>
      </c>
      <c r="T35" s="166">
        <f ca="1">IF(ISERROR(OR(INDEX(INDIRECT(Grade),6,5),INDEX(INDIRECT(Grade),6,6))),"",INDEX(INDIRECT(Grade),6,5))</f>
        <v>10</v>
      </c>
      <c r="U35" s="101">
        <f ca="1">IF(ISERROR(OR(INDEX(INDIRECT(Grade),6,5),INDEX(INDIRECT(Grade),6,6))),"",INDEX(INDIRECT(Grade),6,6))</f>
        <v>20</v>
      </c>
      <c r="V35" s="56" t="str">
        <f t="shared" si="10"/>
        <v>Yes</v>
      </c>
      <c r="W35" s="166">
        <f ca="1">IF(ISERROR(OR(INDEX(INDIRECT(Grade),6,8),INDEX(INDIRECT(Grade),6,9))),"",INDEX(INDIRECT(Grade),6,8))</f>
      </c>
      <c r="X35" s="101">
        <f ca="1">IF(ISERROR(OR(INDEX(INDIRECT(Grade),6,8),INDEX(INDIRECT(Grade),6,9))),"",INDEX(INDIRECT(Grade),6,9))</f>
      </c>
      <c r="Y35" s="56">
        <f t="shared" si="11"/>
      </c>
      <c r="Z35" s="97">
        <f t="shared" si="12"/>
        <v>3.980000000000004</v>
      </c>
      <c r="AA35" s="97">
        <f t="shared" si="7"/>
        <v>86.64</v>
      </c>
      <c r="AB35" s="97" t="str">
        <f t="shared" si="8"/>
        <v>No. 50</v>
      </c>
      <c r="AC35"/>
      <c r="AM35"/>
      <c r="AN35"/>
      <c r="AO35"/>
      <c r="AP35"/>
      <c r="AQ35"/>
    </row>
    <row r="36" spans="1:43" ht="15" customHeight="1">
      <c r="A36" s="10"/>
      <c r="B36" s="342" t="str">
        <f ca="1">IF(ISERROR(INDEX(INDIRECT(Grade),7,IF(specyear="2004",2,3))),"",INDEX(INDIRECT(Grade),7,IF(specyear="2004",2,3)))</f>
        <v>No. 200</v>
      </c>
      <c r="C36" s="340"/>
      <c r="D36" s="215">
        <f ca="1">IF(ISERROR(INDEX(INDIRECT(Grade),7,4)),0,INDEX(INDIRECT(Grade),7,4))</f>
        <v>0.075</v>
      </c>
      <c r="E36" s="196">
        <v>0.5</v>
      </c>
      <c r="F36" s="99">
        <f t="shared" si="0"/>
        <v>0.3</v>
      </c>
      <c r="G36" s="196">
        <v>18.3</v>
      </c>
      <c r="H36" s="99">
        <f t="shared" si="1"/>
        <v>7.32</v>
      </c>
      <c r="I36" s="196"/>
      <c r="J36" s="99">
        <f t="shared" si="2"/>
        <v>0</v>
      </c>
      <c r="K36" s="196"/>
      <c r="L36" s="99">
        <f t="shared" si="3"/>
        <v>0</v>
      </c>
      <c r="M36" s="196"/>
      <c r="N36" s="99">
        <f t="shared" si="4"/>
        <v>0</v>
      </c>
      <c r="O36" s="196"/>
      <c r="P36" s="99">
        <f t="shared" si="5"/>
        <v>0</v>
      </c>
      <c r="Q36" s="196"/>
      <c r="R36" s="99">
        <f t="shared" si="6"/>
        <v>0</v>
      </c>
      <c r="S36" s="98">
        <f t="shared" si="9"/>
        <v>7.62</v>
      </c>
      <c r="T36" s="166">
        <f ca="1">IF(ISERROR(OR(INDEX(INDIRECT(Grade),7,5),INDEX(INDIRECT(Grade),7,6))),"",INDEX(INDIRECT(Grade),7,5))</f>
        <v>2</v>
      </c>
      <c r="U36" s="101">
        <f ca="1">IF(ISERROR(OR(INDEX(INDIRECT(Grade),7,5),INDEX(INDIRECT(Grade),7,6))),"",INDEX(INDIRECT(Grade),7,6))</f>
        <v>10</v>
      </c>
      <c r="V36" s="56" t="str">
        <f t="shared" si="10"/>
        <v>Yes</v>
      </c>
      <c r="W36" s="166">
        <f ca="1">IF(ISERROR(OR(INDEX(INDIRECT(Grade),7,8),INDEX(INDIRECT(Grade),7,9))),"",INDEX(INDIRECT(Grade),7,8))</f>
      </c>
      <c r="X36" s="101">
        <f ca="1">IF(ISERROR(OR(INDEX(INDIRECT(Grade),7,8),INDEX(INDIRECT(Grade),7,9))),"",INDEX(INDIRECT(Grade),7,9))</f>
      </c>
      <c r="Y36" s="56">
        <f t="shared" si="11"/>
      </c>
      <c r="Z36" s="97">
        <f t="shared" si="12"/>
        <v>5.739999999999995</v>
      </c>
      <c r="AA36" s="97">
        <f t="shared" si="7"/>
        <v>92.38</v>
      </c>
      <c r="AB36" s="97" t="str">
        <f t="shared" si="8"/>
        <v>No. 200</v>
      </c>
      <c r="AC36"/>
      <c r="AM36"/>
      <c r="AN36"/>
      <c r="AO36"/>
      <c r="AP36"/>
      <c r="AQ36"/>
    </row>
    <row r="37" spans="1:43" ht="15" customHeight="1">
      <c r="A37" s="10"/>
      <c r="B37" s="342">
        <f ca="1">IF(ISERROR(INDEX(INDIRECT(Grade),8,IF(specyear="2004",2,3))),"",INDEX(INDIRECT(Grade),8,IF(specyear="2004",2,3)))</f>
        <v>0</v>
      </c>
      <c r="C37" s="340"/>
      <c r="D37" s="215">
        <f ca="1">IF(ISERROR(INDEX(INDIRECT(Grade),8,4)),0,INDEX(INDIRECT(Grade),8,4))</f>
        <v>0</v>
      </c>
      <c r="E37" s="196"/>
      <c r="F37" s="99">
        <f t="shared" si="0"/>
        <v>0</v>
      </c>
      <c r="G37" s="196"/>
      <c r="H37" s="99">
        <f t="shared" si="1"/>
        <v>0</v>
      </c>
      <c r="I37" s="196"/>
      <c r="J37" s="99">
        <f t="shared" si="2"/>
        <v>0</v>
      </c>
      <c r="K37" s="196"/>
      <c r="L37" s="99">
        <f t="shared" si="3"/>
        <v>0</v>
      </c>
      <c r="M37" s="196"/>
      <c r="N37" s="99">
        <f t="shared" si="4"/>
        <v>0</v>
      </c>
      <c r="O37" s="196"/>
      <c r="P37" s="99">
        <f t="shared" si="5"/>
        <v>0</v>
      </c>
      <c r="Q37" s="196"/>
      <c r="R37" s="99">
        <f t="shared" si="6"/>
        <v>0</v>
      </c>
      <c r="S37" s="98">
        <f t="shared" si="9"/>
        <v>0</v>
      </c>
      <c r="T37" s="166">
        <f ca="1">IF(ISERROR(OR(INDEX(INDIRECT(Grade),8,5),INDEX(INDIRECT(Grade),8,6))),"",INDEX(INDIRECT(Grade),8,5))</f>
      </c>
      <c r="U37" s="101">
        <f ca="1">IF(ISERROR(OR(INDEX(INDIRECT(Grade),8,5),INDEX(INDIRECT(Grade),8,6))),"",INDEX(INDIRECT(Grade),8,6))</f>
      </c>
      <c r="V37" s="56">
        <f t="shared" si="10"/>
      </c>
      <c r="W37" s="166">
        <f ca="1">IF(ISERROR(OR(INDEX(INDIRECT(Grade),8,8),INDEX(INDIRECT(Grade),8,9))),"",INDEX(INDIRECT(Grade),8,8))</f>
      </c>
      <c r="X37" s="101">
        <f ca="1">IF(ISERROR(OR(INDEX(INDIRECT(Grade),8,8),INDEX(INDIRECT(Grade),8,9))),"",INDEX(INDIRECT(Grade),8,9))</f>
      </c>
      <c r="Y37" s="56">
        <f t="shared" si="11"/>
      </c>
      <c r="Z37" s="97">
        <f t="shared" si="12"/>
        <v>7.6200000000000045</v>
      </c>
      <c r="AA37" s="97">
        <f t="shared" si="7"/>
        <v>100</v>
      </c>
      <c r="AB37" s="97">
        <f t="shared" si="8"/>
        <v>0</v>
      </c>
      <c r="AC37"/>
      <c r="AM37"/>
      <c r="AN37"/>
      <c r="AO37"/>
      <c r="AP37"/>
      <c r="AQ37"/>
    </row>
    <row r="38" spans="1:49" ht="15" customHeight="1">
      <c r="A38" s="10"/>
      <c r="B38" s="342">
        <f ca="1">IF(ISERROR(INDEX(INDIRECT(Grade),9,IF(specyear="2004",2,3))),"",INDEX(INDIRECT(Grade),9,IF(specyear="2004",2,3)))</f>
        <v>0</v>
      </c>
      <c r="C38" s="340"/>
      <c r="D38" s="215">
        <f ca="1">IF(ISERROR(INDEX(INDIRECT(Grade),9,4)),0,INDEX(INDIRECT(Grade),9,4))</f>
        <v>0</v>
      </c>
      <c r="E38" s="196"/>
      <c r="F38" s="101">
        <f t="shared" si="0"/>
        <v>0</v>
      </c>
      <c r="G38" s="196"/>
      <c r="H38" s="101">
        <f t="shared" si="1"/>
        <v>0</v>
      </c>
      <c r="I38" s="196"/>
      <c r="J38" s="101">
        <f t="shared" si="2"/>
        <v>0</v>
      </c>
      <c r="K38" s="196"/>
      <c r="L38" s="101">
        <f t="shared" si="3"/>
        <v>0</v>
      </c>
      <c r="M38" s="196"/>
      <c r="N38" s="101">
        <f t="shared" si="4"/>
        <v>0</v>
      </c>
      <c r="O38" s="196"/>
      <c r="P38" s="101">
        <f t="shared" si="5"/>
        <v>0</v>
      </c>
      <c r="Q38" s="196"/>
      <c r="R38" s="101">
        <f t="shared" si="6"/>
        <v>0</v>
      </c>
      <c r="S38" s="98">
        <f t="shared" si="9"/>
        <v>0</v>
      </c>
      <c r="T38" s="166">
        <f ca="1">IF(ISERROR(OR(INDEX(INDIRECT(Grade),9,5),INDEX(INDIRECT(Grade),9,6))),"",INDEX(INDIRECT(Grade),9,5))</f>
      </c>
      <c r="U38" s="101">
        <f ca="1">IF(ISERROR(OR(INDEX(INDIRECT(Grade),9,5),INDEX(INDIRECT(Grade),9,6))),"",INDEX(INDIRECT(Grade),9,6))</f>
      </c>
      <c r="V38" s="56">
        <f t="shared" si="10"/>
      </c>
      <c r="W38" s="166">
        <f ca="1">IF(ISERROR(OR(INDEX(INDIRECT(Grade),9,8),INDEX(INDIRECT(Grade),9,9))),"",INDEX(INDIRECT(Grade),9,8))</f>
      </c>
      <c r="X38" s="101">
        <f ca="1">IF(ISERROR(OR(INDEX(INDIRECT(Grade),9,8),INDEX(INDIRECT(Grade),9,9))),"",INDEX(INDIRECT(Grade),9,9))</f>
      </c>
      <c r="Y38" s="56">
        <f t="shared" si="11"/>
      </c>
      <c r="Z38" s="97">
        <f t="shared" si="12"/>
        <v>0</v>
      </c>
      <c r="AA38" s="97">
        <f t="shared" si="7"/>
        <v>100</v>
      </c>
      <c r="AB38" s="97">
        <f t="shared" si="8"/>
        <v>0</v>
      </c>
      <c r="AC38"/>
      <c r="AM38"/>
      <c r="AN38"/>
      <c r="AO38"/>
      <c r="AP38"/>
      <c r="AQ38"/>
      <c r="AR38"/>
      <c r="AS38"/>
      <c r="AT38"/>
      <c r="AU38"/>
      <c r="AV38"/>
      <c r="AW38"/>
    </row>
    <row r="39" spans="1:49" ht="15" customHeight="1">
      <c r="A39" s="10"/>
      <c r="B39" s="342">
        <f ca="1">IF(ISERROR(INDEX(INDIRECT(Grade),10,IF(specyear="2004",2,3))),"",INDEX(INDIRECT(Grade),10,IF(specyear="2004",2,3)))</f>
        <v>0</v>
      </c>
      <c r="C39" s="340"/>
      <c r="D39" s="215">
        <f ca="1">IF(ISERROR(INDEX(INDIRECT(Grade),10,4)),0,INDEX(INDIRECT(Grade),10,4))</f>
        <v>0</v>
      </c>
      <c r="E39" s="196"/>
      <c r="F39" s="101">
        <f t="shared" si="0"/>
        <v>0</v>
      </c>
      <c r="G39" s="196"/>
      <c r="H39" s="101">
        <f t="shared" si="1"/>
        <v>0</v>
      </c>
      <c r="I39" s="196"/>
      <c r="J39" s="101">
        <f t="shared" si="2"/>
        <v>0</v>
      </c>
      <c r="K39" s="196"/>
      <c r="L39" s="101">
        <f t="shared" si="3"/>
        <v>0</v>
      </c>
      <c r="M39" s="196"/>
      <c r="N39" s="101">
        <f t="shared" si="4"/>
        <v>0</v>
      </c>
      <c r="O39" s="196"/>
      <c r="P39" s="101">
        <f t="shared" si="5"/>
        <v>0</v>
      </c>
      <c r="Q39" s="196"/>
      <c r="R39" s="101">
        <f t="shared" si="6"/>
        <v>0</v>
      </c>
      <c r="S39" s="98">
        <f t="shared" si="9"/>
        <v>0</v>
      </c>
      <c r="T39" s="166">
        <f ca="1">IF(ISERROR(OR(INDEX(INDIRECT(Grade),10,5),INDEX(INDIRECT(Grade),10,6))),"",INDEX(INDIRECT(Grade),10,5))</f>
      </c>
      <c r="U39" s="101">
        <f ca="1">IF(ISERROR(OR(INDEX(INDIRECT(Grade),10,5),INDEX(INDIRECT(Grade),10,6))),"",INDEX(INDIRECT(Grade),10,6))</f>
      </c>
      <c r="V39" s="56">
        <f t="shared" si="10"/>
      </c>
      <c r="W39" s="166">
        <f ca="1">IF(ISERROR(OR(INDEX(INDIRECT(Grade),10,8),INDEX(INDIRECT(Grade),10,9))),"",INDEX(INDIRECT(Grade),10,8))</f>
      </c>
      <c r="X39" s="101">
        <f ca="1">IF(ISERROR(OR(INDEX(INDIRECT(Grade),10,8),INDEX(INDIRECT(Grade),10,9))),"",INDEX(INDIRECT(Grade),10,9))</f>
      </c>
      <c r="Y39" s="56">
        <f t="shared" si="11"/>
      </c>
      <c r="Z39" s="97">
        <f t="shared" si="12"/>
        <v>0</v>
      </c>
      <c r="AA39" s="97">
        <f t="shared" si="7"/>
        <v>100</v>
      </c>
      <c r="AB39" s="97">
        <f t="shared" si="8"/>
        <v>0</v>
      </c>
      <c r="AC39"/>
      <c r="AM39"/>
      <c r="AN39"/>
      <c r="AO39"/>
      <c r="AP39"/>
      <c r="AQ39"/>
      <c r="AR39"/>
      <c r="AS39"/>
      <c r="AT39"/>
      <c r="AU39"/>
      <c r="AV39"/>
      <c r="AW39"/>
    </row>
    <row r="40" spans="1:16" ht="15" customHeight="1">
      <c r="A40" s="10"/>
      <c r="B40" s="167" t="s">
        <v>151</v>
      </c>
      <c r="K40" s="455" t="e">
        <f ca="1">IF(MID(Grade,10,5)="UTBWC","Binder should be between "&amp;INDEX(INDIRECT(Grade),1,10)&amp;"-"&amp;INDEX(INDIRECT(Grade),1,11),"#REF!")</f>
        <v>#REF!</v>
      </c>
      <c r="L40" s="455"/>
      <c r="M40" s="455"/>
      <c r="N40" s="455"/>
      <c r="O40" s="455"/>
      <c r="P40" s="455"/>
    </row>
    <row r="41" spans="2:45" ht="15" customHeight="1">
      <c r="B41" s="438" t="s">
        <v>45</v>
      </c>
      <c r="C41" s="439"/>
      <c r="D41" s="439"/>
      <c r="E41" s="440"/>
      <c r="F41" s="456"/>
      <c r="G41" s="457"/>
      <c r="H41" s="457"/>
      <c r="I41" s="457"/>
      <c r="J41" s="457"/>
      <c r="K41" s="458"/>
      <c r="L41" s="438" t="s">
        <v>124</v>
      </c>
      <c r="M41" s="439"/>
      <c r="N41" s="440"/>
      <c r="O41" s="198"/>
      <c r="P41" s="445" t="s">
        <v>211</v>
      </c>
      <c r="Q41" s="446"/>
      <c r="R41" s="447"/>
      <c r="S41" s="199">
        <v>1.016</v>
      </c>
      <c r="T41" s="451" t="s">
        <v>326</v>
      </c>
      <c r="U41" s="452"/>
      <c r="V41" s="452"/>
      <c r="W41" s="452"/>
      <c r="X41" s="452"/>
      <c r="Y41" s="452"/>
      <c r="Z41" s="452"/>
      <c r="AA41" s="442"/>
      <c r="AB41" s="442"/>
      <c r="AC41" s="60"/>
      <c r="AD41" s="282"/>
      <c r="AE41" s="61"/>
      <c r="AF41" s="61"/>
      <c r="AG41"/>
      <c r="AH41"/>
      <c r="AI41"/>
      <c r="AJ41"/>
      <c r="AK41"/>
      <c r="AL41"/>
      <c r="AM41"/>
      <c r="AN41"/>
      <c r="AO41"/>
      <c r="AP41"/>
      <c r="AQ41"/>
      <c r="AR41"/>
      <c r="AS41"/>
    </row>
    <row r="42" ht="6" customHeight="1"/>
    <row r="43" spans="2:26" ht="15" customHeight="1">
      <c r="B43" s="435" t="s">
        <v>265</v>
      </c>
      <c r="C43" s="436"/>
      <c r="D43" s="436"/>
      <c r="E43" s="437"/>
      <c r="F43" s="443"/>
      <c r="G43" s="443"/>
      <c r="H43" s="443"/>
      <c r="I43" s="443"/>
      <c r="J43" s="443"/>
      <c r="K43" s="443"/>
      <c r="L43" s="444" t="s">
        <v>264</v>
      </c>
      <c r="M43" s="444"/>
      <c r="N43" s="444"/>
      <c r="O43" s="252"/>
      <c r="P43" s="448">
        <f>IF(OR(AND(MID(Grade,9,3)="PFC",MID(Grade,13,3)&lt;&gt;"A_R"),AND(MID(Grade,9,4)="SMA_")),"% Fiber","")</f>
      </c>
      <c r="Q43" s="449"/>
      <c r="R43" s="450"/>
      <c r="S43" s="317"/>
      <c r="T43" s="453">
        <f>IF(OR(MID(Grade,13,3)="A_R",MID(Grade,11,2)="AR"),"% Crumb Rubber","")</f>
      </c>
      <c r="U43" s="453"/>
      <c r="V43" s="453"/>
      <c r="W43" s="308"/>
      <c r="X43" s="441" t="str">
        <f>IF(percentrubber&lt;15,"Minimum of 15%","")</f>
        <v>Minimum of 15%</v>
      </c>
      <c r="Y43" s="441"/>
      <c r="Z43" s="441"/>
    </row>
    <row r="44" ht="6" customHeight="1"/>
    <row r="45" spans="1:16" s="1" customFormat="1" ht="12.75" customHeight="1">
      <c r="A45" s="18"/>
      <c r="B45" s="16" t="s">
        <v>5</v>
      </c>
      <c r="C45" s="16"/>
      <c r="D45" s="16"/>
      <c r="E45" s="17">
        <f ca="1">NOW()</f>
        <v>40499.63441539352</v>
      </c>
      <c r="H45" s="17"/>
      <c r="I45" s="10"/>
      <c r="J45" s="10"/>
      <c r="P45" s="256">
        <f>IF(percentfiber="","",IF(OR(percentfiber&lt;0.2,percentfiber&gt;0.5),"Exceeds limits of 0.20 or 0.50 by weight of total mixture",""))</f>
      </c>
    </row>
    <row r="46" spans="1:59" s="1" customFormat="1" ht="15" customHeight="1">
      <c r="A46" s="18"/>
      <c r="B46" s="428"/>
      <c r="C46" s="429"/>
      <c r="D46" s="429"/>
      <c r="E46" s="429"/>
      <c r="F46" s="429"/>
      <c r="G46" s="429"/>
      <c r="H46" s="429"/>
      <c r="I46" s="429"/>
      <c r="J46" s="429"/>
      <c r="K46" s="429"/>
      <c r="L46" s="429"/>
      <c r="M46" s="430"/>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s="10"/>
    </row>
    <row r="47" spans="1:59" s="1" customFormat="1" ht="15" customHeight="1">
      <c r="A47" s="18"/>
      <c r="B47" s="431"/>
      <c r="C47" s="432"/>
      <c r="D47" s="432"/>
      <c r="E47" s="432"/>
      <c r="F47" s="432"/>
      <c r="G47" s="432"/>
      <c r="H47" s="432"/>
      <c r="I47" s="432"/>
      <c r="J47" s="432"/>
      <c r="K47" s="432"/>
      <c r="L47" s="432"/>
      <c r="M47" s="433"/>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s="10"/>
    </row>
    <row r="48" spans="1:59" s="1" customFormat="1" ht="15" customHeight="1">
      <c r="A48" s="18"/>
      <c r="B48" s="434"/>
      <c r="C48" s="434"/>
      <c r="D48" s="434"/>
      <c r="E48" s="434"/>
      <c r="F48" s="434"/>
      <c r="G48" s="434"/>
      <c r="H48" s="434"/>
      <c r="I48" s="434"/>
      <c r="J48" s="434"/>
      <c r="K48" s="434"/>
      <c r="L48" s="434"/>
      <c r="M48" s="434"/>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s="10"/>
    </row>
    <row r="49" spans="1:59" s="1" customFormat="1" ht="15" customHeight="1">
      <c r="A49" s="18"/>
      <c r="B49" s="434"/>
      <c r="C49" s="434"/>
      <c r="D49" s="434"/>
      <c r="E49" s="434"/>
      <c r="F49" s="434"/>
      <c r="G49" s="434"/>
      <c r="H49" s="434"/>
      <c r="I49" s="434"/>
      <c r="J49" s="434"/>
      <c r="K49" s="434"/>
      <c r="L49" s="434"/>
      <c r="M49" s="434"/>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s="10"/>
    </row>
    <row r="50" spans="2:10" s="191" customFormat="1" ht="15" customHeight="1">
      <c r="B50" s="426" t="s">
        <v>127</v>
      </c>
      <c r="C50" s="427"/>
      <c r="D50" s="338"/>
      <c r="E50" s="186" t="s">
        <v>128</v>
      </c>
      <c r="F50" s="105"/>
      <c r="G50" s="105"/>
      <c r="J50" s="172" t="s">
        <v>160</v>
      </c>
    </row>
    <row r="51" spans="1:11" ht="15" customHeight="1">
      <c r="A51" s="10"/>
      <c r="B51" s="416" t="s">
        <v>362</v>
      </c>
      <c r="C51" s="417"/>
      <c r="D51" s="374"/>
      <c r="E51" s="375"/>
      <c r="F51" s="375"/>
      <c r="G51" s="375"/>
      <c r="H51" s="375"/>
      <c r="I51" s="418"/>
      <c r="J51" s="424"/>
      <c r="K51" s="425"/>
    </row>
    <row r="52" ht="3" customHeight="1"/>
    <row r="53" spans="1:11" ht="15" customHeight="1">
      <c r="A53" s="10"/>
      <c r="B53" s="416" t="s">
        <v>363</v>
      </c>
      <c r="C53" s="417"/>
      <c r="D53" s="374"/>
      <c r="E53" s="375"/>
      <c r="F53" s="375"/>
      <c r="G53" s="375"/>
      <c r="H53" s="375"/>
      <c r="I53" s="418"/>
      <c r="J53" s="424"/>
      <c r="K53" s="425"/>
    </row>
    <row r="54" ht="3" customHeight="1"/>
    <row r="55" spans="1:11" ht="15" customHeight="1">
      <c r="A55" s="10"/>
      <c r="B55" s="416" t="s">
        <v>364</v>
      </c>
      <c r="C55" s="417"/>
      <c r="D55" s="374"/>
      <c r="E55" s="375"/>
      <c r="F55" s="375"/>
      <c r="G55" s="375"/>
      <c r="H55" s="375"/>
      <c r="I55" s="418"/>
      <c r="J55" s="424"/>
      <c r="K55" s="425"/>
    </row>
    <row r="56" ht="3" customHeight="1"/>
    <row r="57" spans="1:20" ht="15" customHeight="1">
      <c r="A57" s="10"/>
      <c r="B57" s="416" t="s">
        <v>365</v>
      </c>
      <c r="C57" s="417"/>
      <c r="D57" s="374"/>
      <c r="E57" s="375"/>
      <c r="F57" s="375"/>
      <c r="G57" s="375"/>
      <c r="H57" s="375"/>
      <c r="I57" s="418"/>
      <c r="J57" s="424"/>
      <c r="K57" s="425"/>
      <c r="Q57" s="216"/>
      <c r="R57" s="216"/>
      <c r="S57" s="216"/>
      <c r="T57" s="216"/>
    </row>
    <row r="58" spans="17:20" ht="3" customHeight="1">
      <c r="Q58" s="217"/>
      <c r="R58" s="217"/>
      <c r="S58" s="217"/>
      <c r="T58" s="217"/>
    </row>
    <row r="59" spans="1:20" ht="15" customHeight="1">
      <c r="A59" s="10"/>
      <c r="B59" s="416" t="s">
        <v>366</v>
      </c>
      <c r="C59" s="417"/>
      <c r="D59" s="374"/>
      <c r="E59" s="375"/>
      <c r="F59" s="375"/>
      <c r="G59" s="375"/>
      <c r="H59" s="375"/>
      <c r="I59" s="418"/>
      <c r="J59" s="424"/>
      <c r="K59" s="425"/>
      <c r="Q59" s="216"/>
      <c r="R59" s="218"/>
      <c r="S59" s="219"/>
      <c r="T59" s="219"/>
    </row>
    <row r="60" spans="17:20" ht="3" customHeight="1">
      <c r="Q60" s="220"/>
      <c r="R60" s="220"/>
      <c r="S60" s="220"/>
      <c r="T60" s="220"/>
    </row>
    <row r="61" spans="1:20" ht="15" customHeight="1">
      <c r="A61" s="10"/>
      <c r="B61" s="416" t="s">
        <v>367</v>
      </c>
      <c r="C61" s="417"/>
      <c r="D61" s="374"/>
      <c r="E61" s="375"/>
      <c r="F61" s="375"/>
      <c r="G61" s="375"/>
      <c r="H61" s="375"/>
      <c r="I61" s="418"/>
      <c r="J61" s="424"/>
      <c r="K61" s="425"/>
      <c r="Q61" s="219"/>
      <c r="R61" s="218"/>
      <c r="S61" s="219"/>
      <c r="T61" s="219"/>
    </row>
    <row r="62" ht="3" customHeight="1"/>
    <row r="63" spans="1:11" ht="15" customHeight="1">
      <c r="A63" s="10"/>
      <c r="B63" s="416"/>
      <c r="C63" s="417"/>
      <c r="D63" s="374"/>
      <c r="E63" s="375"/>
      <c r="F63" s="375"/>
      <c r="G63" s="375"/>
      <c r="H63" s="375"/>
      <c r="I63" s="418"/>
      <c r="J63" s="424"/>
      <c r="K63" s="425"/>
    </row>
    <row r="64" ht="3" customHeight="1"/>
    <row r="65" spans="1:11" ht="15" customHeight="1">
      <c r="A65" s="10"/>
      <c r="B65" s="416"/>
      <c r="C65" s="417"/>
      <c r="D65" s="374"/>
      <c r="E65" s="375"/>
      <c r="F65" s="375"/>
      <c r="G65" s="375"/>
      <c r="H65" s="375"/>
      <c r="I65" s="418"/>
      <c r="J65" s="424"/>
      <c r="K65" s="425"/>
    </row>
    <row r="66" spans="2:16" ht="15" customHeight="1">
      <c r="B66" s="173" t="s">
        <v>414</v>
      </c>
      <c r="C66" s="104"/>
      <c r="D66" s="104"/>
      <c r="F66" s="104"/>
      <c r="H66" s="414" t="s">
        <v>415</v>
      </c>
      <c r="I66" s="415"/>
      <c r="J66" s="173" t="s">
        <v>158</v>
      </c>
      <c r="L66" s="173" t="s">
        <v>129</v>
      </c>
      <c r="M66" s="104"/>
      <c r="N66" s="104"/>
      <c r="P66" s="104"/>
    </row>
    <row r="67" spans="2:17" ht="15" customHeight="1">
      <c r="B67" s="374"/>
      <c r="C67" s="375"/>
      <c r="D67" s="375"/>
      <c r="E67" s="375"/>
      <c r="F67" s="375"/>
      <c r="G67" s="375"/>
      <c r="H67" s="424"/>
      <c r="I67" s="424"/>
      <c r="J67" s="424"/>
      <c r="K67" s="425"/>
      <c r="L67" s="421"/>
      <c r="M67" s="422"/>
      <c r="N67" s="422"/>
      <c r="O67" s="422"/>
      <c r="P67" s="422"/>
      <c r="Q67" s="423"/>
    </row>
    <row r="68" spans="1:8" ht="15" customHeight="1">
      <c r="A68" s="10"/>
      <c r="B68" s="40" t="s">
        <v>419</v>
      </c>
      <c r="D68" s="40" t="s">
        <v>420</v>
      </c>
      <c r="F68" s="40" t="s">
        <v>421</v>
      </c>
      <c r="H68" s="40" t="s">
        <v>422</v>
      </c>
    </row>
    <row r="69" spans="1:9" ht="15" customHeight="1">
      <c r="A69" s="10"/>
      <c r="B69" s="419"/>
      <c r="C69" s="420"/>
      <c r="D69" s="419"/>
      <c r="E69" s="420"/>
      <c r="F69" s="419"/>
      <c r="G69" s="420"/>
      <c r="H69" s="419"/>
      <c r="I69" s="420"/>
    </row>
    <row r="70" spans="1:10" ht="15" customHeight="1">
      <c r="A70" s="10"/>
      <c r="B70" s="173" t="s">
        <v>130</v>
      </c>
      <c r="C70" s="104"/>
      <c r="D70" s="87"/>
      <c r="H70" s="40" t="s">
        <v>159</v>
      </c>
      <c r="J70" s="104"/>
    </row>
    <row r="71" spans="1:16" ht="15" customHeight="1">
      <c r="A71" s="10"/>
      <c r="B71" s="409"/>
      <c r="C71" s="410"/>
      <c r="D71" s="410"/>
      <c r="E71" s="410"/>
      <c r="F71" s="410"/>
      <c r="G71" s="411"/>
      <c r="H71" s="412"/>
      <c r="I71" s="413"/>
      <c r="J71" s="309" t="str">
        <f>IF(OR(AuthorizedDate&gt;39022,AuthorizedDate=""),"3",IF(OR(AuthorizedDate&gt;38579,AuthorizedDate=""),"2","1"))</f>
        <v>3</v>
      </c>
      <c r="P71" s="322"/>
    </row>
  </sheetData>
  <sheetProtection password="DE07" sheet="1" formatCells="0" formatColumns="0" formatRows="0"/>
  <mergeCells count="151">
    <mergeCell ref="F69:G69"/>
    <mergeCell ref="H69:I69"/>
    <mergeCell ref="B14:E14"/>
    <mergeCell ref="F14:Q14"/>
    <mergeCell ref="K40:P40"/>
    <mergeCell ref="J57:K57"/>
    <mergeCell ref="F41:K41"/>
    <mergeCell ref="J53:K53"/>
    <mergeCell ref="D55:I55"/>
    <mergeCell ref="D51:I51"/>
    <mergeCell ref="S20:V21"/>
    <mergeCell ref="B39:C39"/>
    <mergeCell ref="B32:C32"/>
    <mergeCell ref="E22:F22"/>
    <mergeCell ref="I22:J22"/>
    <mergeCell ref="B33:C33"/>
    <mergeCell ref="B30:C30"/>
    <mergeCell ref="B31:C31"/>
    <mergeCell ref="B38:C38"/>
    <mergeCell ref="K22:L22"/>
    <mergeCell ref="D53:I53"/>
    <mergeCell ref="B48:M48"/>
    <mergeCell ref="AA41:AB41"/>
    <mergeCell ref="F43:K43"/>
    <mergeCell ref="L43:N43"/>
    <mergeCell ref="P41:R41"/>
    <mergeCell ref="P43:R43"/>
    <mergeCell ref="L41:N41"/>
    <mergeCell ref="T41:Z41"/>
    <mergeCell ref="T43:V43"/>
    <mergeCell ref="X43:Z43"/>
    <mergeCell ref="J63:K63"/>
    <mergeCell ref="J55:K55"/>
    <mergeCell ref="J59:K59"/>
    <mergeCell ref="J51:K51"/>
    <mergeCell ref="B55:C55"/>
    <mergeCell ref="B53:C53"/>
    <mergeCell ref="B50:C50"/>
    <mergeCell ref="B36:C36"/>
    <mergeCell ref="B37:C37"/>
    <mergeCell ref="B51:C51"/>
    <mergeCell ref="B46:M47"/>
    <mergeCell ref="B49:M49"/>
    <mergeCell ref="B43:E43"/>
    <mergeCell ref="B41:E41"/>
    <mergeCell ref="L67:Q67"/>
    <mergeCell ref="H67:I67"/>
    <mergeCell ref="J67:K67"/>
    <mergeCell ref="B59:C59"/>
    <mergeCell ref="J65:K65"/>
    <mergeCell ref="B61:C61"/>
    <mergeCell ref="D61:I61"/>
    <mergeCell ref="J61:K61"/>
    <mergeCell ref="B63:C63"/>
    <mergeCell ref="D63:I63"/>
    <mergeCell ref="B71:G71"/>
    <mergeCell ref="H71:I71"/>
    <mergeCell ref="H66:I66"/>
    <mergeCell ref="B57:C57"/>
    <mergeCell ref="D57:I57"/>
    <mergeCell ref="B65:C65"/>
    <mergeCell ref="D65:I65"/>
    <mergeCell ref="D59:I59"/>
    <mergeCell ref="B69:C69"/>
    <mergeCell ref="D69:E69"/>
    <mergeCell ref="B35:C35"/>
    <mergeCell ref="B27:D27"/>
    <mergeCell ref="B29:C29"/>
    <mergeCell ref="B25:D25"/>
    <mergeCell ref="B34:C34"/>
    <mergeCell ref="K24:L24"/>
    <mergeCell ref="K23:L23"/>
    <mergeCell ref="Q24:R24"/>
    <mergeCell ref="O24:P24"/>
    <mergeCell ref="G22:H22"/>
    <mergeCell ref="S25:S26"/>
    <mergeCell ref="M22:N22"/>
    <mergeCell ref="AB26:AB29"/>
    <mergeCell ref="Z26:Z29"/>
    <mergeCell ref="AA26:AA29"/>
    <mergeCell ref="W26:X29"/>
    <mergeCell ref="M24:N24"/>
    <mergeCell ref="S22:V23"/>
    <mergeCell ref="I24:J24"/>
    <mergeCell ref="N12:Q12"/>
    <mergeCell ref="N13:Q13"/>
    <mergeCell ref="B24:D24"/>
    <mergeCell ref="G23:H23"/>
    <mergeCell ref="E23:F23"/>
    <mergeCell ref="E24:F24"/>
    <mergeCell ref="G24:H24"/>
    <mergeCell ref="I23:J23"/>
    <mergeCell ref="O22:P22"/>
    <mergeCell ref="Q22:R22"/>
    <mergeCell ref="B13:E13"/>
    <mergeCell ref="B15:E15"/>
    <mergeCell ref="E20:R20"/>
    <mergeCell ref="H18:I18"/>
    <mergeCell ref="P18:Q18"/>
    <mergeCell ref="N16:Q16"/>
    <mergeCell ref="B16:E16"/>
    <mergeCell ref="F15:Q15"/>
    <mergeCell ref="E18:G18"/>
    <mergeCell ref="M18:O18"/>
    <mergeCell ref="A1:C1"/>
    <mergeCell ref="F7:I7"/>
    <mergeCell ref="F8:I8"/>
    <mergeCell ref="F9:I9"/>
    <mergeCell ref="B7:E7"/>
    <mergeCell ref="B8:E8"/>
    <mergeCell ref="B9:E9"/>
    <mergeCell ref="F10:I10"/>
    <mergeCell ref="B22:D22"/>
    <mergeCell ref="B23:D23"/>
    <mergeCell ref="B18:D18"/>
    <mergeCell ref="B12:E12"/>
    <mergeCell ref="B10:E10"/>
    <mergeCell ref="I21:J21"/>
    <mergeCell ref="G21:H21"/>
    <mergeCell ref="E21:F21"/>
    <mergeCell ref="F11:I11"/>
    <mergeCell ref="J13:M13"/>
    <mergeCell ref="N11:Q11"/>
    <mergeCell ref="J7:M7"/>
    <mergeCell ref="J8:M8"/>
    <mergeCell ref="J9:M9"/>
    <mergeCell ref="J10:M10"/>
    <mergeCell ref="N7:Q7"/>
    <mergeCell ref="N8:Q8"/>
    <mergeCell ref="N9:Q9"/>
    <mergeCell ref="N10:Q10"/>
    <mergeCell ref="B11:E11"/>
    <mergeCell ref="Q21:R21"/>
    <mergeCell ref="K21:L21"/>
    <mergeCell ref="M21:N21"/>
    <mergeCell ref="O21:P21"/>
    <mergeCell ref="R18:U18"/>
    <mergeCell ref="F12:I12"/>
    <mergeCell ref="F13:I13"/>
    <mergeCell ref="J11:M11"/>
    <mergeCell ref="J12:M12"/>
    <mergeCell ref="B67:G67"/>
    <mergeCell ref="V18:X18"/>
    <mergeCell ref="J18:L18"/>
    <mergeCell ref="F16:I16"/>
    <mergeCell ref="J16:M16"/>
    <mergeCell ref="O23:P23"/>
    <mergeCell ref="Q23:R23"/>
    <mergeCell ref="M23:N23"/>
    <mergeCell ref="T26:U29"/>
    <mergeCell ref="S24:Y24"/>
  </mergeCells>
  <conditionalFormatting sqref="B38:D38 P38 F38 H38 J38 L38 N38 R38">
    <cfRule type="expression" priority="1" dxfId="0" stopIfTrue="1">
      <formula>AND(SSize9=0,SUM($E38,$G38,$I38,$K38,$M38,$O38,$Q38)=0)</formula>
    </cfRule>
  </conditionalFormatting>
  <conditionalFormatting sqref="F37 P37 N37 L37 J37 H37 B37:D37 R37">
    <cfRule type="expression" priority="2" dxfId="0" stopIfTrue="1">
      <formula>AND(SSize8=0,SUM($E37,$G37,$I37,$K37,$M37,$O37,$Q37)=0)</formula>
    </cfRule>
  </conditionalFormatting>
  <conditionalFormatting sqref="F36 P36 N36 L36 J36 H36 B36:D36 R36">
    <cfRule type="expression" priority="3" dxfId="0" stopIfTrue="1">
      <formula>AND(SSize7=0,SUM($E36,$G36,$I36,$K36,$M36,$O36,$Q36)=0)</formula>
    </cfRule>
  </conditionalFormatting>
  <conditionalFormatting sqref="F35 P35 N35 L35 J35 H35 B35:D35 R35">
    <cfRule type="expression" priority="4" dxfId="0" stopIfTrue="1">
      <formula>AND(SSize6=0,SUM($E35,$G35,$I35,$K35,$M35,$O35,$Q35)=0)</formula>
    </cfRule>
  </conditionalFormatting>
  <conditionalFormatting sqref="F34 P34 N34 L34 J34 H34 B34:D34 R34">
    <cfRule type="expression" priority="5" dxfId="0" stopIfTrue="1">
      <formula>AND(SSize5=0,SUM($E34,$G34,$I34,$K34,$M34,$O34,$Q34)=0)</formula>
    </cfRule>
  </conditionalFormatting>
  <conditionalFormatting sqref="F33 P33 N33 L33 J33 H33 B33:D33 R33">
    <cfRule type="expression" priority="6" dxfId="0" stopIfTrue="1">
      <formula>AND(SSize4=0,SUM($E33,$G33,$I33,$K33,$M33,$O33,$Q33)=0)</formula>
    </cfRule>
  </conditionalFormatting>
  <conditionalFormatting sqref="F32 P32 N32 L32 J32 H32 B32:D32 R32">
    <cfRule type="expression" priority="7" dxfId="0" stopIfTrue="1">
      <formula>AND(SSize3=0,SUM($E32,$G32,$I32,$K32,$M32,$O32,$Q32)=0)</formula>
    </cfRule>
  </conditionalFormatting>
  <conditionalFormatting sqref="F31 P31 N31 L31 J31 H31 B31:D31 R31">
    <cfRule type="expression" priority="8" dxfId="0" stopIfTrue="1">
      <formula>AND(SSize2=0,SUM($E31,$G31,$I31,$K31,$M31,$O31,$Q31)=0)</formula>
    </cfRule>
  </conditionalFormatting>
  <conditionalFormatting sqref="B30:R30">
    <cfRule type="expression" priority="9" dxfId="0" stopIfTrue="1">
      <formula>AND(SSize1=0,SUM($E30,$G30,$I30,$K30,$M30,$O30,$Q30)=0)</formula>
    </cfRule>
  </conditionalFormatting>
  <conditionalFormatting sqref="E31 G31 I31 K31 M31 O31 Q31">
    <cfRule type="expression" priority="10" dxfId="0" stopIfTrue="1">
      <formula>AND(SSize2=0,SUM($E31,$G31,$I31,$K31,$M31,$O31,$Q31)=0)</formula>
    </cfRule>
    <cfRule type="cellIs" priority="11" dxfId="1" operator="greaterThan" stopIfTrue="1">
      <formula>E$30</formula>
    </cfRule>
  </conditionalFormatting>
  <conditionalFormatting sqref="E32 G32 I32 K32 M32 O32 Q32">
    <cfRule type="expression" priority="12" dxfId="0" stopIfTrue="1">
      <formula>AND(SSize3=0,SUM($E32,$G32,$I32,$K32,$M32,$O32,$Q32)=0)</formula>
    </cfRule>
    <cfRule type="cellIs" priority="13" dxfId="1" operator="greaterThan" stopIfTrue="1">
      <formula>E$31</formula>
    </cfRule>
  </conditionalFormatting>
  <conditionalFormatting sqref="E33 G33 I33 K33 M33 O33 Q33">
    <cfRule type="expression" priority="14" dxfId="0" stopIfTrue="1">
      <formula>AND(SSize4=0,SUM($E33,$G33,$I33,$K33,$M33,$O33,$Q33)=0)</formula>
    </cfRule>
    <cfRule type="cellIs" priority="15" dxfId="1" operator="greaterThan" stopIfTrue="1">
      <formula>E$32</formula>
    </cfRule>
  </conditionalFormatting>
  <conditionalFormatting sqref="E34 G34 I34 K34 M34 O34 Q34">
    <cfRule type="expression" priority="16" dxfId="0" stopIfTrue="1">
      <formula>AND(SSize5=0,SUM($E34,$G34,$I34,$K34,$M34,$O34,$Q34)=0)</formula>
    </cfRule>
    <cfRule type="cellIs" priority="17" dxfId="1" operator="greaterThan" stopIfTrue="1">
      <formula>E$33</formula>
    </cfRule>
  </conditionalFormatting>
  <conditionalFormatting sqref="E35 G35 I35 K35 M35 O35 Q35">
    <cfRule type="expression" priority="18" dxfId="0" stopIfTrue="1">
      <formula>AND(SSize6=0,SUM($E35,$G35,$I35,$K35,$M35,$O35,$Q35)=0)</formula>
    </cfRule>
    <cfRule type="cellIs" priority="19" dxfId="1" operator="greaterThan" stopIfTrue="1">
      <formula>E$34</formula>
    </cfRule>
  </conditionalFormatting>
  <conditionalFormatting sqref="E36 G36 I36 K36 M36 O36 Q36">
    <cfRule type="expression" priority="20" dxfId="0" stopIfTrue="1">
      <formula>AND(SSize7=0,SUM($E36,$G36,$I36,$K36,$M36,$O36,$Q36)=0)</formula>
    </cfRule>
    <cfRule type="cellIs" priority="21" dxfId="1" operator="greaterThan" stopIfTrue="1">
      <formula>E$35</formula>
    </cfRule>
  </conditionalFormatting>
  <conditionalFormatting sqref="E37 G37 I37 K37 M37 O37 Q37">
    <cfRule type="expression" priority="22" dxfId="0" stopIfTrue="1">
      <formula>AND(SSize8=0,SUM($E37,$G37,$I37,$K37,$M37,$O37,$Q37)=0)</formula>
    </cfRule>
    <cfRule type="cellIs" priority="23" dxfId="1" operator="greaterThan" stopIfTrue="1">
      <formula>E$36</formula>
    </cfRule>
  </conditionalFormatting>
  <conditionalFormatting sqref="E38 O38 G38 I38 K38 M38 Q38">
    <cfRule type="expression" priority="24" dxfId="0" stopIfTrue="1">
      <formula>AND(SSize9=0,SUM($E38,$G38,$I38,$K38,$M38,$O38,$Q38)=0)</formula>
    </cfRule>
    <cfRule type="cellIs" priority="25" dxfId="1" operator="greaterThan" stopIfTrue="1">
      <formula>E$37</formula>
    </cfRule>
  </conditionalFormatting>
  <conditionalFormatting sqref="S30:S39">
    <cfRule type="expression" priority="26" dxfId="0" stopIfTrue="1">
      <formula>IF($D30=0,SUM($E30,$G30,$I30,$K30,$M30,$O30,$Q30)=0)</formula>
    </cfRule>
    <cfRule type="expression" priority="27" dxfId="2" stopIfTrue="1">
      <formula>$V30="no"</formula>
    </cfRule>
    <cfRule type="expression" priority="28" dxfId="1" stopIfTrue="1">
      <formula>$Y30="no"</formula>
    </cfRule>
  </conditionalFormatting>
  <conditionalFormatting sqref="Z30:AB39">
    <cfRule type="expression" priority="29" dxfId="0" stopIfTrue="1">
      <formula>AND($D30=0,SUM($E30,$G30,$I30,$K30,$M30,$O30,$Q30)=0)</formula>
    </cfRule>
  </conditionalFormatting>
  <conditionalFormatting sqref="W30:X39">
    <cfRule type="expression" priority="30" dxfId="0" stopIfTrue="1">
      <formula>OR($W30="",$X30="",AND($D30=0,SUM($E30,$G30,$I30,$K30,$M30,$O30,$Q30)=0))</formula>
    </cfRule>
  </conditionalFormatting>
  <conditionalFormatting sqref="Y30:Y39">
    <cfRule type="expression" priority="31" dxfId="0" stopIfTrue="1">
      <formula>OR($W30="",$X30="",AND($D30=0,SUM($E30,$G30,$I30,$K30,$M30,$O30,$Q30)=0))</formula>
    </cfRule>
    <cfRule type="cellIs" priority="32" dxfId="3" operator="equal" stopIfTrue="1">
      <formula>"no"</formula>
    </cfRule>
  </conditionalFormatting>
  <conditionalFormatting sqref="T30:U39">
    <cfRule type="expression" priority="33" dxfId="0" stopIfTrue="1">
      <formula>OR(AND($T30="",$U30="",SUM($E30,$G30,$I30,$K30,$M30,$O30,$Q30)=0),AND($D30=0,SUM($E30,$G30,$I30,$K30,$M30,$O30,$Q30)=0))</formula>
    </cfRule>
  </conditionalFormatting>
  <conditionalFormatting sqref="V30:V39">
    <cfRule type="expression" priority="34" dxfId="0" stopIfTrue="1">
      <formula>OR(AND($T30="",$U30="",SUM($E30,$G30,$I30,$K30,$M30,$O30,$Q30)=0),AND($D30=0,SUM($E30,$G30,$I30,$K30,$M30,$O30,$Q30)=0))</formula>
    </cfRule>
    <cfRule type="cellIs" priority="35" dxfId="2" operator="equal" stopIfTrue="1">
      <formula>"no"</formula>
    </cfRule>
  </conditionalFormatting>
  <conditionalFormatting sqref="B39:D39 F39 H39 J39 L39 N39 P39 R39">
    <cfRule type="expression" priority="36" dxfId="0" stopIfTrue="1">
      <formula>AND(SSize10=0,SUM($E39,$G39,$I39,$K39,$M39,$O39,$Q39)=0)</formula>
    </cfRule>
  </conditionalFormatting>
  <conditionalFormatting sqref="E39 G39 I39 K39 M39 O39 Q39">
    <cfRule type="expression" priority="37" dxfId="0" stopIfTrue="1">
      <formula>AND(SSize10=0,SUM($E39,$G39,$I39,$K39,$M39,$O39,$Q39)=0)</formula>
    </cfRule>
    <cfRule type="cellIs" priority="38" dxfId="1" operator="greaterThan" stopIfTrue="1">
      <formula>E$38</formula>
    </cfRule>
  </conditionalFormatting>
  <conditionalFormatting sqref="O41 L41 B41 S41">
    <cfRule type="expression" priority="39" dxfId="0" stopIfTrue="1">
      <formula>(SUM(SSize9,MixDes9,JMFDes9)=0)</formula>
    </cfRule>
  </conditionalFormatting>
  <conditionalFormatting sqref="F41">
    <cfRule type="expression" priority="40" dxfId="0" stopIfTrue="1">
      <formula>(SUM(SSize1,MixDes1,JMFDes1)=0)</formula>
    </cfRule>
  </conditionalFormatting>
  <conditionalFormatting sqref="F25">
    <cfRule type="expression" priority="41" dxfId="0" stopIfTrue="1">
      <formula>AND(Bin1RAP&lt;&gt;"Yes",BIN1rapac="")</formula>
    </cfRule>
    <cfRule type="expression" priority="42" dxfId="4" stopIfTrue="1">
      <formula>AND(Bin1RAP&lt;&gt;"Yes",BIN1rapac&lt;&gt;"")</formula>
    </cfRule>
  </conditionalFormatting>
  <conditionalFormatting sqref="S27">
    <cfRule type="expression" priority="43" dxfId="5" stopIfTrue="1">
      <formula>AND($S$27&lt;&gt;0,$S$27&lt;&gt;1)</formula>
    </cfRule>
  </conditionalFormatting>
  <conditionalFormatting sqref="H25">
    <cfRule type="expression" priority="44" dxfId="0" stopIfTrue="1">
      <formula>AND(Bin2RAP&lt;&gt;"Yes",BIN2Rapac="")</formula>
    </cfRule>
    <cfRule type="expression" priority="45" dxfId="4" stopIfTrue="1">
      <formula>AND(Bin2RAP&lt;&gt;"Yes",BIN2Rapac&lt;&gt;"")</formula>
    </cfRule>
  </conditionalFormatting>
  <conditionalFormatting sqref="J25">
    <cfRule type="expression" priority="46" dxfId="0" stopIfTrue="1">
      <formula>AND(Bin3RAP&lt;&gt;"Yes",Bin3Rapac="")</formula>
    </cfRule>
    <cfRule type="expression" priority="47" dxfId="4" stopIfTrue="1">
      <formula>AND(Bin3RAP&lt;&gt;"Yes",Bin3Rapac&lt;&gt;"")</formula>
    </cfRule>
  </conditionalFormatting>
  <conditionalFormatting sqref="L25">
    <cfRule type="expression" priority="48" dxfId="0" stopIfTrue="1">
      <formula>AND(Bin4RAP&lt;&gt;"Yes",Bin4Rapac="")</formula>
    </cfRule>
    <cfRule type="expression" priority="49" dxfId="4" stopIfTrue="1">
      <formula>AND(Bin4RAP&lt;&gt;"Yes",Bin4Rapac&lt;&gt;"")</formula>
    </cfRule>
  </conditionalFormatting>
  <conditionalFormatting sqref="N25">
    <cfRule type="expression" priority="50" dxfId="0" stopIfTrue="1">
      <formula>AND(Bin5RAP&lt;&gt;"Yes",Bin5Rapac="")</formula>
    </cfRule>
    <cfRule type="expression" priority="51" dxfId="4" stopIfTrue="1">
      <formula>AND(Bin5RAP&lt;&gt;"Yes",Bin5Rapac&lt;&gt;"")</formula>
    </cfRule>
  </conditionalFormatting>
  <conditionalFormatting sqref="P25">
    <cfRule type="expression" priority="52" dxfId="0" stopIfTrue="1">
      <formula>AND(Bin6RAP&lt;&gt;"Yes",Bin6Rapac="")</formula>
    </cfRule>
    <cfRule type="expression" priority="53" dxfId="4" stopIfTrue="1">
      <formula>AND(Bin6RAP&lt;&gt;"Yes",Bin6Rapac&lt;&gt;"")</formula>
    </cfRule>
  </conditionalFormatting>
  <conditionalFormatting sqref="R25">
    <cfRule type="expression" priority="54" dxfId="0" stopIfTrue="1">
      <formula>AND(Bin7RAP&lt;&gt;"Yes",Bin7Rapac="")</formula>
    </cfRule>
    <cfRule type="expression" priority="55" dxfId="4" stopIfTrue="1">
      <formula>AND(Bin7RAP&lt;&gt;"Yes",Bin7Rapac&lt;&gt;"")</formula>
    </cfRule>
  </conditionalFormatting>
  <conditionalFormatting sqref="Y29">
    <cfRule type="expression" priority="56" dxfId="6" stopIfTrue="1">
      <formula>LEFT(Grade,1)&lt;&gt;"s"</formula>
    </cfRule>
  </conditionalFormatting>
  <conditionalFormatting sqref="W26:X29">
    <cfRule type="expression" priority="57" dxfId="6" stopIfTrue="1">
      <formula>LEFT(Grade,10)&lt;&gt;"ITEM344_SP"</formula>
    </cfRule>
  </conditionalFormatting>
  <conditionalFormatting sqref="K40:P40">
    <cfRule type="expression" priority="58" dxfId="2" stopIfTrue="1">
      <formula>AND(bindercheck&lt;&gt;"#REF!",OR(INDEX(INDIRECT(Grade),1,10)&gt;Binder,INDEX(INDIRECT(Grade),1,11)&lt;Binder))</formula>
    </cfRule>
  </conditionalFormatting>
  <conditionalFormatting sqref="T41:Z41">
    <cfRule type="expression" priority="59" dxfId="7" stopIfTrue="1">
      <formula>LEFT(Grade,8)&lt;&gt;"ITEM3001"</formula>
    </cfRule>
  </conditionalFormatting>
  <conditionalFormatting sqref="AA41:AB41">
    <cfRule type="expression" priority="60" dxfId="7" stopIfTrue="1">
      <formula>LEFT(Grade,8)&lt;&gt;"ITEM3001"</formula>
    </cfRule>
    <cfRule type="expression" priority="61" dxfId="2" stopIfTrue="1">
      <formula>memappcheck=1</formula>
    </cfRule>
  </conditionalFormatting>
  <conditionalFormatting sqref="T43:V43">
    <cfRule type="expression" priority="62" dxfId="7" stopIfTrue="1">
      <formula>AND(MID(Grade,13,3)&lt;&gt;"A_R",MID(Grade,11,2)&lt;&gt;"AR")</formula>
    </cfRule>
  </conditionalFormatting>
  <conditionalFormatting sqref="W43">
    <cfRule type="expression" priority="63" dxfId="7" stopIfTrue="1">
      <formula>AND(MID(Grade,13,3)&lt;&gt;"A_R",MID(Grade,11,2)&lt;&gt;"AR")</formula>
    </cfRule>
    <cfRule type="cellIs" priority="64" dxfId="2" operator="lessThan" stopIfTrue="1">
      <formula>15</formula>
    </cfRule>
  </conditionalFormatting>
  <conditionalFormatting sqref="X43:Z43">
    <cfRule type="expression" priority="65" dxfId="8" stopIfTrue="1">
      <formula>OR(percentrubber="",percentrubber&gt;=15)</formula>
    </cfRule>
  </conditionalFormatting>
  <conditionalFormatting sqref="P45">
    <cfRule type="expression" priority="66" dxfId="9" stopIfTrue="1">
      <formula>fiberconstraint&lt;&gt;""</formula>
    </cfRule>
  </conditionalFormatting>
  <conditionalFormatting sqref="S43">
    <cfRule type="expression" priority="67" dxfId="10" stopIfTrue="1">
      <formula>NOT(OR(percentfiberlabel="% Fiber",percentfiberlabel="% Crumb Rubbr"))</formula>
    </cfRule>
  </conditionalFormatting>
  <conditionalFormatting sqref="P43:R43">
    <cfRule type="expression" priority="68" dxfId="11" stopIfTrue="1">
      <formula>OR(percentfiberlabel="% Fiber",percentfiberlabel="% Crumb Rubber")</formula>
    </cfRule>
  </conditionalFormatting>
  <conditionalFormatting sqref="S20:V23">
    <cfRule type="expression" priority="69" dxfId="0" stopIfTrue="1">
      <formula>(AND(LEFT(Grade,7)&lt;&gt;"ITEM344",LEFT(Grade,7)&lt;&gt;"ITEM346"))</formula>
    </cfRule>
  </conditionalFormatting>
  <conditionalFormatting sqref="B48:M49">
    <cfRule type="cellIs" priority="70" dxfId="12" operator="equal" stopIfTrue="1">
      <formula>""</formula>
    </cfRule>
  </conditionalFormatting>
  <dataValidations count="19">
    <dataValidation type="custom" showInputMessage="1" showErrorMessage="1" promptTitle="Asphalt Content" prompt="Enter the RAP's asphalt content." errorTitle="Error" error="This cell is unavailable for input. If you wish to enter a value for the RAP's asphalt content, first select &quot;yes&quot; in the adjacent cell's dropdown list." sqref="F25 R25 P25 N25 L25 J25 H25">
      <formula1>E$25="yes"</formula1>
    </dataValidation>
    <dataValidation type="list" allowBlank="1" sqref="J67 J51 J63 J61 J59 J57 J55 J53 J65">
      <formula1>TodaysDate</formula1>
    </dataValidation>
    <dataValidation type="textLength" operator="lessThan" allowBlank="1" showInputMessage="1" showErrorMessage="1" errorTitle="Text Length" error="Please limit the text length to 200 characters." sqref="B46">
      <formula1>201</formula1>
    </dataValidation>
    <dataValidation type="list" allowBlank="1" showInputMessage="1" showErrorMessage="1" sqref="E25 Q25 O25 M25 K25 I25 G25">
      <formula1>"Yes"</formula1>
    </dataValidation>
    <dataValidation type="custom" allowBlank="1" showInputMessage="1" showErrorMessage="1" sqref="E38:E39 Q38:Q39 M38:M39 K38:K39 I38:I39 G38:G39 O38:O39">
      <formula1>SSize9&lt;&gt;0</formula1>
    </dataValidation>
    <dataValidation type="custom" allowBlank="1" showInputMessage="1" showErrorMessage="1" sqref="E37 Q37 O37 M37 K37 I37 G37">
      <formula1>SSize8&lt;&gt;0</formula1>
    </dataValidation>
    <dataValidation type="custom" allowBlank="1" showInputMessage="1" showErrorMessage="1" sqref="E36 Q36 O36 M36 K36 I36 G36">
      <formula1>SSize7&lt;&gt;0</formula1>
    </dataValidation>
    <dataValidation type="custom" allowBlank="1" showInputMessage="1" showErrorMessage="1" sqref="E35 Q35 O35 M35 K35 I35 G35">
      <formula1>SSize6&lt;&gt;0</formula1>
    </dataValidation>
    <dataValidation type="custom" allowBlank="1" showInputMessage="1" showErrorMessage="1" sqref="E34 Q34 O34 M34 K34 I34 G34">
      <formula1>SSize5&lt;&gt;0</formula1>
    </dataValidation>
    <dataValidation type="custom" allowBlank="1" showInputMessage="1" showErrorMessage="1" sqref="E33 Q33 O33 M33 K33 I33 G33">
      <formula1>SSize4&lt;&gt;0</formula1>
    </dataValidation>
    <dataValidation type="custom" allowBlank="1" showInputMessage="1" showErrorMessage="1" sqref="E32 Q32 O32 M32 K32 I32 G32">
      <formula1>SSize3&lt;&gt;0</formula1>
    </dataValidation>
    <dataValidation type="custom" allowBlank="1" showInputMessage="1" showErrorMessage="1" sqref="E31 Q31 O31 M31 K31 I31 G31">
      <formula1>SSize2&lt;&gt;0</formula1>
    </dataValidation>
    <dataValidation type="custom" allowBlank="1" showInputMessage="1" showErrorMessage="1" sqref="E30 Q30 O30 M30 K30 I30 G30">
      <formula1>SSize1&lt;&gt;0</formula1>
    </dataValidation>
    <dataValidation allowBlank="1" showInputMessage="1" showErrorMessage="1" error="Please select an item from the dropdown list." sqref="N12:Q12"/>
    <dataValidation type="list" allowBlank="1" showInputMessage="1" showErrorMessage="1" sqref="N10:Q10">
      <formula1>"2004"</formula1>
    </dataValidation>
    <dataValidation type="list" allowBlank="1" showInputMessage="1" showErrorMessage="1" sqref="N13:Q14">
      <formula1>mixtype</formula1>
    </dataValidation>
    <dataValidation type="list" allowBlank="1" showInputMessage="1" showErrorMessage="1" promptTitle="Omit Indicator" prompt="Select &quot;Yes&quot; and this test will not be included in the count of satisfied tests for the associated CSJ(s)" sqref="H67:I67">
      <formula1>"Yes"</formula1>
    </dataValidation>
    <dataValidation type="textLength" operator="equal" allowBlank="1" showInputMessage="1" showErrorMessage="1" promptTitle="Pre SM 3.7 Reviewed By" prompt="This field is read-only." errorTitle="Pre SM 3.7 Reviewed By" error="This field is read-only." sqref="B48:M48">
      <formula1>0</formula1>
    </dataValidation>
    <dataValidation type="textLength" operator="equal" allowBlank="1" showInputMessage="1" showErrorMessage="1" promptTitle="Pre SM 3.7 Producer field" prompt="This field is read-only." errorTitle="Pre SM 3.7 Producer field" error="This field is read-only." sqref="B49:M49">
      <formula1>0</formula1>
    </dataValidation>
  </dataValidations>
  <hyperlinks>
    <hyperlink ref="A1:C1" r:id="rId1" display="TxDOT Manuals &gt;"/>
    <hyperlink ref="E1" r:id="rId2" display="Tex-207-F"/>
    <hyperlink ref="G1" r:id="rId3" display="Tex-226-F"/>
    <hyperlink ref="I1" r:id="rId4" display="Tex-227-F"/>
    <hyperlink ref="K1" r:id="rId5" display="Tex-235-F"/>
    <hyperlink ref="M1" r:id="rId6" display="Tex-242-F"/>
    <hyperlink ref="O1" r:id="rId7" display="Tex-530-F"/>
  </hyperlinks>
  <printOptions horizontalCentered="1"/>
  <pageMargins left="0.28" right="0.21" top="0.37" bottom="0.51" header="0.22" footer="0.24"/>
  <pageSetup fitToHeight="1" fitToWidth="1" horizontalDpi="600" verticalDpi="600" orientation="landscape" scale="60" r:id="rId11"/>
  <headerFooter alignWithMargins="0">
    <oddFooter>&amp;L&amp;A&amp;CPage &amp;P of &amp;N&amp;R&amp;D</oddFooter>
  </headerFooter>
  <drawing r:id="rId10"/>
  <legacyDrawing r:id="rId9"/>
</worksheet>
</file>

<file path=xl/worksheets/sheet10.xml><?xml version="1.0" encoding="utf-8"?>
<worksheet xmlns="http://schemas.openxmlformats.org/spreadsheetml/2006/main" xmlns:r="http://schemas.openxmlformats.org/officeDocument/2006/relationships">
  <sheetPr codeName="Sheet7">
    <pageSetUpPr fitToPage="1"/>
  </sheetPr>
  <dimension ref="A1:J9"/>
  <sheetViews>
    <sheetView showGridLines="0" workbookViewId="0" topLeftCell="A1">
      <selection activeCell="A1" sqref="A1:A2"/>
    </sheetView>
  </sheetViews>
  <sheetFormatPr defaultColWidth="9.140625" defaultRowHeight="12.75"/>
  <cols>
    <col min="1" max="1" width="9.8515625" style="141" customWidth="1"/>
    <col min="2" max="15" width="10.28125" style="141" customWidth="1"/>
    <col min="16" max="16384" width="9.140625" style="141" customWidth="1"/>
  </cols>
  <sheetData>
    <row r="1" spans="1:10" ht="6.75" customHeight="1">
      <c r="A1" s="831" t="s">
        <v>105</v>
      </c>
      <c r="B1" s="83"/>
      <c r="C1" s="831" t="s">
        <v>106</v>
      </c>
      <c r="D1" s="831" t="s">
        <v>107</v>
      </c>
      <c r="E1" s="832" t="s">
        <v>108</v>
      </c>
      <c r="F1" s="832"/>
      <c r="G1" s="832"/>
      <c r="H1" s="831" t="s">
        <v>259</v>
      </c>
      <c r="I1" s="831" t="s">
        <v>109</v>
      </c>
      <c r="J1" s="831" t="s">
        <v>110</v>
      </c>
    </row>
    <row r="2" spans="1:10" ht="25.5">
      <c r="A2" s="831"/>
      <c r="B2" s="83"/>
      <c r="C2" s="831"/>
      <c r="D2" s="831"/>
      <c r="E2" s="83" t="s">
        <v>257</v>
      </c>
      <c r="F2" s="83" t="s">
        <v>258</v>
      </c>
      <c r="G2" s="83"/>
      <c r="H2" s="831"/>
      <c r="I2" s="831"/>
      <c r="J2" s="831"/>
    </row>
    <row r="3" spans="1:10" ht="12.75">
      <c r="A3" s="84">
        <f>IF(Summary!B24&lt;&gt;"",Summary!B24,NA())</f>
        <v>6</v>
      </c>
      <c r="B3" s="84"/>
      <c r="C3" s="85">
        <f>IF(Summary!L24&lt;&gt;"",Summary!L24,NA())</f>
        <v>96.78276767920913</v>
      </c>
      <c r="D3" s="85">
        <f>IF(Summary!U24&lt;&gt;"",Summary!U24,NA())</f>
        <v>16.59735043102709</v>
      </c>
      <c r="E3" s="85" t="e">
        <f>IF(Summary!Y24&lt;&gt;"",Summary!Y24,NA())</f>
        <v>#N/A</v>
      </c>
      <c r="F3" s="85" t="e">
        <f>IF(Summary!AA24&lt;&gt;"",Summary!AA24,NA())</f>
        <v>#N/A</v>
      </c>
      <c r="G3" s="85" t="e">
        <f>IF(Summary!AC24&lt;&gt;"",Summary!AC24,NA())</f>
        <v>#N/A</v>
      </c>
      <c r="H3" s="85" t="e">
        <f>IF(Summary!W24&lt;&gt;"",Summary!W24,NA())</f>
        <v>#N/A</v>
      </c>
      <c r="I3" s="85">
        <f>IF(Summary!D24&lt;&gt;"",Summary!D24,NA())</f>
        <v>2.2657</v>
      </c>
      <c r="J3" s="85">
        <f>IF(Summary!F24&lt;&gt;"",Summary!F24,NA())</f>
        <v>2.3406</v>
      </c>
    </row>
    <row r="4" spans="1:10" ht="12.75">
      <c r="A4" s="84">
        <f>IF(Summary!B25&lt;&gt;"",Summary!B25,NA())</f>
        <v>6.5</v>
      </c>
      <c r="B4" s="84"/>
      <c r="C4" s="85">
        <f>IF(Summary!L25&lt;&gt;"",Summary!L25,NA())</f>
        <v>98.32300537218602</v>
      </c>
      <c r="D4" s="85">
        <f>IF(Summary!U25&lt;&gt;"",Summary!U25,NA())</f>
        <v>16.301354864034465</v>
      </c>
      <c r="E4" s="85" t="e">
        <f>IF(Summary!Y25&lt;&gt;"",Summary!Y25,NA())</f>
        <v>#N/A</v>
      </c>
      <c r="F4" s="85" t="e">
        <f>IF(Summary!AA25&lt;&gt;"",Summary!AA25,NA())</f>
        <v>#N/A</v>
      </c>
      <c r="G4" s="85" t="e">
        <f>IF(Summary!AC25&lt;&gt;"",Summary!AC25,NA())</f>
        <v>#N/A</v>
      </c>
      <c r="H4" s="85" t="e">
        <f>IF(Summary!W25&lt;&gt;"",Summary!W25,NA())</f>
        <v>#N/A</v>
      </c>
      <c r="I4" s="85">
        <f>IF(Summary!D25&lt;&gt;"",Summary!D25,NA())</f>
        <v>2.2859</v>
      </c>
      <c r="J4" s="85">
        <f>IF(Summary!F25&lt;&gt;"",Summary!F25,NA())</f>
        <v>2.3265</v>
      </c>
    </row>
    <row r="5" spans="1:10" ht="12.75">
      <c r="A5" s="84">
        <f>IF(Summary!B26&lt;&gt;"",Summary!B26,NA())</f>
        <v>7</v>
      </c>
      <c r="B5" s="84"/>
      <c r="C5" s="85">
        <f>IF(Summary!L26&lt;&gt;"",Summary!L26,NA())</f>
        <v>98.76650045014415</v>
      </c>
      <c r="D5" s="85">
        <f>IF(Summary!U26&lt;&gt;"",Summary!U26,NA())</f>
        <v>16.945605849068436</v>
      </c>
      <c r="E5" s="85" t="e">
        <f>IF(Summary!Y26&lt;&gt;"",Summary!Y26,NA())</f>
        <v>#N/A</v>
      </c>
      <c r="F5" s="85" t="e">
        <f>IF(Summary!AA26&lt;&gt;"",Summary!AA26,NA())</f>
        <v>#N/A</v>
      </c>
      <c r="G5" s="85" t="e">
        <f>IF(Summary!AC26&lt;&gt;"",Summary!AC26,NA())</f>
        <v>#N/A</v>
      </c>
      <c r="H5" s="85" t="e">
        <f>IF(Summary!W26&lt;&gt;"",Summary!W26,NA())</f>
        <v>#N/A</v>
      </c>
      <c r="I5" s="85">
        <f>IF(Summary!D26&lt;&gt;"",Summary!D26,NA())</f>
        <v>2.2805</v>
      </c>
      <c r="J5" s="85">
        <f>IF(Summary!F26&lt;&gt;"",Summary!F26,NA())</f>
        <v>2.3078</v>
      </c>
    </row>
    <row r="6" spans="1:10" ht="12.75">
      <c r="A6" s="84" t="e">
        <f>IF(Summary!B27&lt;&gt;"",Summary!B27,NA())</f>
        <v>#N/A</v>
      </c>
      <c r="B6" s="84"/>
      <c r="C6" s="85" t="e">
        <f>IF(Summary!L27&lt;&gt;"",Summary!L27,NA())</f>
        <v>#N/A</v>
      </c>
      <c r="D6" s="85">
        <f>IF(Summary!U27&lt;&gt;"",Summary!U27,NA())</f>
        <v>0</v>
      </c>
      <c r="E6" s="85" t="e">
        <f>IF(Summary!Y27&lt;&gt;"",Summary!Y27,NA())</f>
        <v>#N/A</v>
      </c>
      <c r="F6" s="85" t="e">
        <f>IF(Summary!AA27&lt;&gt;"",Summary!AA27,NA())</f>
        <v>#N/A</v>
      </c>
      <c r="G6" s="85" t="e">
        <f>IF(Summary!AC27&lt;&gt;"",Summary!AC27,NA())</f>
        <v>#N/A</v>
      </c>
      <c r="H6" s="85" t="e">
        <f>IF(Summary!W27&lt;&gt;"",Summary!W27,NA())</f>
        <v>#N/A</v>
      </c>
      <c r="I6" s="85" t="e">
        <f>IF(Summary!D27&lt;&gt;"",Summary!D27,NA())</f>
        <v>#N/A</v>
      </c>
      <c r="J6" s="85" t="e">
        <f>IF(Summary!F27&lt;&gt;"",Summary!F27,NA())</f>
        <v>#N/A</v>
      </c>
    </row>
    <row r="7" spans="1:10" ht="12.75">
      <c r="A7" s="84" t="e">
        <f>IF(Summary!B28&lt;&gt;"",Summary!B28,NA())</f>
        <v>#N/A</v>
      </c>
      <c r="B7" s="84"/>
      <c r="C7" s="85" t="e">
        <f>IF(Summary!L28&lt;&gt;"",Summary!L28,NA())</f>
        <v>#N/A</v>
      </c>
      <c r="D7" s="85">
        <f>IF(Summary!U28&lt;&gt;"",Summary!U28,NA())</f>
        <v>0</v>
      </c>
      <c r="E7" s="85" t="e">
        <f>IF(Summary!Y28&lt;&gt;"",Summary!Y28,NA())</f>
        <v>#N/A</v>
      </c>
      <c r="F7" s="85" t="e">
        <f>IF(Summary!AA28&lt;&gt;"",Summary!AA28,NA())</f>
        <v>#N/A</v>
      </c>
      <c r="G7" s="85" t="e">
        <f>IF(Summary!AC28&lt;&gt;"",Summary!AC28,NA())</f>
        <v>#N/A</v>
      </c>
      <c r="H7" s="85" t="e">
        <f>IF(Summary!W28&lt;&gt;"",Summary!W28,NA())</f>
        <v>#N/A</v>
      </c>
      <c r="I7" s="85" t="e">
        <f>IF(Summary!D28&lt;&gt;"",Summary!D28,NA())</f>
        <v>#N/A</v>
      </c>
      <c r="J7" s="85" t="e">
        <f>IF(Summary!F28&lt;&gt;"",Summary!F28,NA())</f>
        <v>#N/A</v>
      </c>
    </row>
    <row r="8" spans="1:2" ht="12.75">
      <c r="A8" s="142"/>
      <c r="B8" s="142"/>
    </row>
    <row r="9" spans="1:2" ht="12.75">
      <c r="A9" s="142"/>
      <c r="B9" s="142"/>
    </row>
  </sheetData>
  <sheetProtection password="DE07" sheet="1" formatCells="0" formatColumns="0" formatRows="0"/>
  <mergeCells count="7">
    <mergeCell ref="J1:J2"/>
    <mergeCell ref="I1:I2"/>
    <mergeCell ref="E1:G1"/>
    <mergeCell ref="A1:A2"/>
    <mergeCell ref="C1:C2"/>
    <mergeCell ref="D1:D2"/>
    <mergeCell ref="H1:H2"/>
  </mergeCells>
  <printOptions/>
  <pageMargins left="0.26" right="0.25" top="0.33" bottom="0.41" header="0.19" footer="0.26"/>
  <pageSetup fitToHeight="1" fitToWidth="1" horizontalDpi="600" verticalDpi="600" orientation="portrait" scale="72" r:id="rId2"/>
  <drawing r:id="rId1"/>
</worksheet>
</file>

<file path=xl/worksheets/sheet11.xml><?xml version="1.0" encoding="utf-8"?>
<worksheet xmlns="http://schemas.openxmlformats.org/spreadsheetml/2006/main" xmlns:r="http://schemas.openxmlformats.org/officeDocument/2006/relationships">
  <sheetPr codeName="Sheet41"/>
  <dimension ref="B2:P345"/>
  <sheetViews>
    <sheetView workbookViewId="0" topLeftCell="A118">
      <selection activeCell="C46" sqref="C46:C51"/>
    </sheetView>
  </sheetViews>
  <sheetFormatPr defaultColWidth="9.140625" defaultRowHeight="12.75"/>
  <cols>
    <col min="1" max="1" width="1.421875" style="21" customWidth="1"/>
    <col min="2" max="2" width="10.57421875" style="21" customWidth="1"/>
    <col min="3" max="3" width="12.00390625" style="21" customWidth="1"/>
    <col min="4" max="4" width="11.421875" style="21" customWidth="1"/>
    <col min="5" max="5" width="13.00390625" style="21" customWidth="1"/>
    <col min="6" max="8" width="9.140625" style="21" customWidth="1"/>
    <col min="9" max="9" width="8.7109375" style="21" customWidth="1"/>
    <col min="10" max="10" width="10.8515625" style="21" customWidth="1"/>
    <col min="11" max="12" width="9.140625" style="21" customWidth="1"/>
    <col min="13" max="13" width="15.140625" style="21" bestFit="1" customWidth="1"/>
    <col min="14" max="16" width="11.00390625" style="21" customWidth="1"/>
    <col min="17" max="16384" width="9.140625" style="21" customWidth="1"/>
  </cols>
  <sheetData>
    <row r="2" spans="3:9" ht="15" customHeight="1">
      <c r="C2" s="22"/>
      <c r="D2" s="22"/>
      <c r="E2" s="22"/>
      <c r="F2" s="869" t="s">
        <v>9</v>
      </c>
      <c r="G2" s="870"/>
      <c r="H2" s="23" t="s">
        <v>10</v>
      </c>
      <c r="I2" s="22"/>
    </row>
    <row r="3" spans="2:16" s="24" customFormat="1" ht="38.25" customHeight="1">
      <c r="B3" s="25" t="s">
        <v>11</v>
      </c>
      <c r="C3" s="26"/>
      <c r="D3" s="27"/>
      <c r="E3" s="25"/>
      <c r="F3" s="25" t="s">
        <v>12</v>
      </c>
      <c r="G3" s="25" t="s">
        <v>13</v>
      </c>
      <c r="H3" s="25" t="s">
        <v>12</v>
      </c>
      <c r="J3" s="28" t="s">
        <v>14</v>
      </c>
      <c r="K3" s="28"/>
      <c r="L3" s="28"/>
      <c r="M3" s="28"/>
      <c r="N3" s="140" t="s">
        <v>44</v>
      </c>
      <c r="O3" s="140" t="s">
        <v>103</v>
      </c>
      <c r="P3" s="140" t="s">
        <v>104</v>
      </c>
    </row>
    <row r="4" spans="3:16" ht="12.75" customHeight="1">
      <c r="C4" s="318"/>
      <c r="D4" s="30"/>
      <c r="E4" s="31"/>
      <c r="F4" s="32"/>
      <c r="G4" s="32"/>
      <c r="J4" s="33" t="str">
        <f>sieve1</f>
        <v>3/8"</v>
      </c>
      <c r="K4" s="33">
        <f>IF(J4&lt;&gt;"",VLOOKUP(J4,$D$202:$E$227,2,FALSE),"")</f>
        <v>9.5</v>
      </c>
      <c r="L4" s="33">
        <f>IF(ISERROR(K4^0.45),"",K4^0.45)</f>
        <v>2.754074108566122</v>
      </c>
      <c r="M4" s="33">
        <f>100</f>
        <v>100</v>
      </c>
      <c r="N4" s="33">
        <f>IF(J4="","",'Combined Gradation'!S30)</f>
        <v>99.69999999999999</v>
      </c>
      <c r="O4" s="33">
        <f>'Combined Gradation'!T30</f>
        <v>98</v>
      </c>
      <c r="P4" s="33">
        <f>'Combined Gradation'!U30</f>
        <v>100</v>
      </c>
    </row>
    <row r="5" spans="2:16" ht="12.75" customHeight="1">
      <c r="B5" s="863" t="s">
        <v>230</v>
      </c>
      <c r="C5" s="29" t="s">
        <v>15</v>
      </c>
      <c r="D5" s="30"/>
      <c r="E5" s="31">
        <f aca="true" t="shared" si="0" ref="E5:E71">VLOOKUP(C5,$D$202:$E$227,2,FALSE)</f>
        <v>37.5</v>
      </c>
      <c r="F5" s="32">
        <v>98</v>
      </c>
      <c r="G5" s="32">
        <v>100</v>
      </c>
      <c r="H5" s="866">
        <v>11</v>
      </c>
      <c r="J5" s="33" t="str">
        <f>sieve2</f>
        <v>No. 4</v>
      </c>
      <c r="K5" s="33">
        <f aca="true" t="shared" si="1" ref="K5:K13">IF(J5&lt;&gt;"",VLOOKUP(J5,$D$202:$E$227,2,FALSE),"")</f>
        <v>4.75</v>
      </c>
      <c r="L5" s="33">
        <f aca="true" t="shared" si="2" ref="L5:L13">IF(ISERROR(K5^0.45),"",K5^0.45)</f>
        <v>2.016100253962929</v>
      </c>
      <c r="M5" s="33">
        <f aca="true" t="shared" si="3" ref="M5:M13">IF(ISERROR((100*($L5/$L$4))),"",(100*($L5/$L$4)))</f>
        <v>73.20428479728126</v>
      </c>
      <c r="N5" s="33">
        <f>IF(J5="","",'Combined Gradation'!S31)</f>
        <v>53.38</v>
      </c>
      <c r="O5" s="33">
        <f>'Combined Gradation'!T31</f>
        <v>70</v>
      </c>
      <c r="P5" s="33">
        <f>'Combined Gradation'!U31</f>
        <v>90</v>
      </c>
    </row>
    <row r="6" spans="2:16" ht="12.75">
      <c r="B6" s="864"/>
      <c r="C6" s="29" t="s">
        <v>30</v>
      </c>
      <c r="D6" s="30"/>
      <c r="E6" s="31">
        <f t="shared" si="0"/>
        <v>25</v>
      </c>
      <c r="F6" s="32">
        <v>78</v>
      </c>
      <c r="G6" s="32">
        <v>94</v>
      </c>
      <c r="H6" s="867"/>
      <c r="J6" s="33" t="str">
        <f>sieve3</f>
        <v>No. 8</v>
      </c>
      <c r="K6" s="33">
        <f t="shared" si="1"/>
        <v>2.36</v>
      </c>
      <c r="L6" s="33">
        <f t="shared" si="2"/>
        <v>1.4716698795820382</v>
      </c>
      <c r="M6" s="33">
        <f t="shared" si="3"/>
        <v>53.43610308105495</v>
      </c>
      <c r="N6" s="33">
        <f>IF(J6="","",'Combined Gradation'!S32)</f>
        <v>34.2</v>
      </c>
      <c r="O6" s="33">
        <f>'Combined Gradation'!T32</f>
        <v>40</v>
      </c>
      <c r="P6" s="33">
        <f>'Combined Gradation'!U32</f>
        <v>65</v>
      </c>
    </row>
    <row r="7" spans="2:16" ht="12.75">
      <c r="B7" s="864"/>
      <c r="C7" s="29" t="s">
        <v>173</v>
      </c>
      <c r="D7" s="30"/>
      <c r="E7" s="31">
        <f t="shared" si="0"/>
        <v>19</v>
      </c>
      <c r="F7" s="32">
        <v>64</v>
      </c>
      <c r="G7" s="32">
        <v>85</v>
      </c>
      <c r="H7" s="867"/>
      <c r="J7" s="33" t="str">
        <f>sieve4</f>
        <v>No. 16</v>
      </c>
      <c r="K7" s="33">
        <f t="shared" si="1"/>
        <v>1.18</v>
      </c>
      <c r="L7" s="33">
        <f t="shared" si="2"/>
        <v>1.0773254099250416</v>
      </c>
      <c r="M7" s="33">
        <f t="shared" si="3"/>
        <v>39.11751708402426</v>
      </c>
      <c r="N7" s="33">
        <f>IF(J7="","",'Combined Gradation'!S33)</f>
        <v>22.700000000000003</v>
      </c>
      <c r="O7" s="33">
        <f>'Combined Gradation'!T33</f>
        <v>20</v>
      </c>
      <c r="P7" s="33">
        <f>'Combined Gradation'!U33</f>
        <v>45</v>
      </c>
    </row>
    <row r="8" spans="2:16" ht="12.75">
      <c r="B8" s="864"/>
      <c r="C8" s="29" t="s">
        <v>21</v>
      </c>
      <c r="D8" s="30"/>
      <c r="E8" s="31">
        <f t="shared" si="0"/>
        <v>12.5</v>
      </c>
      <c r="F8" s="32">
        <v>50</v>
      </c>
      <c r="G8" s="32">
        <v>70</v>
      </c>
      <c r="H8" s="867"/>
      <c r="J8" s="33" t="str">
        <f>sieve5</f>
        <v>No. 30</v>
      </c>
      <c r="K8" s="33">
        <f t="shared" si="1"/>
        <v>0.6</v>
      </c>
      <c r="L8" s="33">
        <f t="shared" si="2"/>
        <v>0.7946356822402045</v>
      </c>
      <c r="M8" s="33">
        <f t="shared" si="3"/>
        <v>28.853097299328766</v>
      </c>
      <c r="N8" s="33">
        <f>IF(J8="","",'Combined Gradation'!S34)</f>
        <v>17.34</v>
      </c>
      <c r="O8" s="33">
        <f>'Combined Gradation'!T34</f>
        <v>10</v>
      </c>
      <c r="P8" s="33">
        <f>'Combined Gradation'!U34</f>
        <v>30</v>
      </c>
    </row>
    <row r="9" spans="2:16" ht="12.75">
      <c r="B9" s="864"/>
      <c r="C9" s="29" t="s">
        <v>23</v>
      </c>
      <c r="D9" s="30"/>
      <c r="E9" s="31">
        <f t="shared" si="0"/>
        <v>4.75</v>
      </c>
      <c r="F9" s="32">
        <v>30</v>
      </c>
      <c r="G9" s="32">
        <v>50</v>
      </c>
      <c r="H9" s="867"/>
      <c r="J9" s="33" t="str">
        <f>sieve6</f>
        <v>No. 50</v>
      </c>
      <c r="K9" s="33">
        <f t="shared" si="1"/>
        <v>0.3</v>
      </c>
      <c r="L9" s="33">
        <f t="shared" si="2"/>
        <v>0.5817073679279383</v>
      </c>
      <c r="M9" s="33">
        <f t="shared" si="3"/>
        <v>21.121703519837297</v>
      </c>
      <c r="N9" s="33">
        <f>IF(J9="","",'Combined Gradation'!S35)</f>
        <v>13.36</v>
      </c>
      <c r="O9" s="33">
        <f>'Combined Gradation'!T35</f>
        <v>10</v>
      </c>
      <c r="P9" s="33">
        <f>'Combined Gradation'!U35</f>
        <v>20</v>
      </c>
    </row>
    <row r="10" spans="2:16" ht="12.75">
      <c r="B10" s="864"/>
      <c r="C10" s="29" t="s">
        <v>181</v>
      </c>
      <c r="D10" s="30"/>
      <c r="E10" s="31">
        <f t="shared" si="0"/>
        <v>2.36</v>
      </c>
      <c r="F10" s="32">
        <v>22</v>
      </c>
      <c r="G10" s="32">
        <v>36</v>
      </c>
      <c r="H10" s="867"/>
      <c r="J10" s="33" t="str">
        <f>sieve7</f>
        <v>No. 200</v>
      </c>
      <c r="K10" s="33">
        <f t="shared" si="1"/>
        <v>0.075</v>
      </c>
      <c r="L10" s="33">
        <f t="shared" si="2"/>
        <v>0.3117292599535</v>
      </c>
      <c r="M10" s="33">
        <f t="shared" si="3"/>
        <v>11.318840658060518</v>
      </c>
      <c r="N10" s="33">
        <f>IF(J10="","",'Combined Gradation'!S36)</f>
        <v>7.62</v>
      </c>
      <c r="O10" s="33">
        <f>'Combined Gradation'!T36</f>
        <v>2</v>
      </c>
      <c r="P10" s="33">
        <f>'Combined Gradation'!U36</f>
        <v>10</v>
      </c>
    </row>
    <row r="11" spans="2:16" ht="12.75">
      <c r="B11" s="864"/>
      <c r="C11" s="29" t="s">
        <v>189</v>
      </c>
      <c r="D11" s="30"/>
      <c r="E11" s="31">
        <f t="shared" si="0"/>
        <v>0.6</v>
      </c>
      <c r="F11" s="32">
        <v>8</v>
      </c>
      <c r="G11" s="32">
        <v>23</v>
      </c>
      <c r="H11" s="867"/>
      <c r="J11" s="33">
        <f>sieve8</f>
        <v>0</v>
      </c>
      <c r="K11" s="33" t="e">
        <f t="shared" si="1"/>
        <v>#N/A</v>
      </c>
      <c r="L11" s="33">
        <f t="shared" si="2"/>
      </c>
      <c r="M11" s="33">
        <f t="shared" si="3"/>
      </c>
      <c r="N11" s="33">
        <f>IF(J11="","",'Combined Gradation'!S37)</f>
        <v>0</v>
      </c>
      <c r="O11" s="33">
        <f>'Combined Gradation'!T37</f>
      </c>
      <c r="P11" s="33">
        <f>'Combined Gradation'!U37</f>
      </c>
    </row>
    <row r="12" spans="2:16" ht="12.75">
      <c r="B12" s="864"/>
      <c r="C12" s="29" t="s">
        <v>192</v>
      </c>
      <c r="D12" s="30"/>
      <c r="E12" s="31">
        <f t="shared" si="0"/>
        <v>0.3</v>
      </c>
      <c r="F12" s="32">
        <v>3</v>
      </c>
      <c r="G12" s="32">
        <v>19</v>
      </c>
      <c r="H12" s="867"/>
      <c r="J12" s="33">
        <f>sieve9</f>
        <v>0</v>
      </c>
      <c r="K12" s="33" t="e">
        <f t="shared" si="1"/>
        <v>#N/A</v>
      </c>
      <c r="L12" s="33">
        <f t="shared" si="2"/>
      </c>
      <c r="M12" s="33">
        <f t="shared" si="3"/>
      </c>
      <c r="N12" s="33">
        <f>IF(J12="","",'Combined Gradation'!S38)</f>
        <v>0</v>
      </c>
      <c r="O12" s="33">
        <f>'Combined Gradation'!T38</f>
      </c>
      <c r="P12" s="33">
        <f>'Combined Gradation'!U38</f>
      </c>
    </row>
    <row r="13" spans="2:16" ht="12.75">
      <c r="B13" s="865"/>
      <c r="C13" s="29" t="s">
        <v>29</v>
      </c>
      <c r="D13" s="30"/>
      <c r="E13" s="31">
        <f t="shared" si="0"/>
        <v>0.075</v>
      </c>
      <c r="F13" s="32">
        <v>2</v>
      </c>
      <c r="G13" s="32">
        <v>7</v>
      </c>
      <c r="H13" s="868"/>
      <c r="J13" s="33">
        <f>sieve10</f>
        <v>0</v>
      </c>
      <c r="K13" s="33" t="e">
        <f t="shared" si="1"/>
        <v>#N/A</v>
      </c>
      <c r="L13" s="33">
        <f t="shared" si="2"/>
      </c>
      <c r="M13" s="33">
        <f t="shared" si="3"/>
      </c>
      <c r="N13" s="33">
        <f>IF(J13="","",'Combined Gradation'!S39)</f>
        <v>0</v>
      </c>
      <c r="O13" s="33">
        <f>'Combined Gradation'!T39</f>
      </c>
      <c r="P13" s="33">
        <f>'Combined Gradation'!U39</f>
      </c>
    </row>
    <row r="14" spans="2:16" ht="12.75" customHeight="1">
      <c r="B14" s="854" t="s">
        <v>231</v>
      </c>
      <c r="C14" s="35" t="s">
        <v>15</v>
      </c>
      <c r="D14" s="36"/>
      <c r="E14" s="31">
        <f t="shared" si="0"/>
        <v>37.5</v>
      </c>
      <c r="F14" s="37">
        <v>100</v>
      </c>
      <c r="G14" s="37">
        <v>100</v>
      </c>
      <c r="H14" s="851">
        <v>12</v>
      </c>
      <c r="J14" s="34"/>
      <c r="K14" s="33"/>
      <c r="L14" s="34"/>
      <c r="M14" s="34"/>
      <c r="N14" s="34"/>
      <c r="O14" s="34"/>
      <c r="P14" s="34"/>
    </row>
    <row r="15" spans="2:16" ht="12.75" customHeight="1">
      <c r="B15" s="855"/>
      <c r="C15" s="35" t="s">
        <v>30</v>
      </c>
      <c r="D15" s="36"/>
      <c r="E15" s="31">
        <f t="shared" si="0"/>
        <v>25</v>
      </c>
      <c r="F15" s="37">
        <v>98</v>
      </c>
      <c r="G15" s="37">
        <v>100</v>
      </c>
      <c r="H15" s="852"/>
      <c r="J15" s="212"/>
      <c r="K15" s="213"/>
      <c r="L15" s="212"/>
      <c r="M15" s="212"/>
      <c r="N15" s="212"/>
      <c r="O15" s="212"/>
      <c r="P15" s="212"/>
    </row>
    <row r="16" spans="2:8" ht="12.75">
      <c r="B16" s="855"/>
      <c r="C16" s="35" t="s">
        <v>173</v>
      </c>
      <c r="D16" s="36"/>
      <c r="E16" s="31">
        <f t="shared" si="0"/>
        <v>19</v>
      </c>
      <c r="F16" s="37">
        <v>84</v>
      </c>
      <c r="G16" s="37">
        <v>98</v>
      </c>
      <c r="H16" s="852"/>
    </row>
    <row r="17" spans="2:16" ht="12.75">
      <c r="B17" s="855"/>
      <c r="C17" s="35" t="s">
        <v>34</v>
      </c>
      <c r="D17" s="36"/>
      <c r="E17" s="31">
        <f t="shared" si="0"/>
        <v>9.5</v>
      </c>
      <c r="F17" s="37">
        <v>60</v>
      </c>
      <c r="G17" s="37">
        <v>80</v>
      </c>
      <c r="H17" s="852"/>
      <c r="N17"/>
      <c r="O17"/>
      <c r="P17"/>
    </row>
    <row r="18" spans="2:15" ht="12.75">
      <c r="B18" s="855"/>
      <c r="C18" s="35" t="s">
        <v>23</v>
      </c>
      <c r="D18" s="36"/>
      <c r="E18" s="31">
        <f t="shared" si="0"/>
        <v>4.75</v>
      </c>
      <c r="F18" s="37">
        <v>40</v>
      </c>
      <c r="G18" s="37">
        <v>60</v>
      </c>
      <c r="H18" s="852"/>
      <c r="N18"/>
      <c r="O18"/>
    </row>
    <row r="19" spans="2:15" ht="12.75">
      <c r="B19" s="855"/>
      <c r="C19" s="35" t="s">
        <v>181</v>
      </c>
      <c r="D19" s="36"/>
      <c r="E19" s="31">
        <f t="shared" si="0"/>
        <v>2.36</v>
      </c>
      <c r="F19" s="37">
        <v>29</v>
      </c>
      <c r="G19" s="37">
        <v>43</v>
      </c>
      <c r="H19" s="852"/>
      <c r="O19"/>
    </row>
    <row r="20" spans="2:15" ht="12.75">
      <c r="B20" s="855"/>
      <c r="C20" s="35" t="s">
        <v>189</v>
      </c>
      <c r="D20" s="36"/>
      <c r="E20" s="31">
        <f t="shared" si="0"/>
        <v>0.6</v>
      </c>
      <c r="F20" s="37">
        <v>13</v>
      </c>
      <c r="G20" s="37">
        <v>28</v>
      </c>
      <c r="H20" s="852"/>
      <c r="O20"/>
    </row>
    <row r="21" spans="2:15" ht="12.75">
      <c r="B21" s="855"/>
      <c r="C21" s="35" t="s">
        <v>192</v>
      </c>
      <c r="D21" s="36"/>
      <c r="E21" s="31">
        <f t="shared" si="0"/>
        <v>0.3</v>
      </c>
      <c r="F21" s="37">
        <v>6</v>
      </c>
      <c r="G21" s="37">
        <v>20</v>
      </c>
      <c r="H21" s="852"/>
      <c r="O21"/>
    </row>
    <row r="22" spans="2:15" ht="12.75" customHeight="1">
      <c r="B22" s="855"/>
      <c r="C22" s="35" t="s">
        <v>29</v>
      </c>
      <c r="D22" s="36"/>
      <c r="E22" s="31">
        <f t="shared" si="0"/>
        <v>0.075</v>
      </c>
      <c r="F22" s="37">
        <v>2</v>
      </c>
      <c r="G22" s="37">
        <v>7</v>
      </c>
      <c r="H22" s="852"/>
      <c r="O22"/>
    </row>
    <row r="23" spans="2:15" ht="12.75" customHeight="1">
      <c r="B23" s="857" t="s">
        <v>232</v>
      </c>
      <c r="C23" s="29" t="s">
        <v>30</v>
      </c>
      <c r="D23" s="30"/>
      <c r="E23" s="31">
        <f t="shared" si="0"/>
        <v>25</v>
      </c>
      <c r="F23" s="32">
        <v>100</v>
      </c>
      <c r="G23" s="32">
        <v>100</v>
      </c>
      <c r="H23" s="866">
        <v>13</v>
      </c>
      <c r="O23"/>
    </row>
    <row r="24" spans="2:15" ht="12.75" customHeight="1">
      <c r="B24" s="857"/>
      <c r="C24" s="29" t="s">
        <v>173</v>
      </c>
      <c r="D24" s="30"/>
      <c r="E24" s="31">
        <f t="shared" si="0"/>
        <v>19</v>
      </c>
      <c r="F24" s="32">
        <v>95</v>
      </c>
      <c r="G24" s="32">
        <v>100</v>
      </c>
      <c r="H24" s="867"/>
      <c r="M24" s="323" t="s">
        <v>372</v>
      </c>
      <c r="O24"/>
    </row>
    <row r="25" spans="2:15" ht="12.75">
      <c r="B25" s="857"/>
      <c r="C25" s="29" t="s">
        <v>34</v>
      </c>
      <c r="D25" s="30"/>
      <c r="E25" s="31">
        <f t="shared" si="0"/>
        <v>9.5</v>
      </c>
      <c r="F25" s="32">
        <v>70</v>
      </c>
      <c r="G25" s="32">
        <v>85</v>
      </c>
      <c r="H25" s="867"/>
      <c r="M25" s="324"/>
      <c r="O25"/>
    </row>
    <row r="26" spans="2:15" ht="12.75">
      <c r="B26" s="857"/>
      <c r="C26" s="29" t="s">
        <v>23</v>
      </c>
      <c r="D26" s="30"/>
      <c r="E26" s="31">
        <f t="shared" si="0"/>
        <v>4.75</v>
      </c>
      <c r="F26" s="32">
        <v>43</v>
      </c>
      <c r="G26" s="32">
        <v>63</v>
      </c>
      <c r="H26" s="867"/>
      <c r="O26"/>
    </row>
    <row r="27" spans="2:15" ht="12.75">
      <c r="B27" s="857"/>
      <c r="C27" s="29" t="s">
        <v>181</v>
      </c>
      <c r="D27" s="30"/>
      <c r="E27" s="31">
        <f t="shared" si="0"/>
        <v>2.36</v>
      </c>
      <c r="F27" s="32">
        <v>32</v>
      </c>
      <c r="G27" s="32">
        <v>44</v>
      </c>
      <c r="H27" s="867"/>
      <c r="O27"/>
    </row>
    <row r="28" spans="2:8" ht="12.75">
      <c r="B28" s="857"/>
      <c r="C28" s="29" t="s">
        <v>189</v>
      </c>
      <c r="D28" s="30"/>
      <c r="E28" s="31">
        <f t="shared" si="0"/>
        <v>0.6</v>
      </c>
      <c r="F28" s="32">
        <v>14</v>
      </c>
      <c r="G28" s="32">
        <v>28</v>
      </c>
      <c r="H28" s="867"/>
    </row>
    <row r="29" spans="2:8" ht="12.75">
      <c r="B29" s="857"/>
      <c r="C29" s="29" t="s">
        <v>192</v>
      </c>
      <c r="D29" s="30"/>
      <c r="E29" s="31">
        <f t="shared" si="0"/>
        <v>0.3</v>
      </c>
      <c r="F29" s="32">
        <v>7</v>
      </c>
      <c r="G29" s="32">
        <v>21</v>
      </c>
      <c r="H29" s="867"/>
    </row>
    <row r="30" spans="2:8" ht="12.75">
      <c r="B30" s="857"/>
      <c r="C30" s="29" t="s">
        <v>29</v>
      </c>
      <c r="D30" s="30"/>
      <c r="E30" s="31">
        <f t="shared" si="0"/>
        <v>0.075</v>
      </c>
      <c r="F30" s="32">
        <v>2</v>
      </c>
      <c r="G30" s="32">
        <v>7</v>
      </c>
      <c r="H30" s="867"/>
    </row>
    <row r="31" spans="2:8" ht="12.75" customHeight="1">
      <c r="B31" s="854" t="s">
        <v>233</v>
      </c>
      <c r="C31" s="35" t="s">
        <v>173</v>
      </c>
      <c r="D31" s="36"/>
      <c r="E31" s="31">
        <f t="shared" si="0"/>
        <v>19</v>
      </c>
      <c r="F31" s="37">
        <v>100</v>
      </c>
      <c r="G31" s="37">
        <v>100</v>
      </c>
      <c r="H31" s="851">
        <v>14</v>
      </c>
    </row>
    <row r="32" spans="2:8" ht="12.75" customHeight="1">
      <c r="B32" s="855"/>
      <c r="C32" s="35" t="s">
        <v>21</v>
      </c>
      <c r="D32" s="36"/>
      <c r="E32" s="31">
        <f t="shared" si="0"/>
        <v>12.5</v>
      </c>
      <c r="F32" s="37">
        <v>98</v>
      </c>
      <c r="G32" s="37">
        <v>100</v>
      </c>
      <c r="H32" s="852"/>
    </row>
    <row r="33" spans="2:8" ht="12.75">
      <c r="B33" s="855"/>
      <c r="C33" s="35" t="s">
        <v>34</v>
      </c>
      <c r="D33" s="36"/>
      <c r="E33" s="31">
        <f t="shared" si="0"/>
        <v>9.5</v>
      </c>
      <c r="F33" s="37">
        <v>85</v>
      </c>
      <c r="G33" s="37">
        <v>100</v>
      </c>
      <c r="H33" s="852"/>
    </row>
    <row r="34" spans="2:8" ht="12.75">
      <c r="B34" s="855"/>
      <c r="C34" s="35" t="s">
        <v>23</v>
      </c>
      <c r="D34" s="36"/>
      <c r="E34" s="31">
        <f t="shared" si="0"/>
        <v>4.75</v>
      </c>
      <c r="F34" s="37">
        <v>50</v>
      </c>
      <c r="G34" s="37">
        <v>70</v>
      </c>
      <c r="H34" s="852"/>
    </row>
    <row r="35" spans="2:8" ht="12.75">
      <c r="B35" s="855"/>
      <c r="C35" s="35" t="s">
        <v>181</v>
      </c>
      <c r="D35" s="36"/>
      <c r="E35" s="31">
        <f t="shared" si="0"/>
        <v>2.36</v>
      </c>
      <c r="F35" s="37">
        <v>35</v>
      </c>
      <c r="G35" s="37">
        <v>46</v>
      </c>
      <c r="H35" s="852"/>
    </row>
    <row r="36" spans="2:8" ht="12.75">
      <c r="B36" s="855"/>
      <c r="C36" s="35" t="s">
        <v>189</v>
      </c>
      <c r="D36" s="36"/>
      <c r="E36" s="31">
        <f t="shared" si="0"/>
        <v>0.6</v>
      </c>
      <c r="F36" s="37">
        <v>15</v>
      </c>
      <c r="G36" s="37">
        <v>29</v>
      </c>
      <c r="H36" s="852"/>
    </row>
    <row r="37" spans="2:8" ht="12.75">
      <c r="B37" s="855"/>
      <c r="C37" s="35" t="s">
        <v>192</v>
      </c>
      <c r="D37" s="36"/>
      <c r="E37" s="31">
        <f t="shared" si="0"/>
        <v>0.3</v>
      </c>
      <c r="F37" s="37">
        <v>7</v>
      </c>
      <c r="G37" s="37">
        <v>20</v>
      </c>
      <c r="H37" s="852"/>
    </row>
    <row r="38" spans="2:8" ht="12.75">
      <c r="B38" s="856"/>
      <c r="C38" s="35" t="s">
        <v>29</v>
      </c>
      <c r="D38" s="36"/>
      <c r="E38" s="31">
        <f t="shared" si="0"/>
        <v>0.075</v>
      </c>
      <c r="F38" s="37">
        <v>2</v>
      </c>
      <c r="G38" s="37">
        <v>7</v>
      </c>
      <c r="H38" s="853"/>
    </row>
    <row r="39" spans="2:8" ht="12.75" customHeight="1">
      <c r="B39" s="857" t="s">
        <v>234</v>
      </c>
      <c r="C39" s="29" t="s">
        <v>173</v>
      </c>
      <c r="D39" s="30"/>
      <c r="E39" s="31">
        <f t="shared" si="0"/>
        <v>19</v>
      </c>
      <c r="F39" s="32">
        <v>100</v>
      </c>
      <c r="G39" s="32">
        <v>100</v>
      </c>
      <c r="H39" s="866">
        <v>15</v>
      </c>
    </row>
    <row r="40" spans="2:8" ht="12.75" customHeight="1">
      <c r="B40" s="857"/>
      <c r="C40" s="29" t="s">
        <v>34</v>
      </c>
      <c r="D40" s="30"/>
      <c r="E40" s="31">
        <f t="shared" si="0"/>
        <v>9.5</v>
      </c>
      <c r="F40" s="32">
        <v>98</v>
      </c>
      <c r="G40" s="32">
        <v>100</v>
      </c>
      <c r="H40" s="867"/>
    </row>
    <row r="41" spans="2:8" ht="12.75">
      <c r="B41" s="857"/>
      <c r="C41" s="29" t="s">
        <v>23</v>
      </c>
      <c r="D41" s="30"/>
      <c r="E41" s="31">
        <f t="shared" si="0"/>
        <v>4.75</v>
      </c>
      <c r="F41" s="32">
        <v>80</v>
      </c>
      <c r="G41" s="32">
        <v>86</v>
      </c>
      <c r="H41" s="867"/>
    </row>
    <row r="42" spans="2:8" ht="12.75">
      <c r="B42" s="857"/>
      <c r="C42" s="29" t="s">
        <v>181</v>
      </c>
      <c r="D42" s="30"/>
      <c r="E42" s="31">
        <f t="shared" si="0"/>
        <v>2.36</v>
      </c>
      <c r="F42" s="32">
        <v>38</v>
      </c>
      <c r="G42" s="32">
        <v>48</v>
      </c>
      <c r="H42" s="867"/>
    </row>
    <row r="43" spans="2:8" ht="12.75">
      <c r="B43" s="857"/>
      <c r="C43" s="29" t="s">
        <v>189</v>
      </c>
      <c r="D43" s="30"/>
      <c r="E43" s="31">
        <f t="shared" si="0"/>
        <v>0.6</v>
      </c>
      <c r="F43" s="32">
        <v>12</v>
      </c>
      <c r="G43" s="32">
        <v>27</v>
      </c>
      <c r="H43" s="867"/>
    </row>
    <row r="44" spans="2:8" ht="12.75">
      <c r="B44" s="857"/>
      <c r="C44" s="29" t="s">
        <v>192</v>
      </c>
      <c r="D44" s="30"/>
      <c r="E44" s="31">
        <f t="shared" si="0"/>
        <v>0.3</v>
      </c>
      <c r="F44" s="32">
        <v>6</v>
      </c>
      <c r="G44" s="32">
        <v>19</v>
      </c>
      <c r="H44" s="867"/>
    </row>
    <row r="45" spans="2:11" ht="76.5">
      <c r="B45" s="857"/>
      <c r="C45" s="29" t="s">
        <v>29</v>
      </c>
      <c r="D45" s="30"/>
      <c r="E45" s="31">
        <f t="shared" si="0"/>
        <v>0.075</v>
      </c>
      <c r="F45" s="32">
        <v>2</v>
      </c>
      <c r="G45" s="32">
        <v>7</v>
      </c>
      <c r="H45" s="868"/>
      <c r="I45" s="871" t="s">
        <v>209</v>
      </c>
      <c r="J45" s="872"/>
      <c r="K45" s="334" t="s">
        <v>402</v>
      </c>
    </row>
    <row r="46" spans="2:11" ht="12.75" customHeight="1">
      <c r="B46" s="854" t="s">
        <v>235</v>
      </c>
      <c r="C46" s="35" t="s">
        <v>169</v>
      </c>
      <c r="D46" s="36"/>
      <c r="E46" s="31">
        <f t="shared" si="0"/>
        <v>50</v>
      </c>
      <c r="F46" s="37">
        <v>100</v>
      </c>
      <c r="G46" s="37">
        <v>100</v>
      </c>
      <c r="H46" s="851">
        <v>12.5</v>
      </c>
      <c r="I46" s="187"/>
      <c r="J46" s="187"/>
      <c r="K46" s="834">
        <v>5</v>
      </c>
    </row>
    <row r="47" spans="2:11" ht="12.75" customHeight="1">
      <c r="B47" s="855"/>
      <c r="C47" s="35" t="s">
        <v>15</v>
      </c>
      <c r="D47" s="36"/>
      <c r="E47" s="31">
        <f t="shared" si="0"/>
        <v>37.5</v>
      </c>
      <c r="F47" s="37">
        <v>98</v>
      </c>
      <c r="G47" s="37">
        <v>100</v>
      </c>
      <c r="H47" s="852"/>
      <c r="I47" s="187"/>
      <c r="J47" s="187"/>
      <c r="K47" s="834"/>
    </row>
    <row r="48" spans="2:12" ht="12.75">
      <c r="B48" s="855"/>
      <c r="C48" s="35" t="s">
        <v>30</v>
      </c>
      <c r="D48" s="36"/>
      <c r="E48" s="31">
        <f t="shared" si="0"/>
        <v>25</v>
      </c>
      <c r="F48" s="37">
        <v>90</v>
      </c>
      <c r="G48" s="37">
        <v>100</v>
      </c>
      <c r="H48" s="852"/>
      <c r="I48" s="187"/>
      <c r="J48" s="187"/>
      <c r="K48" s="834"/>
      <c r="L48"/>
    </row>
    <row r="49" spans="2:12" ht="12.75">
      <c r="B49" s="855"/>
      <c r="C49" s="35" t="s">
        <v>173</v>
      </c>
      <c r="D49" s="36"/>
      <c r="E49" s="31">
        <f t="shared" si="0"/>
        <v>19</v>
      </c>
      <c r="F49" s="37">
        <v>45</v>
      </c>
      <c r="G49" s="37">
        <v>90</v>
      </c>
      <c r="H49" s="852"/>
      <c r="I49" s="188"/>
      <c r="J49" s="188"/>
      <c r="K49" s="834"/>
      <c r="L49"/>
    </row>
    <row r="50" spans="2:12" ht="12.75">
      <c r="B50" s="855"/>
      <c r="C50" s="35" t="s">
        <v>23</v>
      </c>
      <c r="D50" s="36"/>
      <c r="E50" s="31">
        <f t="shared" si="0"/>
        <v>4.75</v>
      </c>
      <c r="F50" s="37">
        <v>19</v>
      </c>
      <c r="G50" s="37">
        <v>90</v>
      </c>
      <c r="H50" s="852"/>
      <c r="I50" s="188">
        <v>39.5</v>
      </c>
      <c r="J50" s="188">
        <v>39.5</v>
      </c>
      <c r="K50" s="834"/>
      <c r="L50"/>
    </row>
    <row r="51" spans="2:12" ht="12.75">
      <c r="B51" s="855"/>
      <c r="C51" s="35" t="s">
        <v>181</v>
      </c>
      <c r="D51" s="36"/>
      <c r="E51" s="31">
        <f t="shared" si="0"/>
        <v>2.36</v>
      </c>
      <c r="F51" s="37">
        <v>19</v>
      </c>
      <c r="G51" s="37">
        <v>45</v>
      </c>
      <c r="H51" s="852"/>
      <c r="I51" s="188">
        <v>26.8</v>
      </c>
      <c r="J51" s="188">
        <v>30.8</v>
      </c>
      <c r="K51" s="834"/>
      <c r="L51"/>
    </row>
    <row r="52" spans="2:12" ht="12.75">
      <c r="B52" s="855"/>
      <c r="C52" s="35" t="s">
        <v>185</v>
      </c>
      <c r="D52" s="36"/>
      <c r="E52" s="31">
        <f t="shared" si="0"/>
        <v>1.18</v>
      </c>
      <c r="F52" s="37">
        <v>1</v>
      </c>
      <c r="G52" s="37">
        <v>45</v>
      </c>
      <c r="H52" s="852"/>
      <c r="I52" s="188">
        <v>18.1</v>
      </c>
      <c r="J52" s="188">
        <v>24.1</v>
      </c>
      <c r="K52" s="834"/>
      <c r="L52"/>
    </row>
    <row r="53" spans="2:12" ht="12.75">
      <c r="B53" s="855"/>
      <c r="C53" s="35" t="s">
        <v>189</v>
      </c>
      <c r="D53" s="36"/>
      <c r="E53" s="31">
        <f t="shared" si="0"/>
        <v>0.6</v>
      </c>
      <c r="F53" s="37">
        <v>1</v>
      </c>
      <c r="G53" s="37">
        <v>45</v>
      </c>
      <c r="H53" s="852"/>
      <c r="I53" s="188">
        <v>13.6</v>
      </c>
      <c r="J53" s="188">
        <v>17.5</v>
      </c>
      <c r="K53" s="834"/>
      <c r="L53"/>
    </row>
    <row r="54" spans="2:14" ht="12.75">
      <c r="B54" s="855"/>
      <c r="C54" s="35" t="s">
        <v>192</v>
      </c>
      <c r="D54" s="36"/>
      <c r="E54" s="31">
        <f t="shared" si="0"/>
        <v>0.3</v>
      </c>
      <c r="F54" s="37">
        <v>1</v>
      </c>
      <c r="G54" s="37">
        <v>45</v>
      </c>
      <c r="H54" s="852"/>
      <c r="I54" s="188">
        <v>11.4</v>
      </c>
      <c r="J54" s="188">
        <v>11.4</v>
      </c>
      <c r="K54" s="834"/>
      <c r="L54"/>
      <c r="M54"/>
      <c r="N54"/>
    </row>
    <row r="55" spans="2:12" ht="12.75">
      <c r="B55" s="856"/>
      <c r="C55" s="35" t="s">
        <v>29</v>
      </c>
      <c r="D55" s="36"/>
      <c r="E55" s="31">
        <f t="shared" si="0"/>
        <v>0.075</v>
      </c>
      <c r="F55" s="37">
        <v>1</v>
      </c>
      <c r="G55" s="37">
        <v>7</v>
      </c>
      <c r="H55" s="853"/>
      <c r="I55" s="187"/>
      <c r="J55" s="187"/>
      <c r="K55" s="834"/>
      <c r="L55"/>
    </row>
    <row r="56" spans="2:12" ht="12.75" customHeight="1">
      <c r="B56" s="863" t="s">
        <v>236</v>
      </c>
      <c r="C56" s="29" t="s">
        <v>15</v>
      </c>
      <c r="D56" s="30"/>
      <c r="E56" s="31">
        <f t="shared" si="0"/>
        <v>37.5</v>
      </c>
      <c r="F56" s="32">
        <v>100</v>
      </c>
      <c r="G56" s="32">
        <v>100</v>
      </c>
      <c r="H56" s="866">
        <v>13.5</v>
      </c>
      <c r="I56" s="189"/>
      <c r="J56" s="189"/>
      <c r="K56" s="835">
        <v>5</v>
      </c>
      <c r="L56"/>
    </row>
    <row r="57" spans="2:12" ht="12.75" customHeight="1">
      <c r="B57" s="864"/>
      <c r="C57" s="29" t="s">
        <v>30</v>
      </c>
      <c r="D57" s="30"/>
      <c r="E57" s="31">
        <f t="shared" si="0"/>
        <v>25</v>
      </c>
      <c r="F57" s="32">
        <v>98</v>
      </c>
      <c r="G57" s="32">
        <v>100</v>
      </c>
      <c r="H57" s="867"/>
      <c r="I57" s="189"/>
      <c r="J57" s="189"/>
      <c r="K57" s="835"/>
      <c r="L57"/>
    </row>
    <row r="58" spans="2:12" ht="12.75">
      <c r="B58" s="864"/>
      <c r="C58" s="29" t="s">
        <v>173</v>
      </c>
      <c r="D58" s="30"/>
      <c r="E58" s="31">
        <f t="shared" si="0"/>
        <v>19</v>
      </c>
      <c r="F58" s="32">
        <v>90</v>
      </c>
      <c r="G58" s="32">
        <v>100</v>
      </c>
      <c r="H58" s="867"/>
      <c r="I58" s="189"/>
      <c r="J58" s="189"/>
      <c r="K58" s="835"/>
      <c r="L58"/>
    </row>
    <row r="59" spans="2:12" ht="12.75">
      <c r="B59" s="864"/>
      <c r="C59" s="29" t="s">
        <v>21</v>
      </c>
      <c r="D59" s="30"/>
      <c r="E59" s="31">
        <f t="shared" si="0"/>
        <v>12.5</v>
      </c>
      <c r="F59" s="32">
        <v>49</v>
      </c>
      <c r="G59" s="32">
        <v>90</v>
      </c>
      <c r="H59" s="867"/>
      <c r="I59" s="190"/>
      <c r="J59" s="190"/>
      <c r="K59" s="835"/>
      <c r="L59"/>
    </row>
    <row r="60" spans="2:12" ht="12.75">
      <c r="B60" s="864"/>
      <c r="C60" s="29" t="s">
        <v>23</v>
      </c>
      <c r="D60" s="30"/>
      <c r="E60" s="31">
        <f t="shared" si="0"/>
        <v>4.75</v>
      </c>
      <c r="F60" s="32">
        <v>23</v>
      </c>
      <c r="G60" s="32">
        <v>90</v>
      </c>
      <c r="H60" s="867"/>
      <c r="I60" s="190"/>
      <c r="J60" s="190"/>
      <c r="K60" s="835"/>
      <c r="L60"/>
    </row>
    <row r="61" spans="2:12" ht="12.75">
      <c r="B61" s="864"/>
      <c r="C61" s="29" t="s">
        <v>181</v>
      </c>
      <c r="D61" s="30"/>
      <c r="E61" s="31">
        <f t="shared" si="0"/>
        <v>2.36</v>
      </c>
      <c r="F61" s="32">
        <v>23</v>
      </c>
      <c r="G61" s="32">
        <v>49</v>
      </c>
      <c r="H61" s="867"/>
      <c r="I61" s="190">
        <v>34.6</v>
      </c>
      <c r="J61" s="190">
        <v>34.6</v>
      </c>
      <c r="K61" s="835"/>
      <c r="L61"/>
    </row>
    <row r="62" spans="2:12" ht="12.75">
      <c r="B62" s="864"/>
      <c r="C62" s="29" t="s">
        <v>185</v>
      </c>
      <c r="D62" s="30"/>
      <c r="E62" s="31">
        <f t="shared" si="0"/>
        <v>1.18</v>
      </c>
      <c r="F62" s="32">
        <v>2</v>
      </c>
      <c r="G62" s="32">
        <v>49</v>
      </c>
      <c r="H62" s="867"/>
      <c r="I62" s="190">
        <v>22.3</v>
      </c>
      <c r="J62" s="190">
        <v>28.3</v>
      </c>
      <c r="K62" s="835"/>
      <c r="L62"/>
    </row>
    <row r="63" spans="2:12" ht="12.75">
      <c r="B63" s="864"/>
      <c r="C63" s="29" t="s">
        <v>189</v>
      </c>
      <c r="D63" s="30"/>
      <c r="E63" s="31">
        <f t="shared" si="0"/>
        <v>0.6</v>
      </c>
      <c r="F63" s="32">
        <v>2</v>
      </c>
      <c r="G63" s="32">
        <v>49</v>
      </c>
      <c r="H63" s="867"/>
      <c r="I63" s="190">
        <v>16.7</v>
      </c>
      <c r="J63" s="190">
        <v>20.7</v>
      </c>
      <c r="K63" s="835"/>
      <c r="L63"/>
    </row>
    <row r="64" spans="2:12" ht="12.75">
      <c r="B64" s="864"/>
      <c r="C64" s="29" t="s">
        <v>192</v>
      </c>
      <c r="D64" s="30"/>
      <c r="E64" s="31">
        <f t="shared" si="0"/>
        <v>0.3</v>
      </c>
      <c r="F64" s="32">
        <v>2</v>
      </c>
      <c r="G64" s="32">
        <v>49</v>
      </c>
      <c r="H64" s="867"/>
      <c r="I64" s="190">
        <v>13.7</v>
      </c>
      <c r="J64" s="190">
        <v>13.7</v>
      </c>
      <c r="K64" s="835"/>
      <c r="L64"/>
    </row>
    <row r="65" spans="2:12" ht="12.75">
      <c r="B65" s="865"/>
      <c r="C65" s="29" t="s">
        <v>29</v>
      </c>
      <c r="D65" s="30"/>
      <c r="E65" s="31">
        <f t="shared" si="0"/>
        <v>0.075</v>
      </c>
      <c r="F65" s="32">
        <v>2</v>
      </c>
      <c r="G65" s="32">
        <v>8</v>
      </c>
      <c r="H65" s="868"/>
      <c r="I65" s="189"/>
      <c r="J65" s="189"/>
      <c r="K65" s="835"/>
      <c r="L65"/>
    </row>
    <row r="66" spans="2:12" ht="12.75" customHeight="1">
      <c r="B66" s="854" t="s">
        <v>237</v>
      </c>
      <c r="C66" s="35" t="s">
        <v>30</v>
      </c>
      <c r="D66" s="36"/>
      <c r="E66" s="31">
        <f t="shared" si="0"/>
        <v>25</v>
      </c>
      <c r="F66" s="37">
        <v>100</v>
      </c>
      <c r="G66" s="37">
        <v>100</v>
      </c>
      <c r="H66" s="851">
        <v>14.5</v>
      </c>
      <c r="I66" s="207"/>
      <c r="J66" s="207"/>
      <c r="K66" s="835">
        <v>5</v>
      </c>
      <c r="L66"/>
    </row>
    <row r="67" spans="2:12" ht="12.75" customHeight="1">
      <c r="B67" s="855"/>
      <c r="C67" s="35" t="s">
        <v>173</v>
      </c>
      <c r="D67" s="36"/>
      <c r="E67" s="31">
        <f t="shared" si="0"/>
        <v>19</v>
      </c>
      <c r="F67" s="37">
        <v>98</v>
      </c>
      <c r="G67" s="37">
        <v>100</v>
      </c>
      <c r="H67" s="852"/>
      <c r="I67" s="207"/>
      <c r="J67" s="207"/>
      <c r="K67" s="835"/>
      <c r="L67"/>
    </row>
    <row r="68" spans="2:12" ht="12.75">
      <c r="B68" s="855"/>
      <c r="C68" s="35" t="s">
        <v>21</v>
      </c>
      <c r="D68" s="36"/>
      <c r="E68" s="31">
        <f t="shared" si="0"/>
        <v>12.5</v>
      </c>
      <c r="F68" s="37">
        <v>90</v>
      </c>
      <c r="G68" s="37">
        <v>100</v>
      </c>
      <c r="H68" s="852"/>
      <c r="I68" s="207"/>
      <c r="J68" s="207"/>
      <c r="K68" s="835"/>
      <c r="L68"/>
    </row>
    <row r="69" spans="2:12" ht="12.75">
      <c r="B69" s="855"/>
      <c r="C69" s="35" t="s">
        <v>34</v>
      </c>
      <c r="D69" s="36"/>
      <c r="E69" s="31">
        <f t="shared" si="0"/>
        <v>9.5</v>
      </c>
      <c r="F69" s="37">
        <v>58</v>
      </c>
      <c r="G69" s="37">
        <v>90</v>
      </c>
      <c r="H69" s="852"/>
      <c r="I69" s="208"/>
      <c r="J69" s="208"/>
      <c r="K69" s="835"/>
      <c r="L69"/>
    </row>
    <row r="70" spans="2:12" ht="12.75">
      <c r="B70" s="855"/>
      <c r="C70" s="35" t="s">
        <v>23</v>
      </c>
      <c r="D70" s="36"/>
      <c r="E70" s="31">
        <f t="shared" si="0"/>
        <v>4.75</v>
      </c>
      <c r="F70" s="37">
        <v>28</v>
      </c>
      <c r="G70" s="37">
        <v>90</v>
      </c>
      <c r="H70" s="852"/>
      <c r="I70" s="208"/>
      <c r="J70" s="208"/>
      <c r="K70" s="835"/>
      <c r="L70"/>
    </row>
    <row r="71" spans="2:12" ht="12.75">
      <c r="B71" s="855"/>
      <c r="C71" s="35" t="s">
        <v>181</v>
      </c>
      <c r="D71" s="36"/>
      <c r="E71" s="31">
        <f t="shared" si="0"/>
        <v>2.36</v>
      </c>
      <c r="F71" s="37">
        <v>28</v>
      </c>
      <c r="G71" s="37">
        <v>58</v>
      </c>
      <c r="H71" s="852"/>
      <c r="I71" s="208">
        <v>39.1</v>
      </c>
      <c r="J71" s="208">
        <v>39.1</v>
      </c>
      <c r="K71" s="835"/>
      <c r="L71"/>
    </row>
    <row r="72" spans="2:12" ht="12.75">
      <c r="B72" s="855"/>
      <c r="C72" s="35" t="s">
        <v>185</v>
      </c>
      <c r="D72" s="36"/>
      <c r="E72" s="31">
        <f aca="true" t="shared" si="4" ref="E72:E135">VLOOKUP(C72,$D$202:$E$227,2,FALSE)</f>
        <v>1.18</v>
      </c>
      <c r="F72" s="37">
        <v>2</v>
      </c>
      <c r="G72" s="37">
        <v>58</v>
      </c>
      <c r="H72" s="852"/>
      <c r="I72" s="208">
        <v>25.6</v>
      </c>
      <c r="J72" s="208">
        <v>31.6</v>
      </c>
      <c r="K72" s="835"/>
      <c r="L72"/>
    </row>
    <row r="73" spans="2:12" ht="12.75">
      <c r="B73" s="855"/>
      <c r="C73" s="35" t="s">
        <v>189</v>
      </c>
      <c r="D73" s="36"/>
      <c r="E73" s="31">
        <f t="shared" si="4"/>
        <v>0.6</v>
      </c>
      <c r="F73" s="37">
        <v>2</v>
      </c>
      <c r="G73" s="37">
        <v>58</v>
      </c>
      <c r="H73" s="852"/>
      <c r="I73" s="208">
        <v>19.1</v>
      </c>
      <c r="J73" s="208">
        <v>23.1</v>
      </c>
      <c r="K73" s="835"/>
      <c r="L73"/>
    </row>
    <row r="74" spans="2:12" ht="12.75">
      <c r="B74" s="855"/>
      <c r="C74" s="35" t="s">
        <v>192</v>
      </c>
      <c r="D74" s="36"/>
      <c r="E74" s="31">
        <f t="shared" si="4"/>
        <v>0.3</v>
      </c>
      <c r="F74" s="37">
        <v>2</v>
      </c>
      <c r="G74" s="37">
        <v>58</v>
      </c>
      <c r="H74" s="852"/>
      <c r="I74" s="208">
        <v>15.5</v>
      </c>
      <c r="J74" s="208">
        <v>15.5</v>
      </c>
      <c r="K74" s="835"/>
      <c r="L74"/>
    </row>
    <row r="75" spans="2:12" ht="12.75">
      <c r="B75" s="856"/>
      <c r="C75" s="35" t="s">
        <v>29</v>
      </c>
      <c r="D75" s="36"/>
      <c r="E75" s="31">
        <f t="shared" si="4"/>
        <v>0.075</v>
      </c>
      <c r="F75" s="37">
        <v>2</v>
      </c>
      <c r="G75" s="37">
        <v>10</v>
      </c>
      <c r="H75" s="853"/>
      <c r="I75" s="207"/>
      <c r="J75" s="207"/>
      <c r="K75" s="835"/>
      <c r="L75"/>
    </row>
    <row r="76" spans="2:11" ht="12.75" customHeight="1">
      <c r="B76" s="863" t="s">
        <v>238</v>
      </c>
      <c r="C76" s="29" t="s">
        <v>173</v>
      </c>
      <c r="D76" s="30"/>
      <c r="E76" s="31">
        <f t="shared" si="4"/>
        <v>19</v>
      </c>
      <c r="F76" s="32">
        <v>100</v>
      </c>
      <c r="G76" s="32">
        <v>100</v>
      </c>
      <c r="H76" s="866">
        <v>15.5</v>
      </c>
      <c r="I76" s="189"/>
      <c r="J76" s="189"/>
      <c r="K76" s="834">
        <v>4</v>
      </c>
    </row>
    <row r="77" spans="2:11" ht="12.75" customHeight="1">
      <c r="B77" s="864"/>
      <c r="C77" s="29" t="s">
        <v>21</v>
      </c>
      <c r="D77" s="30"/>
      <c r="E77" s="31">
        <f t="shared" si="4"/>
        <v>12.5</v>
      </c>
      <c r="F77" s="32">
        <v>98</v>
      </c>
      <c r="G77" s="32">
        <v>100</v>
      </c>
      <c r="H77" s="867"/>
      <c r="I77" s="189"/>
      <c r="J77" s="189"/>
      <c r="K77" s="834"/>
    </row>
    <row r="78" spans="2:11" ht="12.75">
      <c r="B78" s="864"/>
      <c r="C78" s="29" t="s">
        <v>34</v>
      </c>
      <c r="D78" s="30"/>
      <c r="E78" s="31">
        <f t="shared" si="4"/>
        <v>9.5</v>
      </c>
      <c r="F78" s="32">
        <v>90</v>
      </c>
      <c r="G78" s="32">
        <v>100</v>
      </c>
      <c r="H78" s="867"/>
      <c r="I78" s="189"/>
      <c r="J78" s="189"/>
      <c r="K78" s="834"/>
    </row>
    <row r="79" spans="2:11" ht="12.75">
      <c r="B79" s="864"/>
      <c r="C79" s="29" t="s">
        <v>23</v>
      </c>
      <c r="D79" s="30"/>
      <c r="E79" s="31">
        <f t="shared" si="4"/>
        <v>4.75</v>
      </c>
      <c r="F79" s="32">
        <v>32</v>
      </c>
      <c r="G79" s="32">
        <v>90</v>
      </c>
      <c r="H79" s="867"/>
      <c r="I79" s="190"/>
      <c r="J79" s="190"/>
      <c r="K79" s="834"/>
    </row>
    <row r="80" spans="2:11" ht="12.75">
      <c r="B80" s="864"/>
      <c r="C80" s="29" t="s">
        <v>181</v>
      </c>
      <c r="D80" s="30"/>
      <c r="E80" s="31">
        <f t="shared" si="4"/>
        <v>2.36</v>
      </c>
      <c r="F80" s="32">
        <v>32</v>
      </c>
      <c r="G80" s="32">
        <v>67</v>
      </c>
      <c r="H80" s="867"/>
      <c r="I80" s="190">
        <v>47.2</v>
      </c>
      <c r="J80" s="190">
        <v>47.2</v>
      </c>
      <c r="K80" s="834"/>
    </row>
    <row r="81" spans="2:11" ht="12.75">
      <c r="B81" s="864"/>
      <c r="C81" s="29" t="s">
        <v>185</v>
      </c>
      <c r="D81" s="30"/>
      <c r="E81" s="31">
        <f t="shared" si="4"/>
        <v>1.18</v>
      </c>
      <c r="F81" s="32">
        <v>2</v>
      </c>
      <c r="G81" s="32">
        <v>67</v>
      </c>
      <c r="H81" s="867"/>
      <c r="I81" s="190">
        <v>31.6</v>
      </c>
      <c r="J81" s="190">
        <v>37.6</v>
      </c>
      <c r="K81" s="834"/>
    </row>
    <row r="82" spans="2:11" ht="12.75">
      <c r="B82" s="864"/>
      <c r="C82" s="29" t="s">
        <v>189</v>
      </c>
      <c r="D82" s="30"/>
      <c r="E82" s="31">
        <f t="shared" si="4"/>
        <v>0.6</v>
      </c>
      <c r="F82" s="32">
        <v>2</v>
      </c>
      <c r="G82" s="32">
        <v>67</v>
      </c>
      <c r="H82" s="867"/>
      <c r="I82" s="190">
        <v>23.5</v>
      </c>
      <c r="J82" s="190">
        <v>27.5</v>
      </c>
      <c r="K82" s="834"/>
    </row>
    <row r="83" spans="2:11" ht="12.75">
      <c r="B83" s="864"/>
      <c r="C83" s="29" t="s">
        <v>192</v>
      </c>
      <c r="D83" s="30"/>
      <c r="E83" s="31">
        <f t="shared" si="4"/>
        <v>0.3</v>
      </c>
      <c r="F83" s="32">
        <v>2</v>
      </c>
      <c r="G83" s="32">
        <v>67</v>
      </c>
      <c r="H83" s="867"/>
      <c r="I83" s="190">
        <v>18.7</v>
      </c>
      <c r="J83" s="190">
        <v>18.7</v>
      </c>
      <c r="K83" s="834"/>
    </row>
    <row r="84" spans="2:11" ht="12.75">
      <c r="B84" s="865"/>
      <c r="C84" s="29" t="s">
        <v>29</v>
      </c>
      <c r="D84" s="30"/>
      <c r="E84" s="31">
        <f t="shared" si="4"/>
        <v>0.075</v>
      </c>
      <c r="F84" s="32">
        <v>2</v>
      </c>
      <c r="G84" s="32">
        <v>10</v>
      </c>
      <c r="H84" s="868"/>
      <c r="I84" s="189"/>
      <c r="J84" s="189"/>
      <c r="K84" s="834"/>
    </row>
    <row r="85" spans="2:11" ht="12.75">
      <c r="B85" s="854" t="s">
        <v>239</v>
      </c>
      <c r="C85" s="35" t="s">
        <v>30</v>
      </c>
      <c r="D85" s="36"/>
      <c r="E85" s="31">
        <f t="shared" si="4"/>
        <v>25</v>
      </c>
      <c r="F85" s="37">
        <v>100</v>
      </c>
      <c r="G85" s="37">
        <v>100</v>
      </c>
      <c r="H85" s="851">
        <v>13</v>
      </c>
      <c r="I85" s="187"/>
      <c r="J85" s="187"/>
      <c r="K85" s="833">
        <v>5</v>
      </c>
    </row>
    <row r="86" spans="2:11" ht="12.75">
      <c r="B86" s="855"/>
      <c r="C86" s="35" t="s">
        <v>173</v>
      </c>
      <c r="D86" s="36"/>
      <c r="E86" s="31">
        <f t="shared" si="4"/>
        <v>19</v>
      </c>
      <c r="F86" s="37">
        <v>98</v>
      </c>
      <c r="G86" s="37">
        <v>100</v>
      </c>
      <c r="H86" s="852"/>
      <c r="I86" s="187"/>
      <c r="J86" s="187"/>
      <c r="K86" s="833"/>
    </row>
    <row r="87" spans="2:11" ht="12.75">
      <c r="B87" s="855"/>
      <c r="C87" s="35" t="s">
        <v>21</v>
      </c>
      <c r="D87" s="36"/>
      <c r="E87" s="31">
        <f t="shared" si="4"/>
        <v>12.5</v>
      </c>
      <c r="F87" s="37">
        <v>72</v>
      </c>
      <c r="G87" s="37">
        <v>85</v>
      </c>
      <c r="H87" s="852"/>
      <c r="I87" s="187"/>
      <c r="J87" s="187"/>
      <c r="K87" s="833"/>
    </row>
    <row r="88" spans="2:11" ht="12.75">
      <c r="B88" s="855"/>
      <c r="C88" s="35" t="s">
        <v>34</v>
      </c>
      <c r="D88" s="36"/>
      <c r="E88" s="31">
        <f t="shared" si="4"/>
        <v>9.5</v>
      </c>
      <c r="F88" s="37">
        <v>50</v>
      </c>
      <c r="G88" s="37">
        <v>70</v>
      </c>
      <c r="H88" s="852"/>
      <c r="I88" s="187"/>
      <c r="J88" s="187"/>
      <c r="K88" s="833"/>
    </row>
    <row r="89" spans="2:11" ht="12.75">
      <c r="B89" s="855"/>
      <c r="C89" s="35" t="s">
        <v>23</v>
      </c>
      <c r="D89" s="36"/>
      <c r="E89" s="31">
        <f t="shared" si="4"/>
        <v>4.75</v>
      </c>
      <c r="F89" s="37">
        <v>30</v>
      </c>
      <c r="G89" s="37">
        <v>45</v>
      </c>
      <c r="H89" s="852"/>
      <c r="I89" s="187"/>
      <c r="J89" s="187"/>
      <c r="K89" s="833"/>
    </row>
    <row r="90" spans="2:11" ht="12.75">
      <c r="B90" s="855"/>
      <c r="C90" s="35" t="s">
        <v>181</v>
      </c>
      <c r="D90" s="36"/>
      <c r="E90" s="31">
        <f t="shared" si="4"/>
        <v>2.36</v>
      </c>
      <c r="F90" s="37">
        <v>17</v>
      </c>
      <c r="G90" s="37">
        <v>27</v>
      </c>
      <c r="H90" s="852"/>
      <c r="I90" s="187"/>
      <c r="J90" s="187"/>
      <c r="K90" s="833"/>
    </row>
    <row r="91" spans="2:11" ht="12.75">
      <c r="B91" s="855"/>
      <c r="C91" s="35" t="s">
        <v>185</v>
      </c>
      <c r="D91" s="36"/>
      <c r="E91" s="31">
        <f t="shared" si="4"/>
        <v>1.18</v>
      </c>
      <c r="F91" s="37">
        <v>5</v>
      </c>
      <c r="G91" s="37">
        <v>27</v>
      </c>
      <c r="H91" s="852"/>
      <c r="I91" s="187"/>
      <c r="J91" s="187"/>
      <c r="K91" s="833"/>
    </row>
    <row r="92" spans="2:11" ht="12.75">
      <c r="B92" s="855"/>
      <c r="C92" s="35" t="s">
        <v>189</v>
      </c>
      <c r="D92" s="36"/>
      <c r="E92" s="31">
        <f t="shared" si="4"/>
        <v>0.6</v>
      </c>
      <c r="F92" s="37">
        <v>5</v>
      </c>
      <c r="G92" s="37">
        <v>27</v>
      </c>
      <c r="H92" s="852"/>
      <c r="I92" s="187"/>
      <c r="J92" s="187"/>
      <c r="K92" s="833"/>
    </row>
    <row r="93" spans="2:11" ht="12.75">
      <c r="B93" s="855"/>
      <c r="C93" s="35" t="s">
        <v>192</v>
      </c>
      <c r="D93" s="36"/>
      <c r="E93" s="31">
        <f t="shared" si="4"/>
        <v>0.3</v>
      </c>
      <c r="F93" s="37">
        <v>5</v>
      </c>
      <c r="G93" s="37">
        <v>27</v>
      </c>
      <c r="H93" s="852"/>
      <c r="I93" s="187"/>
      <c r="J93" s="187"/>
      <c r="K93" s="833"/>
    </row>
    <row r="94" spans="2:11" ht="12.75">
      <c r="B94" s="856"/>
      <c r="C94" s="35" t="s">
        <v>29</v>
      </c>
      <c r="D94" s="36"/>
      <c r="E94" s="31">
        <f t="shared" si="4"/>
        <v>0.075</v>
      </c>
      <c r="F94" s="37">
        <v>5</v>
      </c>
      <c r="G94" s="37">
        <v>9</v>
      </c>
      <c r="H94" s="853"/>
      <c r="I94" s="187"/>
      <c r="J94" s="187"/>
      <c r="K94" s="833"/>
    </row>
    <row r="95" spans="2:11" ht="12.75">
      <c r="B95" s="863" t="s">
        <v>240</v>
      </c>
      <c r="C95" s="29" t="s">
        <v>173</v>
      </c>
      <c r="D95" s="30"/>
      <c r="E95" s="31">
        <f t="shared" si="4"/>
        <v>19</v>
      </c>
      <c r="F95" s="32">
        <v>100</v>
      </c>
      <c r="G95" s="32">
        <v>100</v>
      </c>
      <c r="H95" s="866">
        <v>14</v>
      </c>
      <c r="I95" s="189"/>
      <c r="J95" s="189"/>
      <c r="K95" s="833">
        <v>4</v>
      </c>
    </row>
    <row r="96" spans="2:11" ht="12.75">
      <c r="B96" s="864"/>
      <c r="C96" s="29" t="s">
        <v>21</v>
      </c>
      <c r="D96" s="30"/>
      <c r="E96" s="31">
        <f t="shared" si="4"/>
        <v>12.5</v>
      </c>
      <c r="F96" s="32">
        <v>98</v>
      </c>
      <c r="G96" s="32">
        <v>100</v>
      </c>
      <c r="H96" s="867"/>
      <c r="I96" s="189"/>
      <c r="J96" s="189"/>
      <c r="K96" s="833"/>
    </row>
    <row r="97" spans="2:11" ht="12.75">
      <c r="B97" s="864"/>
      <c r="C97" s="29" t="s">
        <v>34</v>
      </c>
      <c r="D97" s="30"/>
      <c r="E97" s="31">
        <f t="shared" si="4"/>
        <v>9.5</v>
      </c>
      <c r="F97" s="32">
        <v>85</v>
      </c>
      <c r="G97" s="32">
        <v>100</v>
      </c>
      <c r="H97" s="867"/>
      <c r="I97" s="189"/>
      <c r="J97" s="189"/>
      <c r="K97" s="833"/>
    </row>
    <row r="98" spans="2:11" ht="12.75">
      <c r="B98" s="864"/>
      <c r="C98" s="29" t="s">
        <v>23</v>
      </c>
      <c r="D98" s="30"/>
      <c r="E98" s="31">
        <f t="shared" si="4"/>
        <v>4.75</v>
      </c>
      <c r="F98" s="32">
        <v>40</v>
      </c>
      <c r="G98" s="32">
        <v>60</v>
      </c>
      <c r="H98" s="867"/>
      <c r="I98" s="189"/>
      <c r="J98" s="189"/>
      <c r="K98" s="833"/>
    </row>
    <row r="99" spans="2:11" ht="12.75">
      <c r="B99" s="864"/>
      <c r="C99" s="29" t="s">
        <v>181</v>
      </c>
      <c r="D99" s="30"/>
      <c r="E99" s="31">
        <f t="shared" si="4"/>
        <v>2.36</v>
      </c>
      <c r="F99" s="32">
        <v>17</v>
      </c>
      <c r="G99" s="32">
        <v>27</v>
      </c>
      <c r="H99" s="867"/>
      <c r="I99" s="189"/>
      <c r="J99" s="189"/>
      <c r="K99" s="833"/>
    </row>
    <row r="100" spans="2:11" ht="12.75">
      <c r="B100" s="864"/>
      <c r="C100" s="29" t="s">
        <v>185</v>
      </c>
      <c r="D100" s="30"/>
      <c r="E100" s="31">
        <f t="shared" si="4"/>
        <v>1.18</v>
      </c>
      <c r="F100" s="32">
        <v>5</v>
      </c>
      <c r="G100" s="32">
        <v>27</v>
      </c>
      <c r="H100" s="867"/>
      <c r="I100" s="189"/>
      <c r="J100" s="189"/>
      <c r="K100" s="833"/>
    </row>
    <row r="101" spans="2:11" ht="12.75">
      <c r="B101" s="864"/>
      <c r="C101" s="29" t="s">
        <v>189</v>
      </c>
      <c r="D101" s="30"/>
      <c r="E101" s="31">
        <f t="shared" si="4"/>
        <v>0.6</v>
      </c>
      <c r="F101" s="32">
        <v>5</v>
      </c>
      <c r="G101" s="32">
        <v>27</v>
      </c>
      <c r="H101" s="867"/>
      <c r="I101" s="189"/>
      <c r="J101" s="189"/>
      <c r="K101" s="833"/>
    </row>
    <row r="102" spans="2:11" ht="12.75">
      <c r="B102" s="864"/>
      <c r="C102" s="29" t="s">
        <v>192</v>
      </c>
      <c r="D102" s="30"/>
      <c r="E102" s="31">
        <f t="shared" si="4"/>
        <v>0.3</v>
      </c>
      <c r="F102" s="32">
        <v>5</v>
      </c>
      <c r="G102" s="32">
        <v>27</v>
      </c>
      <c r="H102" s="867"/>
      <c r="I102" s="189"/>
      <c r="J102" s="189"/>
      <c r="K102" s="833"/>
    </row>
    <row r="103" spans="2:11" ht="12.75">
      <c r="B103" s="865"/>
      <c r="C103" s="29" t="s">
        <v>29</v>
      </c>
      <c r="D103" s="30"/>
      <c r="E103" s="31">
        <f t="shared" si="4"/>
        <v>0.075</v>
      </c>
      <c r="F103" s="32">
        <v>5</v>
      </c>
      <c r="G103" s="32">
        <v>9</v>
      </c>
      <c r="H103" s="868"/>
      <c r="I103" s="189"/>
      <c r="J103" s="189"/>
      <c r="K103" s="833"/>
    </row>
    <row r="104" spans="2:11" ht="12.75">
      <c r="B104" s="854" t="s">
        <v>241</v>
      </c>
      <c r="C104" s="35" t="s">
        <v>173</v>
      </c>
      <c r="D104" s="36"/>
      <c r="E104" s="31">
        <f t="shared" si="4"/>
        <v>19</v>
      </c>
      <c r="F104" s="37">
        <v>100</v>
      </c>
      <c r="G104" s="37">
        <v>100</v>
      </c>
      <c r="H104" s="851">
        <v>17</v>
      </c>
      <c r="I104" s="187"/>
      <c r="J104" s="187"/>
      <c r="K104" s="833">
        <v>4</v>
      </c>
    </row>
    <row r="105" spans="2:11" ht="12.75">
      <c r="B105" s="855"/>
      <c r="C105" s="35" t="s">
        <v>21</v>
      </c>
      <c r="D105" s="36"/>
      <c r="E105" s="31">
        <f t="shared" si="4"/>
        <v>12.5</v>
      </c>
      <c r="F105" s="37">
        <v>80</v>
      </c>
      <c r="G105" s="37">
        <v>90</v>
      </c>
      <c r="H105" s="852"/>
      <c r="I105" s="187"/>
      <c r="J105" s="187"/>
      <c r="K105" s="833"/>
    </row>
    <row r="106" spans="2:11" ht="12.75">
      <c r="B106" s="855"/>
      <c r="C106" s="35" t="s">
        <v>34</v>
      </c>
      <c r="D106" s="36"/>
      <c r="E106" s="31">
        <f t="shared" si="4"/>
        <v>9.5</v>
      </c>
      <c r="F106" s="37">
        <v>25</v>
      </c>
      <c r="G106" s="37">
        <v>60</v>
      </c>
      <c r="H106" s="852"/>
      <c r="I106" s="187"/>
      <c r="J106" s="187"/>
      <c r="K106" s="833"/>
    </row>
    <row r="107" spans="2:11" ht="12.75">
      <c r="B107" s="855"/>
      <c r="C107" s="35" t="s">
        <v>23</v>
      </c>
      <c r="D107" s="36"/>
      <c r="E107" s="31">
        <f t="shared" si="4"/>
        <v>4.75</v>
      </c>
      <c r="F107" s="37">
        <v>20</v>
      </c>
      <c r="G107" s="37">
        <v>28</v>
      </c>
      <c r="H107" s="852"/>
      <c r="I107" s="187"/>
      <c r="J107" s="187"/>
      <c r="K107" s="833"/>
    </row>
    <row r="108" spans="2:11" ht="12.75">
      <c r="B108" s="855"/>
      <c r="C108" s="35" t="s">
        <v>181</v>
      </c>
      <c r="D108" s="36"/>
      <c r="E108" s="31">
        <f t="shared" si="4"/>
        <v>2.36</v>
      </c>
      <c r="F108" s="37">
        <v>14</v>
      </c>
      <c r="G108" s="37">
        <v>20</v>
      </c>
      <c r="H108" s="852"/>
      <c r="I108" s="187"/>
      <c r="J108" s="187"/>
      <c r="K108" s="833"/>
    </row>
    <row r="109" spans="2:11" ht="12.75">
      <c r="B109" s="855"/>
      <c r="C109" s="35" t="s">
        <v>185</v>
      </c>
      <c r="D109" s="36"/>
      <c r="E109" s="31">
        <f t="shared" si="4"/>
        <v>1.18</v>
      </c>
      <c r="F109" s="37">
        <v>8</v>
      </c>
      <c r="G109" s="37">
        <v>20</v>
      </c>
      <c r="H109" s="852"/>
      <c r="I109" s="187"/>
      <c r="J109" s="187"/>
      <c r="K109" s="833"/>
    </row>
    <row r="110" spans="2:11" ht="12.75">
      <c r="B110" s="855"/>
      <c r="C110" s="35" t="s">
        <v>189</v>
      </c>
      <c r="D110" s="36"/>
      <c r="E110" s="31">
        <f t="shared" si="4"/>
        <v>0.6</v>
      </c>
      <c r="F110" s="37">
        <v>8</v>
      </c>
      <c r="G110" s="37">
        <v>20</v>
      </c>
      <c r="H110" s="852"/>
      <c r="I110" s="187"/>
      <c r="J110" s="187"/>
      <c r="K110" s="833"/>
    </row>
    <row r="111" spans="2:11" ht="12.75">
      <c r="B111" s="855"/>
      <c r="C111" s="35" t="s">
        <v>192</v>
      </c>
      <c r="D111" s="36"/>
      <c r="E111" s="31">
        <f t="shared" si="4"/>
        <v>0.3</v>
      </c>
      <c r="F111" s="37">
        <v>8</v>
      </c>
      <c r="G111" s="37">
        <v>20</v>
      </c>
      <c r="H111" s="852"/>
      <c r="I111" s="187"/>
      <c r="J111" s="187"/>
      <c r="K111" s="833"/>
    </row>
    <row r="112" spans="2:11" ht="12.75">
      <c r="B112" s="856"/>
      <c r="C112" s="35" t="s">
        <v>29</v>
      </c>
      <c r="D112" s="36"/>
      <c r="E112" s="31">
        <f t="shared" si="4"/>
        <v>0.075</v>
      </c>
      <c r="F112" s="37">
        <v>8</v>
      </c>
      <c r="G112" s="37">
        <v>12</v>
      </c>
      <c r="H112" s="853"/>
      <c r="I112" s="187"/>
      <c r="J112" s="187"/>
      <c r="K112" s="833"/>
    </row>
    <row r="113" spans="2:11" ht="12.75">
      <c r="B113" s="863" t="s">
        <v>242</v>
      </c>
      <c r="C113" s="29" t="s">
        <v>173</v>
      </c>
      <c r="D113" s="30"/>
      <c r="E113" s="31">
        <f t="shared" si="4"/>
        <v>19</v>
      </c>
      <c r="F113" s="32">
        <v>100</v>
      </c>
      <c r="G113" s="32">
        <v>100</v>
      </c>
      <c r="H113" s="866">
        <v>17</v>
      </c>
      <c r="I113" s="189"/>
      <c r="J113" s="189"/>
      <c r="K113" s="833">
        <v>4</v>
      </c>
    </row>
    <row r="114" spans="2:11" ht="12.75">
      <c r="B114" s="864"/>
      <c r="C114" s="29" t="s">
        <v>21</v>
      </c>
      <c r="D114" s="30"/>
      <c r="E114" s="31">
        <f t="shared" si="4"/>
        <v>12.5</v>
      </c>
      <c r="F114" s="32">
        <v>85</v>
      </c>
      <c r="G114" s="32">
        <v>99</v>
      </c>
      <c r="H114" s="867"/>
      <c r="I114" s="189"/>
      <c r="J114" s="189"/>
      <c r="K114" s="833"/>
    </row>
    <row r="115" spans="2:11" ht="12.75">
      <c r="B115" s="864"/>
      <c r="C115" s="29" t="s">
        <v>34</v>
      </c>
      <c r="D115" s="30"/>
      <c r="E115" s="31">
        <f t="shared" si="4"/>
        <v>9.5</v>
      </c>
      <c r="F115" s="32">
        <v>50</v>
      </c>
      <c r="G115" s="32">
        <v>75</v>
      </c>
      <c r="H115" s="867"/>
      <c r="I115" s="189"/>
      <c r="J115" s="189"/>
      <c r="K115" s="833"/>
    </row>
    <row r="116" spans="2:11" ht="12.75">
      <c r="B116" s="864"/>
      <c r="C116" s="29" t="s">
        <v>23</v>
      </c>
      <c r="D116" s="30"/>
      <c r="E116" s="31">
        <f t="shared" si="4"/>
        <v>4.75</v>
      </c>
      <c r="F116" s="32">
        <v>20</v>
      </c>
      <c r="G116" s="32">
        <v>32</v>
      </c>
      <c r="H116" s="867"/>
      <c r="I116" s="189"/>
      <c r="J116" s="189"/>
      <c r="K116" s="833"/>
    </row>
    <row r="117" spans="2:11" ht="12.75">
      <c r="B117" s="864"/>
      <c r="C117" s="29" t="s">
        <v>181</v>
      </c>
      <c r="D117" s="30"/>
      <c r="E117" s="31">
        <f t="shared" si="4"/>
        <v>2.36</v>
      </c>
      <c r="F117" s="32">
        <v>16</v>
      </c>
      <c r="G117" s="32">
        <v>28</v>
      </c>
      <c r="H117" s="867"/>
      <c r="I117" s="189"/>
      <c r="J117" s="189"/>
      <c r="K117" s="833"/>
    </row>
    <row r="118" spans="2:11" ht="12.75">
      <c r="B118" s="864"/>
      <c r="C118" s="29" t="s">
        <v>185</v>
      </c>
      <c r="D118" s="30"/>
      <c r="E118" s="31">
        <f t="shared" si="4"/>
        <v>1.18</v>
      </c>
      <c r="F118" s="32">
        <v>8</v>
      </c>
      <c r="G118" s="32">
        <v>28</v>
      </c>
      <c r="H118" s="867"/>
      <c r="I118" s="189"/>
      <c r="J118" s="189"/>
      <c r="K118" s="833"/>
    </row>
    <row r="119" spans="2:11" ht="12.75">
      <c r="B119" s="864"/>
      <c r="C119" s="29" t="s">
        <v>189</v>
      </c>
      <c r="D119" s="30"/>
      <c r="E119" s="31">
        <f t="shared" si="4"/>
        <v>0.6</v>
      </c>
      <c r="F119" s="32">
        <v>8</v>
      </c>
      <c r="G119" s="32">
        <v>28</v>
      </c>
      <c r="H119" s="867"/>
      <c r="I119" s="189"/>
      <c r="J119" s="189"/>
      <c r="K119" s="833"/>
    </row>
    <row r="120" spans="2:11" ht="12.75">
      <c r="B120" s="864"/>
      <c r="C120" s="29" t="s">
        <v>192</v>
      </c>
      <c r="D120" s="30"/>
      <c r="E120" s="31">
        <f t="shared" si="4"/>
        <v>0.3</v>
      </c>
      <c r="F120" s="32">
        <v>8</v>
      </c>
      <c r="G120" s="32">
        <v>28</v>
      </c>
      <c r="H120" s="867"/>
      <c r="I120" s="189"/>
      <c r="J120" s="189"/>
      <c r="K120" s="833"/>
    </row>
    <row r="121" spans="2:11" ht="12.75">
      <c r="B121" s="865"/>
      <c r="C121" s="29" t="s">
        <v>29</v>
      </c>
      <c r="D121" s="30"/>
      <c r="E121" s="31">
        <f t="shared" si="4"/>
        <v>0.075</v>
      </c>
      <c r="F121" s="32">
        <v>8</v>
      </c>
      <c r="G121" s="32">
        <v>12</v>
      </c>
      <c r="H121" s="868"/>
      <c r="I121" s="189"/>
      <c r="J121" s="189"/>
      <c r="K121" s="833"/>
    </row>
    <row r="122" spans="2:11" ht="12.75">
      <c r="B122" s="854" t="s">
        <v>243</v>
      </c>
      <c r="C122" s="35" t="s">
        <v>21</v>
      </c>
      <c r="D122" s="36"/>
      <c r="E122" s="31">
        <f t="shared" si="4"/>
        <v>12.5</v>
      </c>
      <c r="F122" s="37">
        <v>100</v>
      </c>
      <c r="G122" s="37">
        <v>100</v>
      </c>
      <c r="H122" s="851">
        <v>17</v>
      </c>
      <c r="I122" s="187"/>
      <c r="J122" s="187"/>
      <c r="K122" s="833">
        <v>3</v>
      </c>
    </row>
    <row r="123" spans="2:11" ht="12.75">
      <c r="B123" s="855"/>
      <c r="C123" s="35" t="s">
        <v>34</v>
      </c>
      <c r="D123" s="36"/>
      <c r="E123" s="31">
        <f t="shared" si="4"/>
        <v>9.5</v>
      </c>
      <c r="F123" s="37">
        <v>70</v>
      </c>
      <c r="G123" s="37">
        <v>90</v>
      </c>
      <c r="H123" s="852"/>
      <c r="I123" s="187"/>
      <c r="J123" s="187"/>
      <c r="K123" s="833"/>
    </row>
    <row r="124" spans="2:11" ht="12.75">
      <c r="B124" s="855"/>
      <c r="C124" s="35" t="s">
        <v>23</v>
      </c>
      <c r="D124" s="36"/>
      <c r="E124" s="31">
        <f t="shared" si="4"/>
        <v>4.75</v>
      </c>
      <c r="F124" s="37">
        <v>30</v>
      </c>
      <c r="G124" s="37">
        <v>50</v>
      </c>
      <c r="H124" s="852"/>
      <c r="I124" s="187"/>
      <c r="J124" s="187"/>
      <c r="K124" s="833"/>
    </row>
    <row r="125" spans="2:11" ht="12.75">
      <c r="B125" s="855"/>
      <c r="C125" s="35" t="s">
        <v>181</v>
      </c>
      <c r="D125" s="36"/>
      <c r="E125" s="31">
        <f t="shared" si="4"/>
        <v>2.36</v>
      </c>
      <c r="F125" s="37">
        <v>20</v>
      </c>
      <c r="G125" s="37">
        <v>30</v>
      </c>
      <c r="H125" s="852"/>
      <c r="I125" s="187"/>
      <c r="J125" s="187"/>
      <c r="K125" s="833"/>
    </row>
    <row r="126" spans="2:11" ht="12.75">
      <c r="B126" s="855"/>
      <c r="C126" s="35" t="s">
        <v>185</v>
      </c>
      <c r="D126" s="36"/>
      <c r="E126" s="31">
        <f t="shared" si="4"/>
        <v>1.18</v>
      </c>
      <c r="F126" s="37">
        <v>8</v>
      </c>
      <c r="G126" s="37">
        <v>30</v>
      </c>
      <c r="H126" s="852"/>
      <c r="I126" s="187"/>
      <c r="J126" s="187"/>
      <c r="K126" s="833"/>
    </row>
    <row r="127" spans="2:11" ht="12.75">
      <c r="B127" s="855"/>
      <c r="C127" s="35" t="s">
        <v>189</v>
      </c>
      <c r="D127" s="36"/>
      <c r="E127" s="31">
        <f t="shared" si="4"/>
        <v>0.6</v>
      </c>
      <c r="F127" s="37">
        <v>8</v>
      </c>
      <c r="G127" s="37">
        <v>30</v>
      </c>
      <c r="H127" s="852"/>
      <c r="I127" s="187"/>
      <c r="J127" s="187"/>
      <c r="K127" s="833"/>
    </row>
    <row r="128" spans="2:11" ht="12.75">
      <c r="B128" s="855"/>
      <c r="C128" s="35" t="s">
        <v>192</v>
      </c>
      <c r="D128" s="36"/>
      <c r="E128" s="31">
        <f t="shared" si="4"/>
        <v>0.3</v>
      </c>
      <c r="F128" s="37">
        <v>8</v>
      </c>
      <c r="G128" s="37">
        <v>30</v>
      </c>
      <c r="H128" s="852"/>
      <c r="I128" s="187"/>
      <c r="J128" s="187"/>
      <c r="K128" s="833"/>
    </row>
    <row r="129" spans="2:11" ht="12.75">
      <c r="B129" s="856"/>
      <c r="C129" s="35" t="s">
        <v>29</v>
      </c>
      <c r="D129" s="36"/>
      <c r="E129" s="31">
        <f t="shared" si="4"/>
        <v>0.075</v>
      </c>
      <c r="F129" s="37">
        <v>8</v>
      </c>
      <c r="G129" s="37">
        <v>14</v>
      </c>
      <c r="H129" s="853"/>
      <c r="I129" s="187"/>
      <c r="J129" s="187"/>
      <c r="K129" s="833"/>
    </row>
    <row r="130" spans="2:11" ht="12.75">
      <c r="B130" s="863" t="s">
        <v>244</v>
      </c>
      <c r="C130" s="29" t="s">
        <v>173</v>
      </c>
      <c r="D130" s="30"/>
      <c r="E130" s="31">
        <f t="shared" si="4"/>
        <v>19</v>
      </c>
      <c r="F130" s="32">
        <v>100</v>
      </c>
      <c r="G130" s="32">
        <v>100</v>
      </c>
      <c r="H130" s="866">
        <v>18.5</v>
      </c>
      <c r="I130" s="189"/>
      <c r="J130" s="189"/>
      <c r="K130" s="833">
        <v>4</v>
      </c>
    </row>
    <row r="131" spans="2:11" ht="12.75">
      <c r="B131" s="864"/>
      <c r="C131" s="29" t="s">
        <v>21</v>
      </c>
      <c r="D131" s="30"/>
      <c r="E131" s="31">
        <f t="shared" si="4"/>
        <v>12.5</v>
      </c>
      <c r="F131" s="32">
        <v>72</v>
      </c>
      <c r="G131" s="32">
        <v>85</v>
      </c>
      <c r="H131" s="867"/>
      <c r="I131" s="189"/>
      <c r="J131" s="189"/>
      <c r="K131" s="833"/>
    </row>
    <row r="132" spans="2:11" ht="12.75">
      <c r="B132" s="864"/>
      <c r="C132" s="29" t="s">
        <v>34</v>
      </c>
      <c r="D132" s="30"/>
      <c r="E132" s="31">
        <f t="shared" si="4"/>
        <v>9.5</v>
      </c>
      <c r="F132" s="32">
        <v>50</v>
      </c>
      <c r="G132" s="32">
        <v>70</v>
      </c>
      <c r="H132" s="867"/>
      <c r="I132" s="189"/>
      <c r="J132" s="189"/>
      <c r="K132" s="833"/>
    </row>
    <row r="133" spans="2:11" ht="12.75">
      <c r="B133" s="864"/>
      <c r="C133" s="29" t="s">
        <v>23</v>
      </c>
      <c r="D133" s="30"/>
      <c r="E133" s="31">
        <f t="shared" si="4"/>
        <v>4.75</v>
      </c>
      <c r="F133" s="32">
        <v>30</v>
      </c>
      <c r="G133" s="32">
        <v>45</v>
      </c>
      <c r="H133" s="867"/>
      <c r="I133" s="189"/>
      <c r="J133" s="189"/>
      <c r="K133" s="833"/>
    </row>
    <row r="134" spans="2:11" ht="12.75">
      <c r="B134" s="864"/>
      <c r="C134" s="29" t="s">
        <v>181</v>
      </c>
      <c r="D134" s="30"/>
      <c r="E134" s="31">
        <f t="shared" si="4"/>
        <v>2.36</v>
      </c>
      <c r="F134" s="32">
        <v>17</v>
      </c>
      <c r="G134" s="32">
        <v>27</v>
      </c>
      <c r="H134" s="867"/>
      <c r="I134" s="189"/>
      <c r="J134" s="189"/>
      <c r="K134" s="833"/>
    </row>
    <row r="135" spans="2:11" ht="12.75">
      <c r="B135" s="864"/>
      <c r="C135" s="29" t="s">
        <v>185</v>
      </c>
      <c r="D135" s="30"/>
      <c r="E135" s="31">
        <f t="shared" si="4"/>
        <v>1.18</v>
      </c>
      <c r="F135" s="32">
        <v>12</v>
      </c>
      <c r="G135" s="32">
        <v>22</v>
      </c>
      <c r="H135" s="867"/>
      <c r="I135" s="189"/>
      <c r="J135" s="189"/>
      <c r="K135" s="833"/>
    </row>
    <row r="136" spans="2:11" ht="12.75">
      <c r="B136" s="864"/>
      <c r="C136" s="29" t="s">
        <v>189</v>
      </c>
      <c r="D136" s="30"/>
      <c r="E136" s="31">
        <f aca="true" t="shared" si="5" ref="E136:E158">VLOOKUP(C136,$D$202:$E$227,2,FALSE)</f>
        <v>0.6</v>
      </c>
      <c r="F136" s="32">
        <v>8</v>
      </c>
      <c r="G136" s="32">
        <v>20</v>
      </c>
      <c r="H136" s="867"/>
      <c r="I136" s="189"/>
      <c r="J136" s="189"/>
      <c r="K136" s="833"/>
    </row>
    <row r="137" spans="2:11" ht="12.75">
      <c r="B137" s="864"/>
      <c r="C137" s="29" t="s">
        <v>192</v>
      </c>
      <c r="D137" s="30"/>
      <c r="E137" s="31">
        <f t="shared" si="5"/>
        <v>0.3</v>
      </c>
      <c r="F137" s="32">
        <v>6</v>
      </c>
      <c r="G137" s="32">
        <v>15</v>
      </c>
      <c r="H137" s="867"/>
      <c r="I137" s="189"/>
      <c r="J137" s="189"/>
      <c r="K137" s="833"/>
    </row>
    <row r="138" spans="2:11" ht="12.75">
      <c r="B138" s="865"/>
      <c r="C138" s="29" t="s">
        <v>29</v>
      </c>
      <c r="D138" s="30"/>
      <c r="E138" s="31">
        <f t="shared" si="5"/>
        <v>0.075</v>
      </c>
      <c r="F138" s="32">
        <v>5</v>
      </c>
      <c r="G138" s="32">
        <v>9</v>
      </c>
      <c r="H138" s="868"/>
      <c r="I138" s="189"/>
      <c r="J138" s="189"/>
      <c r="K138" s="833"/>
    </row>
    <row r="139" spans="2:11" ht="12.75">
      <c r="B139" s="854" t="s">
        <v>245</v>
      </c>
      <c r="C139" s="35" t="s">
        <v>173</v>
      </c>
      <c r="D139" s="36"/>
      <c r="E139" s="31">
        <f t="shared" si="5"/>
        <v>19</v>
      </c>
      <c r="F139" s="37">
        <v>100</v>
      </c>
      <c r="G139" s="37">
        <v>100</v>
      </c>
      <c r="H139" s="851">
        <v>18.5</v>
      </c>
      <c r="I139" s="187"/>
      <c r="J139" s="187"/>
      <c r="K139" s="833">
        <v>3</v>
      </c>
    </row>
    <row r="140" spans="2:11" ht="12.75">
      <c r="B140" s="855"/>
      <c r="C140" s="35" t="s">
        <v>34</v>
      </c>
      <c r="D140" s="36"/>
      <c r="E140" s="31">
        <f t="shared" si="5"/>
        <v>9.5</v>
      </c>
      <c r="F140" s="37">
        <v>95</v>
      </c>
      <c r="G140" s="37">
        <v>100</v>
      </c>
      <c r="H140" s="852"/>
      <c r="I140" s="187"/>
      <c r="J140" s="187"/>
      <c r="K140" s="833"/>
    </row>
    <row r="141" spans="2:11" ht="12.75">
      <c r="B141" s="855"/>
      <c r="C141" s="35" t="s">
        <v>23</v>
      </c>
      <c r="D141" s="36"/>
      <c r="E141" s="31">
        <f t="shared" si="5"/>
        <v>4.75</v>
      </c>
      <c r="F141" s="37">
        <v>40</v>
      </c>
      <c r="G141" s="37">
        <v>50</v>
      </c>
      <c r="H141" s="852"/>
      <c r="I141" s="187"/>
      <c r="J141" s="187"/>
      <c r="K141" s="833"/>
    </row>
    <row r="142" spans="2:11" ht="12.75">
      <c r="B142" s="855"/>
      <c r="C142" s="35" t="s">
        <v>181</v>
      </c>
      <c r="D142" s="36"/>
      <c r="E142" s="31">
        <f t="shared" si="5"/>
        <v>2.36</v>
      </c>
      <c r="F142" s="37">
        <v>17</v>
      </c>
      <c r="G142" s="37">
        <v>27</v>
      </c>
      <c r="H142" s="852"/>
      <c r="I142" s="187"/>
      <c r="J142" s="187"/>
      <c r="K142" s="833"/>
    </row>
    <row r="143" spans="2:11" ht="12.75">
      <c r="B143" s="855"/>
      <c r="C143" s="35" t="s">
        <v>185</v>
      </c>
      <c r="D143" s="36"/>
      <c r="E143" s="31">
        <f t="shared" si="5"/>
        <v>1.18</v>
      </c>
      <c r="F143" s="37">
        <v>12</v>
      </c>
      <c r="G143" s="37">
        <v>22</v>
      </c>
      <c r="H143" s="852"/>
      <c r="I143" s="187"/>
      <c r="J143" s="187"/>
      <c r="K143" s="833"/>
    </row>
    <row r="144" spans="2:11" ht="12.75">
      <c r="B144" s="855"/>
      <c r="C144" s="35" t="s">
        <v>189</v>
      </c>
      <c r="D144" s="36"/>
      <c r="E144" s="31">
        <f t="shared" si="5"/>
        <v>0.6</v>
      </c>
      <c r="F144" s="37">
        <v>8</v>
      </c>
      <c r="G144" s="37">
        <v>20</v>
      </c>
      <c r="H144" s="852"/>
      <c r="I144" s="187"/>
      <c r="J144" s="187"/>
      <c r="K144" s="833"/>
    </row>
    <row r="145" spans="2:11" ht="12.75">
      <c r="B145" s="855"/>
      <c r="C145" s="35" t="s">
        <v>192</v>
      </c>
      <c r="D145" s="36"/>
      <c r="E145" s="31">
        <f t="shared" si="5"/>
        <v>0.3</v>
      </c>
      <c r="F145" s="37">
        <v>6</v>
      </c>
      <c r="G145" s="37">
        <v>15</v>
      </c>
      <c r="H145" s="852"/>
      <c r="I145" s="187"/>
      <c r="J145" s="187"/>
      <c r="K145" s="833"/>
    </row>
    <row r="146" spans="2:11" ht="12.75">
      <c r="B146" s="856"/>
      <c r="C146" s="35" t="s">
        <v>29</v>
      </c>
      <c r="D146" s="36"/>
      <c r="E146" s="31">
        <f t="shared" si="5"/>
        <v>0.075</v>
      </c>
      <c r="F146" s="37">
        <v>5</v>
      </c>
      <c r="G146" s="37">
        <v>9</v>
      </c>
      <c r="H146" s="853"/>
      <c r="I146" s="187"/>
      <c r="J146" s="187"/>
      <c r="K146" s="833"/>
    </row>
    <row r="147" spans="2:8" ht="12.75" customHeight="1">
      <c r="B147" s="863" t="s">
        <v>246</v>
      </c>
      <c r="C147" s="29" t="s">
        <v>173</v>
      </c>
      <c r="D147" s="30"/>
      <c r="E147" s="31">
        <f t="shared" si="5"/>
        <v>19</v>
      </c>
      <c r="F147" s="32">
        <v>100</v>
      </c>
      <c r="G147" s="32">
        <v>100</v>
      </c>
      <c r="H147" s="209"/>
    </row>
    <row r="148" spans="2:8" ht="12.75" customHeight="1">
      <c r="B148" s="864"/>
      <c r="C148" s="29" t="s">
        <v>21</v>
      </c>
      <c r="D148" s="30"/>
      <c r="E148" s="31">
        <f t="shared" si="5"/>
        <v>12.5</v>
      </c>
      <c r="F148" s="32">
        <v>80</v>
      </c>
      <c r="G148" s="32">
        <v>100</v>
      </c>
      <c r="H148" s="210"/>
    </row>
    <row r="149" spans="2:8" ht="12.75">
      <c r="B149" s="864"/>
      <c r="C149" s="29" t="s">
        <v>34</v>
      </c>
      <c r="D149" s="30"/>
      <c r="E149" s="31">
        <f t="shared" si="5"/>
        <v>9.5</v>
      </c>
      <c r="F149" s="32">
        <v>35</v>
      </c>
      <c r="G149" s="32">
        <v>60</v>
      </c>
      <c r="H149" s="210"/>
    </row>
    <row r="150" spans="2:8" ht="12.75">
      <c r="B150" s="864"/>
      <c r="C150" s="29" t="s">
        <v>23</v>
      </c>
      <c r="D150" s="30"/>
      <c r="E150" s="31">
        <f t="shared" si="5"/>
        <v>4.75</v>
      </c>
      <c r="F150" s="32">
        <v>1</v>
      </c>
      <c r="G150" s="32">
        <v>20</v>
      </c>
      <c r="H150" s="210"/>
    </row>
    <row r="151" spans="2:8" ht="12.75">
      <c r="B151" s="864"/>
      <c r="C151" s="29" t="s">
        <v>181</v>
      </c>
      <c r="D151" s="30"/>
      <c r="E151" s="31">
        <f t="shared" si="5"/>
        <v>2.36</v>
      </c>
      <c r="F151" s="32">
        <v>1</v>
      </c>
      <c r="G151" s="32">
        <v>10</v>
      </c>
      <c r="H151" s="210"/>
    </row>
    <row r="152" spans="2:8" ht="12.75">
      <c r="B152" s="865"/>
      <c r="C152" s="29" t="s">
        <v>29</v>
      </c>
      <c r="D152" s="30"/>
      <c r="E152" s="31">
        <f t="shared" si="5"/>
        <v>0.075</v>
      </c>
      <c r="F152" s="32">
        <v>1</v>
      </c>
      <c r="G152" s="32">
        <v>4</v>
      </c>
      <c r="H152" s="210"/>
    </row>
    <row r="153" spans="2:8" ht="12.75">
      <c r="B153" s="854" t="s">
        <v>247</v>
      </c>
      <c r="C153" s="35" t="s">
        <v>173</v>
      </c>
      <c r="D153" s="36"/>
      <c r="E153" s="31">
        <f t="shared" si="5"/>
        <v>19</v>
      </c>
      <c r="F153" s="37">
        <v>100</v>
      </c>
      <c r="G153" s="37">
        <v>100</v>
      </c>
      <c r="H153" s="851"/>
    </row>
    <row r="154" spans="2:8" ht="12.75">
      <c r="B154" s="855"/>
      <c r="C154" s="35" t="s">
        <v>21</v>
      </c>
      <c r="D154" s="36"/>
      <c r="E154" s="31">
        <f t="shared" si="5"/>
        <v>12.5</v>
      </c>
      <c r="F154" s="37">
        <v>95</v>
      </c>
      <c r="G154" s="37">
        <v>100</v>
      </c>
      <c r="H154" s="852"/>
    </row>
    <row r="155" spans="2:8" ht="12.75">
      <c r="B155" s="855"/>
      <c r="C155" s="35" t="s">
        <v>34</v>
      </c>
      <c r="D155" s="36"/>
      <c r="E155" s="31">
        <f t="shared" si="5"/>
        <v>9.5</v>
      </c>
      <c r="F155" s="37">
        <v>50</v>
      </c>
      <c r="G155" s="37">
        <v>80</v>
      </c>
      <c r="H155" s="852"/>
    </row>
    <row r="156" spans="2:8" ht="12.75">
      <c r="B156" s="855"/>
      <c r="C156" s="35" t="s">
        <v>23</v>
      </c>
      <c r="D156" s="36"/>
      <c r="E156" s="31">
        <f t="shared" si="5"/>
        <v>4.75</v>
      </c>
      <c r="F156" s="37">
        <v>0</v>
      </c>
      <c r="G156" s="37">
        <v>8</v>
      </c>
      <c r="H156" s="852"/>
    </row>
    <row r="157" spans="2:8" ht="12.75">
      <c r="B157" s="855"/>
      <c r="C157" s="35" t="s">
        <v>181</v>
      </c>
      <c r="D157" s="36"/>
      <c r="E157" s="31">
        <f t="shared" si="5"/>
        <v>2.36</v>
      </c>
      <c r="F157" s="37">
        <v>0</v>
      </c>
      <c r="G157" s="37">
        <v>4</v>
      </c>
      <c r="H157" s="852"/>
    </row>
    <row r="158" spans="2:8" ht="12.75">
      <c r="B158" s="856"/>
      <c r="C158" s="35" t="s">
        <v>29</v>
      </c>
      <c r="D158" s="36"/>
      <c r="E158" s="31">
        <f t="shared" si="5"/>
        <v>0.075</v>
      </c>
      <c r="F158" s="37">
        <v>0</v>
      </c>
      <c r="G158" s="37">
        <v>4</v>
      </c>
      <c r="H158" s="853"/>
    </row>
    <row r="159" spans="2:8" ht="12.75">
      <c r="B159" s="857" t="s">
        <v>208</v>
      </c>
      <c r="C159" s="330" t="s">
        <v>34</v>
      </c>
      <c r="D159" s="331" t="s">
        <v>35</v>
      </c>
      <c r="E159" s="31">
        <f>VLOOKUP(C159,$D$202:$E$227,2,FALSE)</f>
        <v>9.5</v>
      </c>
      <c r="F159" s="332">
        <v>98</v>
      </c>
      <c r="G159" s="332">
        <v>100</v>
      </c>
      <c r="H159" s="858"/>
    </row>
    <row r="160" spans="2:8" ht="12.75">
      <c r="B160" s="857"/>
      <c r="C160" s="330" t="s">
        <v>23</v>
      </c>
      <c r="D160" s="331" t="s">
        <v>24</v>
      </c>
      <c r="E160" s="31">
        <f aca="true" t="shared" si="6" ref="E160:E185">VLOOKUP(C160,$D$202:$E$227,2,FALSE)</f>
        <v>4.75</v>
      </c>
      <c r="F160" s="332">
        <v>70</v>
      </c>
      <c r="G160" s="332">
        <v>90</v>
      </c>
      <c r="H160" s="859"/>
    </row>
    <row r="161" spans="2:8" ht="12.75">
      <c r="B161" s="857"/>
      <c r="C161" s="330" t="s">
        <v>181</v>
      </c>
      <c r="D161" s="331" t="s">
        <v>182</v>
      </c>
      <c r="E161" s="31">
        <f t="shared" si="6"/>
        <v>2.36</v>
      </c>
      <c r="F161" s="332">
        <v>40</v>
      </c>
      <c r="G161" s="332">
        <v>65</v>
      </c>
      <c r="H161" s="859"/>
    </row>
    <row r="162" spans="2:8" ht="12.75">
      <c r="B162" s="857"/>
      <c r="C162" s="330" t="s">
        <v>185</v>
      </c>
      <c r="D162" s="331" t="s">
        <v>186</v>
      </c>
      <c r="E162" s="31">
        <f t="shared" si="6"/>
        <v>1.18</v>
      </c>
      <c r="F162" s="332">
        <v>20</v>
      </c>
      <c r="G162" s="332">
        <v>45</v>
      </c>
      <c r="H162" s="859"/>
    </row>
    <row r="163" spans="2:8" ht="12.75">
      <c r="B163" s="857"/>
      <c r="C163" s="330" t="s">
        <v>189</v>
      </c>
      <c r="D163" s="331" t="s">
        <v>190</v>
      </c>
      <c r="E163" s="31">
        <f t="shared" si="6"/>
        <v>0.6</v>
      </c>
      <c r="F163" s="332">
        <v>10</v>
      </c>
      <c r="G163" s="332">
        <v>30</v>
      </c>
      <c r="H163" s="859"/>
    </row>
    <row r="164" spans="2:8" ht="12.75">
      <c r="B164" s="857"/>
      <c r="C164" s="330" t="s">
        <v>192</v>
      </c>
      <c r="D164" s="331" t="s">
        <v>193</v>
      </c>
      <c r="E164" s="31">
        <f t="shared" si="6"/>
        <v>0.3</v>
      </c>
      <c r="F164" s="332">
        <v>10</v>
      </c>
      <c r="G164" s="332">
        <v>20</v>
      </c>
      <c r="H164" s="859"/>
    </row>
    <row r="165" spans="2:8" ht="12.75">
      <c r="B165" s="857"/>
      <c r="C165" s="330" t="s">
        <v>29</v>
      </c>
      <c r="D165" s="331" t="s">
        <v>197</v>
      </c>
      <c r="E165" s="31">
        <f t="shared" si="6"/>
        <v>0.075</v>
      </c>
      <c r="F165" s="332">
        <v>2</v>
      </c>
      <c r="G165" s="332">
        <v>10</v>
      </c>
      <c r="H165" s="859"/>
    </row>
    <row r="166" spans="2:15" ht="12.75">
      <c r="B166" s="857"/>
      <c r="C166" s="330"/>
      <c r="D166" s="331"/>
      <c r="E166" s="31" t="e">
        <f t="shared" si="6"/>
        <v>#N/A</v>
      </c>
      <c r="F166" s="332"/>
      <c r="G166" s="332"/>
      <c r="H166" s="859"/>
      <c r="M166" s="838" t="s">
        <v>313</v>
      </c>
      <c r="N166" s="839"/>
      <c r="O166" s="836" t="s">
        <v>317</v>
      </c>
    </row>
    <row r="167" spans="2:15" ht="12.75">
      <c r="B167" s="857"/>
      <c r="C167" s="330"/>
      <c r="D167" s="331"/>
      <c r="E167" s="31" t="e">
        <f t="shared" si="6"/>
        <v>#N/A</v>
      </c>
      <c r="F167" s="332"/>
      <c r="G167" s="332"/>
      <c r="H167" s="859"/>
      <c r="I167"/>
      <c r="J167"/>
      <c r="K167" s="836" t="s">
        <v>310</v>
      </c>
      <c r="L167" s="849"/>
      <c r="M167" s="477"/>
      <c r="N167" s="479"/>
      <c r="O167" s="836"/>
    </row>
    <row r="168" spans="2:15" ht="12.75">
      <c r="B168" s="857"/>
      <c r="C168" s="330"/>
      <c r="D168" s="331"/>
      <c r="E168" s="31" t="e">
        <f t="shared" si="6"/>
        <v>#N/A</v>
      </c>
      <c r="F168" s="332"/>
      <c r="G168" s="332"/>
      <c r="H168" s="860"/>
      <c r="I168"/>
      <c r="J168"/>
      <c r="K168" s="281" t="s">
        <v>311</v>
      </c>
      <c r="L168" s="281" t="s">
        <v>312</v>
      </c>
      <c r="M168" s="281" t="s">
        <v>311</v>
      </c>
      <c r="N168" s="281" t="s">
        <v>312</v>
      </c>
      <c r="O168" s="836"/>
    </row>
    <row r="169" spans="2:15" ht="12.75">
      <c r="B169" s="861" t="s">
        <v>304</v>
      </c>
      <c r="C169" s="276" t="s">
        <v>34</v>
      </c>
      <c r="D169" s="278"/>
      <c r="E169" s="274">
        <f t="shared" si="6"/>
        <v>9.5</v>
      </c>
      <c r="F169" s="277">
        <v>100</v>
      </c>
      <c r="G169" s="277">
        <v>100</v>
      </c>
      <c r="H169" s="848"/>
      <c r="I169" s="841"/>
      <c r="J169" s="841"/>
      <c r="K169" s="873">
        <v>5</v>
      </c>
      <c r="L169" s="873">
        <v>5.8</v>
      </c>
      <c r="M169" s="837">
        <v>0.14</v>
      </c>
      <c r="N169" s="837">
        <v>0.19</v>
      </c>
      <c r="O169" s="283">
        <v>0.41</v>
      </c>
    </row>
    <row r="170" spans="2:15" ht="12.75">
      <c r="B170" s="861"/>
      <c r="C170" s="276" t="s">
        <v>23</v>
      </c>
      <c r="D170" s="278"/>
      <c r="E170" s="274">
        <f t="shared" si="6"/>
        <v>4.75</v>
      </c>
      <c r="F170" s="277">
        <v>35</v>
      </c>
      <c r="G170" s="277">
        <v>55</v>
      </c>
      <c r="H170" s="848"/>
      <c r="I170" s="841"/>
      <c r="J170" s="841"/>
      <c r="K170" s="873"/>
      <c r="L170" s="873"/>
      <c r="M170" s="837"/>
      <c r="N170" s="837"/>
      <c r="O170" s="283">
        <v>0.41</v>
      </c>
    </row>
    <row r="171" spans="2:15" ht="12.75">
      <c r="B171" s="861"/>
      <c r="C171" s="276" t="s">
        <v>181</v>
      </c>
      <c r="D171" s="278"/>
      <c r="E171" s="274">
        <f t="shared" si="6"/>
        <v>2.36</v>
      </c>
      <c r="F171" s="277">
        <v>19</v>
      </c>
      <c r="G171" s="277">
        <v>30</v>
      </c>
      <c r="H171" s="848"/>
      <c r="I171" s="841"/>
      <c r="J171" s="841"/>
      <c r="K171" s="873"/>
      <c r="L171" s="873"/>
      <c r="M171" s="837"/>
      <c r="N171" s="837"/>
      <c r="O171" s="283">
        <v>0.82</v>
      </c>
    </row>
    <row r="172" spans="2:15" ht="12.75">
      <c r="B172" s="861"/>
      <c r="C172" s="276" t="s">
        <v>185</v>
      </c>
      <c r="D172" s="278"/>
      <c r="E172" s="274">
        <f t="shared" si="6"/>
        <v>1.18</v>
      </c>
      <c r="F172" s="277">
        <v>14</v>
      </c>
      <c r="G172" s="277">
        <v>25</v>
      </c>
      <c r="H172" s="848"/>
      <c r="I172" s="841"/>
      <c r="J172" s="841"/>
      <c r="K172" s="873"/>
      <c r="L172" s="873"/>
      <c r="M172" s="837"/>
      <c r="N172" s="837"/>
      <c r="O172" s="283">
        <v>1.64</v>
      </c>
    </row>
    <row r="173" spans="2:15" ht="12.75">
      <c r="B173" s="861"/>
      <c r="C173" s="276" t="s">
        <v>189</v>
      </c>
      <c r="D173" s="278"/>
      <c r="E173" s="274">
        <f t="shared" si="6"/>
        <v>0.6</v>
      </c>
      <c r="F173" s="277">
        <v>10</v>
      </c>
      <c r="G173" s="277">
        <v>18</v>
      </c>
      <c r="H173" s="848"/>
      <c r="I173" s="841"/>
      <c r="J173" s="841"/>
      <c r="K173" s="873"/>
      <c r="L173" s="873"/>
      <c r="M173" s="837"/>
      <c r="N173" s="837"/>
      <c r="O173" s="283">
        <v>2.87</v>
      </c>
    </row>
    <row r="174" spans="2:15" ht="12.75">
      <c r="B174" s="861"/>
      <c r="C174" s="276" t="s">
        <v>192</v>
      </c>
      <c r="D174" s="278"/>
      <c r="E174" s="274">
        <f t="shared" si="6"/>
        <v>0.3</v>
      </c>
      <c r="F174" s="277">
        <v>7</v>
      </c>
      <c r="G174" s="277">
        <v>14</v>
      </c>
      <c r="H174" s="848"/>
      <c r="I174" s="841"/>
      <c r="J174" s="841"/>
      <c r="K174" s="873"/>
      <c r="L174" s="873"/>
      <c r="M174" s="837"/>
      <c r="N174" s="837"/>
      <c r="O174" s="283">
        <v>6.14</v>
      </c>
    </row>
    <row r="175" spans="2:15" ht="12.75">
      <c r="B175" s="861"/>
      <c r="C175" s="276" t="s">
        <v>195</v>
      </c>
      <c r="D175" s="278"/>
      <c r="E175" s="274">
        <f t="shared" si="6"/>
        <v>0.15</v>
      </c>
      <c r="F175" s="277">
        <v>5</v>
      </c>
      <c r="G175" s="277">
        <v>10</v>
      </c>
      <c r="H175" s="848"/>
      <c r="I175" s="841"/>
      <c r="J175" s="841"/>
      <c r="K175" s="873"/>
      <c r="L175" s="873"/>
      <c r="M175" s="837"/>
      <c r="N175" s="837"/>
      <c r="O175" s="283">
        <v>12.29</v>
      </c>
    </row>
    <row r="176" spans="2:15" ht="12.75">
      <c r="B176" s="861"/>
      <c r="C176" s="276" t="s">
        <v>29</v>
      </c>
      <c r="D176" s="278"/>
      <c r="E176" s="274">
        <f t="shared" si="6"/>
        <v>0.075</v>
      </c>
      <c r="F176" s="277">
        <v>4</v>
      </c>
      <c r="G176" s="277">
        <v>6</v>
      </c>
      <c r="H176" s="848"/>
      <c r="I176" s="841"/>
      <c r="J176" s="841"/>
      <c r="K176" s="873"/>
      <c r="L176" s="873"/>
      <c r="M176" s="837"/>
      <c r="N176" s="837"/>
      <c r="O176" s="283">
        <v>32.77</v>
      </c>
    </row>
    <row r="177" spans="2:15" ht="12.75">
      <c r="B177" s="862" t="s">
        <v>305</v>
      </c>
      <c r="C177" s="273" t="s">
        <v>21</v>
      </c>
      <c r="D177" s="274"/>
      <c r="E177" s="274">
        <f t="shared" si="6"/>
        <v>12.5</v>
      </c>
      <c r="F177" s="275">
        <v>100</v>
      </c>
      <c r="G177" s="275">
        <v>100</v>
      </c>
      <c r="H177" s="847"/>
      <c r="I177" s="842"/>
      <c r="J177" s="842"/>
      <c r="K177" s="874">
        <v>4.8</v>
      </c>
      <c r="L177" s="874">
        <v>5.6</v>
      </c>
      <c r="M177" s="840">
        <v>0.17</v>
      </c>
      <c r="N177" s="840">
        <v>0.24</v>
      </c>
      <c r="O177" s="284">
        <v>0.41</v>
      </c>
    </row>
    <row r="178" spans="2:15" ht="12.75">
      <c r="B178" s="862"/>
      <c r="C178" s="273" t="s">
        <v>34</v>
      </c>
      <c r="D178" s="274"/>
      <c r="E178" s="274">
        <f t="shared" si="6"/>
        <v>9.5</v>
      </c>
      <c r="F178" s="275">
        <v>75</v>
      </c>
      <c r="G178" s="275">
        <v>100</v>
      </c>
      <c r="H178" s="847"/>
      <c r="I178" s="842"/>
      <c r="J178" s="842"/>
      <c r="K178" s="874"/>
      <c r="L178" s="874"/>
      <c r="M178" s="840"/>
      <c r="N178" s="840"/>
      <c r="O178" s="284" t="s">
        <v>60</v>
      </c>
    </row>
    <row r="179" spans="2:15" ht="12.75">
      <c r="B179" s="862"/>
      <c r="C179" s="273" t="s">
        <v>23</v>
      </c>
      <c r="D179" s="274"/>
      <c r="E179" s="274">
        <f t="shared" si="6"/>
        <v>4.75</v>
      </c>
      <c r="F179" s="275">
        <v>22</v>
      </c>
      <c r="G179" s="275">
        <v>36</v>
      </c>
      <c r="H179" s="847"/>
      <c r="I179" s="842"/>
      <c r="J179" s="842"/>
      <c r="K179" s="874"/>
      <c r="L179" s="874"/>
      <c r="M179" s="840"/>
      <c r="N179" s="840"/>
      <c r="O179" s="284">
        <v>0.41</v>
      </c>
    </row>
    <row r="180" spans="2:15" ht="12.75">
      <c r="B180" s="862"/>
      <c r="C180" s="273" t="s">
        <v>181</v>
      </c>
      <c r="D180" s="274"/>
      <c r="E180" s="274">
        <f t="shared" si="6"/>
        <v>2.36</v>
      </c>
      <c r="F180" s="275">
        <v>19</v>
      </c>
      <c r="G180" s="275">
        <v>30</v>
      </c>
      <c r="H180" s="847"/>
      <c r="I180" s="842"/>
      <c r="J180" s="842"/>
      <c r="K180" s="874"/>
      <c r="L180" s="874"/>
      <c r="M180" s="840"/>
      <c r="N180" s="840"/>
      <c r="O180" s="284">
        <v>0.82</v>
      </c>
    </row>
    <row r="181" spans="2:15" ht="12.75">
      <c r="B181" s="862"/>
      <c r="C181" s="273" t="s">
        <v>185</v>
      </c>
      <c r="D181" s="274"/>
      <c r="E181" s="274">
        <f t="shared" si="6"/>
        <v>1.18</v>
      </c>
      <c r="F181" s="275">
        <v>14</v>
      </c>
      <c r="G181" s="275">
        <v>24</v>
      </c>
      <c r="H181" s="847"/>
      <c r="I181" s="842"/>
      <c r="J181" s="842"/>
      <c r="K181" s="874"/>
      <c r="L181" s="874"/>
      <c r="M181" s="840"/>
      <c r="N181" s="840"/>
      <c r="O181" s="284">
        <v>1.64</v>
      </c>
    </row>
    <row r="182" spans="2:15" ht="12.75">
      <c r="B182" s="862"/>
      <c r="C182" s="273" t="s">
        <v>189</v>
      </c>
      <c r="D182" s="274"/>
      <c r="E182" s="274">
        <f t="shared" si="6"/>
        <v>0.6</v>
      </c>
      <c r="F182" s="275">
        <v>10</v>
      </c>
      <c r="G182" s="275">
        <v>18</v>
      </c>
      <c r="H182" s="847"/>
      <c r="I182" s="842"/>
      <c r="J182" s="842"/>
      <c r="K182" s="874"/>
      <c r="L182" s="874"/>
      <c r="M182" s="840"/>
      <c r="N182" s="840"/>
      <c r="O182" s="284">
        <v>2.87</v>
      </c>
    </row>
    <row r="183" spans="2:15" ht="12.75">
      <c r="B183" s="862"/>
      <c r="C183" s="273" t="s">
        <v>192</v>
      </c>
      <c r="D183" s="274"/>
      <c r="E183" s="274">
        <f t="shared" si="6"/>
        <v>0.3</v>
      </c>
      <c r="F183" s="275">
        <v>7</v>
      </c>
      <c r="G183" s="275">
        <v>14</v>
      </c>
      <c r="H183" s="847"/>
      <c r="I183" s="842"/>
      <c r="J183" s="842"/>
      <c r="K183" s="874"/>
      <c r="L183" s="874"/>
      <c r="M183" s="840"/>
      <c r="N183" s="840"/>
      <c r="O183" s="284">
        <v>6.14</v>
      </c>
    </row>
    <row r="184" spans="2:15" ht="12.75">
      <c r="B184" s="862"/>
      <c r="C184" s="273" t="s">
        <v>195</v>
      </c>
      <c r="D184" s="274"/>
      <c r="E184" s="274">
        <f t="shared" si="6"/>
        <v>0.15</v>
      </c>
      <c r="F184" s="275">
        <v>5</v>
      </c>
      <c r="G184" s="275">
        <v>10</v>
      </c>
      <c r="H184" s="847"/>
      <c r="I184" s="842"/>
      <c r="J184" s="842"/>
      <c r="K184" s="874"/>
      <c r="L184" s="874"/>
      <c r="M184" s="840"/>
      <c r="N184" s="840"/>
      <c r="O184" s="284">
        <v>12.29</v>
      </c>
    </row>
    <row r="185" spans="2:15" ht="12.75">
      <c r="B185" s="862"/>
      <c r="C185" s="273" t="s">
        <v>29</v>
      </c>
      <c r="D185" s="274"/>
      <c r="E185" s="274">
        <f t="shared" si="6"/>
        <v>0.075</v>
      </c>
      <c r="F185" s="275">
        <v>4</v>
      </c>
      <c r="G185" s="275">
        <v>6</v>
      </c>
      <c r="H185" s="847"/>
      <c r="I185" s="842"/>
      <c r="J185" s="842"/>
      <c r="K185" s="874"/>
      <c r="L185" s="874"/>
      <c r="M185" s="840"/>
      <c r="N185" s="840"/>
      <c r="O185" s="284">
        <v>32.77</v>
      </c>
    </row>
    <row r="186" spans="2:15" ht="12.75">
      <c r="B186" s="861" t="s">
        <v>306</v>
      </c>
      <c r="C186" s="276" t="s">
        <v>173</v>
      </c>
      <c r="D186" s="278"/>
      <c r="E186" s="274">
        <f aca="true" t="shared" si="7" ref="E186:E195">VLOOKUP(C186,$D$202:$E$227,2,FALSE)</f>
        <v>19</v>
      </c>
      <c r="F186" s="277">
        <v>100</v>
      </c>
      <c r="G186" s="277">
        <v>100</v>
      </c>
      <c r="H186" s="848"/>
      <c r="I186" s="841"/>
      <c r="J186" s="841"/>
      <c r="K186" s="873">
        <v>4.6</v>
      </c>
      <c r="L186" s="873">
        <v>5.6</v>
      </c>
      <c r="M186" s="837">
        <v>0.2</v>
      </c>
      <c r="N186" s="837">
        <v>0.27</v>
      </c>
      <c r="O186" s="283">
        <v>0.41</v>
      </c>
    </row>
    <row r="187" spans="2:15" ht="12.75">
      <c r="B187" s="861"/>
      <c r="C187" s="276" t="s">
        <v>21</v>
      </c>
      <c r="D187" s="278"/>
      <c r="E187" s="274">
        <f t="shared" si="7"/>
        <v>12.5</v>
      </c>
      <c r="F187" s="277">
        <v>75</v>
      </c>
      <c r="G187" s="277">
        <v>100</v>
      </c>
      <c r="H187" s="848"/>
      <c r="I187" s="841"/>
      <c r="J187" s="841"/>
      <c r="K187" s="873"/>
      <c r="L187" s="873"/>
      <c r="M187" s="837"/>
      <c r="N187" s="837"/>
      <c r="O187" s="283" t="s">
        <v>60</v>
      </c>
    </row>
    <row r="188" spans="2:15" ht="12.75">
      <c r="B188" s="861"/>
      <c r="C188" s="276" t="s">
        <v>34</v>
      </c>
      <c r="D188" s="278"/>
      <c r="E188" s="274">
        <f t="shared" si="7"/>
        <v>9.5</v>
      </c>
      <c r="F188" s="277">
        <v>55</v>
      </c>
      <c r="G188" s="277">
        <v>80</v>
      </c>
      <c r="H188" s="848"/>
      <c r="I188" s="841"/>
      <c r="J188" s="841"/>
      <c r="K188" s="873"/>
      <c r="L188" s="873"/>
      <c r="M188" s="837"/>
      <c r="N188" s="837"/>
      <c r="O188" s="283" t="s">
        <v>60</v>
      </c>
    </row>
    <row r="189" spans="2:15" ht="12.75">
      <c r="B189" s="861"/>
      <c r="C189" s="276" t="s">
        <v>23</v>
      </c>
      <c r="D189" s="278"/>
      <c r="E189" s="274">
        <f t="shared" si="7"/>
        <v>4.75</v>
      </c>
      <c r="F189" s="277">
        <v>22</v>
      </c>
      <c r="G189" s="277">
        <v>36</v>
      </c>
      <c r="H189" s="848"/>
      <c r="I189" s="841"/>
      <c r="J189" s="841"/>
      <c r="K189" s="873"/>
      <c r="L189" s="873"/>
      <c r="M189" s="837"/>
      <c r="N189" s="837"/>
      <c r="O189" s="283">
        <v>0.41</v>
      </c>
    </row>
    <row r="190" spans="2:15" ht="12.75">
      <c r="B190" s="861"/>
      <c r="C190" s="276" t="s">
        <v>181</v>
      </c>
      <c r="D190" s="278"/>
      <c r="E190" s="274">
        <f t="shared" si="7"/>
        <v>2.36</v>
      </c>
      <c r="F190" s="277">
        <v>19</v>
      </c>
      <c r="G190" s="277">
        <v>30</v>
      </c>
      <c r="H190" s="848"/>
      <c r="I190" s="841"/>
      <c r="J190" s="841"/>
      <c r="K190" s="873"/>
      <c r="L190" s="873"/>
      <c r="M190" s="837"/>
      <c r="N190" s="837"/>
      <c r="O190" s="283">
        <v>0.82</v>
      </c>
    </row>
    <row r="191" spans="2:15" ht="12.75">
      <c r="B191" s="861"/>
      <c r="C191" s="276" t="s">
        <v>185</v>
      </c>
      <c r="D191" s="278"/>
      <c r="E191" s="274">
        <f t="shared" si="7"/>
        <v>1.18</v>
      </c>
      <c r="F191" s="277">
        <v>14</v>
      </c>
      <c r="G191" s="277">
        <v>24</v>
      </c>
      <c r="H191" s="848"/>
      <c r="I191" s="841"/>
      <c r="J191" s="841"/>
      <c r="K191" s="873"/>
      <c r="L191" s="873"/>
      <c r="M191" s="837"/>
      <c r="N191" s="837"/>
      <c r="O191" s="283">
        <v>1.64</v>
      </c>
    </row>
    <row r="192" spans="2:15" ht="12.75">
      <c r="B192" s="861"/>
      <c r="C192" s="276" t="s">
        <v>189</v>
      </c>
      <c r="D192" s="278"/>
      <c r="E192" s="274">
        <f t="shared" si="7"/>
        <v>0.6</v>
      </c>
      <c r="F192" s="277">
        <v>10</v>
      </c>
      <c r="G192" s="277">
        <v>18</v>
      </c>
      <c r="H192" s="848"/>
      <c r="I192" s="841"/>
      <c r="J192" s="841"/>
      <c r="K192" s="873"/>
      <c r="L192" s="873"/>
      <c r="M192" s="837"/>
      <c r="N192" s="837"/>
      <c r="O192" s="283">
        <v>2.87</v>
      </c>
    </row>
    <row r="193" spans="2:15" ht="12.75">
      <c r="B193" s="861"/>
      <c r="C193" s="276" t="s">
        <v>192</v>
      </c>
      <c r="D193" s="278"/>
      <c r="E193" s="274">
        <f t="shared" si="7"/>
        <v>0.3</v>
      </c>
      <c r="F193" s="277">
        <v>7</v>
      </c>
      <c r="G193" s="277">
        <v>14</v>
      </c>
      <c r="H193" s="848"/>
      <c r="I193" s="841"/>
      <c r="J193" s="841"/>
      <c r="K193" s="873"/>
      <c r="L193" s="873"/>
      <c r="M193" s="837"/>
      <c r="N193" s="837"/>
      <c r="O193" s="283">
        <v>6.14</v>
      </c>
    </row>
    <row r="194" spans="2:15" ht="12.75">
      <c r="B194" s="861"/>
      <c r="C194" s="276" t="s">
        <v>195</v>
      </c>
      <c r="D194" s="278"/>
      <c r="E194" s="274">
        <f t="shared" si="7"/>
        <v>0.15</v>
      </c>
      <c r="F194" s="277">
        <v>5</v>
      </c>
      <c r="G194" s="277">
        <v>10</v>
      </c>
      <c r="H194" s="848"/>
      <c r="I194" s="841"/>
      <c r="J194" s="841"/>
      <c r="K194" s="873"/>
      <c r="L194" s="873"/>
      <c r="M194" s="837"/>
      <c r="N194" s="837"/>
      <c r="O194" s="283">
        <v>12.29</v>
      </c>
    </row>
    <row r="195" spans="2:15" ht="12.75">
      <c r="B195" s="861"/>
      <c r="C195" s="276" t="s">
        <v>29</v>
      </c>
      <c r="D195" s="278"/>
      <c r="E195" s="274">
        <f t="shared" si="7"/>
        <v>0.075</v>
      </c>
      <c r="F195" s="277">
        <v>4</v>
      </c>
      <c r="G195" s="277">
        <v>6</v>
      </c>
      <c r="H195" s="848"/>
      <c r="I195" s="841"/>
      <c r="J195" s="841"/>
      <c r="K195" s="873"/>
      <c r="L195" s="873"/>
      <c r="M195" s="837"/>
      <c r="N195" s="837"/>
      <c r="O195" s="283">
        <v>32.77</v>
      </c>
    </row>
    <row r="196" spans="3:5" ht="12.75">
      <c r="C196" s="38"/>
      <c r="D196" s="38"/>
      <c r="E196" s="38"/>
    </row>
    <row r="197" spans="3:5" ht="12.75">
      <c r="C197" s="38"/>
      <c r="D197" s="38"/>
      <c r="E197" s="38"/>
    </row>
    <row r="198" spans="3:10" ht="12.75">
      <c r="C198" s="38"/>
      <c r="D198" s="38"/>
      <c r="E198" s="38"/>
      <c r="J198" s="875" t="s">
        <v>314</v>
      </c>
    </row>
    <row r="199" spans="3:10" ht="12.75" customHeight="1">
      <c r="C199" s="38"/>
      <c r="D199" s="38"/>
      <c r="E199" s="38"/>
      <c r="J199" s="875"/>
    </row>
    <row r="200" spans="2:10" ht="12.75">
      <c r="B200" s="154" t="s">
        <v>168</v>
      </c>
      <c r="C200"/>
      <c r="D200"/>
      <c r="E200"/>
      <c r="G200" s="849" t="s">
        <v>207</v>
      </c>
      <c r="H200" s="850"/>
      <c r="J200" s="875"/>
    </row>
    <row r="201" spans="2:10" ht="12.75">
      <c r="B201" s="185" t="s">
        <v>199</v>
      </c>
      <c r="C201" s="178" t="s">
        <v>200</v>
      </c>
      <c r="D201" s="183" t="s">
        <v>198</v>
      </c>
      <c r="E201" s="181" t="s">
        <v>201</v>
      </c>
      <c r="G201" s="845" t="s">
        <v>373</v>
      </c>
      <c r="H201" s="845"/>
      <c r="J201" s="31" t="e">
        <f ca="1">IF(OR(memapprate&lt;INDEX(INDIRECT(Grade),1,12),memapprate&gt;INDEX(INDIRECT(Grade),1,13)),1,0)</f>
        <v>#REF!</v>
      </c>
    </row>
    <row r="202" spans="2:8" ht="12.75">
      <c r="B202" s="179" t="s">
        <v>169</v>
      </c>
      <c r="C202" s="179" t="s">
        <v>170</v>
      </c>
      <c r="D202" s="184" t="str">
        <f>B202</f>
        <v>2"</v>
      </c>
      <c r="E202" s="182">
        <v>50</v>
      </c>
      <c r="G202" s="845" t="s">
        <v>374</v>
      </c>
      <c r="H202" s="845"/>
    </row>
    <row r="203" spans="2:8" ht="12.75">
      <c r="B203" s="179" t="s">
        <v>171</v>
      </c>
      <c r="C203" s="179" t="s">
        <v>172</v>
      </c>
      <c r="D203" s="184" t="str">
        <f aca="true" t="shared" si="8" ref="D203:D227">B203</f>
        <v>1-3/4"</v>
      </c>
      <c r="E203" s="182">
        <v>45</v>
      </c>
      <c r="G203" s="845" t="s">
        <v>375</v>
      </c>
      <c r="H203" s="845"/>
    </row>
    <row r="204" spans="2:8" ht="12.75">
      <c r="B204" s="179" t="s">
        <v>15</v>
      </c>
      <c r="C204" s="179" t="s">
        <v>16</v>
      </c>
      <c r="D204" s="184" t="str">
        <f t="shared" si="8"/>
        <v>1-1/2"</v>
      </c>
      <c r="E204" s="182">
        <v>37.5</v>
      </c>
      <c r="G204" s="845" t="s">
        <v>376</v>
      </c>
      <c r="H204" s="845"/>
    </row>
    <row r="205" spans="2:8" ht="12.75">
      <c r="B205" s="179" t="s">
        <v>17</v>
      </c>
      <c r="C205" s="179" t="s">
        <v>18</v>
      </c>
      <c r="D205" s="184" t="str">
        <f t="shared" si="8"/>
        <v>1-1/4"</v>
      </c>
      <c r="E205" s="182">
        <v>31.5</v>
      </c>
      <c r="G205" s="845" t="s">
        <v>377</v>
      </c>
      <c r="H205" s="845"/>
    </row>
    <row r="206" spans="2:8" ht="12.75">
      <c r="B206" s="179" t="s">
        <v>30</v>
      </c>
      <c r="C206" s="179" t="s">
        <v>31</v>
      </c>
      <c r="D206" s="184" t="str">
        <f t="shared" si="8"/>
        <v>1"</v>
      </c>
      <c r="E206" s="182">
        <v>25</v>
      </c>
      <c r="G206" s="845" t="s">
        <v>212</v>
      </c>
      <c r="H206" s="845"/>
    </row>
    <row r="207" spans="2:8" ht="12.75">
      <c r="B207" s="180" t="s">
        <v>19</v>
      </c>
      <c r="C207" s="179" t="s">
        <v>20</v>
      </c>
      <c r="D207" s="184" t="str">
        <f t="shared" si="8"/>
        <v>7/8"</v>
      </c>
      <c r="E207" s="182">
        <v>22.4</v>
      </c>
      <c r="G207" s="845" t="s">
        <v>213</v>
      </c>
      <c r="H207" s="845"/>
    </row>
    <row r="208" spans="2:8" ht="12.75">
      <c r="B208" s="179" t="s">
        <v>173</v>
      </c>
      <c r="C208" s="179" t="s">
        <v>174</v>
      </c>
      <c r="D208" s="184" t="str">
        <f t="shared" si="8"/>
        <v>3/4"</v>
      </c>
      <c r="E208" s="182">
        <v>19</v>
      </c>
      <c r="G208" s="846" t="s">
        <v>214</v>
      </c>
      <c r="H208" s="846"/>
    </row>
    <row r="209" spans="2:8" ht="12.75">
      <c r="B209" s="179" t="s">
        <v>32</v>
      </c>
      <c r="C209" s="179" t="s">
        <v>33</v>
      </c>
      <c r="D209" s="184" t="str">
        <f t="shared" si="8"/>
        <v>5/8"</v>
      </c>
      <c r="E209" s="182">
        <v>16</v>
      </c>
      <c r="G209" s="846" t="s">
        <v>215</v>
      </c>
      <c r="H209" s="846"/>
    </row>
    <row r="210" spans="2:8" ht="12.75">
      <c r="B210" s="179" t="s">
        <v>21</v>
      </c>
      <c r="C210" s="179" t="s">
        <v>22</v>
      </c>
      <c r="D210" s="184" t="str">
        <f t="shared" si="8"/>
        <v>1/2"</v>
      </c>
      <c r="E210" s="182">
        <v>12.5</v>
      </c>
      <c r="G210" s="846" t="s">
        <v>216</v>
      </c>
      <c r="H210" s="846"/>
    </row>
    <row r="211" spans="2:8" ht="12.75">
      <c r="B211" s="179" t="s">
        <v>175</v>
      </c>
      <c r="C211" s="179" t="s">
        <v>176</v>
      </c>
      <c r="D211" s="184" t="str">
        <f t="shared" si="8"/>
        <v>7/16"</v>
      </c>
      <c r="E211" s="182">
        <v>11.2</v>
      </c>
      <c r="G211" s="846" t="s">
        <v>217</v>
      </c>
      <c r="H211" s="846"/>
    </row>
    <row r="212" spans="2:8" ht="12.75">
      <c r="B212" s="179" t="s">
        <v>34</v>
      </c>
      <c r="C212" s="179" t="s">
        <v>35</v>
      </c>
      <c r="D212" s="184" t="str">
        <f t="shared" si="8"/>
        <v>3/8"</v>
      </c>
      <c r="E212" s="182">
        <v>9.5</v>
      </c>
      <c r="G212" s="846" t="s">
        <v>218</v>
      </c>
      <c r="H212" s="846"/>
    </row>
    <row r="213" spans="2:8" ht="12.75">
      <c r="B213" s="179" t="s">
        <v>177</v>
      </c>
      <c r="C213" s="179" t="s">
        <v>178</v>
      </c>
      <c r="D213" s="184" t="str">
        <f t="shared" si="8"/>
        <v>5/16"</v>
      </c>
      <c r="E213" s="182">
        <v>8</v>
      </c>
      <c r="G213" s="846" t="s">
        <v>219</v>
      </c>
      <c r="H213" s="846"/>
    </row>
    <row r="214" spans="2:8" ht="12.75">
      <c r="B214" s="179" t="s">
        <v>36</v>
      </c>
      <c r="C214" s="179" t="s">
        <v>37</v>
      </c>
      <c r="D214" s="184" t="str">
        <f t="shared" si="8"/>
        <v>1/4"</v>
      </c>
      <c r="E214" s="182">
        <v>6.3</v>
      </c>
      <c r="G214" s="846" t="s">
        <v>220</v>
      </c>
      <c r="H214" s="846"/>
    </row>
    <row r="215" spans="2:8" ht="12.75">
      <c r="B215" s="179" t="s">
        <v>23</v>
      </c>
      <c r="C215" s="179" t="s">
        <v>24</v>
      </c>
      <c r="D215" s="184" t="str">
        <f t="shared" si="8"/>
        <v>No. 4</v>
      </c>
      <c r="E215" s="182">
        <v>4.75</v>
      </c>
      <c r="G215" s="846" t="s">
        <v>221</v>
      </c>
      <c r="H215" s="846"/>
    </row>
    <row r="216" spans="2:8" ht="12.75">
      <c r="B216" s="179" t="s">
        <v>179</v>
      </c>
      <c r="C216" s="179" t="s">
        <v>180</v>
      </c>
      <c r="D216" s="184" t="str">
        <f t="shared" si="8"/>
        <v>No. 6</v>
      </c>
      <c r="E216" s="182">
        <v>3.35</v>
      </c>
      <c r="G216" s="846" t="s">
        <v>222</v>
      </c>
      <c r="H216" s="846"/>
    </row>
    <row r="217" spans="2:8" ht="12.75">
      <c r="B217" s="179" t="s">
        <v>181</v>
      </c>
      <c r="C217" s="179" t="s">
        <v>182</v>
      </c>
      <c r="D217" s="184" t="str">
        <f t="shared" si="8"/>
        <v>No. 8</v>
      </c>
      <c r="E217" s="182">
        <v>2.36</v>
      </c>
      <c r="G217" s="846" t="s">
        <v>223</v>
      </c>
      <c r="H217" s="846"/>
    </row>
    <row r="218" spans="2:8" ht="12.75">
      <c r="B218" s="179" t="s">
        <v>25</v>
      </c>
      <c r="C218" s="179" t="s">
        <v>26</v>
      </c>
      <c r="D218" s="184" t="str">
        <f t="shared" si="8"/>
        <v>No. 10</v>
      </c>
      <c r="E218" s="182">
        <v>2</v>
      </c>
      <c r="G218" s="846" t="s">
        <v>224</v>
      </c>
      <c r="H218" s="846"/>
    </row>
    <row r="219" spans="2:8" ht="12.75">
      <c r="B219" s="179" t="s">
        <v>183</v>
      </c>
      <c r="C219" s="179" t="s">
        <v>184</v>
      </c>
      <c r="D219" s="184" t="str">
        <f t="shared" si="8"/>
        <v>No. 14</v>
      </c>
      <c r="E219" s="182">
        <v>1.4</v>
      </c>
      <c r="G219" s="846" t="s">
        <v>225</v>
      </c>
      <c r="H219" s="846"/>
    </row>
    <row r="220" spans="2:8" ht="12.75">
      <c r="B220" s="179" t="s">
        <v>185</v>
      </c>
      <c r="C220" s="179" t="s">
        <v>186</v>
      </c>
      <c r="D220" s="184" t="str">
        <f t="shared" si="8"/>
        <v>No. 16</v>
      </c>
      <c r="E220" s="182">
        <v>1.18</v>
      </c>
      <c r="G220" s="845" t="s">
        <v>226</v>
      </c>
      <c r="H220" s="845"/>
    </row>
    <row r="221" spans="2:8" ht="12.75">
      <c r="B221" s="179" t="s">
        <v>187</v>
      </c>
      <c r="C221" s="181" t="s">
        <v>188</v>
      </c>
      <c r="D221" s="184" t="str">
        <f t="shared" si="8"/>
        <v>No. 20</v>
      </c>
      <c r="E221" s="182">
        <v>0.85</v>
      </c>
      <c r="G221" s="845" t="s">
        <v>227</v>
      </c>
      <c r="H221" s="845"/>
    </row>
    <row r="222" spans="2:8" ht="12.75">
      <c r="B222" s="179" t="s">
        <v>189</v>
      </c>
      <c r="C222" s="181" t="s">
        <v>190</v>
      </c>
      <c r="D222" s="184" t="str">
        <f t="shared" si="8"/>
        <v>No. 30</v>
      </c>
      <c r="E222" s="182">
        <v>0.6</v>
      </c>
      <c r="G222" s="845" t="s">
        <v>228</v>
      </c>
      <c r="H222" s="845"/>
    </row>
    <row r="223" spans="2:8" ht="12.75">
      <c r="B223" s="179" t="s">
        <v>27</v>
      </c>
      <c r="C223" s="181" t="s">
        <v>191</v>
      </c>
      <c r="D223" s="184" t="str">
        <f t="shared" si="8"/>
        <v>No. 40</v>
      </c>
      <c r="E223" s="182">
        <v>0.425</v>
      </c>
      <c r="G223" s="845" t="s">
        <v>229</v>
      </c>
      <c r="H223" s="845"/>
    </row>
    <row r="224" spans="2:8" ht="12.75">
      <c r="B224" s="179" t="s">
        <v>192</v>
      </c>
      <c r="C224" s="181" t="s">
        <v>193</v>
      </c>
      <c r="D224" s="184" t="str">
        <f t="shared" si="8"/>
        <v>No. 50</v>
      </c>
      <c r="E224" s="182">
        <v>0.3</v>
      </c>
      <c r="G224" s="843" t="s">
        <v>307</v>
      </c>
      <c r="H224" s="844"/>
    </row>
    <row r="225" spans="2:8" ht="12.75">
      <c r="B225" s="179" t="s">
        <v>28</v>
      </c>
      <c r="C225" s="181" t="s">
        <v>194</v>
      </c>
      <c r="D225" s="184" t="str">
        <f t="shared" si="8"/>
        <v>No. 80</v>
      </c>
      <c r="E225" s="182">
        <v>0.18</v>
      </c>
      <c r="G225" s="843" t="s">
        <v>308</v>
      </c>
      <c r="H225" s="844"/>
    </row>
    <row r="226" spans="2:8" ht="12.75">
      <c r="B226" s="179" t="s">
        <v>195</v>
      </c>
      <c r="C226" s="181" t="s">
        <v>196</v>
      </c>
      <c r="D226" s="184" t="str">
        <f t="shared" si="8"/>
        <v>No. 100</v>
      </c>
      <c r="E226" s="182">
        <v>0.15</v>
      </c>
      <c r="G226" s="843" t="s">
        <v>309</v>
      </c>
      <c r="H226" s="844"/>
    </row>
    <row r="227" spans="2:8" ht="12.75">
      <c r="B227" s="179" t="s">
        <v>29</v>
      </c>
      <c r="C227" s="181" t="s">
        <v>197</v>
      </c>
      <c r="D227" s="184" t="str">
        <f t="shared" si="8"/>
        <v>No. 200</v>
      </c>
      <c r="E227" s="182">
        <v>0.075</v>
      </c>
      <c r="G227" s="843" t="s">
        <v>208</v>
      </c>
      <c r="H227" s="844"/>
    </row>
    <row r="228" spans="2:5" ht="12.75">
      <c r="B228" s="178"/>
      <c r="C228" s="178"/>
      <c r="D228" s="184"/>
      <c r="E228" s="178"/>
    </row>
    <row r="229" spans="3:5" ht="12.75">
      <c r="C229" s="38"/>
      <c r="D229" s="38"/>
      <c r="E229" s="38"/>
    </row>
    <row r="230" spans="3:5" ht="12.75">
      <c r="C230" s="38"/>
      <c r="D230" s="38"/>
      <c r="E230" s="38"/>
    </row>
    <row r="231" spans="3:5" ht="12.75">
      <c r="C231" s="38"/>
      <c r="D231" s="38"/>
      <c r="E231" s="38"/>
    </row>
    <row r="232" spans="3:5" ht="12.75">
      <c r="C232" s="38"/>
      <c r="D232" s="38"/>
      <c r="E232" s="38"/>
    </row>
    <row r="233" spans="3:5" ht="12.75">
      <c r="C233" s="38"/>
      <c r="D233" s="38"/>
      <c r="E233" s="38"/>
    </row>
    <row r="234" spans="3:5" ht="12.75">
      <c r="C234" s="38"/>
      <c r="D234" s="38"/>
      <c r="E234" s="38"/>
    </row>
    <row r="235" spans="3:5" ht="12.75">
      <c r="C235" s="38"/>
      <c r="D235" s="38"/>
      <c r="E235" s="38"/>
    </row>
    <row r="236" spans="3:5" ht="12.75">
      <c r="C236" s="38"/>
      <c r="D236" s="38"/>
      <c r="E236" s="38"/>
    </row>
    <row r="237" spans="3:5" ht="12.75">
      <c r="C237" s="38"/>
      <c r="D237" s="38"/>
      <c r="E237" s="38"/>
    </row>
    <row r="238" spans="3:5" ht="12.75">
      <c r="C238" s="38"/>
      <c r="D238" s="38"/>
      <c r="E238" s="38"/>
    </row>
    <row r="239" spans="3:5" ht="12.75">
      <c r="C239" s="38"/>
      <c r="D239" s="38"/>
      <c r="E239" s="38"/>
    </row>
    <row r="240" spans="3:5" ht="12.75">
      <c r="C240" s="38"/>
      <c r="D240" s="38"/>
      <c r="E240" s="38"/>
    </row>
    <row r="241" spans="3:5" ht="12.75">
      <c r="C241" s="38"/>
      <c r="D241" s="38"/>
      <c r="E241" s="38"/>
    </row>
    <row r="242" spans="3:5" ht="12.75">
      <c r="C242" s="38"/>
      <c r="D242" s="38"/>
      <c r="E242" s="38"/>
    </row>
    <row r="243" spans="3:5" ht="12.75">
      <c r="C243" s="38"/>
      <c r="D243" s="38"/>
      <c r="E243" s="38"/>
    </row>
    <row r="244" spans="3:5" ht="12.75">
      <c r="C244" s="38"/>
      <c r="D244" s="38"/>
      <c r="E244" s="38"/>
    </row>
    <row r="245" spans="3:5" ht="12.75">
      <c r="C245" s="38"/>
      <c r="D245" s="38"/>
      <c r="E245" s="38"/>
    </row>
    <row r="246" spans="3:5" ht="12.75">
      <c r="C246" s="38"/>
      <c r="D246" s="38"/>
      <c r="E246" s="38"/>
    </row>
    <row r="247" spans="3:5" ht="12.75">
      <c r="C247" s="38"/>
      <c r="D247" s="38"/>
      <c r="E247" s="38"/>
    </row>
    <row r="248" spans="3:5" ht="12.75">
      <c r="C248" s="38"/>
      <c r="D248" s="38"/>
      <c r="E248" s="38"/>
    </row>
    <row r="249" spans="3:5" ht="12.75">
      <c r="C249" s="38"/>
      <c r="D249" s="38"/>
      <c r="E249" s="38"/>
    </row>
    <row r="250" spans="3:5" ht="12.75">
      <c r="C250" s="38"/>
      <c r="D250" s="38"/>
      <c r="E250" s="38"/>
    </row>
    <row r="251" spans="3:5" ht="12.75">
      <c r="C251" s="38"/>
      <c r="D251" s="38"/>
      <c r="E251" s="38"/>
    </row>
    <row r="252" spans="3:5" ht="12.75">
      <c r="C252" s="38"/>
      <c r="D252" s="38"/>
      <c r="E252" s="38"/>
    </row>
    <row r="253" spans="3:5" ht="12.75">
      <c r="C253" s="38"/>
      <c r="D253" s="38"/>
      <c r="E253" s="38"/>
    </row>
    <row r="254" spans="3:5" ht="12.75">
      <c r="C254" s="38"/>
      <c r="D254" s="38"/>
      <c r="E254" s="38"/>
    </row>
    <row r="255" spans="3:5" ht="12.75">
      <c r="C255" s="38"/>
      <c r="D255" s="38"/>
      <c r="E255" s="38"/>
    </row>
    <row r="256" spans="3:5" ht="12.75">
      <c r="C256" s="38"/>
      <c r="D256" s="38"/>
      <c r="E256" s="38"/>
    </row>
    <row r="257" spans="3:5" ht="12.75">
      <c r="C257" s="38"/>
      <c r="D257" s="38"/>
      <c r="E257" s="38"/>
    </row>
    <row r="258" spans="3:5" ht="12.75">
      <c r="C258" s="38"/>
      <c r="D258" s="38"/>
      <c r="E258" s="38"/>
    </row>
    <row r="259" spans="3:5" ht="12.75">
      <c r="C259" s="38"/>
      <c r="D259" s="38"/>
      <c r="E259" s="38"/>
    </row>
    <row r="260" spans="3:5" ht="12.75">
      <c r="C260" s="38"/>
      <c r="D260" s="38"/>
      <c r="E260" s="38"/>
    </row>
    <row r="261" spans="3:5" ht="12.75">
      <c r="C261" s="38"/>
      <c r="D261" s="38"/>
      <c r="E261" s="38"/>
    </row>
    <row r="262" spans="3:5" ht="12.75">
      <c r="C262" s="38"/>
      <c r="D262" s="38"/>
      <c r="E262" s="38"/>
    </row>
    <row r="263" spans="3:5" ht="12.75">
      <c r="C263" s="38"/>
      <c r="D263" s="38"/>
      <c r="E263" s="38"/>
    </row>
    <row r="264" spans="3:5" ht="12.75">
      <c r="C264" s="38"/>
      <c r="D264" s="38"/>
      <c r="E264" s="38"/>
    </row>
    <row r="265" spans="3:5" ht="12.75">
      <c r="C265" s="38"/>
      <c r="D265" s="38"/>
      <c r="E265" s="38"/>
    </row>
    <row r="266" spans="3:5" ht="12.75">
      <c r="C266" s="38"/>
      <c r="D266" s="38"/>
      <c r="E266" s="38"/>
    </row>
    <row r="267" spans="3:5" ht="12.75">
      <c r="C267" s="38"/>
      <c r="D267" s="38"/>
      <c r="E267" s="38"/>
    </row>
    <row r="268" spans="3:5" ht="12.75">
      <c r="C268" s="38"/>
      <c r="D268" s="38"/>
      <c r="E268" s="38"/>
    </row>
    <row r="269" spans="3:5" ht="12.75">
      <c r="C269" s="38"/>
      <c r="D269" s="38"/>
      <c r="E269" s="38"/>
    </row>
    <row r="270" spans="3:5" ht="12.75">
      <c r="C270" s="38"/>
      <c r="D270" s="38"/>
      <c r="E270" s="38"/>
    </row>
    <row r="271" spans="3:5" ht="12.75">
      <c r="C271" s="38"/>
      <c r="D271" s="38"/>
      <c r="E271" s="38"/>
    </row>
    <row r="272" spans="3:5" ht="12.75">
      <c r="C272" s="38"/>
      <c r="D272" s="38"/>
      <c r="E272" s="38"/>
    </row>
    <row r="273" spans="3:5" ht="12.75">
      <c r="C273" s="38"/>
      <c r="D273" s="38"/>
      <c r="E273" s="38"/>
    </row>
    <row r="274" spans="3:5" ht="12.75">
      <c r="C274" s="38"/>
      <c r="D274" s="38"/>
      <c r="E274" s="38"/>
    </row>
    <row r="275" spans="3:5" ht="12.75">
      <c r="C275" s="38"/>
      <c r="D275" s="38"/>
      <c r="E275" s="38"/>
    </row>
    <row r="276" spans="3:5" ht="12.75">
      <c r="C276" s="38"/>
      <c r="D276" s="38"/>
      <c r="E276" s="38"/>
    </row>
    <row r="277" spans="3:5" ht="12.75">
      <c r="C277" s="38"/>
      <c r="D277" s="38"/>
      <c r="E277" s="38"/>
    </row>
    <row r="278" spans="3:5" ht="12.75">
      <c r="C278" s="38"/>
      <c r="D278" s="38"/>
      <c r="E278" s="38"/>
    </row>
    <row r="279" spans="3:5" ht="12.75">
      <c r="C279" s="38"/>
      <c r="D279" s="38"/>
      <c r="E279" s="38"/>
    </row>
    <row r="280" spans="3:5" ht="12.75">
      <c r="C280" s="38"/>
      <c r="D280" s="38"/>
      <c r="E280" s="38"/>
    </row>
    <row r="281" spans="3:5" ht="12.75">
      <c r="C281" s="38"/>
      <c r="D281" s="38"/>
      <c r="E281" s="38"/>
    </row>
    <row r="282" spans="3:5" ht="12.75">
      <c r="C282" s="38"/>
      <c r="D282" s="38"/>
      <c r="E282" s="38"/>
    </row>
    <row r="283" spans="3:5" ht="12.75">
      <c r="C283" s="38"/>
      <c r="D283" s="38"/>
      <c r="E283" s="38"/>
    </row>
    <row r="284" spans="3:5" ht="12.75">
      <c r="C284" s="38"/>
      <c r="D284" s="38"/>
      <c r="E284" s="38"/>
    </row>
    <row r="285" spans="3:5" ht="12.75">
      <c r="C285" s="38"/>
      <c r="D285" s="38"/>
      <c r="E285" s="38"/>
    </row>
    <row r="286" spans="3:5" ht="12.75">
      <c r="C286" s="38"/>
      <c r="D286" s="38"/>
      <c r="E286" s="38"/>
    </row>
    <row r="287" spans="3:5" ht="12.75">
      <c r="C287" s="38"/>
      <c r="D287" s="38"/>
      <c r="E287" s="38"/>
    </row>
    <row r="288" spans="3:5" ht="12.75">
      <c r="C288" s="38"/>
      <c r="D288" s="38"/>
      <c r="E288" s="38"/>
    </row>
    <row r="289" spans="3:5" ht="12.75">
      <c r="C289" s="38"/>
      <c r="D289" s="38"/>
      <c r="E289" s="38"/>
    </row>
    <row r="290" spans="3:5" ht="12.75">
      <c r="C290" s="38"/>
      <c r="D290" s="38"/>
      <c r="E290" s="38"/>
    </row>
    <row r="291" spans="3:5" ht="12.75">
      <c r="C291" s="38"/>
      <c r="D291" s="38"/>
      <c r="E291" s="38"/>
    </row>
    <row r="292" spans="3:5" ht="12.75">
      <c r="C292" s="38"/>
      <c r="D292" s="38"/>
      <c r="E292" s="38"/>
    </row>
    <row r="293" spans="3:5" ht="12.75">
      <c r="C293" s="38"/>
      <c r="D293" s="38"/>
      <c r="E293" s="38"/>
    </row>
    <row r="294" spans="3:5" ht="12.75">
      <c r="C294" s="38"/>
      <c r="D294" s="38"/>
      <c r="E294" s="38"/>
    </row>
    <row r="295" spans="3:5" ht="12.75">
      <c r="C295" s="38"/>
      <c r="D295" s="38"/>
      <c r="E295" s="38"/>
    </row>
    <row r="296" spans="3:5" ht="12.75">
      <c r="C296" s="38"/>
      <c r="D296" s="38"/>
      <c r="E296" s="38"/>
    </row>
    <row r="297" spans="3:5" ht="12.75">
      <c r="C297" s="38"/>
      <c r="D297" s="38"/>
      <c r="E297" s="38"/>
    </row>
    <row r="298" spans="3:5" ht="12.75">
      <c r="C298" s="38"/>
      <c r="D298" s="38"/>
      <c r="E298" s="38"/>
    </row>
    <row r="299" spans="3:5" ht="12.75">
      <c r="C299" s="38"/>
      <c r="D299" s="38"/>
      <c r="E299" s="38"/>
    </row>
    <row r="300" spans="3:5" ht="12.75">
      <c r="C300" s="38"/>
      <c r="D300" s="38"/>
      <c r="E300" s="38"/>
    </row>
    <row r="301" spans="3:5" ht="12.75">
      <c r="C301" s="38"/>
      <c r="D301" s="38"/>
      <c r="E301" s="38"/>
    </row>
    <row r="302" spans="3:5" ht="12.75">
      <c r="C302" s="38"/>
      <c r="D302" s="38"/>
      <c r="E302" s="38"/>
    </row>
    <row r="303" spans="3:5" ht="12.75">
      <c r="C303" s="38"/>
      <c r="D303" s="38"/>
      <c r="E303" s="38"/>
    </row>
    <row r="304" spans="3:5" ht="12.75">
      <c r="C304" s="38"/>
      <c r="D304" s="38"/>
      <c r="E304" s="38"/>
    </row>
    <row r="305" spans="3:5" ht="12.75">
      <c r="C305" s="38"/>
      <c r="D305" s="38"/>
      <c r="E305" s="38"/>
    </row>
    <row r="306" spans="3:5" ht="12.75">
      <c r="C306" s="38"/>
      <c r="D306" s="38"/>
      <c r="E306" s="38"/>
    </row>
    <row r="307" spans="3:5" ht="12.75">
      <c r="C307" s="38"/>
      <c r="D307" s="38"/>
      <c r="E307" s="38"/>
    </row>
    <row r="308" spans="3:5" ht="12.75">
      <c r="C308" s="38"/>
      <c r="D308" s="38"/>
      <c r="E308" s="38"/>
    </row>
    <row r="309" spans="3:5" ht="12.75">
      <c r="C309" s="38"/>
      <c r="D309" s="38"/>
      <c r="E309" s="38"/>
    </row>
    <row r="310" spans="3:5" ht="12.75">
      <c r="C310" s="38"/>
      <c r="D310" s="38"/>
      <c r="E310" s="38"/>
    </row>
    <row r="311" spans="3:5" ht="12.75">
      <c r="C311" s="38"/>
      <c r="D311" s="38"/>
      <c r="E311" s="38"/>
    </row>
    <row r="312" spans="3:5" ht="12.75">
      <c r="C312" s="38"/>
      <c r="D312" s="38"/>
      <c r="E312" s="38"/>
    </row>
    <row r="313" spans="3:5" ht="12.75">
      <c r="C313" s="38"/>
      <c r="D313" s="38"/>
      <c r="E313" s="38"/>
    </row>
    <row r="314" spans="3:5" ht="12.75">
      <c r="C314" s="38"/>
      <c r="D314" s="38"/>
      <c r="E314" s="38"/>
    </row>
    <row r="315" spans="3:5" ht="12.75">
      <c r="C315" s="38"/>
      <c r="D315" s="38"/>
      <c r="E315" s="38"/>
    </row>
    <row r="316" spans="3:5" ht="12.75">
      <c r="C316" s="38"/>
      <c r="D316" s="38"/>
      <c r="E316" s="38"/>
    </row>
    <row r="317" spans="3:5" ht="12.75">
      <c r="C317" s="38"/>
      <c r="D317" s="38"/>
      <c r="E317" s="38"/>
    </row>
    <row r="318" spans="3:5" ht="12.75">
      <c r="C318" s="38"/>
      <c r="D318" s="38"/>
      <c r="E318" s="38"/>
    </row>
    <row r="319" spans="3:5" ht="12.75">
      <c r="C319" s="38"/>
      <c r="D319" s="38"/>
      <c r="E319" s="38"/>
    </row>
    <row r="320" spans="3:5" ht="12.75">
      <c r="C320" s="38"/>
      <c r="D320" s="38"/>
      <c r="E320" s="38"/>
    </row>
    <row r="321" spans="3:5" ht="12.75">
      <c r="C321" s="38"/>
      <c r="D321" s="38"/>
      <c r="E321" s="38"/>
    </row>
    <row r="322" spans="3:5" ht="12.75">
      <c r="C322" s="38"/>
      <c r="D322" s="38"/>
      <c r="E322" s="38"/>
    </row>
    <row r="323" spans="3:5" ht="12.75">
      <c r="C323" s="38"/>
      <c r="D323" s="38"/>
      <c r="E323" s="38"/>
    </row>
    <row r="324" spans="3:5" ht="12.75">
      <c r="C324" s="38"/>
      <c r="D324" s="38"/>
      <c r="E324" s="38"/>
    </row>
    <row r="325" spans="3:5" ht="12.75">
      <c r="C325" s="38"/>
      <c r="D325" s="38"/>
      <c r="E325" s="38"/>
    </row>
    <row r="326" spans="3:5" ht="12.75">
      <c r="C326" s="38"/>
      <c r="D326" s="38"/>
      <c r="E326" s="38"/>
    </row>
    <row r="327" spans="3:5" ht="12.75">
      <c r="C327" s="38"/>
      <c r="D327" s="38"/>
      <c r="E327" s="38"/>
    </row>
    <row r="328" spans="3:5" ht="12.75">
      <c r="C328" s="38"/>
      <c r="D328" s="38"/>
      <c r="E328" s="38"/>
    </row>
    <row r="329" spans="3:5" ht="12.75">
      <c r="C329" s="38"/>
      <c r="D329" s="38"/>
      <c r="E329" s="38"/>
    </row>
    <row r="330" spans="3:5" ht="12.75">
      <c r="C330" s="38"/>
      <c r="D330" s="38"/>
      <c r="E330" s="38"/>
    </row>
    <row r="331" spans="3:5" ht="12.75">
      <c r="C331" s="38"/>
      <c r="D331" s="38"/>
      <c r="E331" s="38"/>
    </row>
    <row r="332" spans="3:5" ht="12.75">
      <c r="C332" s="38"/>
      <c r="D332" s="38"/>
      <c r="E332" s="38"/>
    </row>
    <row r="333" spans="3:5" ht="12.75">
      <c r="C333" s="38"/>
      <c r="D333" s="38"/>
      <c r="E333" s="38"/>
    </row>
    <row r="334" spans="3:5" ht="12.75">
      <c r="C334" s="38"/>
      <c r="D334" s="38"/>
      <c r="E334" s="38"/>
    </row>
    <row r="335" spans="3:5" ht="12.75">
      <c r="C335" s="38"/>
      <c r="D335" s="38"/>
      <c r="E335" s="38"/>
    </row>
    <row r="336" spans="3:5" ht="12.75">
      <c r="C336" s="38"/>
      <c r="D336" s="38"/>
      <c r="E336" s="38"/>
    </row>
    <row r="337" spans="3:5" ht="12.75">
      <c r="C337" s="38"/>
      <c r="D337" s="38"/>
      <c r="E337" s="38"/>
    </row>
    <row r="338" spans="3:5" ht="12.75">
      <c r="C338" s="38"/>
      <c r="D338" s="38"/>
      <c r="E338" s="38"/>
    </row>
    <row r="339" spans="3:5" ht="12.75">
      <c r="C339" s="38"/>
      <c r="D339" s="38"/>
      <c r="E339" s="38"/>
    </row>
    <row r="340" spans="3:5" ht="12.75">
      <c r="C340" s="38"/>
      <c r="D340" s="38"/>
      <c r="E340" s="38"/>
    </row>
    <row r="341" spans="3:5" ht="12.75">
      <c r="C341" s="38"/>
      <c r="D341" s="38"/>
      <c r="E341" s="38"/>
    </row>
    <row r="342" spans="3:5" ht="12.75">
      <c r="C342" s="38"/>
      <c r="D342" s="38"/>
      <c r="E342" s="38"/>
    </row>
    <row r="343" spans="3:5" ht="12.75">
      <c r="C343" s="38"/>
      <c r="D343" s="38"/>
      <c r="E343" s="38"/>
    </row>
    <row r="344" spans="3:5" ht="12.75">
      <c r="C344" s="38"/>
      <c r="D344" s="38"/>
      <c r="E344" s="38"/>
    </row>
    <row r="345" spans="3:5" ht="12.75">
      <c r="C345" s="38"/>
      <c r="D345" s="38"/>
      <c r="E345" s="38"/>
    </row>
  </sheetData>
  <sheetProtection password="DE07" sheet="1" formatCells="0" formatColumns="0" formatRows="0"/>
  <mergeCells count="106">
    <mergeCell ref="B5:B13"/>
    <mergeCell ref="H5:H13"/>
    <mergeCell ref="G202:H202"/>
    <mergeCell ref="G203:H203"/>
    <mergeCell ref="B31:B38"/>
    <mergeCell ref="B23:B30"/>
    <mergeCell ref="B14:B22"/>
    <mergeCell ref="H130:H138"/>
    <mergeCell ref="H139:H146"/>
    <mergeCell ref="B139:B146"/>
    <mergeCell ref="G204:H204"/>
    <mergeCell ref="G205:H205"/>
    <mergeCell ref="J198:J200"/>
    <mergeCell ref="K186:K195"/>
    <mergeCell ref="J186:J195"/>
    <mergeCell ref="L186:L195"/>
    <mergeCell ref="K167:L167"/>
    <mergeCell ref="K169:K176"/>
    <mergeCell ref="L169:L176"/>
    <mergeCell ref="K177:K185"/>
    <mergeCell ref="L177:L185"/>
    <mergeCell ref="B85:B94"/>
    <mergeCell ref="H85:H94"/>
    <mergeCell ref="I45:J45"/>
    <mergeCell ref="B66:B75"/>
    <mergeCell ref="H66:H75"/>
    <mergeCell ref="B46:B55"/>
    <mergeCell ref="H56:H65"/>
    <mergeCell ref="B56:B65"/>
    <mergeCell ref="B39:B45"/>
    <mergeCell ref="B95:B103"/>
    <mergeCell ref="H95:H103"/>
    <mergeCell ref="F2:G2"/>
    <mergeCell ref="H31:H38"/>
    <mergeCell ref="H39:H45"/>
    <mergeCell ref="H46:H55"/>
    <mergeCell ref="H14:H22"/>
    <mergeCell ref="H23:H30"/>
    <mergeCell ref="B76:B84"/>
    <mergeCell ref="H76:H84"/>
    <mergeCell ref="B147:B152"/>
    <mergeCell ref="H104:H112"/>
    <mergeCell ref="H113:H121"/>
    <mergeCell ref="B104:B112"/>
    <mergeCell ref="B113:B121"/>
    <mergeCell ref="B122:B129"/>
    <mergeCell ref="H122:H129"/>
    <mergeCell ref="B130:B138"/>
    <mergeCell ref="G206:H206"/>
    <mergeCell ref="H153:H158"/>
    <mergeCell ref="B153:B158"/>
    <mergeCell ref="B159:B168"/>
    <mergeCell ref="H159:H168"/>
    <mergeCell ref="B169:B176"/>
    <mergeCell ref="B177:B185"/>
    <mergeCell ref="B186:B195"/>
    <mergeCell ref="H169:H176"/>
    <mergeCell ref="G201:H201"/>
    <mergeCell ref="G226:H226"/>
    <mergeCell ref="G221:H221"/>
    <mergeCell ref="G222:H222"/>
    <mergeCell ref="G223:H223"/>
    <mergeCell ref="G224:H224"/>
    <mergeCell ref="G219:H219"/>
    <mergeCell ref="H177:H185"/>
    <mergeCell ref="H186:H195"/>
    <mergeCell ref="G225:H225"/>
    <mergeCell ref="G211:H211"/>
    <mergeCell ref="G212:H212"/>
    <mergeCell ref="G207:H207"/>
    <mergeCell ref="G208:H208"/>
    <mergeCell ref="G209:H209"/>
    <mergeCell ref="G200:H200"/>
    <mergeCell ref="G227:H227"/>
    <mergeCell ref="I186:I195"/>
    <mergeCell ref="G220:H220"/>
    <mergeCell ref="G213:H213"/>
    <mergeCell ref="G214:H214"/>
    <mergeCell ref="G215:H215"/>
    <mergeCell ref="G216:H216"/>
    <mergeCell ref="G210:H210"/>
    <mergeCell ref="G217:H217"/>
    <mergeCell ref="G218:H218"/>
    <mergeCell ref="I169:I176"/>
    <mergeCell ref="J169:J176"/>
    <mergeCell ref="I177:I185"/>
    <mergeCell ref="J177:J185"/>
    <mergeCell ref="O166:O168"/>
    <mergeCell ref="M186:M195"/>
    <mergeCell ref="N186:N195"/>
    <mergeCell ref="M166:N167"/>
    <mergeCell ref="M169:M176"/>
    <mergeCell ref="N169:N176"/>
    <mergeCell ref="M177:M185"/>
    <mergeCell ref="N177:N185"/>
    <mergeCell ref="K46:K55"/>
    <mergeCell ref="K56:K65"/>
    <mergeCell ref="K66:K75"/>
    <mergeCell ref="K85:K94"/>
    <mergeCell ref="K76:K84"/>
    <mergeCell ref="K130:K138"/>
    <mergeCell ref="K139:K146"/>
    <mergeCell ref="K95:K103"/>
    <mergeCell ref="K104:K112"/>
    <mergeCell ref="K113:K121"/>
    <mergeCell ref="K122:K129"/>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6"/>
  <dimension ref="A1:CU48"/>
  <sheetViews>
    <sheetView showGridLines="0" workbookViewId="0" topLeftCell="B1">
      <selection activeCell="A1" sqref="A1"/>
    </sheetView>
  </sheetViews>
  <sheetFormatPr defaultColWidth="9.140625" defaultRowHeight="15" customHeight="1"/>
  <cols>
    <col min="1" max="1" width="1.1484375" style="20" hidden="1" customWidth="1"/>
    <col min="2" max="13" width="8.00390625" style="10" customWidth="1"/>
    <col min="14" max="16384" width="7.7109375" style="10" customWidth="1"/>
  </cols>
  <sheetData>
    <row r="1" spans="1:39" s="5" customFormat="1" ht="15" customHeight="1">
      <c r="A1" s="18"/>
      <c r="B1" s="170" t="s">
        <v>0</v>
      </c>
      <c r="C1" s="2"/>
      <c r="D1" s="2"/>
      <c r="E1" s="2"/>
      <c r="F1" s="3"/>
      <c r="G1" s="3"/>
      <c r="H1" s="3"/>
      <c r="I1" s="3"/>
      <c r="J1" s="3"/>
      <c r="K1" s="3"/>
      <c r="L1" s="3"/>
      <c r="M1" s="3"/>
      <c r="N1" s="18"/>
      <c r="O1" s="18"/>
      <c r="P1" s="18"/>
      <c r="Q1" s="18"/>
      <c r="R1" s="18"/>
      <c r="S1" s="137"/>
      <c r="T1" s="88"/>
      <c r="U1" s="18"/>
      <c r="V1" s="18"/>
      <c r="W1" s="18"/>
      <c r="X1" s="18"/>
      <c r="Y1" s="18"/>
      <c r="Z1" s="18"/>
      <c r="AA1" s="18"/>
      <c r="AB1" s="18"/>
      <c r="AC1" s="18"/>
      <c r="AD1" s="18"/>
      <c r="AE1" s="39"/>
      <c r="AF1" s="39"/>
      <c r="AG1" s="88"/>
      <c r="AH1" s="88"/>
      <c r="AI1" s="88"/>
      <c r="AJ1" s="88"/>
      <c r="AK1" s="88"/>
      <c r="AM1" s="6"/>
    </row>
    <row r="2" spans="1:39" s="5" customFormat="1" ht="15" customHeight="1">
      <c r="A2" s="18"/>
      <c r="B2" s="2">
        <f>IF(location="","",location)</f>
      </c>
      <c r="C2" s="2"/>
      <c r="D2" s="2"/>
      <c r="E2" s="2"/>
      <c r="F2" s="3"/>
      <c r="G2" s="3"/>
      <c r="H2" s="3"/>
      <c r="I2" s="3"/>
      <c r="J2" s="3"/>
      <c r="K2" s="3"/>
      <c r="L2" s="3"/>
      <c r="M2" s="3"/>
      <c r="N2" s="19"/>
      <c r="O2" s="19"/>
      <c r="P2" s="19"/>
      <c r="Q2" s="19"/>
      <c r="R2" s="18"/>
      <c r="S2" s="137"/>
      <c r="T2" s="88"/>
      <c r="U2" s="4"/>
      <c r="V2" s="4"/>
      <c r="W2" s="4"/>
      <c r="X2" s="4"/>
      <c r="Y2" s="4"/>
      <c r="Z2" s="4"/>
      <c r="AA2" s="4"/>
      <c r="AB2" s="4"/>
      <c r="AC2" s="4"/>
      <c r="AD2" s="4"/>
      <c r="AE2" s="4"/>
      <c r="AF2" s="4"/>
      <c r="AG2" s="90"/>
      <c r="AH2" s="90"/>
      <c r="AI2" s="6"/>
      <c r="AJ2" s="6"/>
      <c r="AK2" s="6"/>
      <c r="AL2" s="6"/>
      <c r="AM2" s="91"/>
    </row>
    <row r="3" spans="1:40" s="5" customFormat="1" ht="5.25" customHeight="1">
      <c r="A3" s="19"/>
      <c r="B3" s="8"/>
      <c r="C3" s="8"/>
      <c r="D3" s="8"/>
      <c r="E3" s="8"/>
      <c r="F3" s="3"/>
      <c r="G3" s="3"/>
      <c r="H3" s="3"/>
      <c r="I3" s="3"/>
      <c r="J3" s="3"/>
      <c r="K3" s="3"/>
      <c r="L3" s="3"/>
      <c r="M3" s="3"/>
      <c r="N3" s="19"/>
      <c r="O3" s="19"/>
      <c r="P3" s="19"/>
      <c r="Q3" s="19"/>
      <c r="R3" s="19"/>
      <c r="S3" s="137"/>
      <c r="T3" s="19"/>
      <c r="U3" s="3"/>
      <c r="V3" s="3"/>
      <c r="W3" s="3"/>
      <c r="X3" s="3"/>
      <c r="Y3" s="3"/>
      <c r="Z3" s="3"/>
      <c r="AA3" s="3"/>
      <c r="AB3" s="3"/>
      <c r="AC3" s="3"/>
      <c r="AD3" s="3"/>
      <c r="AE3" s="3"/>
      <c r="AF3" s="3"/>
      <c r="AG3" s="92"/>
      <c r="AH3" s="92"/>
      <c r="AI3" s="6"/>
      <c r="AJ3" s="6"/>
      <c r="AK3" s="6"/>
      <c r="AL3" s="6"/>
      <c r="AM3" s="91"/>
      <c r="AN3" s="7"/>
    </row>
    <row r="4" spans="1:37" s="5" customFormat="1" ht="14.25" customHeight="1">
      <c r="A4" s="18"/>
      <c r="B4" s="9" t="s">
        <v>157</v>
      </c>
      <c r="C4" s="9"/>
      <c r="D4" s="9"/>
      <c r="E4" s="9"/>
      <c r="F4" s="3"/>
      <c r="G4" s="3"/>
      <c r="H4" s="3"/>
      <c r="I4" s="3"/>
      <c r="J4" s="4"/>
      <c r="K4" s="4"/>
      <c r="L4" s="4"/>
      <c r="M4" s="4"/>
      <c r="N4" s="18"/>
      <c r="O4" s="18"/>
      <c r="P4" s="18"/>
      <c r="Q4" s="137"/>
      <c r="R4" s="93"/>
      <c r="S4" s="18"/>
      <c r="T4" s="18"/>
      <c r="U4" s="18"/>
      <c r="V4" s="18"/>
      <c r="W4" s="18"/>
      <c r="X4" s="18"/>
      <c r="Y4" s="39"/>
      <c r="Z4" s="39"/>
      <c r="AA4" s="88"/>
      <c r="AB4" s="88"/>
      <c r="AC4" s="89"/>
      <c r="AD4" s="89"/>
      <c r="AE4" s="88"/>
      <c r="AF4" s="88"/>
      <c r="AH4" s="6"/>
      <c r="AI4" s="6"/>
      <c r="AJ4" s="6"/>
      <c r="AK4" s="6"/>
    </row>
    <row r="5" spans="1:38" s="5" customFormat="1" ht="10.5" customHeight="1">
      <c r="A5" s="18"/>
      <c r="E5" s="1"/>
      <c r="F5" s="1"/>
      <c r="G5" s="1"/>
      <c r="H5" s="1"/>
      <c r="I5" s="1"/>
      <c r="J5" s="1"/>
      <c r="M5" s="86" t="str">
        <f>"File Version: "&amp;TEXT(MID(sn,SEARCH("::",sn,1)+2,20),"mm/dd/yy hh:mm:ss")</f>
        <v>File Version: 05/10/07 09:30:41</v>
      </c>
      <c r="N5" s="39"/>
      <c r="O5" s="137"/>
      <c r="P5" s="137"/>
      <c r="Q5" s="137"/>
      <c r="R5" s="137"/>
      <c r="S5" s="137"/>
      <c r="T5"/>
      <c r="U5"/>
      <c r="V5"/>
      <c r="W5"/>
      <c r="X5"/>
      <c r="Y5"/>
      <c r="AB5" s="6"/>
      <c r="AC5" s="6"/>
      <c r="AD5" s="7"/>
      <c r="AE5" s="7"/>
      <c r="AF5" s="6"/>
      <c r="AG5" s="6"/>
      <c r="AH5" s="6"/>
      <c r="AI5" s="6"/>
      <c r="AJ5" s="6"/>
      <c r="AK5" s="6"/>
      <c r="AL5" s="6"/>
    </row>
    <row r="6" spans="2:38" s="5" customFormat="1" ht="15" customHeight="1">
      <c r="B6" s="401" t="s">
        <v>46</v>
      </c>
      <c r="C6" s="402"/>
      <c r="D6" s="403"/>
      <c r="E6" s="499" t="str">
        <f>IF(sampleid="","",sampleid)</f>
        <v>TTI_Hoban+Turner_SMA</v>
      </c>
      <c r="F6" s="500"/>
      <c r="G6" s="501"/>
      <c r="H6" s="395" t="s">
        <v>111</v>
      </c>
      <c r="I6" s="395"/>
      <c r="J6" s="395"/>
      <c r="K6" s="499" t="str">
        <f>IF(sampleddate="","",sampleddate)</f>
        <v>11/18/2010</v>
      </c>
      <c r="L6" s="500"/>
      <c r="M6" s="501"/>
      <c r="N6"/>
      <c r="O6"/>
      <c r="P6"/>
      <c r="Q6"/>
      <c r="R6"/>
      <c r="S6"/>
      <c r="T6"/>
      <c r="U6"/>
      <c r="V6"/>
      <c r="W6"/>
      <c r="X6"/>
      <c r="Y6"/>
      <c r="AF6" s="6"/>
      <c r="AG6" s="6"/>
      <c r="AH6" s="6"/>
      <c r="AI6" s="6"/>
      <c r="AJ6" s="6"/>
      <c r="AK6" s="6"/>
      <c r="AL6" s="6"/>
    </row>
    <row r="7" spans="2:38" s="5" customFormat="1" ht="15" customHeight="1">
      <c r="B7" s="401" t="s">
        <v>47</v>
      </c>
      <c r="C7" s="402"/>
      <c r="D7" s="403"/>
      <c r="E7" s="499">
        <f>IF(testnumber="","",testnumber)</f>
      </c>
      <c r="F7" s="500"/>
      <c r="G7" s="501"/>
      <c r="H7" s="395" t="s">
        <v>48</v>
      </c>
      <c r="I7" s="395"/>
      <c r="J7" s="395"/>
      <c r="K7" s="499">
        <f>IF(lettingdate="","",lettingdate)</f>
      </c>
      <c r="L7" s="500"/>
      <c r="M7" s="501"/>
      <c r="N7"/>
      <c r="P7"/>
      <c r="AF7" s="6"/>
      <c r="AG7" s="6"/>
      <c r="AH7" s="6"/>
      <c r="AI7" s="6"/>
      <c r="AJ7" s="6"/>
      <c r="AK7" s="6"/>
      <c r="AL7" s="6"/>
    </row>
    <row r="8" spans="2:38" s="5" customFormat="1" ht="15" customHeight="1">
      <c r="B8" s="401" t="s">
        <v>417</v>
      </c>
      <c r="C8" s="402"/>
      <c r="D8" s="403"/>
      <c r="E8" s="499">
        <f>IF(status="","",status)</f>
      </c>
      <c r="F8" s="500"/>
      <c r="G8" s="501"/>
      <c r="H8" s="395" t="s">
        <v>49</v>
      </c>
      <c r="I8" s="395"/>
      <c r="J8" s="395"/>
      <c r="K8" s="499">
        <f>IF(ccsj="","",ccsj)</f>
      </c>
      <c r="L8" s="500"/>
      <c r="M8" s="501"/>
      <c r="N8"/>
      <c r="AF8" s="6"/>
      <c r="AG8" s="6"/>
      <c r="AH8" s="6"/>
      <c r="AI8" s="6"/>
      <c r="AJ8" s="6"/>
      <c r="AK8" s="6"/>
      <c r="AL8" s="6"/>
    </row>
    <row r="9" spans="2:23" s="5" customFormat="1" ht="15" customHeight="1">
      <c r="B9" s="401" t="s">
        <v>50</v>
      </c>
      <c r="C9" s="402"/>
      <c r="D9" s="403"/>
      <c r="E9" s="499">
        <f>IF(county="","",county)</f>
      </c>
      <c r="F9" s="500"/>
      <c r="G9" s="501"/>
      <c r="H9" s="395" t="s">
        <v>51</v>
      </c>
      <c r="I9" s="395"/>
      <c r="J9" s="395"/>
      <c r="K9" s="514" t="str">
        <f>+IF(specyear="","",specyear)</f>
        <v>2004</v>
      </c>
      <c r="L9" s="515"/>
      <c r="M9" s="516"/>
      <c r="N9"/>
      <c r="Q9" s="10"/>
      <c r="R9" s="10"/>
      <c r="S9" s="10"/>
      <c r="T9" s="10"/>
      <c r="U9" s="10"/>
      <c r="V9" s="10"/>
      <c r="W9" s="10"/>
    </row>
    <row r="10" spans="2:14" s="5" customFormat="1" ht="15" customHeight="1">
      <c r="B10" s="401" t="s">
        <v>52</v>
      </c>
      <c r="C10" s="402"/>
      <c r="D10" s="403"/>
      <c r="E10" s="499" t="str">
        <f>IF(sampledby="","",sampledby)</f>
        <v>Xiaodi </v>
      </c>
      <c r="F10" s="500"/>
      <c r="G10" s="501"/>
      <c r="H10" s="392" t="s">
        <v>53</v>
      </c>
      <c r="I10" s="392"/>
      <c r="J10" s="392"/>
      <c r="K10" s="499">
        <f>IF(specitem="","",specitem)</f>
      </c>
      <c r="L10" s="500"/>
      <c r="M10" s="501"/>
      <c r="N10"/>
    </row>
    <row r="11" spans="1:13" ht="15" customHeight="1">
      <c r="A11" s="10"/>
      <c r="B11" s="401" t="s">
        <v>54</v>
      </c>
      <c r="C11" s="402"/>
      <c r="D11" s="403"/>
      <c r="E11" s="499" t="str">
        <f>IF(samplelocation="","",samplelocation)</f>
        <v>TTI</v>
      </c>
      <c r="F11" s="500"/>
      <c r="G11" s="501"/>
      <c r="H11" s="395" t="s">
        <v>55</v>
      </c>
      <c r="I11" s="395"/>
      <c r="J11" s="395"/>
      <c r="K11" s="508">
        <f>IF(specialprovision="","",specialprovision)</f>
      </c>
      <c r="L11" s="509"/>
      <c r="M11" s="510"/>
    </row>
    <row r="12" spans="1:13" ht="15" customHeight="1">
      <c r="A12" s="10"/>
      <c r="B12" s="401" t="s">
        <v>418</v>
      </c>
      <c r="C12" s="402"/>
      <c r="D12" s="403"/>
      <c r="E12" s="499">
        <f>IF(material="","",material)</f>
      </c>
      <c r="F12" s="500"/>
      <c r="G12" s="501"/>
      <c r="H12" s="392" t="s">
        <v>56</v>
      </c>
      <c r="I12" s="392"/>
      <c r="J12" s="392"/>
      <c r="K12" s="508" t="str">
        <f>IF(Grade="","",Grade)</f>
        <v>Other</v>
      </c>
      <c r="L12" s="509"/>
      <c r="M12" s="510"/>
    </row>
    <row r="13" spans="1:13" ht="15" customHeight="1">
      <c r="A13" s="10"/>
      <c r="B13" s="401" t="s">
        <v>416</v>
      </c>
      <c r="C13" s="402"/>
      <c r="D13" s="403"/>
      <c r="E13" s="537">
        <f>IF(matl_nm="","",matl_nm)</f>
      </c>
      <c r="F13" s="538"/>
      <c r="G13" s="538"/>
      <c r="H13" s="538"/>
      <c r="I13" s="538"/>
      <c r="J13" s="538"/>
      <c r="K13" s="538"/>
      <c r="L13" s="538"/>
      <c r="M13" s="539"/>
    </row>
    <row r="14" spans="1:13" ht="15" customHeight="1">
      <c r="A14" s="10"/>
      <c r="B14" s="401" t="s">
        <v>57</v>
      </c>
      <c r="C14" s="402"/>
      <c r="D14" s="403"/>
      <c r="E14" s="496">
        <f>IF(producer="","",producer)</f>
      </c>
      <c r="F14" s="497"/>
      <c r="G14" s="497"/>
      <c r="H14" s="497"/>
      <c r="I14" s="497"/>
      <c r="J14" s="497"/>
      <c r="K14" s="497"/>
      <c r="L14" s="497"/>
      <c r="M14" s="498"/>
    </row>
    <row r="15" spans="1:13" ht="15" customHeight="1">
      <c r="A15" s="10"/>
      <c r="B15" s="401" t="s">
        <v>58</v>
      </c>
      <c r="C15" s="402"/>
      <c r="D15" s="403"/>
      <c r="E15" s="499">
        <f>IF(areaengineer="","",areaengineer)</f>
      </c>
      <c r="F15" s="500"/>
      <c r="G15" s="501"/>
      <c r="H15" s="502" t="s">
        <v>59</v>
      </c>
      <c r="I15" s="503"/>
      <c r="J15" s="504"/>
      <c r="K15" s="505">
        <f>IF(projectmanager="","",projectmanager)</f>
      </c>
      <c r="L15" s="506"/>
      <c r="M15" s="507"/>
    </row>
    <row r="16" spans="1:16" ht="6" customHeight="1">
      <c r="A16" s="39"/>
      <c r="B16" s="11"/>
      <c r="C16" s="11"/>
      <c r="D16" s="11"/>
      <c r="E16" s="12"/>
      <c r="F16" s="12"/>
      <c r="G16" s="12"/>
      <c r="H16" s="12"/>
      <c r="I16" s="12"/>
      <c r="J16" s="12"/>
      <c r="K16" s="12"/>
      <c r="L16" s="12"/>
      <c r="M16" s="13"/>
      <c r="N16" s="13"/>
      <c r="O16" s="13"/>
      <c r="P16" s="13"/>
    </row>
    <row r="17" spans="1:19" ht="15" customHeight="1">
      <c r="A17" s="39"/>
      <c r="B17" s="401" t="s">
        <v>1</v>
      </c>
      <c r="C17" s="402"/>
      <c r="D17" s="403"/>
      <c r="E17" s="139">
        <f>IF(courselift="","",courselift)</f>
      </c>
      <c r="F17" s="369" t="s">
        <v>2</v>
      </c>
      <c r="G17" s="370"/>
      <c r="H17" s="484">
        <f>IF(station="","",station)</f>
      </c>
      <c r="I17" s="485"/>
      <c r="J17" s="369" t="s">
        <v>3</v>
      </c>
      <c r="K17" s="370"/>
      <c r="L17" s="484">
        <f>IF(distfromcl="","",distfromcl)</f>
      </c>
      <c r="M17" s="485"/>
      <c r="N17" s="395" t="s">
        <v>393</v>
      </c>
      <c r="O17" s="395"/>
      <c r="P17" s="395"/>
      <c r="Q17" s="395"/>
      <c r="R17" s="459">
        <f>IF(condesignnum="","",condesignnum)</f>
      </c>
      <c r="S17" s="460"/>
    </row>
    <row r="18" ht="15" customHeight="1"/>
    <row r="19" spans="1:40" ht="17.25" customHeight="1">
      <c r="A19" s="71"/>
      <c r="L19" s="493" t="str">
        <f>IF(Bin1Frac="","","Bin No.1 = "&amp;Bin1Frac&amp;" %")</f>
        <v>Bin No.1 = 60 %</v>
      </c>
      <c r="M19" s="494"/>
      <c r="N19" s="495"/>
      <c r="O19" s="493" t="str">
        <f>IF(Bin2Frac="","","Bin No.2 = "&amp;Bin2Frac&amp;" %")</f>
        <v>Bin No.2 = 40 %</v>
      </c>
      <c r="P19" s="494"/>
      <c r="Q19" s="495"/>
      <c r="R19" s="493">
        <f>IF(Bin3Frac="","","Bin No.3 = "&amp;Bin3Frac&amp;" %")</f>
      </c>
      <c r="S19" s="494"/>
      <c r="T19" s="495"/>
      <c r="U19" s="493">
        <f>IF(Bin4Frac="","","Bin No.4 = "&amp;Bin4Frac&amp;" %")</f>
      </c>
      <c r="V19" s="494"/>
      <c r="W19" s="495"/>
      <c r="X19" s="493">
        <f>IF(Bin5Frac="","","Bin No.5 = "&amp;Bin5Frac&amp;" %")</f>
      </c>
      <c r="Y19" s="494"/>
      <c r="Z19" s="495"/>
      <c r="AA19" s="493">
        <f>IF(Bin6Frac="","","Bin No.6 = "&amp;Bin6Frac&amp;" %")</f>
      </c>
      <c r="AB19" s="494"/>
      <c r="AC19" s="495"/>
      <c r="AD19" s="526">
        <f>IF(Bin7Frac="","","Bin No.7 = "&amp;Bin7Frac&amp;" %")</f>
      </c>
      <c r="AE19" s="526"/>
      <c r="AF19" s="526"/>
      <c r="AG19" s="68"/>
      <c r="AH19" s="68"/>
      <c r="AI19" s="69"/>
      <c r="AJ19" s="69"/>
      <c r="AL19" s="525"/>
      <c r="AM19" s="525"/>
      <c r="AN19" s="525"/>
    </row>
    <row r="20" spans="1:40" ht="17.25" customHeight="1">
      <c r="A20" s="71"/>
      <c r="B20"/>
      <c r="C20"/>
      <c r="D20"/>
      <c r="E20"/>
      <c r="I20" s="400" t="s">
        <v>138</v>
      </c>
      <c r="J20" s="400"/>
      <c r="K20" s="400"/>
      <c r="L20" s="490" t="str">
        <f>IF(Bin1Source="","",Bin1Source)</f>
        <v>Hoban</v>
      </c>
      <c r="M20" s="491"/>
      <c r="N20" s="492"/>
      <c r="O20" s="490" t="str">
        <f>IF(Bin2Source="","",Bin2Source)</f>
        <v>Turner</v>
      </c>
      <c r="P20" s="491"/>
      <c r="Q20" s="492"/>
      <c r="R20" s="490">
        <f>IF(Bin3Source="","",Bin3Source)</f>
      </c>
      <c r="S20" s="491"/>
      <c r="T20" s="492"/>
      <c r="U20" s="490">
        <f>IF(Bin4Source="","",Bin4Source)</f>
      </c>
      <c r="V20" s="491"/>
      <c r="W20" s="492"/>
      <c r="X20" s="490">
        <f>IF(Bin5Source="","",Bin5Source)</f>
      </c>
      <c r="Y20" s="491"/>
      <c r="Z20" s="492"/>
      <c r="AA20" s="490">
        <f>IF(Bin6Source="","",Bin6Source)</f>
      </c>
      <c r="AB20" s="491"/>
      <c r="AC20" s="492"/>
      <c r="AD20" s="513">
        <f>IF(Bin7Source="","",Bin7Source)</f>
      </c>
      <c r="AE20" s="513"/>
      <c r="AF20" s="513"/>
      <c r="AG20" s="67"/>
      <c r="AH20" s="67"/>
      <c r="AI20" s="69"/>
      <c r="AJ20" s="69"/>
      <c r="AL20" s="525"/>
      <c r="AM20" s="525"/>
      <c r="AN20" s="525"/>
    </row>
    <row r="21" spans="1:40" ht="17.25" customHeight="1">
      <c r="A21" s="71"/>
      <c r="I21" s="400" t="s">
        <v>139</v>
      </c>
      <c r="J21" s="400"/>
      <c r="K21" s="400"/>
      <c r="L21" s="490">
        <f>IF(Bin1Aggr="","",Bin1Aggr)</f>
      </c>
      <c r="M21" s="491"/>
      <c r="N21" s="492"/>
      <c r="O21" s="490">
        <f>IF(Bin2Aggr="","",Bin2Aggr)</f>
      </c>
      <c r="P21" s="491"/>
      <c r="Q21" s="492"/>
      <c r="R21" s="490">
        <f>IF(Bin3Aggr="","",Bin3Aggr)</f>
      </c>
      <c r="S21" s="491"/>
      <c r="T21" s="492"/>
      <c r="U21" s="490">
        <f>IF(Bin4Aggr="","",Bin4Aggr)</f>
      </c>
      <c r="V21" s="491"/>
      <c r="W21" s="492"/>
      <c r="X21" s="490">
        <f>IF(Bin5Aggr="","",Bin5Aggr)</f>
      </c>
      <c r="Y21" s="491"/>
      <c r="Z21" s="492"/>
      <c r="AA21" s="490">
        <f>IF(Bin6Aggr="","",Bin6Aggr)</f>
      </c>
      <c r="AB21" s="491"/>
      <c r="AC21" s="492"/>
      <c r="AD21" s="513">
        <f>IF(Bin7Aggr="","",Bin7Aggr)</f>
      </c>
      <c r="AE21" s="513"/>
      <c r="AF21" s="513"/>
      <c r="AG21" s="68"/>
      <c r="AH21" s="68"/>
      <c r="AI21" s="69"/>
      <c r="AJ21" s="69"/>
      <c r="AL21" s="525"/>
      <c r="AM21" s="525"/>
      <c r="AN21" s="525"/>
    </row>
    <row r="22" spans="1:40" ht="21" customHeight="1">
      <c r="A22"/>
      <c r="B22"/>
      <c r="C22"/>
      <c r="D22"/>
      <c r="E22"/>
      <c r="I22" s="400" t="s">
        <v>125</v>
      </c>
      <c r="J22" s="400"/>
      <c r="K22" s="400"/>
      <c r="L22" s="490" t="str">
        <f>IF(Bin1samp="","",Bin1samp)</f>
        <v>Grade 5</v>
      </c>
      <c r="M22" s="491"/>
      <c r="N22" s="492"/>
      <c r="O22" s="490" t="str">
        <f>IF(Bin2Samp="","",Bin2Samp)</f>
        <v>Screenings</v>
      </c>
      <c r="P22" s="491"/>
      <c r="Q22" s="492"/>
      <c r="R22" s="490">
        <f>IF(Bin3Samp="","",Bin3Samp)</f>
      </c>
      <c r="S22" s="491"/>
      <c r="T22" s="492"/>
      <c r="U22" s="490">
        <f>IF(Bin4Samp="","",Bin4Samp)</f>
      </c>
      <c r="V22" s="491"/>
      <c r="W22" s="492"/>
      <c r="X22" s="490">
        <f>IF(Bin5Samp="","",Bin5Samp)</f>
      </c>
      <c r="Y22" s="491"/>
      <c r="Z22" s="492"/>
      <c r="AA22" s="490">
        <f>IF(Bin6Samp="","",Bin6Samp)</f>
      </c>
      <c r="AB22" s="491"/>
      <c r="AC22" s="492"/>
      <c r="AD22" s="513">
        <f>IF(Bin7Samp="","",Bin7Samp)</f>
      </c>
      <c r="AE22" s="513"/>
      <c r="AF22" s="513"/>
      <c r="AG22" s="67"/>
      <c r="AH22" s="67"/>
      <c r="AI22" s="69"/>
      <c r="AJ22" s="69"/>
      <c r="AL22" s="63"/>
      <c r="AM22" s="63"/>
      <c r="AN22" s="63"/>
    </row>
    <row r="23" ht="6" customHeight="1"/>
    <row r="24" spans="2:32" ht="30" customHeight="1">
      <c r="B24" s="486" t="s">
        <v>81</v>
      </c>
      <c r="C24" s="517"/>
      <c r="D24" s="517"/>
      <c r="E24" s="487"/>
      <c r="F24" s="518" t="s">
        <v>82</v>
      </c>
      <c r="G24" s="519"/>
      <c r="H24" s="518" t="s">
        <v>6</v>
      </c>
      <c r="I24" s="519"/>
      <c r="J24" s="486" t="s">
        <v>87</v>
      </c>
      <c r="K24" s="487"/>
      <c r="L24" s="511" t="s">
        <v>90</v>
      </c>
      <c r="M24" s="486" t="s">
        <v>91</v>
      </c>
      <c r="N24" s="487"/>
      <c r="O24" s="511" t="s">
        <v>90</v>
      </c>
      <c r="P24" s="486" t="s">
        <v>91</v>
      </c>
      <c r="Q24" s="487"/>
      <c r="R24" s="511" t="s">
        <v>90</v>
      </c>
      <c r="S24" s="486" t="s">
        <v>91</v>
      </c>
      <c r="T24" s="487"/>
      <c r="U24" s="511" t="s">
        <v>90</v>
      </c>
      <c r="V24" s="486" t="s">
        <v>91</v>
      </c>
      <c r="W24" s="487"/>
      <c r="X24" s="511" t="s">
        <v>90</v>
      </c>
      <c r="Y24" s="486" t="s">
        <v>91</v>
      </c>
      <c r="Z24" s="487"/>
      <c r="AA24" s="511" t="s">
        <v>90</v>
      </c>
      <c r="AB24" s="486" t="s">
        <v>91</v>
      </c>
      <c r="AC24" s="487"/>
      <c r="AD24" s="511" t="s">
        <v>90</v>
      </c>
      <c r="AE24" s="486" t="s">
        <v>91</v>
      </c>
      <c r="AF24" s="487"/>
    </row>
    <row r="25" spans="2:32" ht="17.25" customHeight="1" thickBot="1">
      <c r="B25" s="464" t="s">
        <v>69</v>
      </c>
      <c r="C25" s="465"/>
      <c r="D25" s="465"/>
      <c r="E25" s="466"/>
      <c r="F25" s="466"/>
      <c r="G25" s="466"/>
      <c r="H25" s="466"/>
      <c r="I25" s="466"/>
      <c r="J25" s="466"/>
      <c r="K25" s="467"/>
      <c r="L25" s="512"/>
      <c r="M25" s="488"/>
      <c r="N25" s="489"/>
      <c r="O25" s="512"/>
      <c r="P25" s="488"/>
      <c r="Q25" s="489"/>
      <c r="R25" s="512"/>
      <c r="S25" s="488"/>
      <c r="T25" s="489"/>
      <c r="U25" s="512"/>
      <c r="V25" s="488"/>
      <c r="W25" s="489"/>
      <c r="X25" s="512"/>
      <c r="Y25" s="488"/>
      <c r="Z25" s="489"/>
      <c r="AA25" s="512"/>
      <c r="AB25" s="488"/>
      <c r="AC25" s="489"/>
      <c r="AD25" s="512"/>
      <c r="AE25" s="488"/>
      <c r="AF25" s="489"/>
    </row>
    <row r="26" spans="1:40" ht="15" customHeight="1" thickTop="1">
      <c r="A26" s="71"/>
      <c r="B26" s="531" t="s">
        <v>70</v>
      </c>
      <c r="C26" s="532"/>
      <c r="D26" s="532"/>
      <c r="E26" s="533"/>
      <c r="F26" s="520" t="s">
        <v>73</v>
      </c>
      <c r="G26" s="521"/>
      <c r="H26" s="520" t="s">
        <v>71</v>
      </c>
      <c r="I26" s="521"/>
      <c r="J26" s="204"/>
      <c r="K26" s="62" t="s">
        <v>88</v>
      </c>
      <c r="L26" s="205"/>
      <c r="M26" s="461"/>
      <c r="N26" s="462"/>
      <c r="O26" s="205"/>
      <c r="P26" s="461"/>
      <c r="Q26" s="462"/>
      <c r="R26" s="205"/>
      <c r="S26" s="461"/>
      <c r="T26" s="462"/>
      <c r="U26" s="205"/>
      <c r="V26" s="461"/>
      <c r="W26" s="462"/>
      <c r="X26" s="205"/>
      <c r="Y26" s="461"/>
      <c r="Z26" s="462"/>
      <c r="AA26" s="205"/>
      <c r="AB26" s="461"/>
      <c r="AC26" s="462"/>
      <c r="AD26" s="205"/>
      <c r="AE26" s="463"/>
      <c r="AF26" s="463"/>
      <c r="AG26" s="67"/>
      <c r="AH26" s="67"/>
      <c r="AI26" s="69"/>
      <c r="AJ26" s="69"/>
      <c r="AL26" s="63"/>
      <c r="AM26" s="63"/>
      <c r="AN26" s="63"/>
    </row>
    <row r="27" spans="1:40" ht="15" customHeight="1">
      <c r="A27" s="71"/>
      <c r="B27" s="522" t="s">
        <v>72</v>
      </c>
      <c r="C27" s="523"/>
      <c r="D27" s="523"/>
      <c r="E27" s="524"/>
      <c r="F27" s="527" t="s">
        <v>73</v>
      </c>
      <c r="G27" s="528"/>
      <c r="H27" s="527" t="s">
        <v>71</v>
      </c>
      <c r="I27" s="528"/>
      <c r="J27" s="200"/>
      <c r="K27" s="54" t="s">
        <v>88</v>
      </c>
      <c r="L27" s="205"/>
      <c r="M27" s="461"/>
      <c r="N27" s="462"/>
      <c r="O27" s="205"/>
      <c r="P27" s="461"/>
      <c r="Q27" s="462"/>
      <c r="R27" s="205"/>
      <c r="S27" s="461"/>
      <c r="T27" s="462"/>
      <c r="U27" s="205"/>
      <c r="V27" s="461"/>
      <c r="W27" s="462"/>
      <c r="X27" s="205"/>
      <c r="Y27" s="461"/>
      <c r="Z27" s="462"/>
      <c r="AA27" s="205"/>
      <c r="AB27" s="461"/>
      <c r="AC27" s="462"/>
      <c r="AD27" s="205"/>
      <c r="AE27" s="463"/>
      <c r="AF27" s="463"/>
      <c r="AG27" s="67"/>
      <c r="AH27" s="67"/>
      <c r="AI27" s="69"/>
      <c r="AJ27" s="69"/>
      <c r="AL27" s="63"/>
      <c r="AM27" s="63"/>
      <c r="AN27" s="63"/>
    </row>
    <row r="28" spans="1:40" s="76" customFormat="1" ht="24" customHeight="1">
      <c r="A28" s="75"/>
      <c r="B28" s="534" t="s">
        <v>100</v>
      </c>
      <c r="C28" s="535"/>
      <c r="D28" s="535"/>
      <c r="E28" s="536"/>
      <c r="F28" s="527" t="s">
        <v>74</v>
      </c>
      <c r="G28" s="528"/>
      <c r="H28" s="529" t="s">
        <v>83</v>
      </c>
      <c r="I28" s="530"/>
      <c r="J28" s="206"/>
      <c r="K28" s="54" t="s">
        <v>89</v>
      </c>
      <c r="L28" s="205"/>
      <c r="M28" s="461"/>
      <c r="N28" s="462"/>
      <c r="O28" s="205"/>
      <c r="P28" s="461"/>
      <c r="Q28" s="462"/>
      <c r="R28" s="205"/>
      <c r="S28" s="461"/>
      <c r="T28" s="462"/>
      <c r="U28" s="205"/>
      <c r="V28" s="461"/>
      <c r="W28" s="462"/>
      <c r="X28" s="205"/>
      <c r="Y28" s="461"/>
      <c r="Z28" s="462"/>
      <c r="AA28" s="205"/>
      <c r="AB28" s="461"/>
      <c r="AC28" s="462"/>
      <c r="AD28" s="205"/>
      <c r="AE28" s="463"/>
      <c r="AF28" s="463"/>
      <c r="AG28" s="58"/>
      <c r="AH28" s="58"/>
      <c r="AI28" s="77"/>
      <c r="AJ28" s="77"/>
      <c r="AL28" s="78"/>
      <c r="AM28" s="61"/>
      <c r="AN28" s="61"/>
    </row>
    <row r="29" spans="1:40" s="76" customFormat="1" ht="15" customHeight="1">
      <c r="A29" s="75"/>
      <c r="B29" s="522" t="s">
        <v>75</v>
      </c>
      <c r="C29" s="523"/>
      <c r="D29" s="523"/>
      <c r="E29" s="524"/>
      <c r="F29" s="527" t="s">
        <v>76</v>
      </c>
      <c r="G29" s="528"/>
      <c r="H29" s="527" t="s">
        <v>84</v>
      </c>
      <c r="I29" s="528"/>
      <c r="J29" s="200"/>
      <c r="K29" s="54" t="s">
        <v>88</v>
      </c>
      <c r="L29" s="205"/>
      <c r="M29" s="461"/>
      <c r="N29" s="462"/>
      <c r="O29" s="205"/>
      <c r="P29" s="461"/>
      <c r="Q29" s="462"/>
      <c r="R29" s="205"/>
      <c r="S29" s="461"/>
      <c r="T29" s="462"/>
      <c r="U29" s="205"/>
      <c r="V29" s="461"/>
      <c r="W29" s="462"/>
      <c r="X29" s="205"/>
      <c r="Y29" s="461"/>
      <c r="Z29" s="462"/>
      <c r="AA29" s="205"/>
      <c r="AB29" s="461"/>
      <c r="AC29" s="462"/>
      <c r="AD29" s="205"/>
      <c r="AE29" s="463"/>
      <c r="AF29" s="463"/>
      <c r="AG29" s="58"/>
      <c r="AH29" s="58"/>
      <c r="AI29" s="77"/>
      <c r="AJ29" s="77"/>
      <c r="AL29" s="78"/>
      <c r="AM29" s="61"/>
      <c r="AN29" s="61"/>
    </row>
    <row r="30" spans="1:40" s="76" customFormat="1" ht="15" customHeight="1">
      <c r="A30" s="75"/>
      <c r="B30" s="522" t="s">
        <v>77</v>
      </c>
      <c r="C30" s="523"/>
      <c r="D30" s="523"/>
      <c r="E30" s="524"/>
      <c r="F30" s="527" t="s">
        <v>78</v>
      </c>
      <c r="G30" s="528"/>
      <c r="H30" s="527" t="s">
        <v>85</v>
      </c>
      <c r="I30" s="528"/>
      <c r="J30" s="200"/>
      <c r="K30" s="54" t="s">
        <v>88</v>
      </c>
      <c r="L30" s="205"/>
      <c r="M30" s="461"/>
      <c r="N30" s="462"/>
      <c r="O30" s="205"/>
      <c r="P30" s="461"/>
      <c r="Q30" s="462"/>
      <c r="R30" s="205"/>
      <c r="S30" s="461"/>
      <c r="T30" s="462"/>
      <c r="U30" s="205"/>
      <c r="V30" s="461"/>
      <c r="W30" s="462"/>
      <c r="X30" s="205"/>
      <c r="Y30" s="461"/>
      <c r="Z30" s="462"/>
      <c r="AA30" s="205"/>
      <c r="AB30" s="461"/>
      <c r="AC30" s="462"/>
      <c r="AD30" s="205"/>
      <c r="AE30" s="463"/>
      <c r="AF30" s="463"/>
      <c r="AG30" s="58"/>
      <c r="AH30" s="58"/>
      <c r="AI30" s="77"/>
      <c r="AJ30" s="77"/>
      <c r="AL30" s="78"/>
      <c r="AM30" s="61"/>
      <c r="AN30" s="61"/>
    </row>
    <row r="31" spans="1:40" s="76" customFormat="1" ht="15" customHeight="1">
      <c r="A31" s="75"/>
      <c r="B31" s="522" t="s">
        <v>79</v>
      </c>
      <c r="C31" s="523"/>
      <c r="D31" s="523"/>
      <c r="E31" s="524"/>
      <c r="F31" s="527" t="s">
        <v>80</v>
      </c>
      <c r="G31" s="528"/>
      <c r="H31" s="527" t="s">
        <v>86</v>
      </c>
      <c r="I31" s="528"/>
      <c r="J31" s="200"/>
      <c r="K31" s="54" t="s">
        <v>89</v>
      </c>
      <c r="L31" s="205"/>
      <c r="M31" s="461"/>
      <c r="N31" s="462"/>
      <c r="O31" s="205"/>
      <c r="P31" s="461"/>
      <c r="Q31" s="462"/>
      <c r="R31" s="205"/>
      <c r="S31" s="461"/>
      <c r="T31" s="462"/>
      <c r="U31" s="205"/>
      <c r="V31" s="461"/>
      <c r="W31" s="462"/>
      <c r="X31" s="205"/>
      <c r="Y31" s="461"/>
      <c r="Z31" s="462"/>
      <c r="AA31" s="205"/>
      <c r="AB31" s="461"/>
      <c r="AC31" s="462"/>
      <c r="AD31" s="205"/>
      <c r="AE31" s="463"/>
      <c r="AF31" s="463"/>
      <c r="AG31" s="58"/>
      <c r="AH31" s="58"/>
      <c r="AI31" s="77"/>
      <c r="AJ31" s="77"/>
      <c r="AL31" s="78"/>
      <c r="AM31" s="61"/>
      <c r="AN31" s="61"/>
    </row>
    <row r="32" spans="1:40" s="76" customFormat="1" ht="15" customHeight="1">
      <c r="A32" s="75"/>
      <c r="B32" s="522" t="s">
        <v>355</v>
      </c>
      <c r="C32" s="523"/>
      <c r="D32" s="523"/>
      <c r="E32" s="524"/>
      <c r="F32" s="527" t="s">
        <v>356</v>
      </c>
      <c r="G32" s="528"/>
      <c r="H32" s="527" t="s">
        <v>357</v>
      </c>
      <c r="I32" s="528"/>
      <c r="J32" s="200"/>
      <c r="K32" s="54" t="s">
        <v>88</v>
      </c>
      <c r="L32" s="205"/>
      <c r="M32" s="461"/>
      <c r="N32" s="462"/>
      <c r="O32" s="205"/>
      <c r="P32" s="461"/>
      <c r="Q32" s="462"/>
      <c r="R32" s="205"/>
      <c r="S32" s="461"/>
      <c r="T32" s="462"/>
      <c r="U32" s="205"/>
      <c r="V32" s="461"/>
      <c r="W32" s="462"/>
      <c r="X32" s="205"/>
      <c r="Y32" s="461"/>
      <c r="Z32" s="462"/>
      <c r="AA32" s="205"/>
      <c r="AB32" s="461"/>
      <c r="AC32" s="462"/>
      <c r="AD32" s="205"/>
      <c r="AE32" s="463"/>
      <c r="AF32" s="463"/>
      <c r="AG32" s="58"/>
      <c r="AH32" s="58"/>
      <c r="AI32" s="77"/>
      <c r="AJ32" s="77"/>
      <c r="AL32" s="78"/>
      <c r="AM32" s="61"/>
      <c r="AN32" s="61"/>
    </row>
    <row r="33" spans="1:40" s="76" customFormat="1" ht="15" customHeight="1" thickBot="1">
      <c r="A33" s="75"/>
      <c r="B33" s="464" t="s">
        <v>92</v>
      </c>
      <c r="C33" s="465"/>
      <c r="D33" s="465"/>
      <c r="E33" s="466"/>
      <c r="F33" s="466"/>
      <c r="G33" s="466"/>
      <c r="H33" s="466"/>
      <c r="I33" s="466"/>
      <c r="J33" s="466"/>
      <c r="K33" s="467"/>
      <c r="L33" s="468"/>
      <c r="M33" s="469"/>
      <c r="N33" s="469"/>
      <c r="O33" s="469"/>
      <c r="P33" s="469"/>
      <c r="Q33" s="469"/>
      <c r="R33" s="469"/>
      <c r="S33" s="469"/>
      <c r="T33" s="469"/>
      <c r="U33" s="469"/>
      <c r="V33" s="469"/>
      <c r="W33" s="469"/>
      <c r="X33" s="469"/>
      <c r="Y33" s="469"/>
      <c r="Z33" s="469"/>
      <c r="AA33" s="469"/>
      <c r="AB33" s="469"/>
      <c r="AC33" s="469"/>
      <c r="AD33" s="469"/>
      <c r="AE33" s="469"/>
      <c r="AF33" s="470"/>
      <c r="AG33" s="58"/>
      <c r="AH33" s="58"/>
      <c r="AI33" s="77"/>
      <c r="AJ33" s="77"/>
      <c r="AL33" s="78"/>
      <c r="AM33" s="61"/>
      <c r="AN33" s="61"/>
    </row>
    <row r="34" spans="1:40" s="76" customFormat="1" ht="15" customHeight="1" thickTop="1">
      <c r="A34" s="75"/>
      <c r="B34" s="531" t="s">
        <v>93</v>
      </c>
      <c r="C34" s="532"/>
      <c r="D34" s="532"/>
      <c r="E34" s="533"/>
      <c r="F34" s="520" t="s">
        <v>94</v>
      </c>
      <c r="G34" s="521"/>
      <c r="H34" s="520" t="s">
        <v>95</v>
      </c>
      <c r="I34" s="521"/>
      <c r="J34" s="204"/>
      <c r="K34" s="62" t="s">
        <v>88</v>
      </c>
      <c r="L34" s="205"/>
      <c r="M34" s="461"/>
      <c r="N34" s="462"/>
      <c r="O34" s="205"/>
      <c r="P34" s="461"/>
      <c r="Q34" s="462"/>
      <c r="R34" s="205"/>
      <c r="S34" s="461"/>
      <c r="T34" s="462"/>
      <c r="U34" s="205"/>
      <c r="V34" s="461"/>
      <c r="W34" s="462"/>
      <c r="X34" s="205"/>
      <c r="Y34" s="461"/>
      <c r="Z34" s="462"/>
      <c r="AA34" s="205"/>
      <c r="AB34" s="461"/>
      <c r="AC34" s="462"/>
      <c r="AD34" s="205"/>
      <c r="AE34" s="461"/>
      <c r="AF34" s="462"/>
      <c r="AG34" s="58"/>
      <c r="AH34" s="58"/>
      <c r="AI34" s="77"/>
      <c r="AJ34" s="77"/>
      <c r="AL34" s="78"/>
      <c r="AM34" s="61"/>
      <c r="AN34" s="61"/>
    </row>
    <row r="35" spans="1:40" s="76" customFormat="1" ht="15" customHeight="1" thickBot="1">
      <c r="A35" s="75"/>
      <c r="B35" s="464" t="s">
        <v>96</v>
      </c>
      <c r="C35" s="465"/>
      <c r="D35" s="465"/>
      <c r="E35" s="466"/>
      <c r="F35" s="466"/>
      <c r="G35" s="466"/>
      <c r="H35" s="466"/>
      <c r="I35" s="466"/>
      <c r="J35" s="466"/>
      <c r="K35" s="467"/>
      <c r="L35" s="468"/>
      <c r="M35" s="469"/>
      <c r="N35" s="469"/>
      <c r="O35" s="469"/>
      <c r="P35" s="469"/>
      <c r="Q35" s="469"/>
      <c r="R35" s="469"/>
      <c r="S35" s="469"/>
      <c r="T35" s="469"/>
      <c r="U35" s="469"/>
      <c r="V35" s="469"/>
      <c r="W35" s="469"/>
      <c r="X35" s="469"/>
      <c r="Y35" s="469"/>
      <c r="Z35" s="469"/>
      <c r="AA35" s="469"/>
      <c r="AB35" s="469"/>
      <c r="AC35" s="469"/>
      <c r="AD35" s="469"/>
      <c r="AE35" s="469"/>
      <c r="AF35" s="470"/>
      <c r="AG35" s="58"/>
      <c r="AH35" s="58"/>
      <c r="AI35" s="77"/>
      <c r="AJ35" s="77"/>
      <c r="AL35" s="78"/>
      <c r="AM35" s="61"/>
      <c r="AN35" s="61"/>
    </row>
    <row r="36" spans="1:40" s="76" customFormat="1" ht="15" customHeight="1" thickTop="1">
      <c r="A36" s="75"/>
      <c r="B36" s="531" t="s">
        <v>97</v>
      </c>
      <c r="C36" s="532"/>
      <c r="D36" s="532"/>
      <c r="E36" s="533"/>
      <c r="F36" s="520" t="s">
        <v>98</v>
      </c>
      <c r="G36" s="521"/>
      <c r="H36" s="520" t="s">
        <v>99</v>
      </c>
      <c r="I36" s="521"/>
      <c r="J36" s="204"/>
      <c r="K36" s="62" t="s">
        <v>89</v>
      </c>
      <c r="L36" s="205"/>
      <c r="M36" s="461"/>
      <c r="N36" s="462"/>
      <c r="O36" s="205"/>
      <c r="P36" s="461"/>
      <c r="Q36" s="462"/>
      <c r="R36" s="205"/>
      <c r="S36" s="461"/>
      <c r="T36" s="462"/>
      <c r="U36" s="205"/>
      <c r="V36" s="461"/>
      <c r="W36" s="462"/>
      <c r="X36" s="205"/>
      <c r="Y36" s="461"/>
      <c r="Z36" s="462"/>
      <c r="AA36" s="205"/>
      <c r="AB36" s="461"/>
      <c r="AC36" s="462"/>
      <c r="AD36" s="205"/>
      <c r="AE36" s="461"/>
      <c r="AF36" s="462"/>
      <c r="AG36" s="58"/>
      <c r="AH36" s="58"/>
      <c r="AI36" s="77"/>
      <c r="AJ36" s="77"/>
      <c r="AL36" s="78"/>
      <c r="AM36" s="61"/>
      <c r="AN36" s="61"/>
    </row>
    <row r="37" ht="6.75" customHeight="1"/>
    <row r="38" spans="2:32" ht="17.25" customHeight="1" thickBot="1">
      <c r="B38" s="464" t="s">
        <v>202</v>
      </c>
      <c r="C38" s="465"/>
      <c r="D38" s="465"/>
      <c r="E38" s="466"/>
      <c r="F38" s="466"/>
      <c r="G38" s="466"/>
      <c r="H38" s="466"/>
      <c r="I38" s="466"/>
      <c r="J38" s="466"/>
      <c r="K38" s="467"/>
      <c r="L38" s="468"/>
      <c r="M38" s="469"/>
      <c r="N38" s="469"/>
      <c r="O38" s="469"/>
      <c r="P38" s="469"/>
      <c r="Q38" s="469"/>
      <c r="R38" s="469"/>
      <c r="S38" s="469"/>
      <c r="T38" s="469"/>
      <c r="U38" s="469"/>
      <c r="V38" s="469"/>
      <c r="W38" s="469"/>
      <c r="X38" s="469"/>
      <c r="Y38" s="469"/>
      <c r="Z38" s="469"/>
      <c r="AA38" s="469"/>
      <c r="AB38" s="469"/>
      <c r="AC38" s="469"/>
      <c r="AD38" s="469"/>
      <c r="AE38" s="469"/>
      <c r="AF38" s="470"/>
    </row>
    <row r="39" spans="1:42" s="76" customFormat="1" ht="15" customHeight="1" thickTop="1">
      <c r="A39" s="79"/>
      <c r="B39" s="471" t="s">
        <v>203</v>
      </c>
      <c r="C39" s="472"/>
      <c r="D39" s="472"/>
      <c r="E39" s="472"/>
      <c r="F39" s="472"/>
      <c r="G39" s="473"/>
      <c r="H39" s="482"/>
      <c r="I39" s="483"/>
      <c r="J39" s="204"/>
      <c r="K39" s="204"/>
      <c r="L39" s="205"/>
      <c r="M39" s="461"/>
      <c r="N39" s="462"/>
      <c r="O39" s="205"/>
      <c r="P39" s="461"/>
      <c r="Q39" s="462"/>
      <c r="R39" s="205"/>
      <c r="S39" s="461"/>
      <c r="T39" s="462"/>
      <c r="U39" s="205"/>
      <c r="V39" s="461"/>
      <c r="W39" s="462"/>
      <c r="X39" s="205"/>
      <c r="Y39" s="461"/>
      <c r="Z39" s="462"/>
      <c r="AA39" s="205"/>
      <c r="AB39" s="461"/>
      <c r="AC39" s="462"/>
      <c r="AD39" s="205"/>
      <c r="AE39" s="463"/>
      <c r="AF39" s="463"/>
      <c r="AG39" s="58"/>
      <c r="AH39" s="58"/>
      <c r="AI39" s="60"/>
      <c r="AJ39" s="60"/>
      <c r="AK39" s="60"/>
      <c r="AL39" s="60"/>
      <c r="AM39" s="60"/>
      <c r="AN39" s="60"/>
      <c r="AO39" s="61"/>
      <c r="AP39" s="61"/>
    </row>
    <row r="40" spans="1:42" s="76" customFormat="1" ht="15" customHeight="1">
      <c r="A40" s="79"/>
      <c r="B40" s="474"/>
      <c r="C40" s="475"/>
      <c r="D40" s="475"/>
      <c r="E40" s="475"/>
      <c r="F40" s="475"/>
      <c r="G40" s="476"/>
      <c r="H40" s="480"/>
      <c r="I40" s="481"/>
      <c r="J40" s="200"/>
      <c r="K40" s="200"/>
      <c r="L40" s="205"/>
      <c r="M40" s="461"/>
      <c r="N40" s="462"/>
      <c r="O40" s="205"/>
      <c r="P40" s="461"/>
      <c r="Q40" s="462"/>
      <c r="R40" s="205"/>
      <c r="S40" s="461"/>
      <c r="T40" s="462"/>
      <c r="U40" s="205"/>
      <c r="V40" s="461"/>
      <c r="W40" s="462"/>
      <c r="X40" s="205"/>
      <c r="Y40" s="461"/>
      <c r="Z40" s="462"/>
      <c r="AA40" s="205"/>
      <c r="AB40" s="461"/>
      <c r="AC40" s="462"/>
      <c r="AD40" s="205"/>
      <c r="AE40" s="463"/>
      <c r="AF40" s="463"/>
      <c r="AG40" s="58"/>
      <c r="AH40" s="58"/>
      <c r="AI40" s="60"/>
      <c r="AJ40" s="60"/>
      <c r="AK40" s="60"/>
      <c r="AL40" s="60"/>
      <c r="AM40" s="60"/>
      <c r="AN40" s="60"/>
      <c r="AO40" s="61"/>
      <c r="AP40" s="61"/>
    </row>
    <row r="41" spans="1:42" s="76" customFormat="1" ht="15" customHeight="1">
      <c r="A41" s="79"/>
      <c r="B41" s="474"/>
      <c r="C41" s="475"/>
      <c r="D41" s="475"/>
      <c r="E41" s="475"/>
      <c r="F41" s="475"/>
      <c r="G41" s="476"/>
      <c r="H41" s="480"/>
      <c r="I41" s="481"/>
      <c r="J41" s="200"/>
      <c r="K41" s="200"/>
      <c r="L41" s="205"/>
      <c r="M41" s="461"/>
      <c r="N41" s="462"/>
      <c r="O41" s="205"/>
      <c r="P41" s="461"/>
      <c r="Q41" s="462"/>
      <c r="R41" s="205"/>
      <c r="S41" s="461"/>
      <c r="T41" s="462"/>
      <c r="U41" s="205"/>
      <c r="V41" s="461"/>
      <c r="W41" s="462"/>
      <c r="X41" s="205"/>
      <c r="Y41" s="461"/>
      <c r="Z41" s="462"/>
      <c r="AA41" s="205"/>
      <c r="AB41" s="461"/>
      <c r="AC41" s="462"/>
      <c r="AD41" s="205"/>
      <c r="AE41" s="463"/>
      <c r="AF41" s="463"/>
      <c r="AG41" s="58"/>
      <c r="AH41" s="58"/>
      <c r="AI41" s="60"/>
      <c r="AJ41" s="60"/>
      <c r="AK41" s="60"/>
      <c r="AL41" s="60"/>
      <c r="AM41" s="60"/>
      <c r="AN41" s="60"/>
      <c r="AO41" s="61"/>
      <c r="AP41" s="61"/>
    </row>
    <row r="42" spans="1:42" s="76" customFormat="1" ht="15" customHeight="1">
      <c r="A42" s="79"/>
      <c r="B42" s="474"/>
      <c r="C42" s="475"/>
      <c r="D42" s="475"/>
      <c r="E42" s="475"/>
      <c r="F42" s="475"/>
      <c r="G42" s="476"/>
      <c r="H42" s="480"/>
      <c r="I42" s="481"/>
      <c r="J42" s="200"/>
      <c r="K42" s="200"/>
      <c r="L42" s="205"/>
      <c r="M42" s="461"/>
      <c r="N42" s="462"/>
      <c r="O42" s="205"/>
      <c r="P42" s="461"/>
      <c r="Q42" s="462"/>
      <c r="R42" s="205"/>
      <c r="S42" s="461"/>
      <c r="T42" s="462"/>
      <c r="U42" s="205"/>
      <c r="V42" s="461"/>
      <c r="W42" s="462"/>
      <c r="X42" s="205"/>
      <c r="Y42" s="461"/>
      <c r="Z42" s="462"/>
      <c r="AA42" s="205"/>
      <c r="AB42" s="461"/>
      <c r="AC42" s="462"/>
      <c r="AD42" s="205"/>
      <c r="AE42" s="463"/>
      <c r="AF42" s="463"/>
      <c r="AG42" s="58"/>
      <c r="AH42" s="58"/>
      <c r="AI42" s="60"/>
      <c r="AJ42" s="60"/>
      <c r="AK42" s="60"/>
      <c r="AL42" s="60"/>
      <c r="AM42" s="60"/>
      <c r="AN42" s="60"/>
      <c r="AO42" s="61"/>
      <c r="AP42" s="61"/>
    </row>
    <row r="43" spans="1:42" s="76" customFormat="1" ht="15" customHeight="1">
      <c r="A43" s="79"/>
      <c r="B43" s="477"/>
      <c r="C43" s="478"/>
      <c r="D43" s="478"/>
      <c r="E43" s="478"/>
      <c r="F43" s="478"/>
      <c r="G43" s="479"/>
      <c r="H43" s="480"/>
      <c r="I43" s="481"/>
      <c r="J43" s="200"/>
      <c r="K43" s="200"/>
      <c r="L43" s="205"/>
      <c r="M43" s="461"/>
      <c r="N43" s="462"/>
      <c r="O43" s="205"/>
      <c r="P43" s="461"/>
      <c r="Q43" s="462"/>
      <c r="R43" s="205"/>
      <c r="S43" s="461"/>
      <c r="T43" s="462"/>
      <c r="U43" s="205"/>
      <c r="V43" s="461"/>
      <c r="W43" s="462"/>
      <c r="X43" s="205"/>
      <c r="Y43" s="461"/>
      <c r="Z43" s="462"/>
      <c r="AA43" s="205"/>
      <c r="AB43" s="461"/>
      <c r="AC43" s="462"/>
      <c r="AD43" s="205"/>
      <c r="AE43" s="463"/>
      <c r="AF43" s="463"/>
      <c r="AG43" s="58"/>
      <c r="AH43" s="58"/>
      <c r="AI43" s="60"/>
      <c r="AJ43" s="60"/>
      <c r="AK43" s="60"/>
      <c r="AL43" s="60"/>
      <c r="AM43" s="60"/>
      <c r="AN43" s="60"/>
      <c r="AO43" s="61"/>
      <c r="AP43" s="61"/>
    </row>
    <row r="44" spans="1:42" s="76" customFormat="1" ht="4.5" customHeight="1">
      <c r="A44" s="79"/>
      <c r="B44" s="57"/>
      <c r="C44" s="57"/>
      <c r="D44" s="57"/>
      <c r="E44" s="57"/>
      <c r="F44" s="57"/>
      <c r="G44" s="57"/>
      <c r="H44" s="57"/>
      <c r="I44" s="57"/>
      <c r="J44" s="57"/>
      <c r="L44" s="58"/>
      <c r="M44" s="58"/>
      <c r="N44" s="58"/>
      <c r="O44" s="58"/>
      <c r="P44" s="58"/>
      <c r="Q44" s="58"/>
      <c r="R44" s="58"/>
      <c r="S44" s="58"/>
      <c r="T44" s="58"/>
      <c r="U44" s="58"/>
      <c r="V44" s="58"/>
      <c r="W44" s="58"/>
      <c r="X44" s="58"/>
      <c r="Y44" s="58"/>
      <c r="Z44" s="58"/>
      <c r="AA44" s="58"/>
      <c r="AB44" s="58"/>
      <c r="AC44" s="58"/>
      <c r="AD44" s="58"/>
      <c r="AE44" s="58"/>
      <c r="AF44" s="58"/>
      <c r="AG44" s="58"/>
      <c r="AH44" s="58"/>
      <c r="AI44" s="60"/>
      <c r="AJ44" s="60"/>
      <c r="AK44" s="60"/>
      <c r="AL44" s="60"/>
      <c r="AM44" s="60"/>
      <c r="AN44" s="60"/>
      <c r="AO44" s="61"/>
      <c r="AP44" s="61"/>
    </row>
    <row r="45" spans="1:42" s="76" customFormat="1" ht="15" customHeight="1">
      <c r="A45" s="79"/>
      <c r="B45" s="5"/>
      <c r="C45" s="5"/>
      <c r="D45" s="5"/>
      <c r="E45" s="5"/>
      <c r="F45" s="5"/>
      <c r="G45" s="5"/>
      <c r="H45" s="5"/>
      <c r="I45" s="5"/>
      <c r="J45" s="5"/>
      <c r="K45" s="5"/>
      <c r="M45" s="57"/>
      <c r="N45" s="57"/>
      <c r="O45" s="78"/>
      <c r="P45" s="78"/>
      <c r="Q45" s="78"/>
      <c r="R45" s="78"/>
      <c r="S45" s="58"/>
      <c r="T45" s="58"/>
      <c r="U45" s="58"/>
      <c r="V45" s="58"/>
      <c r="W45" s="58"/>
      <c r="X45" s="58"/>
      <c r="Y45" s="58"/>
      <c r="Z45" s="58"/>
      <c r="AA45" s="58"/>
      <c r="AB45" s="58"/>
      <c r="AC45" s="58"/>
      <c r="AD45" s="58"/>
      <c r="AE45" s="58"/>
      <c r="AF45" s="58"/>
      <c r="AG45" s="58"/>
      <c r="AH45" s="58"/>
      <c r="AI45" s="60"/>
      <c r="AJ45" s="60"/>
      <c r="AK45" s="60"/>
      <c r="AL45" s="60"/>
      <c r="AM45" s="60"/>
      <c r="AN45" s="60"/>
      <c r="AO45" s="61"/>
      <c r="AP45" s="61"/>
    </row>
    <row r="46" spans="1:42" s="76" customFormat="1" ht="15" customHeight="1">
      <c r="A46" s="79"/>
      <c r="B46" s="16" t="s">
        <v>5</v>
      </c>
      <c r="C46" s="16"/>
      <c r="D46" s="16"/>
      <c r="E46" s="16"/>
      <c r="F46" s="1"/>
      <c r="G46" s="1"/>
      <c r="H46" s="1"/>
      <c r="I46" s="1"/>
      <c r="J46" s="1"/>
      <c r="K46" s="1"/>
      <c r="M46" s="57"/>
      <c r="N46" s="57"/>
      <c r="O46" s="78"/>
      <c r="P46" s="78"/>
      <c r="Q46" s="78"/>
      <c r="R46" s="78"/>
      <c r="S46" s="80"/>
      <c r="T46" s="80"/>
      <c r="U46" s="80"/>
      <c r="V46" s="58"/>
      <c r="W46" s="58"/>
      <c r="X46" s="58"/>
      <c r="Y46" s="58"/>
      <c r="Z46" s="58"/>
      <c r="AA46" s="58"/>
      <c r="AB46" s="58"/>
      <c r="AC46" s="58"/>
      <c r="AD46" s="58"/>
      <c r="AE46" s="58"/>
      <c r="AF46" s="58"/>
      <c r="AG46" s="58"/>
      <c r="AH46" s="58"/>
      <c r="AI46" s="60"/>
      <c r="AJ46" s="60"/>
      <c r="AK46" s="60"/>
      <c r="AL46" s="60"/>
      <c r="AM46" s="60"/>
      <c r="AN46" s="60"/>
      <c r="AO46" s="61"/>
      <c r="AP46" s="61"/>
    </row>
    <row r="47" spans="1:99" ht="15.75" customHeight="1">
      <c r="A47" s="39"/>
      <c r="B47" s="428"/>
      <c r="C47" s="429"/>
      <c r="D47" s="429"/>
      <c r="E47" s="429"/>
      <c r="F47" s="429"/>
      <c r="G47" s="429"/>
      <c r="H47" s="429"/>
      <c r="I47" s="429"/>
      <c r="J47" s="429"/>
      <c r="K47" s="429"/>
      <c r="L47" s="429"/>
      <c r="M47" s="430"/>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row>
    <row r="48" spans="1:99" s="1" customFormat="1" ht="16.5" customHeight="1">
      <c r="A48" s="18"/>
      <c r="B48" s="431"/>
      <c r="C48" s="432"/>
      <c r="D48" s="432"/>
      <c r="E48" s="432"/>
      <c r="F48" s="432"/>
      <c r="G48" s="432"/>
      <c r="H48" s="432"/>
      <c r="I48" s="432"/>
      <c r="J48" s="432"/>
      <c r="K48" s="432"/>
      <c r="L48" s="432"/>
      <c r="M48" s="433"/>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row>
    <row r="49" ht="12.75" customHeight="1"/>
    <row r="50" ht="12.75" customHeight="1"/>
    <row r="51" ht="9.75" customHeight="1"/>
    <row r="52" ht="12.75" customHeight="1"/>
    <row r="53" ht="15" customHeight="1"/>
    <row r="54" ht="12.75" customHeight="1"/>
    <row r="55" ht="15" customHeight="1"/>
    <row r="56" ht="12.75" customHeight="1"/>
    <row r="57" ht="15" customHeight="1"/>
  </sheetData>
  <sheetProtection password="DE07" sheet="1" formatCells="0" formatColumns="0" formatRows="0"/>
  <mergeCells count="234">
    <mergeCell ref="B13:D13"/>
    <mergeCell ref="E13:M13"/>
    <mergeCell ref="B36:E36"/>
    <mergeCell ref="F36:G36"/>
    <mergeCell ref="B32:E32"/>
    <mergeCell ref="F27:G27"/>
    <mergeCell ref="F28:G28"/>
    <mergeCell ref="F30:G30"/>
    <mergeCell ref="F31:G31"/>
    <mergeCell ref="F32:G32"/>
    <mergeCell ref="B26:E26"/>
    <mergeCell ref="B27:E27"/>
    <mergeCell ref="B28:E28"/>
    <mergeCell ref="B30:E30"/>
    <mergeCell ref="B29:E29"/>
    <mergeCell ref="H30:I30"/>
    <mergeCell ref="H31:I31"/>
    <mergeCell ref="B35:K35"/>
    <mergeCell ref="H32:I32"/>
    <mergeCell ref="H34:I34"/>
    <mergeCell ref="B33:K33"/>
    <mergeCell ref="B34:E34"/>
    <mergeCell ref="F34:G34"/>
    <mergeCell ref="F29:G29"/>
    <mergeCell ref="H26:I26"/>
    <mergeCell ref="H27:I27"/>
    <mergeCell ref="H28:I28"/>
    <mergeCell ref="H29:I29"/>
    <mergeCell ref="AN19:AN21"/>
    <mergeCell ref="AM19:AM21"/>
    <mergeCell ref="AL19:AL21"/>
    <mergeCell ref="X19:Z19"/>
    <mergeCell ref="X20:Z20"/>
    <mergeCell ref="X21:Z21"/>
    <mergeCell ref="AD19:AF19"/>
    <mergeCell ref="AD20:AF20"/>
    <mergeCell ref="AD21:AF21"/>
    <mergeCell ref="U24:U25"/>
    <mergeCell ref="X24:X25"/>
    <mergeCell ref="S24:T25"/>
    <mergeCell ref="P29:Q29"/>
    <mergeCell ref="V28:W28"/>
    <mergeCell ref="V29:W29"/>
    <mergeCell ref="P30:Q30"/>
    <mergeCell ref="P31:Q31"/>
    <mergeCell ref="P32:Q32"/>
    <mergeCell ref="S30:T30"/>
    <mergeCell ref="S31:T31"/>
    <mergeCell ref="S32:T32"/>
    <mergeCell ref="H36:I36"/>
    <mergeCell ref="L24:L25"/>
    <mergeCell ref="M29:N29"/>
    <mergeCell ref="M30:N30"/>
    <mergeCell ref="M31:N31"/>
    <mergeCell ref="M32:N32"/>
    <mergeCell ref="M34:N34"/>
    <mergeCell ref="B25:K25"/>
    <mergeCell ref="B31:E31"/>
    <mergeCell ref="F26:G26"/>
    <mergeCell ref="AA24:AA25"/>
    <mergeCell ref="AD24:AD25"/>
    <mergeCell ref="AB24:AC25"/>
    <mergeCell ref="Y24:Z25"/>
    <mergeCell ref="I20:K20"/>
    <mergeCell ref="I21:K21"/>
    <mergeCell ref="I22:K22"/>
    <mergeCell ref="B24:E24"/>
    <mergeCell ref="F24:G24"/>
    <mergeCell ref="H24:I24"/>
    <mergeCell ref="J24:K24"/>
    <mergeCell ref="K11:M11"/>
    <mergeCell ref="H9:J9"/>
    <mergeCell ref="K9:M9"/>
    <mergeCell ref="L17:M17"/>
    <mergeCell ref="B47:M48"/>
    <mergeCell ref="B9:D9"/>
    <mergeCell ref="E9:G9"/>
    <mergeCell ref="B10:D10"/>
    <mergeCell ref="E10:G10"/>
    <mergeCell ref="B11:D11"/>
    <mergeCell ref="E11:G11"/>
    <mergeCell ref="H10:J10"/>
    <mergeCell ref="K10:M10"/>
    <mergeCell ref="H11:J11"/>
    <mergeCell ref="O19:Q19"/>
    <mergeCell ref="O20:Q20"/>
    <mergeCell ref="O21:Q21"/>
    <mergeCell ref="O22:Q22"/>
    <mergeCell ref="R19:T19"/>
    <mergeCell ref="R20:T20"/>
    <mergeCell ref="R21:T21"/>
    <mergeCell ref="R22:T22"/>
    <mergeCell ref="U19:W19"/>
    <mergeCell ref="U20:W20"/>
    <mergeCell ref="U21:W21"/>
    <mergeCell ref="U22:W22"/>
    <mergeCell ref="X22:Z22"/>
    <mergeCell ref="AA19:AC19"/>
    <mergeCell ref="AA20:AC20"/>
    <mergeCell ref="AA21:AC21"/>
    <mergeCell ref="AA22:AC22"/>
    <mergeCell ref="AD22:AF22"/>
    <mergeCell ref="M26:N26"/>
    <mergeCell ref="M27:N27"/>
    <mergeCell ref="M28:N28"/>
    <mergeCell ref="P26:Q26"/>
    <mergeCell ref="P27:Q27"/>
    <mergeCell ref="P28:Q28"/>
    <mergeCell ref="V24:W25"/>
    <mergeCell ref="V26:W26"/>
    <mergeCell ref="V27:W27"/>
    <mergeCell ref="S34:T34"/>
    <mergeCell ref="S26:T26"/>
    <mergeCell ref="S27:T27"/>
    <mergeCell ref="S28:T28"/>
    <mergeCell ref="S29:T29"/>
    <mergeCell ref="V36:W36"/>
    <mergeCell ref="V30:W30"/>
    <mergeCell ref="V31:W31"/>
    <mergeCell ref="V32:W32"/>
    <mergeCell ref="Y30:Z30"/>
    <mergeCell ref="Y31:Z31"/>
    <mergeCell ref="Y32:Z32"/>
    <mergeCell ref="V34:W34"/>
    <mergeCell ref="Y26:Z26"/>
    <mergeCell ref="Y27:Z27"/>
    <mergeCell ref="Y28:Z28"/>
    <mergeCell ref="Y29:Z29"/>
    <mergeCell ref="AE24:AF25"/>
    <mergeCell ref="AB36:AC36"/>
    <mergeCell ref="AB34:AC34"/>
    <mergeCell ref="AB26:AC26"/>
    <mergeCell ref="AB27:AC27"/>
    <mergeCell ref="AB28:AC28"/>
    <mergeCell ref="AB29:AC29"/>
    <mergeCell ref="AB30:AC30"/>
    <mergeCell ref="AB31:AC31"/>
    <mergeCell ref="AB32:AC32"/>
    <mergeCell ref="AE36:AF36"/>
    <mergeCell ref="AE34:AF34"/>
    <mergeCell ref="L35:AF35"/>
    <mergeCell ref="L33:AF33"/>
    <mergeCell ref="S36:T36"/>
    <mergeCell ref="M36:N36"/>
    <mergeCell ref="P34:Q34"/>
    <mergeCell ref="P36:Q36"/>
    <mergeCell ref="Y34:Z34"/>
    <mergeCell ref="Y36:Z36"/>
    <mergeCell ref="O24:O25"/>
    <mergeCell ref="P24:Q25"/>
    <mergeCell ref="R24:R25"/>
    <mergeCell ref="AE32:AF32"/>
    <mergeCell ref="AE28:AF28"/>
    <mergeCell ref="AE29:AF29"/>
    <mergeCell ref="AE30:AF30"/>
    <mergeCell ref="AE31:AF31"/>
    <mergeCell ref="AE26:AF26"/>
    <mergeCell ref="AE27:AF27"/>
    <mergeCell ref="B6:D6"/>
    <mergeCell ref="E6:G6"/>
    <mergeCell ref="H6:J6"/>
    <mergeCell ref="K6:M6"/>
    <mergeCell ref="B7:D7"/>
    <mergeCell ref="E7:G7"/>
    <mergeCell ref="H7:J7"/>
    <mergeCell ref="K7:M7"/>
    <mergeCell ref="B8:D8"/>
    <mergeCell ref="E8:G8"/>
    <mergeCell ref="H8:J8"/>
    <mergeCell ref="K8:M8"/>
    <mergeCell ref="B12:D12"/>
    <mergeCell ref="E12:G12"/>
    <mergeCell ref="H12:J12"/>
    <mergeCell ref="K12:M12"/>
    <mergeCell ref="B14:D14"/>
    <mergeCell ref="E14:M14"/>
    <mergeCell ref="B15:D15"/>
    <mergeCell ref="E15:G15"/>
    <mergeCell ref="H15:J15"/>
    <mergeCell ref="K15:M15"/>
    <mergeCell ref="M40:N40"/>
    <mergeCell ref="B17:D17"/>
    <mergeCell ref="F17:G17"/>
    <mergeCell ref="H17:I17"/>
    <mergeCell ref="J17:K17"/>
    <mergeCell ref="M24:N25"/>
    <mergeCell ref="L20:N20"/>
    <mergeCell ref="L21:N21"/>
    <mergeCell ref="L22:N22"/>
    <mergeCell ref="L19:N19"/>
    <mergeCell ref="AB41:AC41"/>
    <mergeCell ref="V40:W40"/>
    <mergeCell ref="Y40:Z40"/>
    <mergeCell ref="H39:I39"/>
    <mergeCell ref="M39:N39"/>
    <mergeCell ref="P39:Q39"/>
    <mergeCell ref="S39:T39"/>
    <mergeCell ref="V39:W39"/>
    <mergeCell ref="Y39:Z39"/>
    <mergeCell ref="H40:I40"/>
    <mergeCell ref="AB39:AC39"/>
    <mergeCell ref="AE39:AF39"/>
    <mergeCell ref="H41:I41"/>
    <mergeCell ref="M41:N41"/>
    <mergeCell ref="P41:Q41"/>
    <mergeCell ref="S41:T41"/>
    <mergeCell ref="P40:Q40"/>
    <mergeCell ref="S40:T40"/>
    <mergeCell ref="Y41:Z41"/>
    <mergeCell ref="AE41:AF41"/>
    <mergeCell ref="H42:I42"/>
    <mergeCell ref="M42:N42"/>
    <mergeCell ref="P42:Q42"/>
    <mergeCell ref="S42:T42"/>
    <mergeCell ref="B38:K38"/>
    <mergeCell ref="L38:AF38"/>
    <mergeCell ref="B39:G43"/>
    <mergeCell ref="AB42:AC42"/>
    <mergeCell ref="AE42:AF42"/>
    <mergeCell ref="H43:I43"/>
    <mergeCell ref="M43:N43"/>
    <mergeCell ref="P43:Q43"/>
    <mergeCell ref="V42:W42"/>
    <mergeCell ref="Y42:Z42"/>
    <mergeCell ref="N17:Q17"/>
    <mergeCell ref="R17:S17"/>
    <mergeCell ref="AB43:AC43"/>
    <mergeCell ref="AE43:AF43"/>
    <mergeCell ref="S43:T43"/>
    <mergeCell ref="V43:W43"/>
    <mergeCell ref="Y43:Z43"/>
    <mergeCell ref="AB40:AC40"/>
    <mergeCell ref="AE40:AF40"/>
    <mergeCell ref="V41:W41"/>
  </mergeCells>
  <conditionalFormatting sqref="AD44:AD46 AG44:AG46 P44:Q44 AI44:AI46 L44 Y44:Z46 U44 M45:N46 B44:J44 AN39:AS46">
    <cfRule type="expression" priority="1" dxfId="0" stopIfTrue="1">
      <formula>(SUM(SSize9,MixDes9,JMFDes9)=0)</formula>
    </cfRule>
  </conditionalFormatting>
  <conditionalFormatting sqref="K39:K43 K32 K34 K36">
    <cfRule type="expression" priority="2" dxfId="0" stopIfTrue="1">
      <formula>(SUM(SSize7,MixDes7,JMFDes7)=0)</formula>
    </cfRule>
  </conditionalFormatting>
  <conditionalFormatting sqref="AJ44:AJ46 R44:T44 V44:X46 AE44:AF46 AH44:AH46 AA44:AC46 L38 M44:O44 H39:J43 AK39:AM46 F28:K28 F27:J32 F34:J34 F36:J36 L33 L35 AK28:AM36">
    <cfRule type="expression" priority="3" dxfId="0" stopIfTrue="1">
      <formula>(SUM(SSize1,MixDes1,JMFDes1)=0)</formula>
    </cfRule>
  </conditionalFormatting>
  <conditionalFormatting sqref="K31">
    <cfRule type="expression" priority="4" dxfId="0" stopIfTrue="1">
      <formula>(SUM(SSize6,MixDes6,JMFDes6)=0)</formula>
    </cfRule>
  </conditionalFormatting>
  <conditionalFormatting sqref="K30">
    <cfRule type="expression" priority="5" dxfId="0" stopIfTrue="1">
      <formula>(SUM(SSize5,MixDes5,JMFDes5)=0)</formula>
    </cfRule>
  </conditionalFormatting>
  <conditionalFormatting sqref="K29">
    <cfRule type="expression" priority="6" dxfId="0" stopIfTrue="1">
      <formula>(SUM(SSize4,Mixdes4,JMFDes4)=0)</formula>
    </cfRule>
  </conditionalFormatting>
  <conditionalFormatting sqref="K28">
    <cfRule type="expression" priority="7" dxfId="0" stopIfTrue="1">
      <formula>(SUM(SSize3,MixDes3,JMFDes3)=0)</formula>
    </cfRule>
  </conditionalFormatting>
  <conditionalFormatting sqref="K27">
    <cfRule type="expression" priority="8" dxfId="0" stopIfTrue="1">
      <formula>(SUM(SSize2,Mixdes2,JMFDes2)=0)</formula>
    </cfRule>
  </conditionalFormatting>
  <dataValidations count="1">
    <dataValidation type="textLength" operator="lessThan" allowBlank="1" showInputMessage="1" showErrorMessage="1" errorTitle="Text Length" error="Please limit the text length to 200 characters." sqref="B47:M48">
      <formula1>201</formula1>
    </dataValidation>
  </dataValidations>
  <printOptions/>
  <pageMargins left="0.26" right="0.28" top="0.36" bottom="1" header="0.17" footer="0.5"/>
  <pageSetup horizontalDpi="600" verticalDpi="600" orientation="landscape" scale="54" r:id="rId1"/>
</worksheet>
</file>

<file path=xl/worksheets/sheet3.xml><?xml version="1.0" encoding="utf-8"?>
<worksheet xmlns="http://schemas.openxmlformats.org/spreadsheetml/2006/main" xmlns:r="http://schemas.openxmlformats.org/officeDocument/2006/relationships">
  <sheetPr codeName="Sheet8">
    <pageSetUpPr fitToPage="1"/>
  </sheetPr>
  <dimension ref="A1:BP47"/>
  <sheetViews>
    <sheetView showGridLines="0" workbookViewId="0" topLeftCell="A1">
      <selection activeCell="O12" sqref="O12:U12"/>
    </sheetView>
  </sheetViews>
  <sheetFormatPr defaultColWidth="9.140625" defaultRowHeight="15" customHeight="1"/>
  <cols>
    <col min="1" max="1" width="1.28515625" style="20" customWidth="1"/>
    <col min="2" max="6" width="8.00390625" style="10" customWidth="1"/>
    <col min="7" max="8" width="8.28125" style="10" hidden="1" customWidth="1"/>
    <col min="9" max="10" width="8.00390625" style="10" customWidth="1"/>
    <col min="11" max="12" width="9.421875" style="10" hidden="1" customWidth="1"/>
    <col min="13" max="13" width="9.421875" style="10" customWidth="1"/>
    <col min="14" max="14" width="8.00390625" style="10" customWidth="1"/>
    <col min="15" max="16" width="8.28125" style="10" hidden="1" customWidth="1"/>
    <col min="17" max="18" width="8.00390625" style="10" customWidth="1"/>
    <col min="19" max="20" width="9.421875" style="10" hidden="1" customWidth="1"/>
    <col min="21" max="21" width="8.00390625" style="10" customWidth="1"/>
    <col min="22" max="22" width="8.28125" style="10" customWidth="1"/>
    <col min="23" max="24" width="8.28125" style="10" hidden="1" customWidth="1"/>
    <col min="25" max="26" width="8.28125" style="10" customWidth="1"/>
    <col min="27" max="28" width="8.28125" style="10" hidden="1" customWidth="1"/>
    <col min="29" max="30" width="8.28125" style="10" customWidth="1"/>
    <col min="31" max="32" width="8.28125" style="10" hidden="1" customWidth="1"/>
    <col min="33" max="35" width="8.28125" style="10" customWidth="1"/>
    <col min="36" max="64" width="7.7109375" style="10" customWidth="1"/>
    <col min="65" max="16384" width="6.7109375" style="10" customWidth="1"/>
  </cols>
  <sheetData>
    <row r="1" spans="1:67" s="5" customFormat="1" ht="15" customHeight="1">
      <c r="A1" s="18"/>
      <c r="B1" s="170" t="s">
        <v>0</v>
      </c>
      <c r="C1" s="2"/>
      <c r="D1" s="2"/>
      <c r="E1" s="2"/>
      <c r="F1" s="2"/>
      <c r="G1" s="2"/>
      <c r="H1" s="2"/>
      <c r="I1" s="3"/>
      <c r="J1" s="3"/>
      <c r="K1" s="3"/>
      <c r="L1" s="3"/>
      <c r="M1" s="3"/>
      <c r="N1" s="3"/>
      <c r="O1" s="3"/>
      <c r="P1" s="3"/>
      <c r="Q1" s="3"/>
      <c r="R1" s="3"/>
      <c r="S1" s="3"/>
      <c r="T1" s="3"/>
      <c r="U1" s="3"/>
      <c r="V1"/>
      <c r="W1"/>
      <c r="X1"/>
      <c r="Y1"/>
      <c r="Z1"/>
      <c r="AA1"/>
      <c r="AB1"/>
      <c r="AC1"/>
      <c r="AD1"/>
      <c r="AE1"/>
      <c r="AF1"/>
      <c r="AG1"/>
      <c r="AH1"/>
      <c r="AI1"/>
      <c r="AJ1" s="18"/>
      <c r="AK1" s="18"/>
      <c r="AL1" s="18"/>
      <c r="AM1" s="18"/>
      <c r="AN1" s="18"/>
      <c r="AO1" s="18"/>
      <c r="AP1" s="18"/>
      <c r="AQ1" s="18"/>
      <c r="AR1" s="18"/>
      <c r="AS1"/>
      <c r="AT1"/>
      <c r="AU1" s="88"/>
      <c r="AV1" s="88"/>
      <c r="AW1" s="18"/>
      <c r="AX1" s="18"/>
      <c r="AY1" s="18"/>
      <c r="AZ1" s="18"/>
      <c r="BA1" s="18"/>
      <c r="BB1" s="18"/>
      <c r="BC1" s="18"/>
      <c r="BD1" s="18"/>
      <c r="BE1" s="18"/>
      <c r="BF1" s="18"/>
      <c r="BG1" s="39"/>
      <c r="BH1" s="39"/>
      <c r="BI1" s="88"/>
      <c r="BJ1" s="88"/>
      <c r="BK1" s="88"/>
      <c r="BL1" s="88"/>
      <c r="BM1" s="88"/>
      <c r="BO1" s="6"/>
    </row>
    <row r="2" spans="1:67" s="5" customFormat="1" ht="15" customHeight="1">
      <c r="A2" s="18"/>
      <c r="B2" s="2">
        <f>IF(location="","",location)</f>
      </c>
      <c r="C2" s="2"/>
      <c r="D2" s="2"/>
      <c r="E2" s="2"/>
      <c r="F2" s="2"/>
      <c r="G2" s="2"/>
      <c r="H2" s="2"/>
      <c r="I2" s="3"/>
      <c r="J2" s="3"/>
      <c r="K2" s="3"/>
      <c r="L2" s="3"/>
      <c r="M2" s="3"/>
      <c r="N2" s="3"/>
      <c r="O2" s="3"/>
      <c r="P2" s="3"/>
      <c r="Q2" s="3"/>
      <c r="R2" s="3"/>
      <c r="S2" s="3"/>
      <c r="T2" s="3"/>
      <c r="U2" s="3"/>
      <c r="V2"/>
      <c r="W2"/>
      <c r="X2"/>
      <c r="Y2"/>
      <c r="Z2"/>
      <c r="AA2"/>
      <c r="AB2"/>
      <c r="AC2"/>
      <c r="AD2"/>
      <c r="AE2"/>
      <c r="AF2"/>
      <c r="AG2"/>
      <c r="AH2"/>
      <c r="AI2"/>
      <c r="AJ2" s="19"/>
      <c r="AK2" s="19"/>
      <c r="AL2" s="19"/>
      <c r="AM2" s="19"/>
      <c r="AN2" s="19"/>
      <c r="AO2" s="19"/>
      <c r="AP2" s="19"/>
      <c r="AQ2" s="18"/>
      <c r="AR2" s="18"/>
      <c r="AS2"/>
      <c r="AT2"/>
      <c r="AU2" s="88"/>
      <c r="AV2" s="88"/>
      <c r="AW2" s="4"/>
      <c r="AX2" s="4"/>
      <c r="AY2" s="4"/>
      <c r="AZ2" s="4"/>
      <c r="BA2" s="4"/>
      <c r="BB2" s="4"/>
      <c r="BC2" s="4"/>
      <c r="BD2" s="4"/>
      <c r="BE2" s="4"/>
      <c r="BF2" s="4"/>
      <c r="BG2" s="4"/>
      <c r="BH2" s="4"/>
      <c r="BI2" s="90"/>
      <c r="BJ2" s="90"/>
      <c r="BK2" s="6"/>
      <c r="BL2" s="6"/>
      <c r="BM2" s="6"/>
      <c r="BN2" s="6"/>
      <c r="BO2" s="91"/>
    </row>
    <row r="3" spans="1:68" s="5" customFormat="1" ht="5.25" customHeight="1">
      <c r="A3" s="19"/>
      <c r="B3" s="8"/>
      <c r="C3" s="8"/>
      <c r="D3" s="8"/>
      <c r="E3" s="8"/>
      <c r="F3" s="8"/>
      <c r="G3" s="8"/>
      <c r="H3" s="8"/>
      <c r="I3" s="3"/>
      <c r="J3" s="3"/>
      <c r="K3" s="3"/>
      <c r="L3" s="3"/>
      <c r="M3" s="3"/>
      <c r="N3" s="3"/>
      <c r="O3" s="3"/>
      <c r="P3" s="3"/>
      <c r="Q3" s="3"/>
      <c r="R3" s="3"/>
      <c r="S3" s="3"/>
      <c r="T3" s="3"/>
      <c r="U3" s="3"/>
      <c r="V3"/>
      <c r="W3"/>
      <c r="X3"/>
      <c r="Y3"/>
      <c r="Z3"/>
      <c r="AA3"/>
      <c r="AB3"/>
      <c r="AC3"/>
      <c r="AD3"/>
      <c r="AE3"/>
      <c r="AF3"/>
      <c r="AG3"/>
      <c r="AH3"/>
      <c r="AI3"/>
      <c r="AJ3" s="19"/>
      <c r="AK3" s="19"/>
      <c r="AL3" s="19"/>
      <c r="AM3" s="19"/>
      <c r="AN3" s="19"/>
      <c r="AO3" s="19"/>
      <c r="AP3" s="19"/>
      <c r="AQ3" s="19"/>
      <c r="AR3" s="19"/>
      <c r="AS3"/>
      <c r="AT3"/>
      <c r="AU3" s="19"/>
      <c r="AV3" s="19"/>
      <c r="AW3" s="3"/>
      <c r="AX3" s="3"/>
      <c r="AY3" s="3"/>
      <c r="AZ3" s="3"/>
      <c r="BA3" s="3"/>
      <c r="BB3" s="3"/>
      <c r="BC3" s="3"/>
      <c r="BD3" s="3"/>
      <c r="BE3" s="3"/>
      <c r="BF3" s="3"/>
      <c r="BG3" s="3"/>
      <c r="BH3" s="3"/>
      <c r="BI3" s="92"/>
      <c r="BJ3" s="92"/>
      <c r="BK3" s="6"/>
      <c r="BL3" s="6"/>
      <c r="BM3" s="6"/>
      <c r="BN3" s="6"/>
      <c r="BO3" s="91"/>
      <c r="BP3" s="7"/>
    </row>
    <row r="4" spans="1:67" s="5" customFormat="1" ht="14.25" customHeight="1">
      <c r="A4" s="18"/>
      <c r="B4" s="9" t="s">
        <v>204</v>
      </c>
      <c r="C4" s="9"/>
      <c r="D4" s="9"/>
      <c r="E4" s="9"/>
      <c r="F4" s="9"/>
      <c r="G4" s="9"/>
      <c r="H4" s="9"/>
      <c r="I4" s="3"/>
      <c r="J4" s="3"/>
      <c r="K4" s="3"/>
      <c r="L4" s="3"/>
      <c r="M4" s="3"/>
      <c r="N4" s="3"/>
      <c r="O4" s="3"/>
      <c r="P4" s="3"/>
      <c r="Q4" s="3"/>
      <c r="R4" s="3"/>
      <c r="S4" s="3"/>
      <c r="T4" s="3"/>
      <c r="U4" s="3"/>
      <c r="V4"/>
      <c r="W4"/>
      <c r="X4"/>
      <c r="Y4"/>
      <c r="Z4"/>
      <c r="AA4"/>
      <c r="AB4"/>
      <c r="AC4"/>
      <c r="AD4"/>
      <c r="AE4"/>
      <c r="AF4"/>
      <c r="AG4"/>
      <c r="AH4"/>
      <c r="AI4"/>
      <c r="AJ4" s="18"/>
      <c r="AK4" s="18"/>
      <c r="AL4" s="18"/>
      <c r="AM4" s="18"/>
      <c r="AN4" s="18"/>
      <c r="AO4" s="18"/>
      <c r="AP4" s="18"/>
      <c r="AQ4" s="18"/>
      <c r="AR4" s="18"/>
      <c r="AS4"/>
      <c r="AT4"/>
      <c r="AU4" s="93"/>
      <c r="AV4" s="93"/>
      <c r="AW4" s="18"/>
      <c r="AX4" s="18"/>
      <c r="AY4" s="18"/>
      <c r="AZ4" s="18"/>
      <c r="BA4" s="18"/>
      <c r="BB4" s="18"/>
      <c r="BC4" s="39"/>
      <c r="BD4" s="39"/>
      <c r="BE4" s="88"/>
      <c r="BF4" s="88"/>
      <c r="BG4" s="89"/>
      <c r="BH4" s="89"/>
      <c r="BI4" s="88"/>
      <c r="BJ4" s="88"/>
      <c r="BL4" s="6"/>
      <c r="BM4" s="6"/>
      <c r="BN4" s="6"/>
      <c r="BO4" s="6"/>
    </row>
    <row r="5" spans="1:55" s="5" customFormat="1" ht="10.5" customHeight="1">
      <c r="A5" s="18"/>
      <c r="H5" s="1"/>
      <c r="I5" s="1"/>
      <c r="J5" s="1"/>
      <c r="K5" s="1"/>
      <c r="L5" s="1"/>
      <c r="M5" s="1"/>
      <c r="N5" s="1"/>
      <c r="O5" s="1"/>
      <c r="P5" s="1"/>
      <c r="Q5" s="1"/>
      <c r="R5" s="1"/>
      <c r="S5" s="1"/>
      <c r="T5" s="1"/>
      <c r="U5" s="86" t="str">
        <f>"File Version: "&amp;TEXT(MID(sn,SEARCH("::",sn,1)+2,20),"mm/dd/yy hh:mm:ss")</f>
        <v>File Version: 05/10/07 09:30:41</v>
      </c>
      <c r="V5"/>
      <c r="W5"/>
      <c r="X5"/>
      <c r="Y5"/>
      <c r="Z5"/>
      <c r="AA5"/>
      <c r="AB5"/>
      <c r="AC5"/>
      <c r="AD5"/>
      <c r="AE5"/>
      <c r="AF5"/>
      <c r="AG5"/>
      <c r="AH5"/>
      <c r="AI5"/>
      <c r="AJ5"/>
      <c r="AK5"/>
      <c r="AL5"/>
      <c r="AM5"/>
      <c r="AN5"/>
      <c r="AO5"/>
      <c r="AP5"/>
      <c r="AS5" s="6"/>
      <c r="AT5" s="6"/>
      <c r="AU5" s="7"/>
      <c r="AV5" s="7"/>
      <c r="AW5" s="6"/>
      <c r="AX5" s="6"/>
      <c r="AY5" s="6"/>
      <c r="AZ5" s="6"/>
      <c r="BA5" s="6"/>
      <c r="BB5" s="6"/>
      <c r="BC5" s="6"/>
    </row>
    <row r="6" spans="1:64" s="5" customFormat="1" ht="15" customHeight="1">
      <c r="A6" s="18"/>
      <c r="B6" s="401" t="s">
        <v>46</v>
      </c>
      <c r="C6" s="402"/>
      <c r="D6" s="403"/>
      <c r="E6" s="499">
        <f>IF(sampleid="","",sampleid)</f>
      </c>
      <c r="F6" s="500"/>
      <c r="G6" s="500"/>
      <c r="H6" s="500"/>
      <c r="I6" s="501"/>
      <c r="J6" s="502" t="s">
        <v>111</v>
      </c>
      <c r="K6" s="503"/>
      <c r="L6" s="503"/>
      <c r="M6" s="503"/>
      <c r="N6" s="504"/>
      <c r="O6" s="571" t="str">
        <f>IF(sampleddate="","",sampleddate)</f>
        <v>11/18/2010</v>
      </c>
      <c r="P6" s="572"/>
      <c r="Q6" s="572"/>
      <c r="R6" s="572"/>
      <c r="S6" s="572"/>
      <c r="T6" s="572"/>
      <c r="U6" s="573"/>
      <c r="V6"/>
      <c r="W6"/>
      <c r="X6"/>
      <c r="Y6"/>
      <c r="Z6"/>
      <c r="AA6"/>
      <c r="AB6"/>
      <c r="AC6"/>
      <c r="AD6"/>
      <c r="AE6"/>
      <c r="AF6"/>
      <c r="AG6"/>
      <c r="AH6"/>
      <c r="AI6"/>
      <c r="AJ6"/>
      <c r="AK6"/>
      <c r="AL6"/>
      <c r="AM6"/>
      <c r="AN6"/>
      <c r="AO6"/>
      <c r="AP6"/>
      <c r="AQ6"/>
      <c r="AR6"/>
      <c r="AS6"/>
      <c r="AT6"/>
      <c r="AU6"/>
      <c r="AV6"/>
      <c r="AW6"/>
      <c r="AX6"/>
      <c r="AY6"/>
      <c r="BF6" s="6"/>
      <c r="BG6" s="6"/>
      <c r="BH6" s="6"/>
      <c r="BI6" s="6"/>
      <c r="BJ6" s="6"/>
      <c r="BK6" s="6"/>
      <c r="BL6" s="6"/>
    </row>
    <row r="7" spans="1:64" s="5" customFormat="1" ht="15" customHeight="1">
      <c r="A7" s="39"/>
      <c r="B7" s="401" t="s">
        <v>47</v>
      </c>
      <c r="C7" s="402"/>
      <c r="D7" s="403"/>
      <c r="E7" s="499">
        <f>IF(testnumber="","",testnumber)</f>
      </c>
      <c r="F7" s="500"/>
      <c r="G7" s="500"/>
      <c r="H7" s="500"/>
      <c r="I7" s="501"/>
      <c r="J7" s="502" t="s">
        <v>48</v>
      </c>
      <c r="K7" s="503"/>
      <c r="L7" s="503"/>
      <c r="M7" s="503"/>
      <c r="N7" s="504"/>
      <c r="O7" s="499">
        <f>IF(lettingdate="","",lettingdate)</f>
      </c>
      <c r="P7" s="500"/>
      <c r="Q7" s="500"/>
      <c r="R7" s="500"/>
      <c r="S7" s="500"/>
      <c r="T7" s="500"/>
      <c r="U7" s="501"/>
      <c r="V7"/>
      <c r="W7"/>
      <c r="X7"/>
      <c r="Y7"/>
      <c r="Z7"/>
      <c r="AA7"/>
      <c r="AB7"/>
      <c r="AC7"/>
      <c r="AD7"/>
      <c r="AE7"/>
      <c r="AF7"/>
      <c r="AG7"/>
      <c r="AH7"/>
      <c r="AI7"/>
      <c r="AJ7"/>
      <c r="AK7"/>
      <c r="AL7"/>
      <c r="AM7"/>
      <c r="AN7"/>
      <c r="AO7"/>
      <c r="BF7" s="6"/>
      <c r="BG7" s="6"/>
      <c r="BH7" s="6"/>
      <c r="BI7" s="6"/>
      <c r="BJ7" s="6"/>
      <c r="BK7" s="6"/>
      <c r="BL7" s="6"/>
    </row>
    <row r="8" spans="1:64" s="5" customFormat="1" ht="15" customHeight="1">
      <c r="A8" s="39"/>
      <c r="B8" s="401" t="s">
        <v>417</v>
      </c>
      <c r="C8" s="402"/>
      <c r="D8" s="403"/>
      <c r="E8" s="499">
        <f>IF(status="","",status)</f>
      </c>
      <c r="F8" s="500"/>
      <c r="G8" s="500"/>
      <c r="H8" s="500"/>
      <c r="I8" s="501"/>
      <c r="J8" s="502" t="s">
        <v>49</v>
      </c>
      <c r="K8" s="503"/>
      <c r="L8" s="503"/>
      <c r="M8" s="503"/>
      <c r="N8" s="504"/>
      <c r="O8" s="499">
        <f>IF(ccsj="","",ccsj)</f>
      </c>
      <c r="P8" s="500"/>
      <c r="Q8" s="500"/>
      <c r="R8" s="500"/>
      <c r="S8" s="500"/>
      <c r="T8" s="500"/>
      <c r="U8" s="501"/>
      <c r="V8"/>
      <c r="W8"/>
      <c r="X8"/>
      <c r="Y8"/>
      <c r="Z8"/>
      <c r="AA8"/>
      <c r="AB8"/>
      <c r="AC8"/>
      <c r="AD8"/>
      <c r="AE8"/>
      <c r="AF8"/>
      <c r="AG8"/>
      <c r="AH8"/>
      <c r="AI8"/>
      <c r="AJ8"/>
      <c r="AK8"/>
      <c r="AL8"/>
      <c r="AM8"/>
      <c r="AN8"/>
      <c r="AO8"/>
      <c r="BF8" s="6"/>
      <c r="BG8" s="6"/>
      <c r="BH8" s="6"/>
      <c r="BI8" s="6"/>
      <c r="BJ8" s="6"/>
      <c r="BK8" s="6"/>
      <c r="BL8" s="6"/>
    </row>
    <row r="9" spans="1:49" s="5" customFormat="1" ht="15" customHeight="1">
      <c r="A9" s="39"/>
      <c r="B9" s="401" t="s">
        <v>50</v>
      </c>
      <c r="C9" s="402"/>
      <c r="D9" s="403"/>
      <c r="E9" s="499">
        <f>IF(county="","",county)</f>
      </c>
      <c r="F9" s="500"/>
      <c r="G9" s="500"/>
      <c r="H9" s="500"/>
      <c r="I9" s="501"/>
      <c r="J9" s="502" t="s">
        <v>51</v>
      </c>
      <c r="K9" s="503"/>
      <c r="L9" s="503"/>
      <c r="M9" s="503"/>
      <c r="N9" s="504"/>
      <c r="O9" s="574" t="str">
        <f>+IF(specyear="","",specyear)</f>
        <v>2004</v>
      </c>
      <c r="P9" s="575"/>
      <c r="Q9" s="575"/>
      <c r="R9" s="575"/>
      <c r="S9" s="575"/>
      <c r="T9" s="575"/>
      <c r="U9" s="576"/>
      <c r="V9"/>
      <c r="W9"/>
      <c r="X9"/>
      <c r="Y9"/>
      <c r="Z9"/>
      <c r="AA9"/>
      <c r="AB9"/>
      <c r="AC9"/>
      <c r="AD9"/>
      <c r="AE9"/>
      <c r="AF9"/>
      <c r="AG9"/>
      <c r="AH9"/>
      <c r="AI9"/>
      <c r="AJ9"/>
      <c r="AK9"/>
      <c r="AL9"/>
      <c r="AM9"/>
      <c r="AN9"/>
      <c r="AO9"/>
      <c r="AQ9" s="10"/>
      <c r="AR9" s="10"/>
      <c r="AS9" s="10"/>
      <c r="AT9" s="10"/>
      <c r="AU9" s="10"/>
      <c r="AV9" s="10"/>
      <c r="AW9" s="10"/>
    </row>
    <row r="10" spans="1:41" s="5" customFormat="1" ht="15" customHeight="1">
      <c r="A10" s="39"/>
      <c r="B10" s="401" t="s">
        <v>52</v>
      </c>
      <c r="C10" s="402"/>
      <c r="D10" s="403"/>
      <c r="E10" s="499">
        <f>IF(sampledby="","",sampledby)</f>
      </c>
      <c r="F10" s="500"/>
      <c r="G10" s="500"/>
      <c r="H10" s="500"/>
      <c r="I10" s="501"/>
      <c r="J10" s="401" t="s">
        <v>53</v>
      </c>
      <c r="K10" s="402"/>
      <c r="L10" s="402"/>
      <c r="M10" s="402"/>
      <c r="N10" s="403"/>
      <c r="O10" s="499">
        <f>IF(specitem="","",specitem)</f>
      </c>
      <c r="P10" s="500"/>
      <c r="Q10" s="500"/>
      <c r="R10" s="500"/>
      <c r="S10" s="500"/>
      <c r="T10" s="500"/>
      <c r="U10" s="501"/>
      <c r="V10"/>
      <c r="W10"/>
      <c r="X10"/>
      <c r="Y10"/>
      <c r="Z10"/>
      <c r="AA10"/>
      <c r="AB10"/>
      <c r="AC10"/>
      <c r="AD10"/>
      <c r="AE10"/>
      <c r="AF10"/>
      <c r="AG10"/>
      <c r="AH10"/>
      <c r="AI10"/>
      <c r="AJ10"/>
      <c r="AK10"/>
      <c r="AL10"/>
      <c r="AM10"/>
      <c r="AN10"/>
      <c r="AO10"/>
    </row>
    <row r="11" spans="1:21" ht="15" customHeight="1">
      <c r="A11" s="39"/>
      <c r="B11" s="401" t="s">
        <v>54</v>
      </c>
      <c r="C11" s="402"/>
      <c r="D11" s="403"/>
      <c r="E11" s="499">
        <f>IF(samplelocation="","",samplelocation)</f>
      </c>
      <c r="F11" s="500"/>
      <c r="G11" s="500"/>
      <c r="H11" s="500"/>
      <c r="I11" s="501"/>
      <c r="J11" s="502" t="s">
        <v>55</v>
      </c>
      <c r="K11" s="503"/>
      <c r="L11" s="503"/>
      <c r="M11" s="503"/>
      <c r="N11" s="504"/>
      <c r="O11" s="499">
        <f>IF(specialprovision="","",specialprovision)</f>
      </c>
      <c r="P11" s="500"/>
      <c r="Q11" s="500"/>
      <c r="R11" s="500"/>
      <c r="S11" s="500"/>
      <c r="T11" s="500"/>
      <c r="U11" s="501"/>
    </row>
    <row r="12" spans="1:21" ht="15" customHeight="1">
      <c r="A12" s="39"/>
      <c r="B12" s="401" t="s">
        <v>418</v>
      </c>
      <c r="C12" s="402"/>
      <c r="D12" s="403"/>
      <c r="E12" s="499">
        <f>IF(material="","",material)</f>
      </c>
      <c r="F12" s="500"/>
      <c r="G12" s="500"/>
      <c r="H12" s="500"/>
      <c r="I12" s="501"/>
      <c r="J12" s="401" t="s">
        <v>56</v>
      </c>
      <c r="K12" s="402"/>
      <c r="L12" s="402"/>
      <c r="M12" s="402"/>
      <c r="N12" s="403"/>
      <c r="O12" s="499" t="str">
        <f>IF(Grade="","",Grade)</f>
        <v>Other</v>
      </c>
      <c r="P12" s="500"/>
      <c r="Q12" s="500"/>
      <c r="R12" s="500"/>
      <c r="S12" s="500"/>
      <c r="T12" s="500"/>
      <c r="U12" s="501"/>
    </row>
    <row r="13" spans="1:21" ht="15" customHeight="1">
      <c r="A13" s="39"/>
      <c r="B13" s="401" t="s">
        <v>416</v>
      </c>
      <c r="C13" s="402"/>
      <c r="D13" s="403"/>
      <c r="E13" s="537">
        <f>IF(matl_nm="","",matl_nm)</f>
      </c>
      <c r="F13" s="538"/>
      <c r="G13" s="538"/>
      <c r="H13" s="538"/>
      <c r="I13" s="538"/>
      <c r="J13" s="538"/>
      <c r="K13" s="538"/>
      <c r="L13" s="538"/>
      <c r="M13" s="538"/>
      <c r="N13" s="538"/>
      <c r="O13" s="538"/>
      <c r="P13" s="538"/>
      <c r="Q13" s="538"/>
      <c r="R13" s="538"/>
      <c r="S13" s="538"/>
      <c r="T13" s="538"/>
      <c r="U13" s="539"/>
    </row>
    <row r="14" spans="1:21" ht="15" customHeight="1">
      <c r="A14" s="39"/>
      <c r="B14" s="401" t="s">
        <v>57</v>
      </c>
      <c r="C14" s="402"/>
      <c r="D14" s="403"/>
      <c r="E14" s="496">
        <f>IF(producer="","",producer)</f>
      </c>
      <c r="F14" s="497"/>
      <c r="G14" s="497"/>
      <c r="H14" s="497"/>
      <c r="I14" s="497"/>
      <c r="J14" s="497"/>
      <c r="K14" s="497"/>
      <c r="L14" s="497"/>
      <c r="M14" s="497"/>
      <c r="N14" s="497"/>
      <c r="O14" s="497"/>
      <c r="P14" s="497"/>
      <c r="Q14" s="497"/>
      <c r="R14" s="497"/>
      <c r="S14" s="497"/>
      <c r="T14" s="497"/>
      <c r="U14" s="498"/>
    </row>
    <row r="15" spans="1:21" ht="15" customHeight="1">
      <c r="A15" s="39"/>
      <c r="B15" s="401" t="s">
        <v>58</v>
      </c>
      <c r="C15" s="402"/>
      <c r="D15" s="403"/>
      <c r="E15" s="499">
        <f>IF(areaengineer="","",areaengineer)</f>
      </c>
      <c r="F15" s="500"/>
      <c r="G15" s="500"/>
      <c r="H15" s="500"/>
      <c r="I15" s="501"/>
      <c r="J15" s="502" t="s">
        <v>59</v>
      </c>
      <c r="K15" s="503"/>
      <c r="L15" s="503"/>
      <c r="M15" s="503"/>
      <c r="N15" s="504"/>
      <c r="O15" s="514">
        <f>IF(projectmanager="","",projectmanager)</f>
      </c>
      <c r="P15" s="515"/>
      <c r="Q15" s="515"/>
      <c r="R15" s="515"/>
      <c r="S15" s="515"/>
      <c r="T15" s="515"/>
      <c r="U15" s="516"/>
    </row>
    <row r="16" spans="1:21" ht="4.5" customHeight="1">
      <c r="A16" s="39"/>
      <c r="B16" s="11"/>
      <c r="C16" s="11"/>
      <c r="D16" s="11"/>
      <c r="E16" s="11"/>
      <c r="F16" s="11"/>
      <c r="G16" s="11"/>
      <c r="H16" s="12"/>
      <c r="I16" s="12"/>
      <c r="J16" s="12"/>
      <c r="K16" s="12"/>
      <c r="L16" s="12"/>
      <c r="M16" s="12"/>
      <c r="N16" s="12"/>
      <c r="O16" s="12"/>
      <c r="P16" s="12"/>
      <c r="Q16" s="12"/>
      <c r="R16" s="12"/>
      <c r="S16" s="12"/>
      <c r="T16" s="12"/>
      <c r="U16" s="12"/>
    </row>
    <row r="17" spans="1:30" ht="15" customHeight="1">
      <c r="A17" s="39"/>
      <c r="B17" s="401" t="s">
        <v>1</v>
      </c>
      <c r="C17" s="402"/>
      <c r="D17" s="403"/>
      <c r="E17" s="144">
        <f>IF(courselift="","",courselift)</f>
      </c>
      <c r="F17" s="369" t="s">
        <v>2</v>
      </c>
      <c r="G17" s="580"/>
      <c r="H17" s="580"/>
      <c r="I17" s="370"/>
      <c r="J17" s="546">
        <f>IF(station="","",station)</f>
      </c>
      <c r="K17" s="547"/>
      <c r="L17" s="547"/>
      <c r="M17" s="548"/>
      <c r="N17" s="369" t="s">
        <v>3</v>
      </c>
      <c r="O17" s="580"/>
      <c r="P17" s="580"/>
      <c r="Q17" s="370"/>
      <c r="R17" s="546">
        <f>IF(distfromcl="","",distfromcl)</f>
      </c>
      <c r="S17" s="547"/>
      <c r="T17" s="547"/>
      <c r="U17" s="548"/>
      <c r="V17" s="540" t="s">
        <v>393</v>
      </c>
      <c r="W17" s="540"/>
      <c r="X17" s="540"/>
      <c r="Y17" s="540"/>
      <c r="Z17" s="540"/>
      <c r="AC17" s="459">
        <f>IF(condesignnum="","",condesignnum)</f>
      </c>
      <c r="AD17" s="460"/>
    </row>
    <row r="18" spans="1:30" ht="16.5" customHeight="1">
      <c r="A18" s="10"/>
      <c r="B18" s="164" t="s">
        <v>206</v>
      </c>
      <c r="C18" s="165"/>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c r="AD18" s="165"/>
    </row>
    <row r="19" spans="1:40" s="123" customFormat="1" ht="17.25" customHeight="1">
      <c r="A19" s="122"/>
      <c r="E19" s="559" t="str">
        <f>IF(Bin1Frac="","","Bin No.1 = "&amp;Bin1Frac&amp;" %")</f>
        <v>Bin No.1 = 60 %</v>
      </c>
      <c r="F19" s="560"/>
      <c r="G19" s="560"/>
      <c r="H19" s="561"/>
      <c r="I19" s="559" t="str">
        <f>IF(Bin2Frac="","","Bin No.2 = "&amp;Bin2Frac&amp;" %")</f>
        <v>Bin No.2 = 40 %</v>
      </c>
      <c r="J19" s="560"/>
      <c r="K19" s="560"/>
      <c r="L19" s="561"/>
      <c r="M19" s="559">
        <f>IF(Bin3Frac="","","Bin No.3 = "&amp;Bin3Frac&amp;" %")</f>
      </c>
      <c r="N19" s="560"/>
      <c r="O19" s="560"/>
      <c r="P19" s="561"/>
      <c r="Q19" s="559">
        <f>IF(Bin4Frac="","","Bin No.4 = "&amp;Bin4Frac&amp;" %")</f>
      </c>
      <c r="R19" s="560"/>
      <c r="S19" s="560"/>
      <c r="T19" s="561"/>
      <c r="U19" s="559">
        <f>IF(Bin5Frac="","","Bin No.5 = "&amp;Bin5Frac&amp;" %")</f>
      </c>
      <c r="V19" s="560"/>
      <c r="W19" s="560"/>
      <c r="X19" s="561"/>
      <c r="Y19" s="559">
        <f>IF(Bin6Frac="","","Bin No.6 = "&amp;Bin6Frac&amp;" %")</f>
      </c>
      <c r="Z19" s="560"/>
      <c r="AA19" s="560"/>
      <c r="AB19" s="561"/>
      <c r="AC19" s="559">
        <f>IF(Bin7Frac="","","Bin No.7 = "&amp;Bin7Frac&amp;" %")</f>
      </c>
      <c r="AD19" s="560"/>
      <c r="AE19" s="560"/>
      <c r="AF19" s="561"/>
      <c r="AG19" s="55"/>
      <c r="AH19" s="68"/>
      <c r="AI19" s="124"/>
      <c r="AJ19" s="124"/>
      <c r="AL19" s="549"/>
      <c r="AM19" s="549"/>
      <c r="AN19" s="549"/>
    </row>
    <row r="20" spans="1:40" ht="17.25" customHeight="1">
      <c r="A20" s="71"/>
      <c r="B20" s="400" t="s">
        <v>138</v>
      </c>
      <c r="C20" s="400"/>
      <c r="D20" s="400"/>
      <c r="E20" s="513" t="str">
        <f>IF(Bin1Source="","",Bin1Source)</f>
        <v>Hoban</v>
      </c>
      <c r="F20" s="513"/>
      <c r="G20" s="513"/>
      <c r="H20" s="550"/>
      <c r="I20" s="490" t="str">
        <f>IF(Bin2Source="","",Bin2Source)</f>
        <v>Turner</v>
      </c>
      <c r="J20" s="491"/>
      <c r="K20" s="491"/>
      <c r="L20" s="492"/>
      <c r="M20" s="490">
        <f>IF(Bin3Source="","",Bin3Source)</f>
      </c>
      <c r="N20" s="491"/>
      <c r="O20" s="491"/>
      <c r="P20" s="492"/>
      <c r="Q20" s="490">
        <f>IF(Bin4Source="","",Bin4Source)</f>
      </c>
      <c r="R20" s="491"/>
      <c r="S20" s="491"/>
      <c r="T20" s="492"/>
      <c r="U20" s="490">
        <f>IF(Bin5Source="","",Bin5Source)</f>
      </c>
      <c r="V20" s="491"/>
      <c r="W20" s="491"/>
      <c r="X20" s="492"/>
      <c r="Y20" s="490">
        <f>IF(Bin6Source="","",Bin6Source)</f>
      </c>
      <c r="Z20" s="491"/>
      <c r="AA20" s="491"/>
      <c r="AB20" s="492"/>
      <c r="AC20" s="559">
        <f>IF(Bin7Source="","",Bin7Source)</f>
      </c>
      <c r="AD20" s="560"/>
      <c r="AE20" s="560"/>
      <c r="AF20" s="561"/>
      <c r="AG20" s="70"/>
      <c r="AH20" s="67"/>
      <c r="AI20" s="69"/>
      <c r="AJ20" s="69"/>
      <c r="AL20" s="549"/>
      <c r="AM20" s="549"/>
      <c r="AN20" s="549"/>
    </row>
    <row r="21" spans="1:40" ht="17.25" customHeight="1">
      <c r="A21" s="71"/>
      <c r="B21" s="400" t="s">
        <v>139</v>
      </c>
      <c r="C21" s="400"/>
      <c r="D21" s="400"/>
      <c r="E21" s="513">
        <f>IF(Bin1Aggr="","",Bin1Aggr)</f>
      </c>
      <c r="F21" s="513"/>
      <c r="G21" s="513"/>
      <c r="H21" s="550"/>
      <c r="I21" s="490">
        <f>IF(Bin2Aggr="","",Bin2Aggr)</f>
      </c>
      <c r="J21" s="491"/>
      <c r="K21" s="491"/>
      <c r="L21" s="492"/>
      <c r="M21" s="490">
        <f>IF(Bin3Aggr="","",Bin3Aggr)</f>
      </c>
      <c r="N21" s="491"/>
      <c r="O21" s="491"/>
      <c r="P21" s="492"/>
      <c r="Q21" s="490">
        <f>IF(Bin4Aggr="","",Bin4Aggr)</f>
      </c>
      <c r="R21" s="491"/>
      <c r="S21" s="491"/>
      <c r="T21" s="492"/>
      <c r="U21" s="490">
        <f>IF(Bin5Aggr="","",Bin5Aggr)</f>
      </c>
      <c r="V21" s="491"/>
      <c r="W21" s="491"/>
      <c r="X21" s="492"/>
      <c r="Y21" s="490">
        <f>IF(Bin6Aggr="","",Bin6Aggr)</f>
      </c>
      <c r="Z21" s="491"/>
      <c r="AA21" s="491"/>
      <c r="AB21" s="492"/>
      <c r="AC21" s="559">
        <f>IF(Bin7Aggr="","",Bin7Aggr)</f>
      </c>
      <c r="AD21" s="560"/>
      <c r="AE21" s="560"/>
      <c r="AF21" s="561"/>
      <c r="AG21" s="55"/>
      <c r="AH21" s="68"/>
      <c r="AI21" s="69"/>
      <c r="AJ21" s="69"/>
      <c r="AL21" s="549"/>
      <c r="AM21" s="549"/>
      <c r="AN21" s="549"/>
    </row>
    <row r="22" spans="1:40" ht="17.25" customHeight="1">
      <c r="A22" s="71"/>
      <c r="B22" s="400" t="s">
        <v>205</v>
      </c>
      <c r="C22" s="400"/>
      <c r="D22" s="400"/>
      <c r="E22" s="461"/>
      <c r="F22" s="543"/>
      <c r="G22" s="543"/>
      <c r="H22" s="462"/>
      <c r="I22" s="461"/>
      <c r="J22" s="543"/>
      <c r="K22" s="543"/>
      <c r="L22" s="462"/>
      <c r="M22" s="461"/>
      <c r="N22" s="543"/>
      <c r="O22" s="543"/>
      <c r="P22" s="462"/>
      <c r="Q22" s="461"/>
      <c r="R22" s="543"/>
      <c r="S22" s="543"/>
      <c r="T22" s="462"/>
      <c r="U22" s="461"/>
      <c r="V22" s="543"/>
      <c r="W22" s="543"/>
      <c r="X22" s="462"/>
      <c r="Y22" s="461"/>
      <c r="Z22" s="543"/>
      <c r="AA22" s="543"/>
      <c r="AB22" s="462"/>
      <c r="AC22" s="577"/>
      <c r="AD22" s="578"/>
      <c r="AE22" s="578"/>
      <c r="AF22" s="579"/>
      <c r="AG22" s="70"/>
      <c r="AH22" s="67"/>
      <c r="AI22" s="69"/>
      <c r="AJ22" s="69"/>
      <c r="AL22" s="63"/>
      <c r="AM22" s="63"/>
      <c r="AN22" s="63"/>
    </row>
    <row r="23" spans="2:34" ht="6" customHeight="1">
      <c r="B23" s="125"/>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55"/>
      <c r="AH23" s="155"/>
    </row>
    <row r="24" spans="1:40" ht="17.25" customHeight="1">
      <c r="A24" s="71"/>
      <c r="B24" s="407" t="s">
        <v>4</v>
      </c>
      <c r="C24" s="408"/>
      <c r="D24" s="555"/>
      <c r="E24" s="562" t="s">
        <v>135</v>
      </c>
      <c r="F24" s="563"/>
      <c r="G24" s="544" t="s">
        <v>25</v>
      </c>
      <c r="H24" s="544" t="s">
        <v>23</v>
      </c>
      <c r="I24" s="562" t="s">
        <v>135</v>
      </c>
      <c r="J24" s="563"/>
      <c r="K24" s="544" t="s">
        <v>25</v>
      </c>
      <c r="L24" s="544" t="s">
        <v>23</v>
      </c>
      <c r="M24" s="562" t="s">
        <v>135</v>
      </c>
      <c r="N24" s="563"/>
      <c r="O24" s="566" t="s">
        <v>25</v>
      </c>
      <c r="P24" s="544" t="s">
        <v>23</v>
      </c>
      <c r="Q24" s="562" t="s">
        <v>135</v>
      </c>
      <c r="R24" s="563"/>
      <c r="S24" s="566" t="s">
        <v>25</v>
      </c>
      <c r="T24" s="544" t="s">
        <v>23</v>
      </c>
      <c r="U24" s="562" t="s">
        <v>135</v>
      </c>
      <c r="V24" s="563"/>
      <c r="W24" s="566" t="s">
        <v>25</v>
      </c>
      <c r="X24" s="544" t="s">
        <v>23</v>
      </c>
      <c r="Y24" s="562" t="s">
        <v>135</v>
      </c>
      <c r="Z24" s="563"/>
      <c r="AA24" s="544" t="s">
        <v>25</v>
      </c>
      <c r="AB24" s="544" t="s">
        <v>23</v>
      </c>
      <c r="AC24" s="562" t="s">
        <v>135</v>
      </c>
      <c r="AD24" s="563"/>
      <c r="AE24" s="544" t="s">
        <v>25</v>
      </c>
      <c r="AF24" s="544" t="s">
        <v>23</v>
      </c>
      <c r="AG24" s="67"/>
      <c r="AH24" s="67"/>
      <c r="AI24" s="69"/>
      <c r="AJ24" s="69"/>
      <c r="AL24" s="63"/>
      <c r="AM24" s="63"/>
      <c r="AN24" s="63"/>
    </row>
    <row r="25" spans="1:40" ht="17.25" customHeight="1">
      <c r="A25" s="71"/>
      <c r="B25" s="556" t="s">
        <v>134</v>
      </c>
      <c r="C25" s="557"/>
      <c r="D25" s="558"/>
      <c r="E25" s="564"/>
      <c r="F25" s="565"/>
      <c r="G25" s="545"/>
      <c r="H25" s="545"/>
      <c r="I25" s="564"/>
      <c r="J25" s="565"/>
      <c r="K25" s="545"/>
      <c r="L25" s="545"/>
      <c r="M25" s="564"/>
      <c r="N25" s="565"/>
      <c r="O25" s="567"/>
      <c r="P25" s="545"/>
      <c r="Q25" s="564"/>
      <c r="R25" s="565"/>
      <c r="S25" s="567"/>
      <c r="T25" s="545"/>
      <c r="U25" s="564"/>
      <c r="V25" s="565"/>
      <c r="W25" s="567"/>
      <c r="X25" s="545"/>
      <c r="Y25" s="564"/>
      <c r="Z25" s="565"/>
      <c r="AA25" s="545"/>
      <c r="AB25" s="545"/>
      <c r="AC25" s="564"/>
      <c r="AD25" s="565"/>
      <c r="AE25" s="545"/>
      <c r="AF25" s="545"/>
      <c r="AG25" s="67"/>
      <c r="AH25" s="67"/>
      <c r="AI25" s="69"/>
      <c r="AJ25" s="69"/>
      <c r="AL25" s="63"/>
      <c r="AM25" s="63"/>
      <c r="AN25" s="63"/>
    </row>
    <row r="26" spans="1:40" ht="15" customHeight="1">
      <c r="A26" s="71"/>
      <c r="B26" s="120"/>
      <c r="C26" s="62" t="s">
        <v>60</v>
      </c>
      <c r="D26" s="62" t="str">
        <f ca="1">IF(ISERROR(INDEX(INDIRECT(Grade),1,IF(specyear="2004",2,3))),"Pan",INDEX(INDIRECT(Grade),1,IF(specyear="2004",2,3)))</f>
        <v>3/8"</v>
      </c>
      <c r="E26" s="554">
        <f>IF('Combined Gradation'!F30="",0,'Combined Gradation'!E27-'Combined Gradation'!F30)</f>
        <v>0.30000000000000426</v>
      </c>
      <c r="F26" s="554"/>
      <c r="G26" s="156">
        <f>IF(SSize1=2,(Bin1Frac/100)*SUM(E$26:E26),0)</f>
        <v>0</v>
      </c>
      <c r="H26" s="157">
        <f>IF(SSize1=4.75,(Bin1Frac/100)*SUM(E$26:E26),0)</f>
        <v>0</v>
      </c>
      <c r="I26" s="554">
        <f>IF('Combined Gradation'!H30="",0,'Combined Gradation'!G27-'Combined Gradation'!H30)</f>
        <v>0</v>
      </c>
      <c r="J26" s="554"/>
      <c r="K26" s="156">
        <f>IF(SSize1=2,(Bin1Frac/100)*SUM(I$26:I26),0)</f>
        <v>0</v>
      </c>
      <c r="L26" s="157">
        <f>IF(SSize1=4.75,(Bin1Frac/100)*SUM(I$26:I26),0)</f>
        <v>0</v>
      </c>
      <c r="M26" s="541">
        <f>IF('Combined Gradation'!J30="",0,'Combined Gradation'!I27-'Combined Gradation'!J30)</f>
        <v>0</v>
      </c>
      <c r="N26" s="542"/>
      <c r="O26" s="156">
        <f>IF(SSize1=2,(Bin1Frac/100)*SUM(M$26:M26),0)</f>
        <v>0</v>
      </c>
      <c r="P26" s="157">
        <f>IF(SSize1=4.75,(Bin1Frac/100)*SUM(M$26:M26),0)</f>
        <v>0</v>
      </c>
      <c r="Q26" s="554">
        <f>IF('Combined Gradation'!L30="",0,'Combined Gradation'!K27-'Combined Gradation'!L30)</f>
        <v>0</v>
      </c>
      <c r="R26" s="554"/>
      <c r="S26" s="156">
        <f>IF(SSize1=2,(Bin1Frac/100)*SUM(Q$26:Q26),0)</f>
        <v>0</v>
      </c>
      <c r="T26" s="157">
        <f>IF(SSize1=4.75,(Bin1Frac/100)*SUM(Q$26:Q26),0)</f>
        <v>0</v>
      </c>
      <c r="U26" s="541">
        <f>IF('Combined Gradation'!N30="",0,'Combined Gradation'!M27-'Combined Gradation'!N30)</f>
        <v>0</v>
      </c>
      <c r="V26" s="542"/>
      <c r="W26" s="156">
        <f>IF(SSize1=2,(Bin1Frac/100)*SUM(U$26:U26),0)</f>
        <v>0</v>
      </c>
      <c r="X26" s="157">
        <f>IF(SSize1=4.75,(Bin1Frac/100)*SUM(U$26:U26),0)</f>
        <v>0</v>
      </c>
      <c r="Y26" s="554">
        <f>IF('Combined Gradation'!P30="",0,'Combined Gradation'!O27-'Combined Gradation'!P30)</f>
        <v>0</v>
      </c>
      <c r="Z26" s="554"/>
      <c r="AA26" s="156">
        <f>IF(SSize1=2,(Bin1Frac/100)*SUM(Y$26:Y26),0)</f>
        <v>0</v>
      </c>
      <c r="AB26" s="157">
        <f>IF(SSize1=4.75,(Bin1Frac/100)*SUM(Y$26:Y26),0)</f>
        <v>0</v>
      </c>
      <c r="AC26" s="554">
        <f>IF('Combined Gradation'!R30="",0,'Combined Gradation'!Q27-'Combined Gradation'!R30)</f>
        <v>0</v>
      </c>
      <c r="AD26" s="554"/>
      <c r="AE26" s="156">
        <f>IF(SSize1=2,(Bin1Frac/100)*SUM(AC$26:AC26),0)</f>
        <v>0</v>
      </c>
      <c r="AF26" s="157">
        <f>IF(SSize1=4.75,(Bin1Frac/100)*SUM(AC$26:AC26),0)</f>
        <v>0</v>
      </c>
      <c r="AG26" s="58"/>
      <c r="AH26" s="58"/>
      <c r="AI26" s="73"/>
      <c r="AJ26" s="73"/>
      <c r="AL26" s="67"/>
      <c r="AM26" s="66"/>
      <c r="AN26" s="66"/>
    </row>
    <row r="27" spans="1:40" ht="15" customHeight="1">
      <c r="A27" s="71"/>
      <c r="B27" s="62" t="str">
        <f ca="1">IF(ISERROR(INDEX(INDIRECT(Grade),1,IF(specyear="2004",2,3))),"",INDEX(INDIRECT(Grade),1,IF(specyear="2004",2,3)))</f>
        <v>3/8"</v>
      </c>
      <c r="C27" s="62" t="s">
        <v>60</v>
      </c>
      <c r="D27" s="54" t="str">
        <f ca="1">IF(ISERROR(INDEX(INDIRECT(Grade),2,IF(specyear="2004",2,3))),"Pan",INDEX(INDIRECT(Grade),2,IF(specyear="2004",2,3)))</f>
        <v>No. 4</v>
      </c>
      <c r="E27" s="554">
        <f>('Combined Gradation'!F30-'Combined Gradation'!F31)</f>
        <v>45.12</v>
      </c>
      <c r="F27" s="554"/>
      <c r="G27" s="156">
        <f>IF(SSize2=2,(Bin1Frac/100)*SUM(E$26:E27),0)</f>
        <v>0</v>
      </c>
      <c r="H27" s="157">
        <f>IF(SSize2=4.75,(Bin1Frac/100)*SUM(E$26:E27),0)</f>
        <v>27.252</v>
      </c>
      <c r="I27" s="554">
        <f>('Combined Gradation'!H30-'Combined Gradation'!H31)</f>
        <v>1.1999999999999957</v>
      </c>
      <c r="J27" s="554"/>
      <c r="K27" s="156">
        <f>IF(SSize2=2,(Bin1Frac/100)*SUM(I$26:I27),0)</f>
        <v>0</v>
      </c>
      <c r="L27" s="157">
        <f>IF(SSize2=4.75,(Bin1Frac/100)*SUM(I$26:I27),0)</f>
        <v>0.7199999999999974</v>
      </c>
      <c r="M27" s="554">
        <f>('Combined Gradation'!J30-'Combined Gradation'!J31)</f>
        <v>0</v>
      </c>
      <c r="N27" s="554"/>
      <c r="O27" s="156">
        <f>IF(SSize2=2,(Bin1Frac/100)*SUM(M$26:M27),0)</f>
        <v>0</v>
      </c>
      <c r="P27" s="157">
        <f>IF(SSize2=4.75,(Bin1Frac/100)*SUM(M$26:M27),0)</f>
        <v>0</v>
      </c>
      <c r="Q27" s="554">
        <f>('Combined Gradation'!L30-'Combined Gradation'!L31)</f>
        <v>0</v>
      </c>
      <c r="R27" s="554"/>
      <c r="S27" s="156">
        <f>IF(SSize2=2,(Bin1Frac/100)*SUM(Q$26:Q27),0)</f>
        <v>0</v>
      </c>
      <c r="T27" s="157">
        <f>IF(SSize2=4.75,(Bin1Frac/100)*SUM(Q$26:Q27),0)</f>
        <v>0</v>
      </c>
      <c r="U27" s="554">
        <f>('Combined Gradation'!N30-'Combined Gradation'!N31)</f>
        <v>0</v>
      </c>
      <c r="V27" s="554"/>
      <c r="W27" s="156">
        <f>IF(SSize2=2,(Bin1Frac/100)*SUM(U$26:U27),0)</f>
        <v>0</v>
      </c>
      <c r="X27" s="157">
        <f>IF(SSize2=4.75,(Bin1Frac/100)*SUM(U$26:U27),0)</f>
        <v>0</v>
      </c>
      <c r="Y27" s="554">
        <f>('Combined Gradation'!P30-'Combined Gradation'!P31)</f>
        <v>0</v>
      </c>
      <c r="Z27" s="554"/>
      <c r="AA27" s="156">
        <f>IF(SSize2=2,(Bin1Frac/100)*SUM(Y$26:Y27),0)</f>
        <v>0</v>
      </c>
      <c r="AB27" s="157">
        <f>IF(SSize2=4.75,(Bin1Frac/100)*SUM(Y$26:Y27),0)</f>
        <v>0</v>
      </c>
      <c r="AC27" s="554">
        <f>('Combined Gradation'!R30-'Combined Gradation'!R31)</f>
        <v>0</v>
      </c>
      <c r="AD27" s="554"/>
      <c r="AE27" s="156">
        <f>IF(SSize2=2,(Bin1Frac/100)*SUM(AC$26:AC27),0)</f>
        <v>0</v>
      </c>
      <c r="AF27" s="157">
        <f>IF(SSize2=4.75,(Bin1Frac/100)*SUM(AC$26:AC27),0)</f>
        <v>0</v>
      </c>
      <c r="AG27" s="58"/>
      <c r="AH27" s="58"/>
      <c r="AI27" s="73"/>
      <c r="AJ27" s="73"/>
      <c r="AL27" s="67"/>
      <c r="AM27" s="66"/>
      <c r="AN27" s="66"/>
    </row>
    <row r="28" spans="1:40" ht="15" customHeight="1">
      <c r="A28" s="71"/>
      <c r="B28" s="54" t="str">
        <f ca="1">IF(ISERROR(INDEX(INDIRECT(Grade),2,IF(specyear="2004",2,3))),"",INDEX(INDIRECT(Grade),2,IF(specyear="2004",2,3)))</f>
        <v>No. 4</v>
      </c>
      <c r="C28" s="62" t="s">
        <v>60</v>
      </c>
      <c r="D28" s="54" t="str">
        <f ca="1">IF(ISERROR(INDEX(INDIRECT(Grade),3,IF(specyear="2004",2,3))),"Pan",INDEX(INDIRECT(Grade),3,IF(specyear="2004",2,3)))</f>
        <v>No. 8</v>
      </c>
      <c r="E28" s="554">
        <f>('Combined Gradation'!F31-'Combined Gradation'!F32)</f>
        <v>13.620000000000001</v>
      </c>
      <c r="F28" s="554"/>
      <c r="G28" s="156">
        <f>IF(SSize3=2,(Bin1Frac/100)*SUM(E$26:E28),0)</f>
        <v>0</v>
      </c>
      <c r="H28" s="157">
        <f>IF(SSize3=4.75,(Bin1Frac/100)*SUM(E$26:E28),0)</f>
        <v>0</v>
      </c>
      <c r="I28" s="554">
        <f>('Combined Gradation'!H31-'Combined Gradation'!H32)</f>
        <v>5.560000000000002</v>
      </c>
      <c r="J28" s="554"/>
      <c r="K28" s="156">
        <f>IF(SSize3=2,(Bin1Frac/100)*SUM(I$26:I28),0)</f>
        <v>0</v>
      </c>
      <c r="L28" s="157">
        <f>IF(SSize3=4.75,(Bin1Frac/100)*SUM(I$26:I28),0)</f>
        <v>0</v>
      </c>
      <c r="M28" s="554">
        <f>('Combined Gradation'!J31-'Combined Gradation'!J32)</f>
        <v>0</v>
      </c>
      <c r="N28" s="554"/>
      <c r="O28" s="156">
        <f>IF(SSize3=2,(Bin1Frac/100)*SUM(M$26:M28),0)</f>
        <v>0</v>
      </c>
      <c r="P28" s="157">
        <f>IF(SSize3=4.75,(Bin1Frac/100)*SUM(M$26:M28),0)</f>
        <v>0</v>
      </c>
      <c r="Q28" s="554">
        <f>('Combined Gradation'!L31-'Combined Gradation'!L32)</f>
        <v>0</v>
      </c>
      <c r="R28" s="554"/>
      <c r="S28" s="156">
        <f>IF(SSize3=2,(Bin1Frac/100)*SUM(Q$26:Q28),0)</f>
        <v>0</v>
      </c>
      <c r="T28" s="157">
        <f>IF(SSize3=4.75,(Bin1Frac/100)*SUM(Q$26:Q28),0)</f>
        <v>0</v>
      </c>
      <c r="U28" s="554">
        <f>('Combined Gradation'!N31-'Combined Gradation'!N32)</f>
        <v>0</v>
      </c>
      <c r="V28" s="554"/>
      <c r="W28" s="156">
        <f>IF(SSize3=2,(Bin1Frac/100)*SUM(U$26:U28),0)</f>
        <v>0</v>
      </c>
      <c r="X28" s="157">
        <f>IF(SSize3=4.75,(Bin1Frac/100)*SUM(U$26:U28),0)</f>
        <v>0</v>
      </c>
      <c r="Y28" s="554">
        <f>('Combined Gradation'!P31-'Combined Gradation'!P32)</f>
        <v>0</v>
      </c>
      <c r="Z28" s="554"/>
      <c r="AA28" s="156">
        <f>IF(SSize3=2,(Bin1Frac/100)*SUM(Y$26:Y28),0)</f>
        <v>0</v>
      </c>
      <c r="AB28" s="157">
        <f>IF(SSize3=4.75,(Bin1Frac/100)*SUM(Y$26:Y28),0)</f>
        <v>0</v>
      </c>
      <c r="AC28" s="554">
        <f>('Combined Gradation'!R31-'Combined Gradation'!R32)</f>
        <v>0</v>
      </c>
      <c r="AD28" s="554"/>
      <c r="AE28" s="156">
        <f>IF(SSize3=2,(Bin1Frac/100)*SUM(AC$26:AC28),0)</f>
        <v>0</v>
      </c>
      <c r="AF28" s="157">
        <f>IF(SSize3=4.75,(Bin1Frac/100)*SUM(AC$26:AC28),0)</f>
        <v>0</v>
      </c>
      <c r="AG28" s="58"/>
      <c r="AH28" s="58"/>
      <c r="AI28" s="73"/>
      <c r="AJ28" s="73"/>
      <c r="AL28" s="67"/>
      <c r="AM28" s="66"/>
      <c r="AN28" s="66"/>
    </row>
    <row r="29" spans="1:40" ht="15" customHeight="1">
      <c r="A29" s="71"/>
      <c r="B29" s="54" t="str">
        <f ca="1">IF(ISERROR(INDEX(INDIRECT(Grade),3,IF(specyear="2004",2,3))),"",INDEX(INDIRECT(Grade),3,IF(specyear="2004",2,3)))</f>
        <v>No. 8</v>
      </c>
      <c r="C29" s="62" t="s">
        <v>60</v>
      </c>
      <c r="D29" s="54" t="str">
        <f ca="1">IF(ISERROR(INDEX(INDIRECT(Grade),4,IF(specyear="2004",2,3))),"Pan",INDEX(INDIRECT(Grade),4,IF(specyear="2004",2,3)))</f>
        <v>No. 16</v>
      </c>
      <c r="E29" s="554">
        <f>('Combined Gradation'!F32-'Combined Gradation'!F33)</f>
        <v>0.54</v>
      </c>
      <c r="F29" s="554"/>
      <c r="G29" s="156">
        <f>IF(SSize4=2,(Bin1Frac/100)*SUM(E$26:E29),0)</f>
        <v>0</v>
      </c>
      <c r="H29" s="157">
        <f>IF(SSize4=4.75,(Bin1Frac/100)*SUM(E$26:E29),0)</f>
        <v>0</v>
      </c>
      <c r="I29" s="554">
        <f>('Combined Gradation'!H32-'Combined Gradation'!H33)</f>
        <v>10.96</v>
      </c>
      <c r="J29" s="554"/>
      <c r="K29" s="156">
        <f>IF(SSize4=2,(Bin1Frac/100)*SUM(I$26:I29),0)</f>
        <v>0</v>
      </c>
      <c r="L29" s="157">
        <f>IF(SSize4=4.75,(Bin1Frac/100)*SUM(I$26:I29),0)</f>
        <v>0</v>
      </c>
      <c r="M29" s="554">
        <f>('Combined Gradation'!J32-'Combined Gradation'!J33)</f>
        <v>0</v>
      </c>
      <c r="N29" s="554"/>
      <c r="O29" s="156">
        <f>IF(SSize4=2,(Bin1Frac/100)*SUM(M$26:M29),0)</f>
        <v>0</v>
      </c>
      <c r="P29" s="157">
        <f>IF(SSize4=4.75,(Bin1Frac/100)*SUM(M$26:M29),0)</f>
        <v>0</v>
      </c>
      <c r="Q29" s="554">
        <f>('Combined Gradation'!L32-'Combined Gradation'!L33)</f>
        <v>0</v>
      </c>
      <c r="R29" s="554"/>
      <c r="S29" s="156">
        <f>IF(SSize4=2,(Bin1Frac/100)*SUM(Q$26:Q29),0)</f>
        <v>0</v>
      </c>
      <c r="T29" s="157">
        <f>IF(SSize4=4.75,(Bin1Frac/100)*SUM(Q$26:Q29),0)</f>
        <v>0</v>
      </c>
      <c r="U29" s="554">
        <f>('Combined Gradation'!N32-'Combined Gradation'!N33)</f>
        <v>0</v>
      </c>
      <c r="V29" s="554"/>
      <c r="W29" s="156">
        <f>IF(SSize4=2,(Bin1Frac/100)*SUM(U$26:U29),0)</f>
        <v>0</v>
      </c>
      <c r="X29" s="157">
        <f>IF(SSize4=4.75,(Bin1Frac/100)*SUM(U$26:U29),0)</f>
        <v>0</v>
      </c>
      <c r="Y29" s="554">
        <f>('Combined Gradation'!P32-'Combined Gradation'!P33)</f>
        <v>0</v>
      </c>
      <c r="Z29" s="554"/>
      <c r="AA29" s="156">
        <f>IF(SSize4=2,(Bin1Frac/100)*SUM(Y$26:Y29),0)</f>
        <v>0</v>
      </c>
      <c r="AB29" s="157">
        <f>IF(SSize4=4.75,(Bin1Frac/100)*SUM(Y$26:Y29),0)</f>
        <v>0</v>
      </c>
      <c r="AC29" s="554">
        <f>('Combined Gradation'!R32-'Combined Gradation'!R33)</f>
        <v>0</v>
      </c>
      <c r="AD29" s="554"/>
      <c r="AE29" s="156">
        <f>IF(SSize4=2,(Bin1Frac/100)*SUM(AC$26:AC29),0)</f>
        <v>0</v>
      </c>
      <c r="AF29" s="157">
        <f>IF(SSize4=4.75,(Bin1Frac/100)*SUM(AC$26:AC29),0)</f>
        <v>0</v>
      </c>
      <c r="AG29" s="58"/>
      <c r="AH29" s="58"/>
      <c r="AI29" s="73"/>
      <c r="AJ29" s="73"/>
      <c r="AL29" s="67"/>
      <c r="AM29" s="66"/>
      <c r="AN29" s="66"/>
    </row>
    <row r="30" spans="1:40" ht="15" customHeight="1">
      <c r="A30" s="71"/>
      <c r="B30" s="54" t="str">
        <f ca="1">IF(ISERROR(INDEX(INDIRECT(Grade),4,IF(specyear="2004",2,3))),"",INDEX(INDIRECT(Grade),4,IF(specyear="2004",2,3)))</f>
        <v>No. 16</v>
      </c>
      <c r="C30" s="62" t="s">
        <v>60</v>
      </c>
      <c r="D30" s="54" t="str">
        <f ca="1">IF(ISERROR(INDEX(INDIRECT(Grade),5,IF(specyear="2004",2,3))),"Pan",INDEX(INDIRECT(Grade),5,IF(specyear="2004",2,3)))</f>
        <v>No. 30</v>
      </c>
      <c r="E30" s="554">
        <f>('Combined Gradation'!F33-'Combined Gradation'!F34)</f>
        <v>0</v>
      </c>
      <c r="F30" s="554"/>
      <c r="G30" s="156">
        <f>IF(SSize5=2,(Bin1Frac/100)*SUM(E$26:E30),0)</f>
        <v>0</v>
      </c>
      <c r="H30" s="157">
        <f>IF(SSize5=4.75,(Bin1Frac/100)*SUM(E$26:E30),0)</f>
        <v>0</v>
      </c>
      <c r="I30" s="554">
        <f>('Combined Gradation'!H33-'Combined Gradation'!H34)</f>
        <v>5.360000000000003</v>
      </c>
      <c r="J30" s="554"/>
      <c r="K30" s="156">
        <f>IF(SSize5=2,(Bin1Frac/100)*SUM(I$26:I30),0)</f>
        <v>0</v>
      </c>
      <c r="L30" s="157">
        <f>IF(SSize5=4.75,(Bin1Frac/100)*SUM(I$26:I30),0)</f>
        <v>0</v>
      </c>
      <c r="M30" s="554">
        <f>('Combined Gradation'!J33-'Combined Gradation'!J34)</f>
        <v>0</v>
      </c>
      <c r="N30" s="554"/>
      <c r="O30" s="156">
        <f>IF(SSize5=2,(Bin1Frac/100)*SUM(M$26:M30),0)</f>
        <v>0</v>
      </c>
      <c r="P30" s="157">
        <f>IF(SSize5=4.75,(Bin1Frac/100)*SUM(M$26:M30),0)</f>
        <v>0</v>
      </c>
      <c r="Q30" s="554">
        <f>('Combined Gradation'!L33-'Combined Gradation'!L34)</f>
        <v>0</v>
      </c>
      <c r="R30" s="554"/>
      <c r="S30" s="156">
        <f>IF(SSize5=2,(Bin1Frac/100)*SUM(Q$26:Q30),0)</f>
        <v>0</v>
      </c>
      <c r="T30" s="157">
        <f>IF(SSize5=4.75,(Bin1Frac/100)*SUM(Q$26:Q30),0)</f>
        <v>0</v>
      </c>
      <c r="U30" s="554">
        <f>('Combined Gradation'!N33-'Combined Gradation'!N34)</f>
        <v>0</v>
      </c>
      <c r="V30" s="554"/>
      <c r="W30" s="156">
        <f>IF(SSize5=2,(Bin1Frac/100)*SUM(U$26:U30),0)</f>
        <v>0</v>
      </c>
      <c r="X30" s="157">
        <f>IF(SSize5=4.75,(Bin1Frac/100)*SUM(U$26:U30),0)</f>
        <v>0</v>
      </c>
      <c r="Y30" s="554">
        <f>('Combined Gradation'!P33-'Combined Gradation'!P34)</f>
        <v>0</v>
      </c>
      <c r="Z30" s="554"/>
      <c r="AA30" s="156">
        <f>IF(SSize5=2,(Bin1Frac/100)*SUM(Y$26:Y30),0)</f>
        <v>0</v>
      </c>
      <c r="AB30" s="157">
        <f>IF(SSize5=4.75,(Bin1Frac/100)*SUM(Y$26:Y30),0)</f>
        <v>0</v>
      </c>
      <c r="AC30" s="554">
        <f>('Combined Gradation'!R33-'Combined Gradation'!R34)</f>
        <v>0</v>
      </c>
      <c r="AD30" s="554"/>
      <c r="AE30" s="156">
        <f>IF(SSize5=2,(Bin1Frac/100)*SUM(AC$26:AC30),0)</f>
        <v>0</v>
      </c>
      <c r="AF30" s="157">
        <f>IF(SSize5=4.75,(Bin1Frac/100)*SUM(AC$26:AC30),0)</f>
        <v>0</v>
      </c>
      <c r="AG30" s="58"/>
      <c r="AH30" s="58"/>
      <c r="AI30" s="73"/>
      <c r="AJ30" s="73"/>
      <c r="AL30" s="67"/>
      <c r="AM30" s="66"/>
      <c r="AN30" s="66"/>
    </row>
    <row r="31" spans="1:40" ht="15" customHeight="1">
      <c r="A31" s="71"/>
      <c r="B31" s="54" t="str">
        <f ca="1">IF(ISERROR(INDEX(INDIRECT(Grade),5,IF(specyear="2004",2,3))),"",INDEX(INDIRECT(Grade),5,IF(specyear="2004",2,3)))</f>
        <v>No. 30</v>
      </c>
      <c r="C31" s="62" t="s">
        <v>60</v>
      </c>
      <c r="D31" s="54" t="str">
        <f ca="1">IF(ISERROR(INDEX(INDIRECT(Grade),6,IF(specyear="2004",2,3))),"Pan",INDEX(INDIRECT(Grade),6,IF(specyear="2004",2,3)))</f>
        <v>No. 50</v>
      </c>
      <c r="E31" s="554">
        <f>('Combined Gradation'!F34-'Combined Gradation'!F35)</f>
        <v>0.06</v>
      </c>
      <c r="F31" s="554"/>
      <c r="G31" s="156">
        <f>IF(SSize6=2,(Bin1Frac/100)*SUM(E$26:E31),0)</f>
        <v>0</v>
      </c>
      <c r="H31" s="157">
        <f>IF(SSize6=4.75,(Bin1Frac/100)*SUM(E$26:E31),0)</f>
        <v>0</v>
      </c>
      <c r="I31" s="554">
        <f>('Combined Gradation'!H34-'Combined Gradation'!H35)</f>
        <v>3.919999999999998</v>
      </c>
      <c r="J31" s="554"/>
      <c r="K31" s="156">
        <f>IF(SSize6=2,(Bin1Frac/100)*SUM(I$26:I31),0)</f>
        <v>0</v>
      </c>
      <c r="L31" s="157">
        <f>IF(SSize6=4.75,(Bin1Frac/100)*SUM(I$26:I31),0)</f>
        <v>0</v>
      </c>
      <c r="M31" s="554">
        <f>('Combined Gradation'!J34-'Combined Gradation'!J35)</f>
        <v>0</v>
      </c>
      <c r="N31" s="554"/>
      <c r="O31" s="156">
        <f>IF(SSize6=2,(Bin1Frac/100)*SUM(M$26:M31),0)</f>
        <v>0</v>
      </c>
      <c r="P31" s="157">
        <f>IF(SSize6=4.75,(Bin1Frac/100)*SUM(M$26:M31),0)</f>
        <v>0</v>
      </c>
      <c r="Q31" s="554">
        <f>('Combined Gradation'!L34-'Combined Gradation'!L35)</f>
        <v>0</v>
      </c>
      <c r="R31" s="554"/>
      <c r="S31" s="156">
        <f>IF(SSize6=2,(Bin1Frac/100)*SUM(Q$26:Q31),0)</f>
        <v>0</v>
      </c>
      <c r="T31" s="157">
        <f>IF(SSize6=4.75,(Bin1Frac/100)*SUM(Q$26:Q31),0)</f>
        <v>0</v>
      </c>
      <c r="U31" s="554">
        <f>('Combined Gradation'!N34-'Combined Gradation'!N35)</f>
        <v>0</v>
      </c>
      <c r="V31" s="554"/>
      <c r="W31" s="156">
        <f>IF(SSize6=2,(Bin1Frac/100)*SUM(U$26:U31),0)</f>
        <v>0</v>
      </c>
      <c r="X31" s="157">
        <f>IF(SSize6=4.75,(Bin1Frac/100)*SUM(U$26:U31),0)</f>
        <v>0</v>
      </c>
      <c r="Y31" s="554">
        <f>('Combined Gradation'!P34-'Combined Gradation'!P35)</f>
        <v>0</v>
      </c>
      <c r="Z31" s="554"/>
      <c r="AA31" s="156">
        <f>IF(SSize6=2,(Bin1Frac/100)*SUM(Y$26:Y31),0)</f>
        <v>0</v>
      </c>
      <c r="AB31" s="157">
        <f>IF(SSize6=4.75,(Bin1Frac/100)*SUM(Y$26:Y31),0)</f>
        <v>0</v>
      </c>
      <c r="AC31" s="554">
        <f>('Combined Gradation'!R34-'Combined Gradation'!R35)</f>
        <v>0</v>
      </c>
      <c r="AD31" s="554"/>
      <c r="AE31" s="156">
        <f>IF(SSize6=2,(Bin1Frac/100)*SUM(AC$26:AC31),0)</f>
        <v>0</v>
      </c>
      <c r="AF31" s="157">
        <f>IF(SSize6=4.75,(Bin1Frac/100)*SUM(AC$26:AC31),0)</f>
        <v>0</v>
      </c>
      <c r="AG31" s="58"/>
      <c r="AH31" s="58"/>
      <c r="AI31" s="73"/>
      <c r="AJ31" s="73"/>
      <c r="AL31" s="67"/>
      <c r="AM31" s="66"/>
      <c r="AN31" s="66"/>
    </row>
    <row r="32" spans="1:40" ht="15" customHeight="1">
      <c r="A32" s="71"/>
      <c r="B32" s="54" t="str">
        <f ca="1">IF(ISERROR(INDEX(INDIRECT(Grade),6,IF(specyear="2004",2,3))),"",INDEX(INDIRECT(Grade),6,IF(specyear="2004",2,3)))</f>
        <v>No. 50</v>
      </c>
      <c r="C32" s="62" t="s">
        <v>60</v>
      </c>
      <c r="D32" s="54" t="str">
        <f ca="1">IF(ISERROR(INDEX(INDIRECT(Grade),7,IF(specyear="2004",2,3))),"Pan",INDEX(INDIRECT(Grade),7,IF(specyear="2004",2,3)))</f>
        <v>No. 200</v>
      </c>
      <c r="E32" s="554">
        <f>('Combined Gradation'!F35-'Combined Gradation'!F36)</f>
        <v>0.06</v>
      </c>
      <c r="F32" s="554"/>
      <c r="G32" s="156">
        <f>IF(SSize7=2,(Bin1Frac/100)*SUM(E$26:E32),0)</f>
        <v>0</v>
      </c>
      <c r="H32" s="157">
        <f>IF(SSize7=4.75,(Bin1Frac/100)*SUM(E$26:E32),0)</f>
        <v>0</v>
      </c>
      <c r="I32" s="554">
        <f>('Combined Gradation'!H35-'Combined Gradation'!H36)</f>
        <v>5.68</v>
      </c>
      <c r="J32" s="554"/>
      <c r="K32" s="156">
        <f>IF(SSize7=2,(Bin1Frac/100)*SUM(I$26:I32),0)</f>
        <v>0</v>
      </c>
      <c r="L32" s="157">
        <f>IF(SSize7=4.75,(Bin1Frac/100)*SUM(I$26:I32),0)</f>
        <v>0</v>
      </c>
      <c r="M32" s="554">
        <f>('Combined Gradation'!J35-'Combined Gradation'!J36)</f>
        <v>0</v>
      </c>
      <c r="N32" s="554"/>
      <c r="O32" s="156">
        <f>IF(SSize7=2,(Bin1Frac/100)*SUM(M$26:M32),0)</f>
        <v>0</v>
      </c>
      <c r="P32" s="157">
        <f>IF(SSize7=4.75,(Bin1Frac/100)*SUM(M$26:M32),0)</f>
        <v>0</v>
      </c>
      <c r="Q32" s="554">
        <f>('Combined Gradation'!L35-'Combined Gradation'!L36)</f>
        <v>0</v>
      </c>
      <c r="R32" s="554"/>
      <c r="S32" s="156">
        <f>IF(SSize7=2,(Bin1Frac/100)*SUM(Q$26:Q32),0)</f>
        <v>0</v>
      </c>
      <c r="T32" s="157">
        <f>IF(SSize7=4.75,(Bin1Frac/100)*SUM(Q$26:Q32),0)</f>
        <v>0</v>
      </c>
      <c r="U32" s="554">
        <f>('Combined Gradation'!N35-'Combined Gradation'!N36)</f>
        <v>0</v>
      </c>
      <c r="V32" s="554"/>
      <c r="W32" s="156">
        <f>IF(SSize7=2,(Bin1Frac/100)*SUM(U$26:U32),0)</f>
        <v>0</v>
      </c>
      <c r="X32" s="157">
        <f>IF(SSize7=4.75,(Bin1Frac/100)*SUM(U$26:U32),0)</f>
        <v>0</v>
      </c>
      <c r="Y32" s="554">
        <f>('Combined Gradation'!P35-'Combined Gradation'!P36)</f>
        <v>0</v>
      </c>
      <c r="Z32" s="554"/>
      <c r="AA32" s="156">
        <f>IF(SSize7=2,(Bin1Frac/100)*SUM(Y$26:Y32),0)</f>
        <v>0</v>
      </c>
      <c r="AB32" s="157">
        <f>IF(SSize7=4.75,(Bin1Frac/100)*SUM(Y$26:Y32),0)</f>
        <v>0</v>
      </c>
      <c r="AC32" s="554">
        <f>('Combined Gradation'!R35-'Combined Gradation'!R36)</f>
        <v>0</v>
      </c>
      <c r="AD32" s="554"/>
      <c r="AE32" s="156">
        <f>IF(SSize7=2,(Bin1Frac/100)*SUM(AC$26:AC32),0)</f>
        <v>0</v>
      </c>
      <c r="AF32" s="157">
        <f>IF(SSize7=4.75,(Bin1Frac/100)*SUM(AC$26:AC32),0)</f>
        <v>0</v>
      </c>
      <c r="AG32" s="58"/>
      <c r="AH32" s="58"/>
      <c r="AI32" s="73"/>
      <c r="AJ32" s="73"/>
      <c r="AL32" s="67"/>
      <c r="AM32" s="66"/>
      <c r="AN32" s="66"/>
    </row>
    <row r="33" spans="1:40" ht="15" customHeight="1">
      <c r="A33" s="71"/>
      <c r="B33" s="54" t="str">
        <f ca="1">IF(ISERROR(INDEX(INDIRECT(Grade),7,IF(specyear="2004",2,3))),"",INDEX(INDIRECT(Grade),7,IF(specyear="2004",2,3)))</f>
        <v>No. 200</v>
      </c>
      <c r="C33" s="62" t="s">
        <v>60</v>
      </c>
      <c r="D33" s="54">
        <f ca="1">IF(ISERROR(INDEX(INDIRECT(Grade),8,IF(specyear="2004",2,3))),"Pan",INDEX(INDIRECT(Grade),8,IF(specyear="2004",2,3)))</f>
        <v>0</v>
      </c>
      <c r="E33" s="554">
        <f>('Combined Gradation'!F36-'Combined Gradation'!F37)</f>
        <v>0.3</v>
      </c>
      <c r="F33" s="554"/>
      <c r="G33" s="156">
        <f>IF(SSize8=2,(Bin1Frac/100)*SUM(E$26:E33),0)</f>
        <v>0</v>
      </c>
      <c r="H33" s="157">
        <f>IF(SSize8=4.75,(Bin1Frac/100)*SUM(E$26:E33),0)</f>
        <v>0</v>
      </c>
      <c r="I33" s="554">
        <f>('Combined Gradation'!H36-'Combined Gradation'!H37)</f>
        <v>7.32</v>
      </c>
      <c r="J33" s="554"/>
      <c r="K33" s="156">
        <f>IF(SSize8=2,(Bin1Frac/100)*SUM(I$26:I33),0)</f>
        <v>0</v>
      </c>
      <c r="L33" s="157">
        <f>IF(SSize8=4.75,(Bin1Frac/100)*SUM(I$26:I33),0)</f>
        <v>0</v>
      </c>
      <c r="M33" s="554">
        <f>('Combined Gradation'!J36-'Combined Gradation'!J37)</f>
        <v>0</v>
      </c>
      <c r="N33" s="554"/>
      <c r="O33" s="156">
        <f>IF(SSize8=2,(Bin1Frac/100)*SUM(M$26:M33),0)</f>
        <v>0</v>
      </c>
      <c r="P33" s="157">
        <f>IF(SSize8=4.75,(Bin1Frac/100)*SUM(M$26:M33),0)</f>
        <v>0</v>
      </c>
      <c r="Q33" s="554">
        <f>('Combined Gradation'!L36-'Combined Gradation'!L37)</f>
        <v>0</v>
      </c>
      <c r="R33" s="554"/>
      <c r="S33" s="156">
        <f>IF(SSize8=2,(Bin1Frac/100)*SUM(Q$26:Q33),0)</f>
        <v>0</v>
      </c>
      <c r="T33" s="157">
        <f>IF(SSize8=4.75,(Bin1Frac/100)*SUM(Q$26:Q33),0)</f>
        <v>0</v>
      </c>
      <c r="U33" s="554">
        <f>('Combined Gradation'!N36-'Combined Gradation'!N37)</f>
        <v>0</v>
      </c>
      <c r="V33" s="554"/>
      <c r="W33" s="156">
        <f>IF(SSize8=2,(Bin1Frac/100)*SUM(U$26:U33),0)</f>
        <v>0</v>
      </c>
      <c r="X33" s="157">
        <f>IF(SSize8=4.75,(Bin1Frac/100)*SUM(U$26:U33),0)</f>
        <v>0</v>
      </c>
      <c r="Y33" s="554">
        <f>('Combined Gradation'!P36-'Combined Gradation'!P37)</f>
        <v>0</v>
      </c>
      <c r="Z33" s="554"/>
      <c r="AA33" s="156">
        <f>IF(SSize8=2,(Bin1Frac/100)*SUM(Y$26:Y33),0)</f>
        <v>0</v>
      </c>
      <c r="AB33" s="157">
        <f>IF(SSize8=4.75,(Bin1Frac/100)*SUM(Y$26:Y33),0)</f>
        <v>0</v>
      </c>
      <c r="AC33" s="554">
        <f>('Combined Gradation'!R36-'Combined Gradation'!R37)</f>
        <v>0</v>
      </c>
      <c r="AD33" s="554"/>
      <c r="AE33" s="156">
        <f>IF(SSize8=2,(Bin1Frac/100)*SUM(AC$26:AC33),0)</f>
        <v>0</v>
      </c>
      <c r="AF33" s="157">
        <f>IF(SSize8=4.75,(Bin1Frac/100)*SUM(AC$26:AC33),0)</f>
        <v>0</v>
      </c>
      <c r="AG33" s="58"/>
      <c r="AH33" s="58"/>
      <c r="AI33" s="73"/>
      <c r="AJ33" s="73"/>
      <c r="AL33" s="67"/>
      <c r="AM33" s="66"/>
      <c r="AN33" s="66"/>
    </row>
    <row r="34" spans="1:40" ht="15" customHeight="1">
      <c r="A34" s="71"/>
      <c r="B34" s="54">
        <f ca="1">IF(ISERROR(INDEX(INDIRECT(Grade),8,IF(specyear="2004",2,3))),"",INDEX(INDIRECT(Grade),8,IF(specyear="2004",2,3)))</f>
        <v>0</v>
      </c>
      <c r="C34" s="62" t="s">
        <v>60</v>
      </c>
      <c r="D34" s="54">
        <f ca="1">IF(ISERROR(INDEX(INDIRECT(Grade),9,IF(specyear="2004",2,3))),"Pan",INDEX(INDIRECT(Grade),9,IF(specyear="2004",2,3)))</f>
        <v>0</v>
      </c>
      <c r="E34" s="541">
        <f>('Combined Gradation'!F37-'Combined Gradation'!F38)</f>
        <v>0</v>
      </c>
      <c r="F34" s="542"/>
      <c r="G34" s="156">
        <f>IF(SSize9=2,(Bin1Frac/100)*SUM(E$26:E34),0)</f>
        <v>0</v>
      </c>
      <c r="H34" s="157">
        <f>IF(SSize9=4.75,(Bin1Frac/100)*SUM(E$26:E34),0)</f>
        <v>0</v>
      </c>
      <c r="I34" s="541">
        <f>('Combined Gradation'!H37-'Combined Gradation'!H38)</f>
        <v>0</v>
      </c>
      <c r="J34" s="542"/>
      <c r="K34" s="156">
        <f>IF(SSize9=2,(Bin1Frac/100)*SUM(I$26:I34),0)</f>
        <v>0</v>
      </c>
      <c r="L34" s="157">
        <f>IF(SSize9=4.75,(Bin1Frac/100)*SUM(I$26:I34),0)</f>
        <v>0</v>
      </c>
      <c r="M34" s="541">
        <f>('Combined Gradation'!J37-'Combined Gradation'!J38)</f>
        <v>0</v>
      </c>
      <c r="N34" s="542"/>
      <c r="O34" s="156">
        <f>IF(SSize9=2,(Bin1Frac/100)*SUM(M$26:M34),0)</f>
        <v>0</v>
      </c>
      <c r="P34" s="157">
        <f>IF(SSize9=4.75,(Bin1Frac/100)*SUM(M$26:M34),0)</f>
        <v>0</v>
      </c>
      <c r="Q34" s="541">
        <f>('Combined Gradation'!L37-'Combined Gradation'!L38)</f>
        <v>0</v>
      </c>
      <c r="R34" s="542"/>
      <c r="S34" s="156">
        <f>IF(SSize9=2,(Bin1Frac/100)*SUM(Q$26:Q34),0)</f>
        <v>0</v>
      </c>
      <c r="T34" s="157">
        <f>IF(SSize9=4.75,(Bin1Frac/100)*SUM(Q$26:Q34),0)</f>
        <v>0</v>
      </c>
      <c r="U34" s="541">
        <f>('Combined Gradation'!N37-'Combined Gradation'!N38)</f>
        <v>0</v>
      </c>
      <c r="V34" s="542"/>
      <c r="W34" s="156">
        <f>IF(SSize9=2,(Bin1Frac/100)*SUM(U$26:U34),0)</f>
        <v>0</v>
      </c>
      <c r="X34" s="157">
        <f>IF(SSize9=4.75,(Bin1Frac/100)*SUM(U$26:U34),0)</f>
        <v>0</v>
      </c>
      <c r="Y34" s="541">
        <f>('Combined Gradation'!P37-'Combined Gradation'!P38)</f>
        <v>0</v>
      </c>
      <c r="Z34" s="542"/>
      <c r="AA34" s="156">
        <f>IF(SSize9=2,(Bin1Frac/100)*SUM(Y$26:Y34),0)</f>
        <v>0</v>
      </c>
      <c r="AB34" s="157">
        <f>IF(SSize9=4.75,(Bin1Frac/100)*SUM(Y$26:Y34),0)</f>
        <v>0</v>
      </c>
      <c r="AC34" s="541">
        <f>('Combined Gradation'!R37-'Combined Gradation'!R38)</f>
        <v>0</v>
      </c>
      <c r="AD34" s="542"/>
      <c r="AE34" s="156">
        <f>IF(SSize9=2,(Bin1Frac/100)*SUM(AC$26:AC34),0)</f>
        <v>0</v>
      </c>
      <c r="AF34" s="157">
        <f>IF(SSize9=4.75,(Bin1Frac/100)*SUM(AC$26:AC34),0)</f>
        <v>0</v>
      </c>
      <c r="AG34" s="58"/>
      <c r="AH34" s="58"/>
      <c r="AI34" s="73"/>
      <c r="AJ34" s="73"/>
      <c r="AL34" s="67"/>
      <c r="AM34" s="66"/>
      <c r="AN34" s="66"/>
    </row>
    <row r="35" spans="1:40" ht="15" customHeight="1">
      <c r="A35" s="71"/>
      <c r="B35" s="54">
        <f ca="1">IF(ISERROR(INDEX(INDIRECT(Grade),9,IF(specyear="2004",2,3))),"",INDEX(INDIRECT(Grade),9,IF(specyear="2004",2,3)))</f>
        <v>0</v>
      </c>
      <c r="C35" s="62" t="s">
        <v>60</v>
      </c>
      <c r="D35" s="54">
        <f ca="1">IF(ISERROR(INDEX(INDIRECT(Grade),10,IF(specyear="2004",2,3))),"Pan",INDEX(INDIRECT(Grade),10,IF(specyear="2004",2,3)))</f>
        <v>0</v>
      </c>
      <c r="E35" s="541">
        <f>('Combined Gradation'!F38-'Combined Gradation'!F39)</f>
        <v>0</v>
      </c>
      <c r="F35" s="542"/>
      <c r="G35" s="156">
        <f>IF(SSize10=2,(Bin1Frac/100)*SUM(E$26:E35),0)</f>
        <v>0</v>
      </c>
      <c r="H35" s="157">
        <f>IF(SSize10=4.75,(Bin1Frac/100)*SUM(E$26:E35),0)</f>
        <v>0</v>
      </c>
      <c r="I35" s="541">
        <f>('Combined Gradation'!H38-'Combined Gradation'!H39)</f>
        <v>0</v>
      </c>
      <c r="J35" s="542"/>
      <c r="K35" s="156">
        <f>IF(SSize10=2,(Bin1Frac/100)*SUM(I$26:I35),0)</f>
        <v>0</v>
      </c>
      <c r="L35" s="157">
        <f>IF(SSize10=4.75,(Bin1Frac/100)*SUM(I$26:I35),0)</f>
        <v>0</v>
      </c>
      <c r="M35" s="541">
        <f>('Combined Gradation'!J38-'Combined Gradation'!J39)</f>
        <v>0</v>
      </c>
      <c r="N35" s="542"/>
      <c r="O35" s="156">
        <f>IF(SSize10=2,(Bin1Frac/100)*SUM(M$26:M35),0)</f>
        <v>0</v>
      </c>
      <c r="P35" s="157">
        <f>IF(SSize10=4.75,(Bin1Frac/100)*SUM(M$26:M35),0)</f>
        <v>0</v>
      </c>
      <c r="Q35" s="541">
        <f>('Combined Gradation'!L38-'Combined Gradation'!L39)</f>
        <v>0</v>
      </c>
      <c r="R35" s="542"/>
      <c r="S35" s="156">
        <f>IF(SSize10=2,(Bin1Frac/100)*SUM(Q$26:Q35),0)</f>
        <v>0</v>
      </c>
      <c r="T35" s="157">
        <f>IF(SSize10=4.75,(Bin1Frac/100)*SUM(Q$26:Q35),0)</f>
        <v>0</v>
      </c>
      <c r="U35" s="541">
        <f>('Combined Gradation'!N38-'Combined Gradation'!N39)</f>
        <v>0</v>
      </c>
      <c r="V35" s="542"/>
      <c r="W35" s="156">
        <f>IF(SSize10=2,(Bin1Frac/100)*SUM(U$26:U35),0)</f>
        <v>0</v>
      </c>
      <c r="X35" s="157">
        <f>IF(SSize10=4.75,(Bin1Frac/100)*SUM(U$26:U35),0)</f>
        <v>0</v>
      </c>
      <c r="Y35" s="541">
        <f>('Combined Gradation'!P38-'Combined Gradation'!P39)</f>
        <v>0</v>
      </c>
      <c r="Z35" s="542"/>
      <c r="AA35" s="156">
        <f>IF(SSize10=2,(Bin1Frac/100)*SUM(Y$26:Y35),0)</f>
        <v>0</v>
      </c>
      <c r="AB35" s="157">
        <f>IF(SSize10=4.75,(Bin1Frac/100)*SUM(Y$26:Y35),0)</f>
        <v>0</v>
      </c>
      <c r="AC35" s="541">
        <f>('Combined Gradation'!R38-'Combined Gradation'!R39)</f>
        <v>0</v>
      </c>
      <c r="AD35" s="542"/>
      <c r="AE35" s="156">
        <f>IF(SSize10=2,(Bin1Frac/100)*SUM(AC$26:AC35),0)</f>
        <v>0</v>
      </c>
      <c r="AF35" s="157">
        <f>IF(SSize10=4.75,(Bin1Frac/100)*SUM(AC$26:AC35),0)</f>
        <v>0</v>
      </c>
      <c r="AG35" s="58"/>
      <c r="AH35" s="58"/>
      <c r="AI35" s="73"/>
      <c r="AJ35" s="73"/>
      <c r="AL35" s="67"/>
      <c r="AM35" s="66"/>
      <c r="AN35" s="66"/>
    </row>
    <row r="36" spans="1:40" ht="15" customHeight="1">
      <c r="A36" s="71"/>
      <c r="B36" s="54">
        <f ca="1">IF(ISERROR(INDEX(INDIRECT(Grade),10,IF(specyear="2004",2,3))),"",INDEX(INDIRECT(Grade),10,IF(specyear="2004",2,3)))</f>
        <v>0</v>
      </c>
      <c r="C36" s="62" t="s">
        <v>60</v>
      </c>
      <c r="D36" s="54" t="s">
        <v>131</v>
      </c>
      <c r="E36" s="541">
        <f>('Combined Gradation'!F39-'Combined Gradation'!F40)</f>
        <v>0</v>
      </c>
      <c r="F36" s="542"/>
      <c r="G36" s="168"/>
      <c r="H36" s="169"/>
      <c r="I36" s="541">
        <f>('Combined Gradation'!H39-'Combined Gradation'!H40)</f>
        <v>0</v>
      </c>
      <c r="J36" s="542"/>
      <c r="K36" s="168"/>
      <c r="L36" s="169"/>
      <c r="M36" s="541">
        <f>('Combined Gradation'!J39-'Combined Gradation'!J40)</f>
        <v>0</v>
      </c>
      <c r="N36" s="542"/>
      <c r="O36" s="168"/>
      <c r="P36" s="169"/>
      <c r="Q36" s="541">
        <f>('Combined Gradation'!L39-0)</f>
        <v>0</v>
      </c>
      <c r="R36" s="542"/>
      <c r="S36" s="168"/>
      <c r="T36" s="169"/>
      <c r="U36" s="541">
        <f>('Combined Gradation'!N39-'Combined Gradation'!N40)</f>
        <v>0</v>
      </c>
      <c r="V36" s="542"/>
      <c r="W36" s="168"/>
      <c r="X36" s="169"/>
      <c r="Y36" s="541">
        <f>('Combined Gradation'!P39-'Combined Gradation'!P40)</f>
        <v>0</v>
      </c>
      <c r="Z36" s="542"/>
      <c r="AA36" s="168"/>
      <c r="AB36" s="169"/>
      <c r="AC36" s="541">
        <f>('Combined Gradation'!R39-'Combined Gradation'!R40)</f>
        <v>0</v>
      </c>
      <c r="AD36" s="542"/>
      <c r="AE36" s="168"/>
      <c r="AF36" s="169"/>
      <c r="AG36" s="58"/>
      <c r="AH36" s="58"/>
      <c r="AI36" s="73"/>
      <c r="AJ36" s="73"/>
      <c r="AL36" s="67"/>
      <c r="AM36" s="66"/>
      <c r="AN36" s="66"/>
    </row>
    <row r="37" spans="2:32" ht="15" customHeight="1">
      <c r="B37" s="551" t="s">
        <v>147</v>
      </c>
      <c r="C37" s="552"/>
      <c r="D37" s="553"/>
      <c r="E37" s="568">
        <f>SUM(E26:E36)</f>
        <v>60.00000000000001</v>
      </c>
      <c r="F37" s="568"/>
      <c r="G37" s="159">
        <f>MAX(G26:G36)</f>
        <v>0</v>
      </c>
      <c r="H37" s="158">
        <f>MAX(H26:H36)</f>
        <v>27.252</v>
      </c>
      <c r="I37" s="569">
        <f>SUM(I26:I36)</f>
        <v>40</v>
      </c>
      <c r="J37" s="570"/>
      <c r="K37" s="159">
        <f>SUM(K26:K36)</f>
        <v>0</v>
      </c>
      <c r="L37" s="158"/>
      <c r="M37" s="568">
        <f>SUM(M26:M36)</f>
        <v>0</v>
      </c>
      <c r="N37" s="568"/>
      <c r="O37" s="159">
        <f>SUM(O26:O36)</f>
        <v>0</v>
      </c>
      <c r="P37" s="158"/>
      <c r="Q37" s="568">
        <f>SUM(Q26:Q36)</f>
        <v>0</v>
      </c>
      <c r="R37" s="568"/>
      <c r="S37" s="159">
        <f>SUM(S26:S36)</f>
        <v>0</v>
      </c>
      <c r="T37" s="158"/>
      <c r="U37" s="568">
        <f>SUM(U26:U36)</f>
        <v>0</v>
      </c>
      <c r="V37" s="568"/>
      <c r="W37" s="159">
        <f>SUM(W26:W36)</f>
        <v>0</v>
      </c>
      <c r="X37" s="158"/>
      <c r="Y37" s="568">
        <f>SUM(Y26:Y36)</f>
        <v>0</v>
      </c>
      <c r="Z37" s="568"/>
      <c r="AA37" s="159">
        <f>SUM(AA26:AA36)</f>
        <v>0</v>
      </c>
      <c r="AB37" s="158"/>
      <c r="AC37" s="568">
        <f>SUM(AC26:AC36)</f>
        <v>0</v>
      </c>
      <c r="AD37" s="568"/>
      <c r="AE37" s="159">
        <f>MAX(AE26:AE36)</f>
        <v>0</v>
      </c>
      <c r="AF37" s="158">
        <f>MAX(AF26:AF36)</f>
        <v>0</v>
      </c>
    </row>
    <row r="38" spans="2:30" ht="15" customHeight="1">
      <c r="B38" s="551" t="str">
        <f>"Percent of plus No. 4"</f>
        <v>Percent of plus No. 4</v>
      </c>
      <c r="C38" s="552"/>
      <c r="D38" s="553"/>
      <c r="E38" s="568">
        <f>IF($D$28="No. 4",SUM(E26:E28),IF($D$29="No. 4",SUM(E26:E29),IF($D$30="No. 4",SUM(E26:E30),SUM(E26:E31))))</f>
        <v>59.64000000000001</v>
      </c>
      <c r="F38" s="568"/>
      <c r="G38" s="160"/>
      <c r="H38" s="160"/>
      <c r="I38" s="568">
        <f>IF($D$28="No. 4",SUM(I26:I28),IF($D$29="No. 4",SUM(I26:I29),IF($D$30="No. 4",SUM(I26:I30),SUM(I26:I31))))</f>
        <v>27</v>
      </c>
      <c r="J38" s="568"/>
      <c r="K38" s="160"/>
      <c r="L38" s="160"/>
      <c r="M38" s="568">
        <f>IF($D$28="No. 4",SUM(M26:M28),IF($D$29="No. 4",SUM(M26:M29),IF($D$30="No. 4",SUM(M26:M30),SUM(M26:M31))))</f>
        <v>0</v>
      </c>
      <c r="N38" s="568"/>
      <c r="O38" s="160"/>
      <c r="P38" s="160"/>
      <c r="Q38" s="568">
        <f>IF($D$28="No. 4",SUM(Q26:Q28),IF($D$29="No. 4",SUM(Q26:Q29),IF($D$30="No. 4",SUM(Q26:Q30),SUM(Q26:Q31))))</f>
        <v>0</v>
      </c>
      <c r="R38" s="568"/>
      <c r="S38" s="160"/>
      <c r="T38" s="160"/>
      <c r="U38" s="568">
        <f>IF($D$28="No. 4",SUM(U26:U28),IF($D$29="No. 4",SUM(U26:U29),IF($D$30="No. 4",SUM(U26:U30),SUM(U26:U31))))</f>
        <v>0</v>
      </c>
      <c r="V38" s="568"/>
      <c r="W38" s="160"/>
      <c r="X38" s="160"/>
      <c r="Y38" s="568">
        <f>IF($D$28="No. 4",SUM(Y26:Y28),IF($D$29="No. 4",SUM(Y26:Y29),IF($D$30="No. 4",SUM(Y26:Y30),SUM(Y26:Y31))))</f>
        <v>0</v>
      </c>
      <c r="Z38" s="568"/>
      <c r="AA38" s="160"/>
      <c r="AB38" s="160"/>
      <c r="AC38" s="568">
        <f>IF($D$28="No. 4",SUM(AC26:AC28),IF($D$29="No. 4",SUM(AC26:AC29),IF($D$30="No. 4",SUM(AC26:AC30),SUM(AC26:AC31))))</f>
        <v>0</v>
      </c>
      <c r="AD38" s="568"/>
    </row>
    <row r="39" ht="3.75" customHeight="1"/>
    <row r="40" ht="4.5" customHeight="1"/>
    <row r="41" spans="2:14" ht="15" customHeight="1">
      <c r="B41" s="435" t="str">
        <f>"Percent of plus No. 4 from class (A) Rock:"</f>
        <v>Percent of plus No. 4 from class (A) Rock:</v>
      </c>
      <c r="C41" s="436"/>
      <c r="D41" s="436"/>
      <c r="E41" s="436"/>
      <c r="F41" s="436"/>
      <c r="G41" s="436"/>
      <c r="H41" s="436"/>
      <c r="I41" s="437"/>
      <c r="J41" s="97">
        <f>IF(E22="Yes",E38,0)+IF(I22="Yes",I38,0)+IF(M22="Yes",M38,0)+IF(Q22="Yes",Q38,0)+IF(U22="Yes",U38,0)+IF(Y22="Yes",Y38,0)+IF(AC22="Yes",AC38,0)</f>
        <v>0</v>
      </c>
      <c r="N41" s="161"/>
    </row>
    <row r="42" spans="2:14" ht="15" customHeight="1">
      <c r="B42" s="435" t="str">
        <f>"Total Percent of plus No. 4"</f>
        <v>Total Percent of plus No. 4</v>
      </c>
      <c r="C42" s="436"/>
      <c r="D42" s="436"/>
      <c r="E42" s="436"/>
      <c r="F42" s="436"/>
      <c r="G42" s="436"/>
      <c r="H42" s="436"/>
      <c r="I42" s="437"/>
      <c r="J42" s="97">
        <f>E38+I38+M38+Q38+U38+Y38+AC38</f>
        <v>86.64000000000001</v>
      </c>
      <c r="N42" s="161"/>
    </row>
    <row r="43" spans="2:14" ht="15" customHeight="1">
      <c r="B43" s="435" t="str">
        <f>"Percent of plus No. 4 from class (A) Rock:"</f>
        <v>Percent of plus No. 4 from class (A) Rock:</v>
      </c>
      <c r="C43" s="436"/>
      <c r="D43" s="436"/>
      <c r="E43" s="436"/>
      <c r="F43" s="436"/>
      <c r="G43" s="436"/>
      <c r="H43" s="436"/>
      <c r="I43" s="437"/>
      <c r="J43" s="162">
        <f>IF(ISERROR(100*J41/J42),0,100*J41/J42)</f>
        <v>0</v>
      </c>
      <c r="N43" s="163"/>
    </row>
    <row r="44" ht="6" customHeight="1"/>
    <row r="45" spans="2:13" ht="15" customHeight="1">
      <c r="B45" s="16" t="s">
        <v>5</v>
      </c>
      <c r="C45" s="16"/>
      <c r="D45" s="16"/>
      <c r="E45" s="16"/>
      <c r="F45" s="1"/>
      <c r="G45" s="1"/>
      <c r="H45" s="1"/>
      <c r="I45" s="1"/>
      <c r="J45" s="1"/>
      <c r="K45" s="1"/>
      <c r="L45" s="76"/>
      <c r="M45" s="57"/>
    </row>
    <row r="46" spans="2:21" ht="15" customHeight="1">
      <c r="B46" s="428"/>
      <c r="C46" s="429"/>
      <c r="D46" s="429"/>
      <c r="E46" s="429"/>
      <c r="F46" s="429"/>
      <c r="G46" s="429"/>
      <c r="H46" s="429"/>
      <c r="I46" s="429"/>
      <c r="J46" s="429"/>
      <c r="K46" s="429"/>
      <c r="L46" s="429"/>
      <c r="M46" s="429"/>
      <c r="N46" s="429"/>
      <c r="O46" s="429"/>
      <c r="P46" s="429"/>
      <c r="Q46" s="429"/>
      <c r="R46" s="429"/>
      <c r="S46" s="429"/>
      <c r="T46" s="429"/>
      <c r="U46" s="430"/>
    </row>
    <row r="47" spans="2:21" ht="15" customHeight="1">
      <c r="B47" s="431"/>
      <c r="C47" s="432"/>
      <c r="D47" s="432"/>
      <c r="E47" s="432"/>
      <c r="F47" s="432"/>
      <c r="G47" s="432"/>
      <c r="H47" s="432"/>
      <c r="I47" s="432"/>
      <c r="J47" s="432"/>
      <c r="K47" s="432"/>
      <c r="L47" s="432"/>
      <c r="M47" s="432"/>
      <c r="N47" s="432"/>
      <c r="O47" s="432"/>
      <c r="P47" s="432"/>
      <c r="Q47" s="432"/>
      <c r="R47" s="432"/>
      <c r="S47" s="432"/>
      <c r="T47" s="432"/>
      <c r="U47" s="433"/>
    </row>
  </sheetData>
  <sheetProtection password="DE07" sheet="1" formatCells="0" formatColumns="0" formatRows="0"/>
  <mergeCells count="197">
    <mergeCell ref="B13:D13"/>
    <mergeCell ref="E13:U13"/>
    <mergeCell ref="I35:J35"/>
    <mergeCell ref="M35:N35"/>
    <mergeCell ref="Q35:R35"/>
    <mergeCell ref="U35:V35"/>
    <mergeCell ref="N17:Q17"/>
    <mergeCell ref="O15:U15"/>
    <mergeCell ref="R17:U17"/>
    <mergeCell ref="F17:I17"/>
    <mergeCell ref="AC19:AF19"/>
    <mergeCell ref="AC20:AF20"/>
    <mergeCell ref="AC21:AF21"/>
    <mergeCell ref="AC22:AF22"/>
    <mergeCell ref="O10:U10"/>
    <mergeCell ref="O11:U11"/>
    <mergeCell ref="O12:U12"/>
    <mergeCell ref="E14:U14"/>
    <mergeCell ref="J10:N10"/>
    <mergeCell ref="J11:N11"/>
    <mergeCell ref="J12:N12"/>
    <mergeCell ref="E10:I10"/>
    <mergeCell ref="E11:I11"/>
    <mergeCell ref="E12:I12"/>
    <mergeCell ref="O6:U6"/>
    <mergeCell ref="O7:U7"/>
    <mergeCell ref="O8:U8"/>
    <mergeCell ref="O9:U9"/>
    <mergeCell ref="J15:N15"/>
    <mergeCell ref="E6:I6"/>
    <mergeCell ref="E7:I7"/>
    <mergeCell ref="E8:I8"/>
    <mergeCell ref="E9:I9"/>
    <mergeCell ref="J6:N6"/>
    <mergeCell ref="J7:N7"/>
    <mergeCell ref="J8:N8"/>
    <mergeCell ref="J9:N9"/>
    <mergeCell ref="AC38:AD38"/>
    <mergeCell ref="AC31:AD31"/>
    <mergeCell ref="AC32:AD32"/>
    <mergeCell ref="AC33:AD33"/>
    <mergeCell ref="AC37:AD37"/>
    <mergeCell ref="AC35:AD35"/>
    <mergeCell ref="Y37:Z37"/>
    <mergeCell ref="Y38:Z38"/>
    <mergeCell ref="AC26:AD26"/>
    <mergeCell ref="AC27:AD27"/>
    <mergeCell ref="AC28:AD28"/>
    <mergeCell ref="AC29:AD29"/>
    <mergeCell ref="AC30:AD30"/>
    <mergeCell ref="Y30:Z30"/>
    <mergeCell ref="Y31:Z31"/>
    <mergeCell ref="Y33:Z33"/>
    <mergeCell ref="Y26:Z26"/>
    <mergeCell ref="Y27:Z27"/>
    <mergeCell ref="Y28:Z28"/>
    <mergeCell ref="Y29:Z29"/>
    <mergeCell ref="Q31:R31"/>
    <mergeCell ref="U31:V31"/>
    <mergeCell ref="U32:V32"/>
    <mergeCell ref="Y32:Z32"/>
    <mergeCell ref="Q32:R32"/>
    <mergeCell ref="Q27:R27"/>
    <mergeCell ref="Q28:R28"/>
    <mergeCell ref="Q29:R29"/>
    <mergeCell ref="Q30:R30"/>
    <mergeCell ref="U27:V27"/>
    <mergeCell ref="U28:V28"/>
    <mergeCell ref="U29:V29"/>
    <mergeCell ref="U30:V30"/>
    <mergeCell ref="Q38:R38"/>
    <mergeCell ref="U33:V33"/>
    <mergeCell ref="U37:V37"/>
    <mergeCell ref="U38:V38"/>
    <mergeCell ref="U34:V34"/>
    <mergeCell ref="U36:V36"/>
    <mergeCell ref="M32:N32"/>
    <mergeCell ref="M33:N33"/>
    <mergeCell ref="M37:N37"/>
    <mergeCell ref="Q33:R33"/>
    <mergeCell ref="Q37:R37"/>
    <mergeCell ref="Q34:R34"/>
    <mergeCell ref="Q36:R36"/>
    <mergeCell ref="I38:J38"/>
    <mergeCell ref="M26:N26"/>
    <mergeCell ref="M27:N27"/>
    <mergeCell ref="M28:N28"/>
    <mergeCell ref="M29:N29"/>
    <mergeCell ref="M30:N30"/>
    <mergeCell ref="M31:N31"/>
    <mergeCell ref="M38:N38"/>
    <mergeCell ref="M34:N34"/>
    <mergeCell ref="M36:N36"/>
    <mergeCell ref="E38:F38"/>
    <mergeCell ref="I26:J26"/>
    <mergeCell ref="I27:J27"/>
    <mergeCell ref="I28:J28"/>
    <mergeCell ref="I29:J29"/>
    <mergeCell ref="I30:J30"/>
    <mergeCell ref="I31:J31"/>
    <mergeCell ref="I32:J32"/>
    <mergeCell ref="I33:J33"/>
    <mergeCell ref="I37:J37"/>
    <mergeCell ref="E37:F37"/>
    <mergeCell ref="E36:F36"/>
    <mergeCell ref="E34:F34"/>
    <mergeCell ref="E35:F35"/>
    <mergeCell ref="H24:H25"/>
    <mergeCell ref="L24:L25"/>
    <mergeCell ref="Q26:R26"/>
    <mergeCell ref="I24:J25"/>
    <mergeCell ref="P24:P25"/>
    <mergeCell ref="Q24:R25"/>
    <mergeCell ref="U26:V26"/>
    <mergeCell ref="K24:K25"/>
    <mergeCell ref="O24:O25"/>
    <mergeCell ref="S24:S25"/>
    <mergeCell ref="Q22:T22"/>
    <mergeCell ref="AF24:AF25"/>
    <mergeCell ref="T24:T25"/>
    <mergeCell ref="W24:W25"/>
    <mergeCell ref="AA24:AA25"/>
    <mergeCell ref="AE24:AE25"/>
    <mergeCell ref="U24:V25"/>
    <mergeCell ref="Y24:Z25"/>
    <mergeCell ref="AC24:AD25"/>
    <mergeCell ref="X24:X25"/>
    <mergeCell ref="E33:F33"/>
    <mergeCell ref="E19:H19"/>
    <mergeCell ref="M24:N25"/>
    <mergeCell ref="Y20:AB20"/>
    <mergeCell ref="U19:X19"/>
    <mergeCell ref="U20:X20"/>
    <mergeCell ref="Y19:AB19"/>
    <mergeCell ref="Q19:T19"/>
    <mergeCell ref="Q20:T20"/>
    <mergeCell ref="Q21:T21"/>
    <mergeCell ref="E29:F29"/>
    <mergeCell ref="B38:D38"/>
    <mergeCell ref="I19:L19"/>
    <mergeCell ref="M19:P19"/>
    <mergeCell ref="I22:L22"/>
    <mergeCell ref="M22:P22"/>
    <mergeCell ref="E26:F26"/>
    <mergeCell ref="E24:F25"/>
    <mergeCell ref="G24:G25"/>
    <mergeCell ref="E32:F32"/>
    <mergeCell ref="B43:I43"/>
    <mergeCell ref="B41:I41"/>
    <mergeCell ref="B22:D22"/>
    <mergeCell ref="B42:I42"/>
    <mergeCell ref="E22:H22"/>
    <mergeCell ref="E31:F31"/>
    <mergeCell ref="I34:J34"/>
    <mergeCell ref="I36:J36"/>
    <mergeCell ref="B24:D24"/>
    <mergeCell ref="B25:D25"/>
    <mergeCell ref="B37:D37"/>
    <mergeCell ref="B12:D12"/>
    <mergeCell ref="B21:D21"/>
    <mergeCell ref="E21:H21"/>
    <mergeCell ref="B20:D20"/>
    <mergeCell ref="B14:D14"/>
    <mergeCell ref="B15:D15"/>
    <mergeCell ref="E30:F30"/>
    <mergeCell ref="E27:F27"/>
    <mergeCell ref="E28:F28"/>
    <mergeCell ref="I21:L21"/>
    <mergeCell ref="E15:I15"/>
    <mergeCell ref="J17:M17"/>
    <mergeCell ref="AN19:AN21"/>
    <mergeCell ref="E20:H20"/>
    <mergeCell ref="I20:L20"/>
    <mergeCell ref="M20:P20"/>
    <mergeCell ref="AL19:AL21"/>
    <mergeCell ref="AM19:AM21"/>
    <mergeCell ref="Y21:AB21"/>
    <mergeCell ref="M21:P21"/>
    <mergeCell ref="U21:X21"/>
    <mergeCell ref="B46:U47"/>
    <mergeCell ref="B6:D6"/>
    <mergeCell ref="B8:D8"/>
    <mergeCell ref="B7:D7"/>
    <mergeCell ref="B10:D10"/>
    <mergeCell ref="B9:D9"/>
    <mergeCell ref="B11:D11"/>
    <mergeCell ref="B17:D17"/>
    <mergeCell ref="AC17:AD17"/>
    <mergeCell ref="V17:Z17"/>
    <mergeCell ref="Y34:Z34"/>
    <mergeCell ref="Y36:Z36"/>
    <mergeCell ref="AC34:AD34"/>
    <mergeCell ref="AC36:AD36"/>
    <mergeCell ref="Y35:Z35"/>
    <mergeCell ref="Y22:AB22"/>
    <mergeCell ref="AB24:AB25"/>
    <mergeCell ref="U22:X22"/>
  </mergeCells>
  <conditionalFormatting sqref="B33:F33 M33:N33 Y33:Z33 Q33:R33 U33:V33 I33:J33 AC33:AD33">
    <cfRule type="expression" priority="1" dxfId="0" stopIfTrue="1">
      <formula>AND(SSize7=0,SUM($H33,$L33,$P33,$S33,$X33,$AB33,$AF33)=0)</formula>
    </cfRule>
  </conditionalFormatting>
  <conditionalFormatting sqref="I32:J32 Q32:R32 B32:F32 U32:V32 Y32:Z32 M32:N32 AC32:AD32">
    <cfRule type="expression" priority="2" dxfId="0" stopIfTrue="1">
      <formula>AND(SSize6=0,SUM($H32,$L32,$P32,$S32,$X32,$AB32,$AF32)=0)</formula>
    </cfRule>
  </conditionalFormatting>
  <conditionalFormatting sqref="I31:J31 Q31:R31 B31:F31 U31:V31 Y31:Z31 M31:N31 AC31:AD31">
    <cfRule type="expression" priority="3" dxfId="0" stopIfTrue="1">
      <formula>AND(SSize5=0,SUM($H31,$L31,$P31,$S31,$X31,$AB31,$AF31)=0)</formula>
    </cfRule>
  </conditionalFormatting>
  <conditionalFormatting sqref="I30:J30 Q30:R30 B30:F30 U30:V30 Y30:Z30 M30:N30 AC30:AD30">
    <cfRule type="expression" priority="4" dxfId="0" stopIfTrue="1">
      <formula>AND(SSize4=0,SUM($H30,$L30,$P30,$S30,$X30,$AB30,$AF30)=0)</formula>
    </cfRule>
  </conditionalFormatting>
  <conditionalFormatting sqref="I29:J29 Q29:R29 B29:F29 U29:V29 Y29:Z29 M29:N29 AC29:AD29">
    <cfRule type="expression" priority="5" dxfId="0" stopIfTrue="1">
      <formula>AND(SSize3=0,SUM($H29,$L29,$P29,$S29,$X29,$AB29,$AF29)=0)</formula>
    </cfRule>
  </conditionalFormatting>
  <conditionalFormatting sqref="I28:J28 Q28:R28 B28:F28 U28:V28 Y28:Z28 M28:N28 AC28:AD28">
    <cfRule type="expression" priority="6" dxfId="0" stopIfTrue="1">
      <formula>AND(SSize2=0,SUM($H28,$L28,$P28,$S28,$X28,$AB28,$AF28)=0)</formula>
    </cfRule>
  </conditionalFormatting>
  <conditionalFormatting sqref="I27:J27 Q27:R27 B27:F27 U27:V27 Y27:Z27 M27:N27 AC27:AD27">
    <cfRule type="expression" priority="7" dxfId="0" stopIfTrue="1">
      <formula>AND(SSize1=0,SUM($H27,$L27,$P27,$S27,$X27,$AB27,$AF27)=0)</formula>
    </cfRule>
  </conditionalFormatting>
  <conditionalFormatting sqref="M45">
    <cfRule type="expression" priority="8" dxfId="0" stopIfTrue="1">
      <formula>(SUM(SSize9,MixDes9,JMFDes9)=0)</formula>
    </cfRule>
  </conditionalFormatting>
  <conditionalFormatting sqref="AK26:AM36 AH26:AH36">
    <cfRule type="expression" priority="9" dxfId="0" stopIfTrue="1">
      <formula>(SUM(SSize1,MixDes1,JMFDes1)=0)</formula>
    </cfRule>
  </conditionalFormatting>
  <conditionalFormatting sqref="U34:V34 Y34:Z34 B34:F34 I34:J34 M34:N34 Q34:R34 AC34:AD34">
    <cfRule type="expression" priority="10" dxfId="0" stopIfTrue="1">
      <formula>SSize8=0</formula>
    </cfRule>
  </conditionalFormatting>
  <conditionalFormatting sqref="B36:F36 I36:J36 M36:N36 Q36:R36 U36:V36 Y36:Z36 AC36:AD36">
    <cfRule type="expression" priority="11" dxfId="0" stopIfTrue="1">
      <formula>SSize10=0</formula>
    </cfRule>
  </conditionalFormatting>
  <conditionalFormatting sqref="B35:F35 I35:J35 M35:N35 Q35:R35 U35:V35 Y35:Z35 AC35:AD35">
    <cfRule type="expression" priority="12" dxfId="0" stopIfTrue="1">
      <formula>SSize9=0</formula>
    </cfRule>
  </conditionalFormatting>
  <conditionalFormatting sqref="J43">
    <cfRule type="cellIs" priority="13" dxfId="13" operator="lessThan" stopIfTrue="1">
      <formula>50</formula>
    </cfRule>
  </conditionalFormatting>
  <dataValidations count="2">
    <dataValidation type="list" allowBlank="1" showInputMessage="1" showErrorMessage="1" sqref="E22:Q22 AC22 Y22 U22">
      <formula1>"Yes,No"</formula1>
    </dataValidation>
    <dataValidation type="textLength" operator="lessThan" allowBlank="1" showInputMessage="1" showErrorMessage="1" errorTitle="Text Length" error="Please limit the text length to 200 characters." sqref="B46">
      <formula1>201</formula1>
    </dataValidation>
  </dataValidations>
  <printOptions/>
  <pageMargins left="0.31" right="0.38" top="0.35" bottom="0.39" header="0.22" footer="0.2"/>
  <pageSetup fitToHeight="1" fitToWidth="1" horizontalDpi="600" verticalDpi="600" orientation="landscape" scale="90" r:id="rId1"/>
  <colBreaks count="1" manualBreakCount="1">
    <brk id="32" max="65535" man="1"/>
  </colBreaks>
</worksheet>
</file>

<file path=xl/worksheets/sheet4.xml><?xml version="1.0" encoding="utf-8"?>
<worksheet xmlns="http://schemas.openxmlformats.org/spreadsheetml/2006/main" xmlns:r="http://schemas.openxmlformats.org/officeDocument/2006/relationships">
  <sheetPr codeName="Sheet2">
    <pageSetUpPr fitToPage="1"/>
  </sheetPr>
  <dimension ref="A1:AN65"/>
  <sheetViews>
    <sheetView showGridLines="0" workbookViewId="0" topLeftCell="A16">
      <selection activeCell="X35" sqref="X35"/>
    </sheetView>
  </sheetViews>
  <sheetFormatPr defaultColWidth="9.140625" defaultRowHeight="15" customHeight="1"/>
  <cols>
    <col min="1" max="1" width="0.9921875" style="10" customWidth="1"/>
    <col min="2" max="2" width="8.00390625" style="20" customWidth="1"/>
    <col min="3" max="13" width="8.00390625" style="10" customWidth="1"/>
    <col min="14" max="16" width="8.7109375" style="10" customWidth="1"/>
    <col min="17" max="17" width="7.7109375" style="10" customWidth="1"/>
    <col min="18" max="19" width="8.00390625" style="10" customWidth="1"/>
    <col min="20" max="20" width="10.140625" style="10" customWidth="1"/>
    <col min="21" max="24" width="7.7109375" style="10" customWidth="1"/>
    <col min="25" max="25" width="3.7109375" style="10" customWidth="1"/>
    <col min="26" max="26" width="4.57421875" style="10" customWidth="1"/>
    <col min="27" max="27" width="4.8515625" style="10" customWidth="1"/>
    <col min="28" max="16384" width="6.7109375" style="10" customWidth="1"/>
  </cols>
  <sheetData>
    <row r="1" spans="1:39" s="5" customFormat="1" ht="15" customHeight="1">
      <c r="A1" s="18"/>
      <c r="B1" s="170" t="s">
        <v>0</v>
      </c>
      <c r="C1" s="2"/>
      <c r="D1" s="2"/>
      <c r="E1" s="2"/>
      <c r="F1" s="3"/>
      <c r="G1" s="3"/>
      <c r="H1" s="3"/>
      <c r="I1" s="3"/>
      <c r="J1" s="3"/>
      <c r="K1" s="3"/>
      <c r="L1" s="3"/>
      <c r="M1" s="3"/>
      <c r="N1" s="18"/>
      <c r="O1" s="18"/>
      <c r="P1" s="18"/>
      <c r="Q1" s="18"/>
      <c r="R1" s="18"/>
      <c r="S1" s="137"/>
      <c r="T1" s="88"/>
      <c r="U1" s="18"/>
      <c r="V1" s="18"/>
      <c r="W1" s="18"/>
      <c r="X1" s="18"/>
      <c r="Y1" s="18"/>
      <c r="Z1" s="18"/>
      <c r="AA1" s="18"/>
      <c r="AB1" s="18"/>
      <c r="AC1" s="18"/>
      <c r="AD1" s="18"/>
      <c r="AE1" s="39"/>
      <c r="AF1" s="39"/>
      <c r="AG1" s="88"/>
      <c r="AH1" s="88"/>
      <c r="AI1" s="88"/>
      <c r="AJ1" s="88"/>
      <c r="AK1" s="88"/>
      <c r="AM1" s="6"/>
    </row>
    <row r="2" spans="1:39" s="5" customFormat="1" ht="15" customHeight="1">
      <c r="A2" s="18"/>
      <c r="B2" s="2">
        <f>IF(location="","",location)</f>
      </c>
      <c r="C2" s="2"/>
      <c r="D2" s="2"/>
      <c r="E2" s="2"/>
      <c r="F2" s="3"/>
      <c r="G2" s="3"/>
      <c r="H2" s="3"/>
      <c r="I2" s="3"/>
      <c r="J2" s="3"/>
      <c r="K2" s="3"/>
      <c r="L2" s="3"/>
      <c r="M2" s="3"/>
      <c r="N2" s="19"/>
      <c r="O2" s="19"/>
      <c r="P2" s="19"/>
      <c r="Q2" s="19"/>
      <c r="R2" s="18"/>
      <c r="S2" s="137"/>
      <c r="T2" s="88"/>
      <c r="U2" s="4"/>
      <c r="V2" s="4"/>
      <c r="W2" s="4"/>
      <c r="X2" s="4"/>
      <c r="Y2" s="4"/>
      <c r="Z2" s="4"/>
      <c r="AA2" s="4"/>
      <c r="AB2" s="4"/>
      <c r="AC2" s="4"/>
      <c r="AD2" s="4"/>
      <c r="AE2" s="4"/>
      <c r="AF2" s="4"/>
      <c r="AG2" s="90"/>
      <c r="AH2" s="90"/>
      <c r="AI2" s="6"/>
      <c r="AJ2" s="6"/>
      <c r="AK2" s="6"/>
      <c r="AL2" s="6"/>
      <c r="AM2" s="91"/>
    </row>
    <row r="3" spans="1:40" s="5" customFormat="1" ht="5.25" customHeight="1">
      <c r="A3" s="19"/>
      <c r="B3" s="8"/>
      <c r="C3" s="8"/>
      <c r="D3" s="8"/>
      <c r="E3" s="8"/>
      <c r="F3" s="3"/>
      <c r="G3" s="3"/>
      <c r="H3" s="3"/>
      <c r="I3" s="3"/>
      <c r="J3" s="3"/>
      <c r="K3" s="3"/>
      <c r="L3" s="3"/>
      <c r="M3" s="3"/>
      <c r="N3" s="19"/>
      <c r="O3" s="19"/>
      <c r="P3" s="19"/>
      <c r="Q3" s="19"/>
      <c r="R3" s="19"/>
      <c r="S3" s="137"/>
      <c r="T3" s="19"/>
      <c r="U3" s="3"/>
      <c r="V3" s="3"/>
      <c r="W3" s="3"/>
      <c r="X3" s="3"/>
      <c r="Y3" s="3"/>
      <c r="Z3" s="3"/>
      <c r="AA3" s="3"/>
      <c r="AB3" s="3"/>
      <c r="AC3" s="3"/>
      <c r="AD3" s="3"/>
      <c r="AE3" s="3"/>
      <c r="AF3" s="3"/>
      <c r="AG3" s="92"/>
      <c r="AH3" s="92"/>
      <c r="AI3" s="6"/>
      <c r="AJ3" s="6"/>
      <c r="AK3" s="6"/>
      <c r="AL3" s="6"/>
      <c r="AM3" s="91"/>
      <c r="AN3" s="7"/>
    </row>
    <row r="4" spans="1:37" s="5" customFormat="1" ht="14.25" customHeight="1">
      <c r="A4" s="18"/>
      <c r="B4" s="9" t="s">
        <v>154</v>
      </c>
      <c r="C4" s="9"/>
      <c r="D4" s="9"/>
      <c r="E4" s="9"/>
      <c r="F4" s="3"/>
      <c r="G4" s="3"/>
      <c r="H4" s="3"/>
      <c r="I4" s="3"/>
      <c r="J4" s="4"/>
      <c r="K4" s="4"/>
      <c r="L4" s="4"/>
      <c r="M4" s="4"/>
      <c r="N4" s="18"/>
      <c r="O4" s="18"/>
      <c r="P4" s="18"/>
      <c r="Q4" s="137"/>
      <c r="R4" s="93"/>
      <c r="S4" s="18"/>
      <c r="T4" s="18"/>
      <c r="U4" s="18"/>
      <c r="V4" s="18"/>
      <c r="W4" s="18"/>
      <c r="X4" s="18"/>
      <c r="Y4" s="39"/>
      <c r="Z4" s="39"/>
      <c r="AA4" s="88"/>
      <c r="AB4" s="88"/>
      <c r="AC4" s="89"/>
      <c r="AD4" s="89"/>
      <c r="AE4" s="88"/>
      <c r="AF4" s="88"/>
      <c r="AH4" s="6"/>
      <c r="AI4" s="6"/>
      <c r="AJ4" s="6"/>
      <c r="AK4" s="6"/>
    </row>
    <row r="5" spans="1:38" s="5" customFormat="1" ht="10.5" customHeight="1">
      <c r="A5" s="18"/>
      <c r="E5" s="1"/>
      <c r="F5" s="1"/>
      <c r="G5" s="1"/>
      <c r="H5" s="1"/>
      <c r="I5" s="1"/>
      <c r="J5" s="1"/>
      <c r="M5" s="86" t="str">
        <f>"File Version: "&amp;TEXT(MID(sn,SEARCH("::",sn,1)+2,20),"mm/dd/yy hh:mm:ss")</f>
        <v>File Version: 05/10/07 09:30:41</v>
      </c>
      <c r="N5" s="39"/>
      <c r="O5" s="137"/>
      <c r="P5" s="137"/>
      <c r="Q5" s="137"/>
      <c r="R5" s="137"/>
      <c r="S5" s="137"/>
      <c r="T5"/>
      <c r="U5"/>
      <c r="V5"/>
      <c r="W5"/>
      <c r="X5"/>
      <c r="Y5"/>
      <c r="AB5" s="6"/>
      <c r="AC5" s="6"/>
      <c r="AD5" s="7"/>
      <c r="AE5" s="7"/>
      <c r="AF5" s="6"/>
      <c r="AG5" s="6"/>
      <c r="AH5" s="6"/>
      <c r="AI5" s="6"/>
      <c r="AJ5" s="6"/>
      <c r="AK5" s="6"/>
      <c r="AL5" s="6"/>
    </row>
    <row r="6" spans="2:38" s="5" customFormat="1" ht="15" customHeight="1">
      <c r="B6" s="401" t="s">
        <v>46</v>
      </c>
      <c r="C6" s="402"/>
      <c r="D6" s="403"/>
      <c r="E6" s="499" t="str">
        <f>IF(sampleid="","",sampleid)</f>
        <v>TTI_Hoban+Turner_SMA</v>
      </c>
      <c r="F6" s="500"/>
      <c r="G6" s="501"/>
      <c r="H6" s="395" t="s">
        <v>111</v>
      </c>
      <c r="I6" s="395"/>
      <c r="J6" s="395"/>
      <c r="K6" s="499" t="str">
        <f>IF(sampleddate="","",sampleddate)</f>
        <v>11/18/2010</v>
      </c>
      <c r="L6" s="500"/>
      <c r="M6" s="501"/>
      <c r="N6"/>
      <c r="O6"/>
      <c r="P6"/>
      <c r="Q6"/>
      <c r="R6"/>
      <c r="S6"/>
      <c r="T6"/>
      <c r="U6"/>
      <c r="V6"/>
      <c r="W6"/>
      <c r="X6"/>
      <c r="Y6"/>
      <c r="AF6" s="6"/>
      <c r="AG6" s="6"/>
      <c r="AH6" s="6"/>
      <c r="AI6" s="6"/>
      <c r="AJ6" s="6"/>
      <c r="AK6" s="6"/>
      <c r="AL6" s="6"/>
    </row>
    <row r="7" spans="2:38" s="5" customFormat="1" ht="15" customHeight="1">
      <c r="B7" s="401" t="s">
        <v>47</v>
      </c>
      <c r="C7" s="402"/>
      <c r="D7" s="403"/>
      <c r="E7" s="499">
        <f>IF(testnumber="","",testnumber)</f>
      </c>
      <c r="F7" s="500"/>
      <c r="G7" s="501"/>
      <c r="H7" s="395" t="s">
        <v>48</v>
      </c>
      <c r="I7" s="395"/>
      <c r="J7" s="395"/>
      <c r="K7" s="499">
        <f>IF(lettingdate="","",lettingdate)</f>
      </c>
      <c r="L7" s="500"/>
      <c r="M7" s="501"/>
      <c r="N7"/>
      <c r="P7"/>
      <c r="AF7" s="6"/>
      <c r="AG7" s="6"/>
      <c r="AH7" s="6"/>
      <c r="AI7" s="6"/>
      <c r="AJ7" s="6"/>
      <c r="AK7" s="6"/>
      <c r="AL7" s="6"/>
    </row>
    <row r="8" spans="2:38" s="5" customFormat="1" ht="15" customHeight="1">
      <c r="B8" s="401" t="s">
        <v>417</v>
      </c>
      <c r="C8" s="402"/>
      <c r="D8" s="403"/>
      <c r="E8" s="499">
        <f>IF(status="","",status)</f>
      </c>
      <c r="F8" s="500"/>
      <c r="G8" s="501"/>
      <c r="H8" s="395" t="s">
        <v>49</v>
      </c>
      <c r="I8" s="395"/>
      <c r="J8" s="395"/>
      <c r="K8" s="499">
        <f>IF(ccsj="","",ccsj)</f>
      </c>
      <c r="L8" s="500"/>
      <c r="M8" s="501"/>
      <c r="N8"/>
      <c r="AF8" s="6"/>
      <c r="AG8" s="6"/>
      <c r="AH8" s="6"/>
      <c r="AI8" s="6"/>
      <c r="AJ8" s="6"/>
      <c r="AK8" s="6"/>
      <c r="AL8" s="6"/>
    </row>
    <row r="9" spans="2:23" s="5" customFormat="1" ht="15" customHeight="1">
      <c r="B9" s="401" t="s">
        <v>50</v>
      </c>
      <c r="C9" s="402"/>
      <c r="D9" s="403"/>
      <c r="E9" s="499">
        <f>IF(county="","",county)</f>
      </c>
      <c r="F9" s="500"/>
      <c r="G9" s="501"/>
      <c r="H9" s="395" t="s">
        <v>51</v>
      </c>
      <c r="I9" s="395"/>
      <c r="J9" s="395"/>
      <c r="K9" s="514" t="str">
        <f>+IF(specyear="","",specyear)</f>
        <v>2004</v>
      </c>
      <c r="L9" s="515"/>
      <c r="M9" s="516"/>
      <c r="N9"/>
      <c r="Q9" s="10"/>
      <c r="R9" s="10"/>
      <c r="S9" s="10"/>
      <c r="T9" s="10"/>
      <c r="U9" s="10"/>
      <c r="V9" s="10"/>
      <c r="W9" s="10"/>
    </row>
    <row r="10" spans="2:14" s="5" customFormat="1" ht="15" customHeight="1">
      <c r="B10" s="401" t="s">
        <v>52</v>
      </c>
      <c r="C10" s="402"/>
      <c r="D10" s="403"/>
      <c r="E10" s="499" t="str">
        <f>IF(sampledby="","",sampledby)</f>
        <v>Xiaodi </v>
      </c>
      <c r="F10" s="500"/>
      <c r="G10" s="501"/>
      <c r="H10" s="392" t="s">
        <v>53</v>
      </c>
      <c r="I10" s="392"/>
      <c r="J10" s="392"/>
      <c r="K10" s="499">
        <f>IF(specitem="","",specitem)</f>
      </c>
      <c r="L10" s="500"/>
      <c r="M10" s="501"/>
      <c r="N10"/>
    </row>
    <row r="11" spans="1:13" ht="15" customHeight="1">
      <c r="A11" s="10"/>
      <c r="B11" s="401" t="s">
        <v>54</v>
      </c>
      <c r="C11" s="402"/>
      <c r="D11" s="403"/>
      <c r="E11" s="499" t="str">
        <f>IF(samplelocation="","",samplelocation)</f>
        <v>TTI</v>
      </c>
      <c r="F11" s="500"/>
      <c r="G11" s="501"/>
      <c r="H11" s="395" t="s">
        <v>55</v>
      </c>
      <c r="I11" s="395"/>
      <c r="J11" s="395"/>
      <c r="K11" s="508">
        <f>IF(specialprovision="","",specialprovision)</f>
      </c>
      <c r="L11" s="509"/>
      <c r="M11" s="510"/>
    </row>
    <row r="12" spans="1:13" ht="15" customHeight="1">
      <c r="A12" s="10"/>
      <c r="B12" s="401" t="s">
        <v>418</v>
      </c>
      <c r="C12" s="402"/>
      <c r="D12" s="403"/>
      <c r="E12" s="499">
        <f>IF(material="","",material)</f>
      </c>
      <c r="F12" s="500"/>
      <c r="G12" s="501"/>
      <c r="H12" s="392" t="s">
        <v>56</v>
      </c>
      <c r="I12" s="392"/>
      <c r="J12" s="392"/>
      <c r="K12" s="508" t="str">
        <f>IF(Grade="","",Grade)</f>
        <v>Other</v>
      </c>
      <c r="L12" s="509"/>
      <c r="M12" s="510"/>
    </row>
    <row r="13" spans="1:13" ht="15" customHeight="1">
      <c r="A13" s="10"/>
      <c r="B13" s="401" t="s">
        <v>416</v>
      </c>
      <c r="C13" s="402"/>
      <c r="D13" s="403"/>
      <c r="E13" s="537">
        <f>IF(matl_nm="","",matl_nm)</f>
      </c>
      <c r="F13" s="538"/>
      <c r="G13" s="538"/>
      <c r="H13" s="538"/>
      <c r="I13" s="538"/>
      <c r="J13" s="538"/>
      <c r="K13" s="538"/>
      <c r="L13" s="538"/>
      <c r="M13" s="539"/>
    </row>
    <row r="14" spans="1:13" ht="15" customHeight="1">
      <c r="A14" s="10"/>
      <c r="B14" s="401" t="s">
        <v>57</v>
      </c>
      <c r="C14" s="402"/>
      <c r="D14" s="403"/>
      <c r="E14" s="496">
        <f>IF(producer="","",producer)</f>
      </c>
      <c r="F14" s="497"/>
      <c r="G14" s="497"/>
      <c r="H14" s="497"/>
      <c r="I14" s="497"/>
      <c r="J14" s="497"/>
      <c r="K14" s="497"/>
      <c r="L14" s="497"/>
      <c r="M14" s="498"/>
    </row>
    <row r="15" spans="1:13" ht="15" customHeight="1">
      <c r="A15" s="10"/>
      <c r="B15" s="401" t="s">
        <v>58</v>
      </c>
      <c r="C15" s="402"/>
      <c r="D15" s="403"/>
      <c r="E15" s="499">
        <f>IF(areaengineer="","",areaengineer)</f>
      </c>
      <c r="F15" s="500"/>
      <c r="G15" s="501"/>
      <c r="H15" s="502" t="s">
        <v>59</v>
      </c>
      <c r="I15" s="503"/>
      <c r="J15" s="504"/>
      <c r="K15" s="505">
        <f>IF(projectmanager="","",projectmanager)</f>
      </c>
      <c r="L15" s="506"/>
      <c r="M15" s="507"/>
    </row>
    <row r="16" spans="1:16" ht="6" customHeight="1">
      <c r="A16" s="39"/>
      <c r="B16" s="11"/>
      <c r="C16" s="11"/>
      <c r="D16" s="11"/>
      <c r="E16" s="12"/>
      <c r="F16" s="12"/>
      <c r="G16" s="12"/>
      <c r="H16" s="12"/>
      <c r="I16" s="12"/>
      <c r="J16" s="12"/>
      <c r="K16" s="12"/>
      <c r="L16" s="12"/>
      <c r="M16" s="13"/>
      <c r="N16" s="13"/>
      <c r="O16" s="13"/>
      <c r="P16" s="13"/>
    </row>
    <row r="17" spans="1:18" ht="15" customHeight="1">
      <c r="A17" s="39"/>
      <c r="B17" s="401" t="s">
        <v>1</v>
      </c>
      <c r="C17" s="402"/>
      <c r="D17" s="403"/>
      <c r="E17" s="139">
        <f>IF(courselift="","",courselift)</f>
      </c>
      <c r="F17" s="369" t="s">
        <v>2</v>
      </c>
      <c r="G17" s="370"/>
      <c r="H17" s="484">
        <f>IF(station="","",station)</f>
      </c>
      <c r="I17" s="485"/>
      <c r="J17" s="369" t="s">
        <v>3</v>
      </c>
      <c r="K17" s="370"/>
      <c r="L17" s="484">
        <f>IF(distfromcl="","",distfromcl)</f>
      </c>
      <c r="M17" s="485"/>
      <c r="N17" s="603" t="s">
        <v>393</v>
      </c>
      <c r="O17" s="604"/>
      <c r="P17" s="604"/>
      <c r="Q17" s="459">
        <f>IF(condesignnum="","",condesignnum)</f>
      </c>
      <c r="R17" s="460"/>
    </row>
    <row r="18" ht="15" customHeight="1"/>
    <row r="19" spans="2:22" ht="15" customHeight="1">
      <c r="B19" s="593" t="s">
        <v>133</v>
      </c>
      <c r="C19" s="594"/>
      <c r="D19" s="594"/>
      <c r="E19" s="594"/>
      <c r="F19" s="595"/>
      <c r="G19" s="621">
        <v>16000</v>
      </c>
      <c r="H19" s="622"/>
      <c r="I19" s="108" t="s">
        <v>61</v>
      </c>
      <c r="J19" s="593" t="str">
        <f>Binder&amp;"% Asphalt by Weight of Aggregate:"</f>
        <v>% Asphalt by Weight of Aggregate:</v>
      </c>
      <c r="K19" s="594"/>
      <c r="L19" s="594"/>
      <c r="M19" s="594"/>
      <c r="N19" s="594"/>
      <c r="O19" s="595"/>
      <c r="P19" s="617">
        <f>AggrWt*(Binder/100)/((100-Binder)/100)</f>
        <v>0</v>
      </c>
      <c r="Q19" s="618"/>
      <c r="R19" s="108" t="s">
        <v>61</v>
      </c>
      <c r="S19" s="581">
        <f>IF(OR(MID(Grade,13,3)="A_R",MID(Grade,11,2)="AR"),percentrubber&amp;"% Crumb Rubber by Weight of Asphalt",IF(OR(AND(MID(Grade,9,3)="PFC",MID(Grade,13,3)&lt;&gt;"A_R"),AND(MID(Grade,9,4)="SMA_")),percentfiber&amp;"% Fibers by Weight of Total Mixture Weight",""))</f>
      </c>
      <c r="T19" s="582"/>
      <c r="U19" s="587">
        <f>IF(percentfiber&lt;&gt;"",(AggrWt+G20)*percentfiber/100,IF(percentrubber&lt;&gt;"",P21*percentrubber/100,0))</f>
        <v>0</v>
      </c>
      <c r="V19" s="590" t="s">
        <v>61</v>
      </c>
    </row>
    <row r="20" spans="2:22" ht="15" customHeight="1">
      <c r="B20" s="593" t="str">
        <f>Binder&amp;"% Asphalt by Weight of Aggr:"</f>
        <v>% Asphalt by Weight of Aggr:</v>
      </c>
      <c r="C20" s="594"/>
      <c r="D20" s="594"/>
      <c r="E20" s="594"/>
      <c r="F20" s="595"/>
      <c r="G20" s="601">
        <f>G19*(Binder/100)/((100-Binder)/100)</f>
        <v>0</v>
      </c>
      <c r="H20" s="602"/>
      <c r="I20" s="108" t="s">
        <v>61</v>
      </c>
      <c r="J20" s="598" t="str">
        <f>"Less Asphalt by Weight of RAP Aggregate:"</f>
        <v>Less Asphalt by Weight of RAP Aggregate:</v>
      </c>
      <c r="K20" s="599"/>
      <c r="L20" s="599"/>
      <c r="M20" s="599"/>
      <c r="N20" s="599"/>
      <c r="O20" s="600"/>
      <c r="P20" s="596">
        <f>SUM((F41*BIN1rapac/100),(H41*BIN2Rapac/100),(J41*Bin3Rapac/100),(L41*Bin4Rapac/100),(N41*Bin5Rapac/100),(P41*Bin6Rapac/100),(R41*Bin7Rapac/100))</f>
        <v>0</v>
      </c>
      <c r="Q20" s="597"/>
      <c r="R20" s="147" t="s">
        <v>61</v>
      </c>
      <c r="S20" s="583"/>
      <c r="T20" s="584"/>
      <c r="U20" s="588"/>
      <c r="V20" s="591"/>
    </row>
    <row r="21" spans="2:26" s="5" customFormat="1" ht="15" customHeight="1">
      <c r="B21" s="620" t="s">
        <v>132</v>
      </c>
      <c r="C21" s="620"/>
      <c r="D21" s="620"/>
      <c r="E21" s="620"/>
      <c r="F21" s="620"/>
      <c r="G21" s="605">
        <f>G19+G20+U19</f>
        <v>16000</v>
      </c>
      <c r="H21" s="606"/>
      <c r="I21" s="108" t="s">
        <v>61</v>
      </c>
      <c r="J21" s="593" t="str">
        <f>"("&amp;ACSource&amp;") Asphalt to Add:"</f>
        <v>() Asphalt to Add:</v>
      </c>
      <c r="K21" s="594"/>
      <c r="L21" s="594"/>
      <c r="M21" s="594"/>
      <c r="N21" s="594"/>
      <c r="O21" s="595"/>
      <c r="P21" s="619">
        <f>+P19-P20</f>
        <v>0</v>
      </c>
      <c r="Q21" s="619"/>
      <c r="R21" s="108" t="s">
        <v>61</v>
      </c>
      <c r="S21" s="585"/>
      <c r="T21" s="586"/>
      <c r="U21" s="589"/>
      <c r="V21" s="592"/>
      <c r="W21" s="15"/>
      <c r="X21" s="15"/>
      <c r="Y21" s="15"/>
      <c r="Z21" s="15"/>
    </row>
    <row r="22" ht="6" customHeight="1"/>
    <row r="23" spans="3:26" ht="17.25" customHeight="1">
      <c r="C23" s="123"/>
      <c r="D23" s="123"/>
      <c r="E23" s="123"/>
      <c r="F23" s="493" t="str">
        <f>IF(Bin1Frac="","","Bin No.1 = "&amp;Bin1Frac&amp;" %")</f>
        <v>Bin No.1 = 60 %</v>
      </c>
      <c r="G23" s="495"/>
      <c r="H23" s="493" t="str">
        <f>IF(Bin2Frac="","","Bin No.2 = "&amp;Bin2Frac&amp;" %")</f>
        <v>Bin No.2 = 40 %</v>
      </c>
      <c r="I23" s="495"/>
      <c r="J23" s="493">
        <f>IF(Bin3Frac="","","Bin No.3 = "&amp;Bin3Frac&amp;" %")</f>
      </c>
      <c r="K23" s="495"/>
      <c r="L23" s="493">
        <f>IF(Bin4Frac="","","Bin No.4 = "&amp;Bin4Frac&amp;" %")</f>
      </c>
      <c r="M23" s="495"/>
      <c r="N23" s="493">
        <f>IF(Bin5Frac="","","Bin No.5 = "&amp;Bin5Frac&amp;" %")</f>
      </c>
      <c r="O23" s="495"/>
      <c r="P23" s="493">
        <f>IF(Bin6Frac="","","Bin No.6 = "&amp;Bin6Frac&amp;" %")</f>
      </c>
      <c r="Q23" s="495"/>
      <c r="R23" s="493">
        <f>IF(Bin7Frac="","","Bin No.7 = "&amp;Bin7Frac&amp;" %")</f>
      </c>
      <c r="S23" s="495"/>
      <c r="X23" s="525"/>
      <c r="Y23" s="525"/>
      <c r="Z23" s="525"/>
    </row>
    <row r="24" spans="2:26" ht="17.25" customHeight="1">
      <c r="B24" s="607" t="s">
        <v>64</v>
      </c>
      <c r="C24" s="400" t="s">
        <v>138</v>
      </c>
      <c r="D24" s="400"/>
      <c r="E24" s="400"/>
      <c r="F24" s="513" t="str">
        <f>IF(Bin1Source="","",Bin1Source)</f>
        <v>Hoban</v>
      </c>
      <c r="G24" s="550"/>
      <c r="H24" s="490" t="str">
        <f>IF(Bin2Source="","",Bin2Source)</f>
        <v>Turner</v>
      </c>
      <c r="I24" s="492"/>
      <c r="J24" s="490">
        <f>IF(Bin3Source="","",Bin3Source)</f>
      </c>
      <c r="K24" s="492"/>
      <c r="L24" s="490">
        <f>IF(Bin4Source="","",Bin4Source)</f>
      </c>
      <c r="M24" s="492"/>
      <c r="N24" s="490">
        <f>IF(Bin5Source="","",Bin5Source)</f>
      </c>
      <c r="O24" s="492"/>
      <c r="P24" s="490">
        <f>IF(Bin6Source="","",Bin6Source)</f>
      </c>
      <c r="Q24" s="492"/>
      <c r="R24" s="490">
        <f>IF(Bin7Source="","",Bin7Source)</f>
      </c>
      <c r="S24" s="492"/>
      <c r="X24" s="525"/>
      <c r="Y24" s="525"/>
      <c r="Z24" s="525"/>
    </row>
    <row r="25" spans="2:26" ht="17.25" customHeight="1">
      <c r="B25" s="608"/>
      <c r="C25" s="400" t="s">
        <v>139</v>
      </c>
      <c r="D25" s="400"/>
      <c r="E25" s="400"/>
      <c r="F25" s="513">
        <f>IF(Bin1Aggr="","",Bin1Aggr)</f>
      </c>
      <c r="G25" s="550"/>
      <c r="H25" s="490">
        <f>IF(Bin2Aggr="","",Bin2Aggr)</f>
      </c>
      <c r="I25" s="492"/>
      <c r="J25" s="490">
        <f>IF(Bin3Aggr="","",Bin3Aggr)</f>
      </c>
      <c r="K25" s="492"/>
      <c r="L25" s="490">
        <f>IF(Bin4Aggr="","",Bin4Aggr)</f>
      </c>
      <c r="M25" s="492"/>
      <c r="N25" s="490">
        <f>IF(Bin5Aggr="","",Bin5Aggr)</f>
      </c>
      <c r="O25" s="492"/>
      <c r="P25" s="490">
        <f>IF(Bin6Aggr="","",Bin6Aggr)</f>
      </c>
      <c r="Q25" s="492"/>
      <c r="R25" s="490">
        <f>IF(Bin7Aggr="","",Bin7Aggr)</f>
      </c>
      <c r="S25" s="492"/>
      <c r="T25" s="623" t="s">
        <v>62</v>
      </c>
      <c r="U25" s="350" t="str">
        <f>"Individual"&amp;CHAR(10)&amp;"Retained, %"</f>
        <v>Individual
Retained, %</v>
      </c>
      <c r="V25" s="626" t="s">
        <v>152</v>
      </c>
      <c r="X25" s="525"/>
      <c r="Y25" s="525"/>
      <c r="Z25" s="525"/>
    </row>
    <row r="26" spans="2:26" ht="17.25" customHeight="1">
      <c r="B26" s="608"/>
      <c r="C26" s="400" t="s">
        <v>125</v>
      </c>
      <c r="D26" s="400"/>
      <c r="E26" s="400"/>
      <c r="F26" s="513" t="str">
        <f>IF(Bin1samp="","",Bin1samp)</f>
        <v>Grade 5</v>
      </c>
      <c r="G26" s="550"/>
      <c r="H26" s="490" t="str">
        <f>IF(Bin2Samp="","",Bin2Samp)</f>
        <v>Screenings</v>
      </c>
      <c r="I26" s="492"/>
      <c r="J26" s="490">
        <f>IF(Bin3Samp="","",Bin3Samp)</f>
      </c>
      <c r="K26" s="492"/>
      <c r="L26" s="490">
        <f>IF(Bin4Samp="","",Bin4Samp)</f>
      </c>
      <c r="M26" s="492"/>
      <c r="N26" s="490">
        <f>IF(Bin5Samp="","",Bin5Samp)</f>
      </c>
      <c r="O26" s="492"/>
      <c r="P26" s="490">
        <f>IF(Bin6Samp="","",Bin6Samp)</f>
      </c>
      <c r="Q26" s="492"/>
      <c r="R26" s="490">
        <f>IF(Bin7Samp="","",Bin7Samp)</f>
      </c>
      <c r="S26" s="492"/>
      <c r="T26" s="624"/>
      <c r="U26" s="351"/>
      <c r="V26" s="627"/>
      <c r="X26" s="63"/>
      <c r="Y26" s="63"/>
      <c r="Z26" s="63"/>
    </row>
    <row r="27" spans="2:26" ht="6" customHeight="1">
      <c r="B27" s="608"/>
      <c r="C27" s="128"/>
      <c r="D27" s="129"/>
      <c r="E27" s="130"/>
      <c r="F27" s="131"/>
      <c r="G27" s="132"/>
      <c r="H27" s="131"/>
      <c r="I27" s="133"/>
      <c r="J27" s="131"/>
      <c r="K27" s="133"/>
      <c r="L27" s="131"/>
      <c r="M27" s="133"/>
      <c r="N27" s="131"/>
      <c r="O27" s="133"/>
      <c r="P27" s="131"/>
      <c r="Q27" s="133"/>
      <c r="R27" s="131"/>
      <c r="S27" s="133"/>
      <c r="T27" s="624"/>
      <c r="U27" s="351"/>
      <c r="V27" s="627"/>
      <c r="X27" s="63"/>
      <c r="Y27" s="63"/>
      <c r="Z27" s="63"/>
    </row>
    <row r="28" spans="2:26" ht="17.25" customHeight="1">
      <c r="B28" s="608"/>
      <c r="C28" s="407" t="s">
        <v>4</v>
      </c>
      <c r="D28" s="408"/>
      <c r="E28" s="555"/>
      <c r="F28" s="612" t="str">
        <f>IF(F23="","",IF(Bin1RAP="Yes","RAP Weight","Aggregate Weight"))</f>
        <v>Aggregate Weight</v>
      </c>
      <c r="G28" s="613"/>
      <c r="H28" s="612" t="str">
        <f>IF(H23="","",IF(Bin2RAP="Yes","RAP Weight","Aggregate Weight"))</f>
        <v>Aggregate Weight</v>
      </c>
      <c r="I28" s="613"/>
      <c r="J28" s="612">
        <f>IF(J23="","",IF(Bin3RAP="Yes","RAP Weight","Aggregate Weight"))</f>
      </c>
      <c r="K28" s="613"/>
      <c r="L28" s="612">
        <f>IF(L23="","",IF(Bin4RAP="Yes","RAP Weight","Aggregate Weight"))</f>
      </c>
      <c r="M28" s="613"/>
      <c r="N28" s="612">
        <f>IF(N23="","",IF(Bin5RAP="Yes","RAP Weight","Aggregate Weight"))</f>
      </c>
      <c r="O28" s="613"/>
      <c r="P28" s="612">
        <f>IF(P23="","",IF(Bin6RAP="Yes","RAP Weight","Aggregate Weight"))</f>
      </c>
      <c r="Q28" s="613"/>
      <c r="R28" s="612">
        <f>IF(R23="","",IF(Bin7RAP="Yes","RAP Weight","Aggregate Weight"))</f>
      </c>
      <c r="S28" s="613"/>
      <c r="T28" s="624"/>
      <c r="U28" s="351"/>
      <c r="V28" s="627"/>
      <c r="X28" s="63"/>
      <c r="Y28" s="63"/>
      <c r="Z28" s="63"/>
    </row>
    <row r="29" spans="2:26" ht="17.25" customHeight="1">
      <c r="B29" s="608"/>
      <c r="C29" s="556" t="s">
        <v>134</v>
      </c>
      <c r="D29" s="557"/>
      <c r="E29" s="558"/>
      <c r="F29" s="614"/>
      <c r="G29" s="615"/>
      <c r="H29" s="614"/>
      <c r="I29" s="615"/>
      <c r="J29" s="614"/>
      <c r="K29" s="615"/>
      <c r="L29" s="614"/>
      <c r="M29" s="615"/>
      <c r="N29" s="614"/>
      <c r="O29" s="615"/>
      <c r="P29" s="614"/>
      <c r="Q29" s="615"/>
      <c r="R29" s="614"/>
      <c r="S29" s="615"/>
      <c r="T29" s="625"/>
      <c r="U29" s="346"/>
      <c r="V29" s="628"/>
      <c r="X29" s="63"/>
      <c r="Y29" s="63"/>
      <c r="Z29" s="63"/>
    </row>
    <row r="30" spans="2:26" ht="15" customHeight="1">
      <c r="B30" s="608"/>
      <c r="C30" s="64"/>
      <c r="D30" s="62" t="s">
        <v>60</v>
      </c>
      <c r="E30" s="62" t="str">
        <f ca="1">IF(ISERROR(INDEX(INDIRECT(Grade),1,IF(specyear="2004",2,3))),"Pan",INDEX(INDIRECT(Grade),1,IF(specyear="2004",2,3)))</f>
        <v>3/8"</v>
      </c>
      <c r="F30" s="610">
        <f>IF(ISERROR(IF(Bin1RAP="Yes",AggrWt*((Bin1Frac-'Combined Gradation'!F30)/100)/((100-BIN1rapac)/100),AggrWt*((Bin1Frac-'Combined Gradation'!F30)/100))),0,IF(Bin1RAP="Yes",AggrWt*((Bin1Frac-'Combined Gradation'!F30)/100)/((100-BIN1rapac)/100),AggrWt*((Bin1Frac-'Combined Gradation'!F30)/100)))</f>
        <v>48.00000000000068</v>
      </c>
      <c r="G30" s="611"/>
      <c r="H30" s="610">
        <f>IF(ISERROR(IF(Bin2RAP="Yes",AggrWt*((Bin2Frac-'Combined Gradation'!H30)/100)/((100-BIN2Rapac)/100),AggrWt*((Bin2Frac-'Combined Gradation'!H30)/100))),0,IF(Bin2RAP="Yes",AggrWt*((Bin2Frac-'Combined Gradation'!H30)/100)/((100-BIN2Rapac)/100),AggrWt*((Bin2Frac-'Combined Gradation'!H30)/100)))</f>
        <v>0</v>
      </c>
      <c r="I30" s="611"/>
      <c r="J30" s="610">
        <f>IF(ISERROR(IF(Bin3RAP="Yes",AggrWt*((Bin3Frac-'Combined Gradation'!J30)/100)/((100-Bin3Rapac)/100),AggrWt*((Bin3Frac-'Combined Gradation'!J30)/100))),0,IF(Bin3RAP="Yes",AggrWt*((Bin3Frac-'Combined Gradation'!J30)/100)/((100-Bin3Rapac)/100),AggrWt*((Bin3Frac-'Combined Gradation'!J30)/100)))</f>
        <v>0</v>
      </c>
      <c r="K30" s="611"/>
      <c r="L30" s="610">
        <f>IF(ISERROR(IF(Bin4RAP="Yes",AggrWt*((Bin4Frac-'Combined Gradation'!L30)/100)/((100-Bin4Rapac)/100),AggrWt*((Bin4Frac-'Combined Gradation'!L30)/100))),0,IF(Bin4RAP="Yes",AggrWt*((Bin4Frac-'Combined Gradation'!L30)/100)/((100-Bin4Rapac)/100),AggrWt*((Bin4Frac-'Combined Gradation'!L30)/100)))</f>
        <v>0</v>
      </c>
      <c r="M30" s="611"/>
      <c r="N30" s="610">
        <f>IF(ISERROR(IF(Bin5RAP="Yes",AggrWt*((Bin5Frac-'Combined Gradation'!N30)/100)/((100-Bin5Rapac)/100),AggrWt*((Bin5Frac-'Combined Gradation'!N30)/100))),0,IF(Bin5RAP="Yes",AggrWt*((Bin5Frac-'Combined Gradation'!N30)/100)/((100-Bin5Rapac)/100),AggrWt*((Bin5Frac-'Combined Gradation'!N30)/100)))</f>
        <v>0</v>
      </c>
      <c r="O30" s="611"/>
      <c r="P30" s="610">
        <f>IF(ISERROR(IF(Bin6RAP="Yes",AggrWt*((Bin6Frac-'Combined Gradation'!P30)/100)/((100-Bin6Rapac)/100),AggrWt*((Bin6Frac-'Combined Gradation'!P30)/100))),0,IF(Bin6RAP="Yes",AggrWt*((Bin6Frac-'Combined Gradation'!P30)/100)/((100-Bin6Rapac)/100),AggrWt*((Bin6Frac-'Combined Gradation'!P30)/100)))</f>
        <v>0</v>
      </c>
      <c r="Q30" s="611"/>
      <c r="R30" s="610">
        <f>IF(ISERROR(IF(Bin7RAP="Yes",AggrWt*((Bin7Frac-'Combined Gradation'!R30)/100)/((100-Bin7Rapac)/100),AggrWt*((Bin7Frac-'Combined Gradation'!R30)/100))),0,IF(Bin7RAP="Yes",AggrWt*((Bin7Frac-'Combined Gradation'!R30)/100)/((100-Bin7Rapac)/100),AggrWt*((Bin7Frac-'Combined Gradation'!R30)/100)))</f>
        <v>0</v>
      </c>
      <c r="S30" s="611"/>
      <c r="T30" s="109">
        <f>IF(ISERROR(SUM(F30:S30)),0,SUM(F30:S30))</f>
        <v>48.00000000000068</v>
      </c>
      <c r="U30" s="97">
        <f>IF(ISERROR(100*((T30)/($T$41))),0,100*((T30)/($T$41)))</f>
        <v>0.3000000000000042</v>
      </c>
      <c r="V30" s="97">
        <f>U30</f>
        <v>0.3000000000000042</v>
      </c>
      <c r="X30" s="67"/>
      <c r="Y30" s="66"/>
      <c r="Z30" s="66"/>
    </row>
    <row r="31" spans="2:26" ht="15" customHeight="1">
      <c r="B31" s="608"/>
      <c r="C31" s="62" t="str">
        <f ca="1">IF(ISERROR(INDEX(INDIRECT(Grade),1,IF(specyear="2004",2,3))),"",INDEX(INDIRECT(Grade),1,IF(specyear="2004",2,3)))</f>
        <v>3/8"</v>
      </c>
      <c r="D31" s="62" t="s">
        <v>60</v>
      </c>
      <c r="E31" s="54" t="str">
        <f ca="1">IF(ISERROR(INDEX(INDIRECT(Grade),2,IF(specyear="2004",2,3))),"Pan",INDEX(INDIRECT(Grade),2,IF(specyear="2004",2,3)))</f>
        <v>No. 4</v>
      </c>
      <c r="F31" s="610">
        <f>IF(ISERROR(IF(Bin1RAP="Yes",AggrWt*(('Combined Gradation'!F30-'Combined Gradation'!F31)/100)/((100-BIN1rapac)/100),AggrWt*(('Combined Gradation'!F30-'Combined Gradation'!F31)/100))),0,IF(Bin1RAP="Yes",AggrWt*(('Combined Gradation'!F30-'Combined Gradation'!F31)/100)/((100-BIN1rapac)/100),AggrWt*(('Combined Gradation'!F30-'Combined Gradation'!F31)/100)))</f>
        <v>7219.2</v>
      </c>
      <c r="G31" s="611"/>
      <c r="H31" s="610">
        <f>IF(ISERROR(IF(Bin2RAP="Yes",AggrWt*(('Combined Gradation'!H30-'Combined Gradation'!H31)/100)/((100-BIN2Rapac)/100),AggrWt*(('Combined Gradation'!H30-'Combined Gradation'!H31)/100))),0,IF(Bin2RAP="Yes",AggrWt*(('Combined Gradation'!H30-'Combined Gradation'!H31)/100)/((100-BIN2Rapac)/100),AggrWt*(('Combined Gradation'!H30-'Combined Gradation'!H31)/100)))</f>
        <v>191.99999999999932</v>
      </c>
      <c r="I31" s="611"/>
      <c r="J31" s="610">
        <f>IF(ISERROR(IF(Bin3RAP="Yes",AggrWt*(('Combined Gradation'!J30-'Combined Gradation'!J31)/100)/((100-Bin3Rapac)/100),AggrWt*(('Combined Gradation'!J30-'Combined Gradation'!J31)/100))),0,IF(Bin3RAP="Yes",AggrWt*(('Combined Gradation'!J30-'Combined Gradation'!J31)/100)/((100-Bin3Rapac)/100),AggrWt*(('Combined Gradation'!J30-'Combined Gradation'!J31)/100)))</f>
        <v>0</v>
      </c>
      <c r="K31" s="611"/>
      <c r="L31" s="610">
        <f>IF(ISERROR(IF(Bin4RAP="Yes",AggrWt*(('Combined Gradation'!L30-'Combined Gradation'!L31)/100)/((100-Bin4Rapac)/100),AggrWt*(('Combined Gradation'!L30-'Combined Gradation'!L31)/100))),0,IF(Bin4RAP="Yes",AggrWt*(('Combined Gradation'!L30-'Combined Gradation'!L31)/100)/((100-Bin4Rapac)/100),AggrWt*(('Combined Gradation'!L30-'Combined Gradation'!L31)/100)))</f>
        <v>0</v>
      </c>
      <c r="M31" s="611"/>
      <c r="N31" s="610">
        <f>IF(ISERROR(IF(Bin5RAP="Yes",AggrWt*(('Combined Gradation'!N30-'Combined Gradation'!N31)/100)/((100-Bin5Rapac)/100),AggrWt*(('Combined Gradation'!N30-'Combined Gradation'!N31)/100))),0,IF(Bin5RAP="Yes",AggrWt*(('Combined Gradation'!N30-'Combined Gradation'!N31)/100)/((100-Bin5Rapac)/100),AggrWt*(('Combined Gradation'!N30-'Combined Gradation'!N31)/100)))</f>
        <v>0</v>
      </c>
      <c r="O31" s="611"/>
      <c r="P31" s="610">
        <f>IF(ISERROR(IF(Bin6RAP="Yes",AggrWt*(('Combined Gradation'!P30-'Combined Gradation'!P31)/100)/((100-Bin6Rapac)/100),AggrWt*(('Combined Gradation'!P30-'Combined Gradation'!P31)/100))),0,IF(Bin6RAP="Yes",AggrWt*(('Combined Gradation'!P30-'Combined Gradation'!P31)/100)/((100-Bin6Rapac)/100),AggrWt*(('Combined Gradation'!P30-'Combined Gradation'!P31)/100)))</f>
        <v>0</v>
      </c>
      <c r="Q31" s="611"/>
      <c r="R31" s="610">
        <f>IF(ISERROR(IF(Bin7RAP="Yes",AggrWt*(('Combined Gradation'!R30-'Combined Gradation'!R31)/100)/((100-Bin7Rapac)/100),AggrWt*(('Combined Gradation'!R30-'Combined Gradation'!R31)/100))),0,IF(Bin7RAP="Yes",AggrWt*(('Combined Gradation'!R30-'Combined Gradation'!R31)/100)/((100-Bin7Rapac)/100),AggrWt*(('Combined Gradation'!R30-'Combined Gradation'!R31)/100)))</f>
        <v>0</v>
      </c>
      <c r="S31" s="611"/>
      <c r="T31" s="109">
        <f aca="true" t="shared" si="0" ref="T31:T40">IF(ISERROR(SUM(F31:S31)),0,SUM(F31:S31))</f>
        <v>7411.199999999999</v>
      </c>
      <c r="U31" s="97">
        <f aca="true" t="shared" si="1" ref="U31:U40">IF(ISERROR(100*((T31)/($T$41))),0,100*((T31)/($T$41)))</f>
        <v>46.319999999999986</v>
      </c>
      <c r="V31" s="97">
        <f>SUM($U$30:$U31)</f>
        <v>46.61999999999999</v>
      </c>
      <c r="X31" s="67"/>
      <c r="Y31" s="66"/>
      <c r="Z31" s="66"/>
    </row>
    <row r="32" spans="2:26" ht="15" customHeight="1">
      <c r="B32" s="608"/>
      <c r="C32" s="54" t="str">
        <f ca="1">IF(ISERROR(INDEX(INDIRECT(Grade),2,IF(specyear="2004",2,3))),"",INDEX(INDIRECT(Grade),2,IF(specyear="2004",2,3)))</f>
        <v>No. 4</v>
      </c>
      <c r="D32" s="62" t="s">
        <v>60</v>
      </c>
      <c r="E32" s="54" t="str">
        <f ca="1">IF(ISERROR(INDEX(INDIRECT(Grade),3,IF(specyear="2004",2,3))),"Pan",INDEX(INDIRECT(Grade),3,IF(specyear="2004",2,3)))</f>
        <v>No. 8</v>
      </c>
      <c r="F32" s="610">
        <f>IF(ISERROR(IF(Bin1RAP="Yes",AggrWt*(('Combined Gradation'!F31-'Combined Gradation'!F32)/100)/((100-BIN1rapac)/100),AggrWt*(('Combined Gradation'!F31-'Combined Gradation'!F32)/100))),0,IF(Bin1RAP="Yes",AggrWt*(('Combined Gradation'!F31-'Combined Gradation'!F32)/100)/((100-BIN1rapac)/100),AggrWt*(('Combined Gradation'!F31-'Combined Gradation'!F32)/100)))</f>
        <v>2179.2000000000003</v>
      </c>
      <c r="G32" s="611"/>
      <c r="H32" s="610">
        <f>IF(ISERROR(IF(Bin2RAP="Yes",AggrWt*(('Combined Gradation'!H31-'Combined Gradation'!H32)/100)/((100-BIN2Rapac)/100),AggrWt*(('Combined Gradation'!H31-'Combined Gradation'!H32)/100))),0,IF(Bin2RAP="Yes",AggrWt*(('Combined Gradation'!H31-'Combined Gradation'!H32)/100)/((100-BIN2Rapac)/100),AggrWt*(('Combined Gradation'!H31-'Combined Gradation'!H32)/100)))</f>
        <v>889.6000000000004</v>
      </c>
      <c r="I32" s="611"/>
      <c r="J32" s="610">
        <f>IF(ISERROR(IF(Bin3RAP="Yes",AggrWt*(('Combined Gradation'!J31-'Combined Gradation'!J32)/100)/((100-Bin3Rapac)/100),AggrWt*(('Combined Gradation'!J31-'Combined Gradation'!J32)/100))),0,IF(Bin3RAP="Yes",AggrWt*(('Combined Gradation'!J31-'Combined Gradation'!J32)/100)/((100-Bin3Rapac)/100),AggrWt*(('Combined Gradation'!J31-'Combined Gradation'!J32)/100)))</f>
        <v>0</v>
      </c>
      <c r="K32" s="611"/>
      <c r="L32" s="610">
        <f>IF(ISERROR(IF(Bin4RAP="Yes",AggrWt*(('Combined Gradation'!L31-'Combined Gradation'!L32)/100)/((100-Bin4Rapac)/100),AggrWt*(('Combined Gradation'!L31-'Combined Gradation'!L32)/100))),0,IF(Bin4RAP="Yes",AggrWt*(('Combined Gradation'!L31-'Combined Gradation'!L32)/100)/((100-Bin4Rapac)/100),AggrWt*(('Combined Gradation'!L31-'Combined Gradation'!L32)/100)))</f>
        <v>0</v>
      </c>
      <c r="M32" s="611"/>
      <c r="N32" s="610">
        <f>IF(ISERROR(IF(Bin5RAP="Yes",AggrWt*(('Combined Gradation'!N31-'Combined Gradation'!N32)/100)/((100-Bin5Rapac)/100),AggrWt*(('Combined Gradation'!N31-'Combined Gradation'!N32)/100))),0,IF(Bin5RAP="Yes",AggrWt*(('Combined Gradation'!N31-'Combined Gradation'!N32)/100)/((100-Bin5Rapac)/100),AggrWt*(('Combined Gradation'!N31-'Combined Gradation'!N32)/100)))</f>
        <v>0</v>
      </c>
      <c r="O32" s="611"/>
      <c r="P32" s="610">
        <f>IF(ISERROR(IF(Bin6RAP="Yes",AggrWt*(('Combined Gradation'!P31-'Combined Gradation'!P32)/100)/((100-Bin6Rapac)/100),AggrWt*(('Combined Gradation'!P31-'Combined Gradation'!P32)/100))),0,IF(Bin6RAP="Yes",AggrWt*(('Combined Gradation'!P31-'Combined Gradation'!P32)/100)/((100-Bin6Rapac)/100),AggrWt*(('Combined Gradation'!P31-'Combined Gradation'!P32)/100)))</f>
        <v>0</v>
      </c>
      <c r="Q32" s="611"/>
      <c r="R32" s="610">
        <f>IF(ISERROR(IF(Bin7RAP="Yes",AggrWt*(('Combined Gradation'!R31-'Combined Gradation'!R32)/100)/((100-Bin7Rapac)/100),AggrWt*(('Combined Gradation'!R31-'Combined Gradation'!R32)/100))),0,IF(Bin7RAP="Yes",AggrWt*(('Combined Gradation'!R31-'Combined Gradation'!R32)/100)/((100-Bin7Rapac)/100),AggrWt*(('Combined Gradation'!R31-'Combined Gradation'!R32)/100)))</f>
        <v>0</v>
      </c>
      <c r="S32" s="611"/>
      <c r="T32" s="109">
        <f t="shared" si="0"/>
        <v>3068.8000000000006</v>
      </c>
      <c r="U32" s="97">
        <f t="shared" si="1"/>
        <v>19.180000000000003</v>
      </c>
      <c r="V32" s="97">
        <f>SUM($U$30:$U32)</f>
        <v>65.8</v>
      </c>
      <c r="X32" s="67"/>
      <c r="Y32" s="66"/>
      <c r="Z32" s="66"/>
    </row>
    <row r="33" spans="2:26" ht="15" customHeight="1">
      <c r="B33" s="608"/>
      <c r="C33" s="54" t="str">
        <f ca="1">IF(ISERROR(INDEX(INDIRECT(Grade),3,IF(specyear="2004",2,3))),"",INDEX(INDIRECT(Grade),3,IF(specyear="2004",2,3)))</f>
        <v>No. 8</v>
      </c>
      <c r="D33" s="62" t="s">
        <v>60</v>
      </c>
      <c r="E33" s="54" t="str">
        <f ca="1">IF(ISERROR(INDEX(INDIRECT(Grade),4,IF(specyear="2004",2,3))),"Pan",INDEX(INDIRECT(Grade),4,IF(specyear="2004",2,3)))</f>
        <v>No. 16</v>
      </c>
      <c r="F33" s="610">
        <f>IF(ISERROR(IF(Bin1RAP="Yes",AggrWt*(('Combined Gradation'!F32-'Combined Gradation'!F33)/100)/((100-BIN1rapac)/100),AggrWt*(('Combined Gradation'!F32-'Combined Gradation'!F33)/100))),0,IF(Bin1RAP="Yes",AggrWt*(('Combined Gradation'!F32-'Combined Gradation'!F33)/100)/((100-BIN1rapac)/100),AggrWt*(('Combined Gradation'!F32-'Combined Gradation'!F33)/100)))</f>
        <v>86.4</v>
      </c>
      <c r="G33" s="611"/>
      <c r="H33" s="610">
        <f>IF(ISERROR(IF(Bin2RAP="Yes",AggrWt*(('Combined Gradation'!H32-'Combined Gradation'!H33)/100)/((100-BIN2Rapac)/100),AggrWt*(('Combined Gradation'!H32-'Combined Gradation'!H33)/100))),0,IF(Bin2RAP="Yes",AggrWt*(('Combined Gradation'!H32-'Combined Gradation'!H33)/100)/((100-BIN2Rapac)/100),AggrWt*(('Combined Gradation'!H32-'Combined Gradation'!H33)/100)))</f>
        <v>1753.6000000000001</v>
      </c>
      <c r="I33" s="611"/>
      <c r="J33" s="610">
        <f>IF(ISERROR(IF(Bin3RAP="Yes",AggrWt*(('Combined Gradation'!J32-'Combined Gradation'!J33)/100)/((100-Bin3Rapac)/100),AggrWt*(('Combined Gradation'!J32-'Combined Gradation'!J33)/100))),0,IF(Bin3RAP="Yes",AggrWt*(('Combined Gradation'!J32-'Combined Gradation'!J33)/100)/((100-Bin3Rapac)/100),AggrWt*(('Combined Gradation'!J32-'Combined Gradation'!J33)/100)))</f>
        <v>0</v>
      </c>
      <c r="K33" s="611"/>
      <c r="L33" s="610">
        <f>IF(ISERROR(IF(Bin4RAP="Yes",AggrWt*(('Combined Gradation'!L32-'Combined Gradation'!L33)/100)/((100-Bin4Rapac)/100),AggrWt*(('Combined Gradation'!L32-'Combined Gradation'!L33)/100))),0,IF(Bin4RAP="Yes",AggrWt*(('Combined Gradation'!L32-'Combined Gradation'!L33)/100)/((100-Bin4Rapac)/100),AggrWt*(('Combined Gradation'!L32-'Combined Gradation'!L33)/100)))</f>
        <v>0</v>
      </c>
      <c r="M33" s="611"/>
      <c r="N33" s="610">
        <f>IF(ISERROR(IF(Bin5RAP="Yes",AggrWt*(('Combined Gradation'!N32-'Combined Gradation'!N33)/100)/((100-Bin5Rapac)/100),AggrWt*(('Combined Gradation'!N32-'Combined Gradation'!N33)/100))),0,IF(Bin5RAP="Yes",AggrWt*(('Combined Gradation'!N32-'Combined Gradation'!N33)/100)/((100-Bin5Rapac)/100),AggrWt*(('Combined Gradation'!N32-'Combined Gradation'!N33)/100)))</f>
        <v>0</v>
      </c>
      <c r="O33" s="611"/>
      <c r="P33" s="610">
        <f>IF(ISERROR(IF(Bin6RAP="Yes",AggrWt*(('Combined Gradation'!P32-'Combined Gradation'!P33)/100)/((100-Bin6Rapac)/100),AggrWt*(('Combined Gradation'!P32-'Combined Gradation'!P33)/100))),0,IF(Bin6RAP="Yes",AggrWt*(('Combined Gradation'!P32-'Combined Gradation'!P33)/100)/((100-Bin6Rapac)/100),AggrWt*(('Combined Gradation'!P32-'Combined Gradation'!P33)/100)))</f>
        <v>0</v>
      </c>
      <c r="Q33" s="611"/>
      <c r="R33" s="610">
        <f>IF(ISERROR(IF(Bin7RAP="Yes",AggrWt*(('Combined Gradation'!R32-'Combined Gradation'!R33)/100)/((100-Bin7Rapac)/100),AggrWt*(('Combined Gradation'!R32-'Combined Gradation'!R33)/100))),0,IF(Bin7RAP="Yes",AggrWt*(('Combined Gradation'!R32-'Combined Gradation'!R33)/100)/((100-Bin7Rapac)/100),AggrWt*(('Combined Gradation'!R32-'Combined Gradation'!R33)/100)))</f>
        <v>0</v>
      </c>
      <c r="S33" s="611"/>
      <c r="T33" s="109">
        <f t="shared" si="0"/>
        <v>1840.0000000000002</v>
      </c>
      <c r="U33" s="97">
        <f t="shared" si="1"/>
        <v>11.5</v>
      </c>
      <c r="V33" s="97">
        <f>SUM($U$30:$U33)</f>
        <v>77.3</v>
      </c>
      <c r="X33" s="67"/>
      <c r="Y33" s="66"/>
      <c r="Z33" s="66"/>
    </row>
    <row r="34" spans="2:26" ht="15" customHeight="1">
      <c r="B34" s="608"/>
      <c r="C34" s="54" t="str">
        <f ca="1">IF(ISERROR(INDEX(INDIRECT(Grade),4,IF(specyear="2004",2,3))),"",INDEX(INDIRECT(Grade),4,IF(specyear="2004",2,3)))</f>
        <v>No. 16</v>
      </c>
      <c r="D34" s="62" t="s">
        <v>60</v>
      </c>
      <c r="E34" s="54" t="str">
        <f ca="1">IF(ISERROR(INDEX(INDIRECT(Grade),5,IF(specyear="2004",2,3))),"Pan",INDEX(INDIRECT(Grade),5,IF(specyear="2004",2,3)))</f>
        <v>No. 30</v>
      </c>
      <c r="F34" s="610">
        <f>IF(ISERROR(IF(Bin1RAP="Yes",AggrWt*(('Combined Gradation'!F33-'Combined Gradation'!F34)/100)/((100-BIN1rapac)/100),AggrWt*(('Combined Gradation'!F33-'Combined Gradation'!F34)/100))),0,IF(Bin1RAP="Yes",AggrWt*(('Combined Gradation'!F33-'Combined Gradation'!F34)/100)/((100-BIN1rapac)/100),AggrWt*(('Combined Gradation'!F33-'Combined Gradation'!F34)/100)))</f>
        <v>0</v>
      </c>
      <c r="G34" s="611"/>
      <c r="H34" s="610">
        <f>IF(ISERROR(IF(Bin2RAP="Yes",AggrWt*(('Combined Gradation'!H33-'Combined Gradation'!H34)/100)/((100-BIN2Rapac)/100),AggrWt*(('Combined Gradation'!H33-'Combined Gradation'!H34)/100))),0,IF(Bin2RAP="Yes",AggrWt*(('Combined Gradation'!H33-'Combined Gradation'!H34)/100)/((100-BIN2Rapac)/100),AggrWt*(('Combined Gradation'!H33-'Combined Gradation'!H34)/100)))</f>
        <v>857.6000000000005</v>
      </c>
      <c r="I34" s="611"/>
      <c r="J34" s="610">
        <f>IF(ISERROR(IF(Bin3RAP="Yes",AggrWt*(('Combined Gradation'!J33-'Combined Gradation'!J34)/100)/((100-Bin3Rapac)/100),AggrWt*(('Combined Gradation'!J33-'Combined Gradation'!J34)/100))),0,IF(Bin3RAP="Yes",AggrWt*(('Combined Gradation'!J33-'Combined Gradation'!J34)/100)/((100-Bin3Rapac)/100),AggrWt*(('Combined Gradation'!J33-'Combined Gradation'!J34)/100)))</f>
        <v>0</v>
      </c>
      <c r="K34" s="611"/>
      <c r="L34" s="610">
        <f>IF(ISERROR(IF(Bin4RAP="Yes",AggrWt*(('Combined Gradation'!L33-'Combined Gradation'!L34)/100)/((100-Bin4Rapac)/100),AggrWt*(('Combined Gradation'!L33-'Combined Gradation'!L34)/100))),0,IF(Bin4RAP="Yes",AggrWt*(('Combined Gradation'!L33-'Combined Gradation'!L34)/100)/((100-Bin4Rapac)/100),AggrWt*(('Combined Gradation'!L33-'Combined Gradation'!L34)/100)))</f>
        <v>0</v>
      </c>
      <c r="M34" s="611"/>
      <c r="N34" s="610">
        <f>IF(ISERROR(IF(Bin5RAP="Yes",AggrWt*(('Combined Gradation'!N33-'Combined Gradation'!N34)/100)/((100-Bin5Rapac)/100),AggrWt*(('Combined Gradation'!N33-'Combined Gradation'!N34)/100))),0,IF(Bin5RAP="Yes",AggrWt*(('Combined Gradation'!N33-'Combined Gradation'!N34)/100)/((100-Bin5Rapac)/100),AggrWt*(('Combined Gradation'!N33-'Combined Gradation'!N34)/100)))</f>
        <v>0</v>
      </c>
      <c r="O34" s="611"/>
      <c r="P34" s="610">
        <f>IF(ISERROR(IF(Bin6RAP="Yes",AggrWt*(('Combined Gradation'!P33-'Combined Gradation'!P34)/100)/((100-Bin6Rapac)/100),AggrWt*(('Combined Gradation'!P33-'Combined Gradation'!P34)/100))),0,IF(Bin6RAP="Yes",AggrWt*(('Combined Gradation'!P33-'Combined Gradation'!P34)/100)/((100-Bin6Rapac)/100),AggrWt*(('Combined Gradation'!P33-'Combined Gradation'!P34)/100)))</f>
        <v>0</v>
      </c>
      <c r="Q34" s="611"/>
      <c r="R34" s="610">
        <f>IF(ISERROR(IF(Bin7RAP="Yes",AggrWt*(('Combined Gradation'!R33-'Combined Gradation'!R34)/100)/((100-Bin7Rapac)/100),AggrWt*(('Combined Gradation'!R33-'Combined Gradation'!R34)/100))),0,IF(Bin7RAP="Yes",AggrWt*(('Combined Gradation'!R33-'Combined Gradation'!R34)/100)/((100-Bin7Rapac)/100),AggrWt*(('Combined Gradation'!R33-'Combined Gradation'!R34)/100)))</f>
        <v>0</v>
      </c>
      <c r="S34" s="611"/>
      <c r="T34" s="109">
        <f t="shared" si="0"/>
        <v>857.6000000000005</v>
      </c>
      <c r="U34" s="97">
        <f t="shared" si="1"/>
        <v>5.360000000000002</v>
      </c>
      <c r="V34" s="97">
        <f>SUM($U$30:$U34)</f>
        <v>82.66</v>
      </c>
      <c r="X34" s="67"/>
      <c r="Y34" s="66"/>
      <c r="Z34" s="66"/>
    </row>
    <row r="35" spans="2:26" ht="15" customHeight="1">
      <c r="B35" s="608"/>
      <c r="C35" s="54" t="str">
        <f ca="1">IF(ISERROR(INDEX(INDIRECT(Grade),5,IF(specyear="2004",2,3))),"",INDEX(INDIRECT(Grade),5,IF(specyear="2004",2,3)))</f>
        <v>No. 30</v>
      </c>
      <c r="D35" s="62" t="s">
        <v>60</v>
      </c>
      <c r="E35" s="54" t="str">
        <f ca="1">IF(ISERROR(INDEX(INDIRECT(Grade),6,IF(specyear="2004",2,3))),"Pan",INDEX(INDIRECT(Grade),6,IF(specyear="2004",2,3)))</f>
        <v>No. 50</v>
      </c>
      <c r="F35" s="610">
        <f>IF(ISERROR(IF(Bin1RAP="Yes",AggrWt*(('Combined Gradation'!F34-'Combined Gradation'!F35)/100)/((100-BIN1rapac)/100),AggrWt*(('Combined Gradation'!F34-'Combined Gradation'!F35)/100))),0,IF(Bin1RAP="Yes",AggrWt*(('Combined Gradation'!F34-'Combined Gradation'!F35)/100)/((100-BIN1rapac)/100),AggrWt*(('Combined Gradation'!F34-'Combined Gradation'!F35)/100)))</f>
        <v>9.6</v>
      </c>
      <c r="G35" s="611"/>
      <c r="H35" s="610">
        <f>IF(ISERROR(IF(Bin2RAP="Yes",AggrWt*(('Combined Gradation'!H34-'Combined Gradation'!H35)/100)/((100-BIN2Rapac)/100),AggrWt*(('Combined Gradation'!H34-'Combined Gradation'!H35)/100))),0,IF(Bin2RAP="Yes",AggrWt*(('Combined Gradation'!H34-'Combined Gradation'!H35)/100)/((100-BIN2Rapac)/100),AggrWt*(('Combined Gradation'!H34-'Combined Gradation'!H35)/100)))</f>
        <v>627.1999999999997</v>
      </c>
      <c r="I35" s="611"/>
      <c r="J35" s="610">
        <f>IF(ISERROR(IF(Bin3RAP="Yes",AggrWt*(('Combined Gradation'!J34-'Combined Gradation'!J35)/100)/((100-Bin3Rapac)/100),AggrWt*(('Combined Gradation'!J34-'Combined Gradation'!J35)/100))),0,IF(Bin3RAP="Yes",AggrWt*(('Combined Gradation'!J34-'Combined Gradation'!J35)/100)/((100-Bin3Rapac)/100),AggrWt*(('Combined Gradation'!J34-'Combined Gradation'!J35)/100)))</f>
        <v>0</v>
      </c>
      <c r="K35" s="611"/>
      <c r="L35" s="610">
        <f>IF(ISERROR(IF(Bin4RAP="Yes",AggrWt*(('Combined Gradation'!L34-'Combined Gradation'!L35)/100)/((100-Bin4Rapac)/100),AggrWt*(('Combined Gradation'!L34-'Combined Gradation'!L35)/100))),0,IF(Bin4RAP="Yes",AggrWt*(('Combined Gradation'!L34-'Combined Gradation'!L35)/100)/((100-Bin4Rapac)/100),AggrWt*(('Combined Gradation'!L34-'Combined Gradation'!L35)/100)))</f>
        <v>0</v>
      </c>
      <c r="M35" s="611"/>
      <c r="N35" s="610">
        <f>IF(ISERROR(IF(Bin5RAP="Yes",AggrWt*(('Combined Gradation'!N34-'Combined Gradation'!N35)/100)/((100-Bin5Rapac)/100),AggrWt*(('Combined Gradation'!N34-'Combined Gradation'!N35)/100))),0,IF(Bin5RAP="Yes",AggrWt*(('Combined Gradation'!N34-'Combined Gradation'!N35)/100)/((100-Bin5Rapac)/100),AggrWt*(('Combined Gradation'!N34-'Combined Gradation'!N35)/100)))</f>
        <v>0</v>
      </c>
      <c r="O35" s="611"/>
      <c r="P35" s="610">
        <f>IF(ISERROR(IF(Bin6RAP="Yes",AggrWt*(('Combined Gradation'!P34-'Combined Gradation'!P35)/100)/((100-Bin6Rapac)/100),AggrWt*(('Combined Gradation'!P34-'Combined Gradation'!P35)/100))),0,IF(Bin6RAP="Yes",AggrWt*(('Combined Gradation'!P34-'Combined Gradation'!P35)/100)/((100-Bin6Rapac)/100),AggrWt*(('Combined Gradation'!P34-'Combined Gradation'!P35)/100)))</f>
        <v>0</v>
      </c>
      <c r="Q35" s="611"/>
      <c r="R35" s="610">
        <f>IF(ISERROR(IF(Bin7RAP="Yes",AggrWt*(('Combined Gradation'!R34-'Combined Gradation'!R35)/100)/((100-Bin7Rapac)/100),AggrWt*(('Combined Gradation'!R34-'Combined Gradation'!R35)/100))),0,IF(Bin7RAP="Yes",AggrWt*(('Combined Gradation'!R34-'Combined Gradation'!R35)/100)/((100-Bin7Rapac)/100),AggrWt*(('Combined Gradation'!R34-'Combined Gradation'!R35)/100)))</f>
        <v>0</v>
      </c>
      <c r="S35" s="611"/>
      <c r="T35" s="109">
        <f t="shared" si="0"/>
        <v>636.7999999999997</v>
      </c>
      <c r="U35" s="97">
        <f t="shared" si="1"/>
        <v>3.979999999999998</v>
      </c>
      <c r="V35" s="97">
        <f>SUM($U$30:$U35)</f>
        <v>86.64</v>
      </c>
      <c r="X35" s="67"/>
      <c r="Y35" s="66"/>
      <c r="Z35" s="66"/>
    </row>
    <row r="36" spans="2:26" ht="15" customHeight="1">
      <c r="B36" s="608"/>
      <c r="C36" s="54" t="str">
        <f ca="1">IF(ISERROR(INDEX(INDIRECT(Grade),6,IF(specyear="2004",2,3))),"",INDEX(INDIRECT(Grade),6,IF(specyear="2004",2,3)))</f>
        <v>No. 50</v>
      </c>
      <c r="D36" s="62" t="s">
        <v>60</v>
      </c>
      <c r="E36" s="54" t="str">
        <f ca="1">IF(ISERROR(INDEX(INDIRECT(Grade),7,IF(specyear="2004",2,3))),"Pan",INDEX(INDIRECT(Grade),7,IF(specyear="2004",2,3)))</f>
        <v>No. 200</v>
      </c>
      <c r="F36" s="610">
        <f>IF(ISERROR(IF(Bin1RAP="Yes",AggrWt*(('Combined Gradation'!F35-'Combined Gradation'!F36)/100)/((100-BIN1rapac)/100),AggrWt*(('Combined Gradation'!F35-'Combined Gradation'!F36)/100))),0,IF(Bin1RAP="Yes",AggrWt*(('Combined Gradation'!F35-'Combined Gradation'!F36)/100)/((100-BIN1rapac)/100),AggrWt*(('Combined Gradation'!F35-'Combined Gradation'!F36)/100)))</f>
        <v>9.6</v>
      </c>
      <c r="G36" s="611"/>
      <c r="H36" s="610">
        <f>IF(ISERROR(IF(Bin2RAP="Yes",AggrWt*(('Combined Gradation'!H35-'Combined Gradation'!H36)/100)/((100-BIN2Rapac)/100),AggrWt*(('Combined Gradation'!H35-'Combined Gradation'!H36)/100))),0,IF(Bin2RAP="Yes",AggrWt*(('Combined Gradation'!H35-'Combined Gradation'!H36)/100)/((100-BIN2Rapac)/100),AggrWt*(('Combined Gradation'!H35-'Combined Gradation'!H36)/100)))</f>
        <v>908.8</v>
      </c>
      <c r="I36" s="611"/>
      <c r="J36" s="610">
        <f>IF(ISERROR(IF(Bin3RAP="Yes",AggrWt*(('Combined Gradation'!J35-'Combined Gradation'!J36)/100)/((100-Bin3Rapac)/100),AggrWt*(('Combined Gradation'!J35-'Combined Gradation'!J36)/100))),0,IF(Bin3RAP="Yes",AggrWt*(('Combined Gradation'!J35-'Combined Gradation'!J36)/100)/((100-Bin3Rapac)/100),AggrWt*(('Combined Gradation'!J35-'Combined Gradation'!J36)/100)))</f>
        <v>0</v>
      </c>
      <c r="K36" s="611"/>
      <c r="L36" s="610">
        <f>IF(ISERROR(IF(Bin4RAP="Yes",AggrWt*(('Combined Gradation'!L35-'Combined Gradation'!L36)/100)/((100-Bin4Rapac)/100),AggrWt*(('Combined Gradation'!L35-'Combined Gradation'!L36)/100))),0,IF(Bin4RAP="Yes",AggrWt*(('Combined Gradation'!L35-'Combined Gradation'!L36)/100)/((100-Bin4Rapac)/100),AggrWt*(('Combined Gradation'!L35-'Combined Gradation'!L36)/100)))</f>
        <v>0</v>
      </c>
      <c r="M36" s="611"/>
      <c r="N36" s="610">
        <f>IF(ISERROR(IF(Bin5RAP="Yes",AggrWt*(('Combined Gradation'!N35-'Combined Gradation'!N36)/100)/((100-Bin5Rapac)/100),AggrWt*(('Combined Gradation'!N35-'Combined Gradation'!N36)/100))),0,IF(Bin5RAP="Yes",AggrWt*(('Combined Gradation'!N35-'Combined Gradation'!N36)/100)/((100-Bin5Rapac)/100),AggrWt*(('Combined Gradation'!N35-'Combined Gradation'!N36)/100)))</f>
        <v>0</v>
      </c>
      <c r="O36" s="611"/>
      <c r="P36" s="610">
        <f>IF(ISERROR(IF(Bin6RAP="Yes",AggrWt*(('Combined Gradation'!P35-'Combined Gradation'!P36)/100)/((100-Bin6Rapac)/100),AggrWt*(('Combined Gradation'!P35-'Combined Gradation'!P36)/100))),0,IF(Bin6RAP="Yes",AggrWt*(('Combined Gradation'!P35-'Combined Gradation'!P36)/100)/((100-Bin6Rapac)/100),AggrWt*(('Combined Gradation'!P35-'Combined Gradation'!P36)/100)))</f>
        <v>0</v>
      </c>
      <c r="Q36" s="611"/>
      <c r="R36" s="610">
        <f>IF(ISERROR(IF(Bin7RAP="Yes",AggrWt*(('Combined Gradation'!R35-'Combined Gradation'!R36)/100)/((100-Bin7Rapac)/100),AggrWt*(('Combined Gradation'!R35-'Combined Gradation'!R36)/100))),0,IF(Bin7RAP="Yes",AggrWt*(('Combined Gradation'!R35-'Combined Gradation'!R36)/100)/((100-Bin7Rapac)/100),AggrWt*(('Combined Gradation'!R35-'Combined Gradation'!R36)/100)))</f>
        <v>0</v>
      </c>
      <c r="S36" s="611"/>
      <c r="T36" s="109">
        <f t="shared" si="0"/>
        <v>918.4</v>
      </c>
      <c r="U36" s="97">
        <f t="shared" si="1"/>
        <v>5.739999999999999</v>
      </c>
      <c r="V36" s="97">
        <f>SUM($U$30:$U36)</f>
        <v>92.38</v>
      </c>
      <c r="X36" s="67"/>
      <c r="Y36" s="66"/>
      <c r="Z36" s="66"/>
    </row>
    <row r="37" spans="2:26" ht="15" customHeight="1">
      <c r="B37" s="608"/>
      <c r="C37" s="54" t="str">
        <f ca="1">IF(ISERROR(INDEX(INDIRECT(Grade),7,IF(specyear="2004",2,3))),"",INDEX(INDIRECT(Grade),7,IF(specyear="2004",2,3)))</f>
        <v>No. 200</v>
      </c>
      <c r="D37" s="62" t="s">
        <v>60</v>
      </c>
      <c r="E37" s="54">
        <f ca="1">IF(ISERROR(INDEX(INDIRECT(Grade),8,IF(specyear="2004",2,3))),"Pan",INDEX(INDIRECT(Grade),8,IF(specyear="2004",2,3)))</f>
        <v>0</v>
      </c>
      <c r="F37" s="610">
        <f>IF(ISERROR(IF(Bin1RAP="Yes",AggrWt*(('Combined Gradation'!F36-'Combined Gradation'!F37)/100)/((100-BIN1rapac)/100),AggrWt*(('Combined Gradation'!F36-'Combined Gradation'!F37)/100))),0,IF(Bin1RAP="Yes",AggrWt*(('Combined Gradation'!F36-'Combined Gradation'!F37)/100)/((100-BIN1rapac)/100),AggrWt*(('Combined Gradation'!F36-'Combined Gradation'!F37)/100)))</f>
        <v>48</v>
      </c>
      <c r="G37" s="611"/>
      <c r="H37" s="610">
        <f>IF(ISERROR(IF(Bin2RAP="Yes",AggrWt*(('Combined Gradation'!H36-'Combined Gradation'!H37)/100)/((100-BIN2Rapac)/100),AggrWt*(('Combined Gradation'!H36-'Combined Gradation'!H37)/100))),0,IF(Bin2RAP="Yes",AggrWt*(('Combined Gradation'!H36-'Combined Gradation'!H37)/100)/((100-BIN2Rapac)/100),AggrWt*(('Combined Gradation'!H36-'Combined Gradation'!H37)/100)))</f>
        <v>1171.2</v>
      </c>
      <c r="I37" s="611"/>
      <c r="J37" s="610">
        <f>IF(ISERROR(IF(Bin3RAP="Yes",AggrWt*(('Combined Gradation'!J36-'Combined Gradation'!J37)/100)/((100-Bin3Rapac)/100),AggrWt*(('Combined Gradation'!J36-'Combined Gradation'!J37)/100))),0,IF(Bin3RAP="Yes",AggrWt*(('Combined Gradation'!J36-'Combined Gradation'!J37)/100)/((100-Bin3Rapac)/100),AggrWt*(('Combined Gradation'!J36-'Combined Gradation'!J37)/100)))</f>
        <v>0</v>
      </c>
      <c r="K37" s="611"/>
      <c r="L37" s="610">
        <f>IF(ISERROR(IF(Bin4RAP="Yes",AggrWt*(('Combined Gradation'!L36-'Combined Gradation'!L37)/100)/((100-Bin4Rapac)/100),AggrWt*(('Combined Gradation'!L36-'Combined Gradation'!L37)/100))),0,IF(Bin4RAP="Yes",AggrWt*(('Combined Gradation'!L36-'Combined Gradation'!L37)/100)/((100-Bin4Rapac)/100),AggrWt*(('Combined Gradation'!L36-'Combined Gradation'!L37)/100)))</f>
        <v>0</v>
      </c>
      <c r="M37" s="611"/>
      <c r="N37" s="610">
        <f>IF(ISERROR(IF(Bin5RAP="Yes",AggrWt*(('Combined Gradation'!N36-'Combined Gradation'!N37)/100)/((100-Bin5Rapac)/100),AggrWt*(('Combined Gradation'!N36-'Combined Gradation'!N37)/100))),0,IF(Bin5RAP="Yes",AggrWt*(('Combined Gradation'!N36-'Combined Gradation'!N37)/100)/((100-Bin5Rapac)/100),AggrWt*(('Combined Gradation'!N36-'Combined Gradation'!N37)/100)))</f>
        <v>0</v>
      </c>
      <c r="O37" s="611"/>
      <c r="P37" s="610">
        <f>IF(ISERROR(IF(Bin6RAP="Yes",AggrWt*(('Combined Gradation'!P36-'Combined Gradation'!P37)/100)/((100-Bin6Rapac)/100),AggrWt*(('Combined Gradation'!P36-'Combined Gradation'!P37)/100))),0,IF(Bin6RAP="Yes",AggrWt*(('Combined Gradation'!P36-'Combined Gradation'!P37)/100)/((100-Bin6Rapac)/100),AggrWt*(('Combined Gradation'!P36-'Combined Gradation'!P37)/100)))</f>
        <v>0</v>
      </c>
      <c r="Q37" s="611"/>
      <c r="R37" s="610">
        <f>IF(ISERROR(IF(Bin7RAP="Yes",AggrWt*(('Combined Gradation'!R36-'Combined Gradation'!R37)/100)/((100-Bin7Rapac)/100),AggrWt*(('Combined Gradation'!R36-'Combined Gradation'!R37)/100))),0,IF(Bin7RAP="Yes",AggrWt*(('Combined Gradation'!R36-'Combined Gradation'!R37)/100)/((100-Bin7Rapac)/100),AggrWt*(('Combined Gradation'!R36-'Combined Gradation'!R37)/100)))</f>
        <v>0</v>
      </c>
      <c r="S37" s="611"/>
      <c r="T37" s="109">
        <f t="shared" si="0"/>
        <v>1219.2</v>
      </c>
      <c r="U37" s="97">
        <f t="shared" si="1"/>
        <v>7.619999999999999</v>
      </c>
      <c r="V37" s="97">
        <f>SUM($U$30:$U37)</f>
        <v>100</v>
      </c>
      <c r="X37" s="67"/>
      <c r="Y37" s="66"/>
      <c r="Z37" s="66"/>
    </row>
    <row r="38" spans="2:26" ht="15" customHeight="1">
      <c r="B38" s="608"/>
      <c r="C38" s="54">
        <f ca="1">IF(ISERROR(INDEX(INDIRECT(Grade),8,IF(specyear="2004",2,3))),"",INDEX(INDIRECT(Grade),8,IF(specyear="2004",2,3)))</f>
        <v>0</v>
      </c>
      <c r="D38" s="62" t="s">
        <v>60</v>
      </c>
      <c r="E38" s="54">
        <f ca="1">IF(ISERROR(INDEX(INDIRECT(Grade),9,IF(specyear="2004",2,3))),"Pan",INDEX(INDIRECT(Grade),9,IF(specyear="2004",2,3)))</f>
        <v>0</v>
      </c>
      <c r="F38" s="610">
        <f>IF(ISERROR(IF(Bin1RAP="Yes",AggrWt*(('Combined Gradation'!F37-'Combined Gradation'!F38)/100)/((100-BIN1rapac)/100),AggrWt*(('Combined Gradation'!F37-'Combined Gradation'!F38)/100))),0,IF(Bin1RAP="Yes",AggrWt*(('Combined Gradation'!F37-'Combined Gradation'!F38)/100)/((100-BIN1rapac)/100),AggrWt*(('Combined Gradation'!F37-'Combined Gradation'!F38)/100)))</f>
        <v>0</v>
      </c>
      <c r="G38" s="611"/>
      <c r="H38" s="610">
        <f>IF(ISERROR(IF(Bin2RAP="Yes",AggrWt*(('Combined Gradation'!H37-'Combined Gradation'!H38)/100)/((100-BIN2Rapac)/100),AggrWt*(('Combined Gradation'!H37-'Combined Gradation'!H38)/100))),0,IF(Bin2RAP="Yes",AggrWt*(('Combined Gradation'!H37-'Combined Gradation'!H38)/100)/((100-BIN2Rapac)/100),AggrWt*(('Combined Gradation'!H37-'Combined Gradation'!H38)/100)))</f>
        <v>0</v>
      </c>
      <c r="I38" s="611"/>
      <c r="J38" s="610">
        <f>IF(ISERROR(IF(Bin3RAP="Yes",AggrWt*(('Combined Gradation'!J37-'Combined Gradation'!J38)/100)/((100-Bin3Rapac)/100),AggrWt*(('Combined Gradation'!J37-'Combined Gradation'!J38)/100))),0,IF(Bin3RAP="Yes",AggrWt*(('Combined Gradation'!J37-'Combined Gradation'!J38)/100)/((100-Bin3Rapac)/100),AggrWt*(('Combined Gradation'!J37-'Combined Gradation'!J38)/100)))</f>
        <v>0</v>
      </c>
      <c r="K38" s="611"/>
      <c r="L38" s="610">
        <f>IF(ISERROR(IF(Bin4RAP="Yes",AggrWt*(('Combined Gradation'!L37-'Combined Gradation'!L38)/100)/((100-Bin4Rapac)/100),AggrWt*(('Combined Gradation'!L37-'Combined Gradation'!L38)/100))),0,IF(Bin4RAP="Yes",AggrWt*(('Combined Gradation'!L37-'Combined Gradation'!L38)/100)/((100-Bin4Rapac)/100),AggrWt*(('Combined Gradation'!L37-'Combined Gradation'!L38)/100)))</f>
        <v>0</v>
      </c>
      <c r="M38" s="611"/>
      <c r="N38" s="610">
        <f>IF(ISERROR(IF(Bin5RAP="Yes",AggrWt*(('Combined Gradation'!N37-'Combined Gradation'!N38)/100)/((100-Bin5Rapac)/100),AggrWt*(('Combined Gradation'!N37-'Combined Gradation'!N38)/100))),0,IF(Bin5RAP="Yes",AggrWt*(('Combined Gradation'!N37-'Combined Gradation'!N38)/100)/((100-Bin5Rapac)/100),AggrWt*(('Combined Gradation'!N37-'Combined Gradation'!N38)/100)))</f>
        <v>0</v>
      </c>
      <c r="O38" s="611"/>
      <c r="P38" s="610">
        <f>IF(ISERROR(IF(Bin6RAP="Yes",AggrWt*(('Combined Gradation'!P37-'Combined Gradation'!P38)/100)/((100-Bin6Rapac)/100),AggrWt*(('Combined Gradation'!P37-'Combined Gradation'!P38)/100))),0,IF(Bin6RAP="Yes",AggrWt*(('Combined Gradation'!P37-'Combined Gradation'!P38)/100)/((100-Bin6Rapac)/100),AggrWt*(('Combined Gradation'!P37-'Combined Gradation'!P38)/100)))</f>
        <v>0</v>
      </c>
      <c r="Q38" s="611"/>
      <c r="R38" s="610">
        <f>IF(ISERROR(IF(Bin7RAP="Yes",AggrWt*(('Combined Gradation'!R37-'Combined Gradation'!R38)/100)/((100-Bin7Rapac)/100),AggrWt*(('Combined Gradation'!R37-'Combined Gradation'!R38)/100))),0,IF(Bin7RAP="Yes",AggrWt*(('Combined Gradation'!R37-'Combined Gradation'!R38)/100)/((100-Bin7Rapac)/100),AggrWt*(('Combined Gradation'!R37-'Combined Gradation'!R38)/100)))</f>
        <v>0</v>
      </c>
      <c r="S38" s="611"/>
      <c r="T38" s="109">
        <f t="shared" si="0"/>
        <v>0</v>
      </c>
      <c r="U38" s="97">
        <f t="shared" si="1"/>
        <v>0</v>
      </c>
      <c r="V38" s="97">
        <f>SUM($U$30:$U38)</f>
        <v>100</v>
      </c>
      <c r="X38" s="67"/>
      <c r="Y38" s="66"/>
      <c r="Z38" s="66"/>
    </row>
    <row r="39" spans="2:26" ht="15" customHeight="1">
      <c r="B39" s="608"/>
      <c r="C39" s="54">
        <f ca="1">IF(ISERROR(INDEX(INDIRECT(Grade),9,IF(specyear="2004",2,3))),"",INDEX(INDIRECT(Grade),9,IF(specyear="2004",2,3)))</f>
        <v>0</v>
      </c>
      <c r="D39" s="62" t="s">
        <v>60</v>
      </c>
      <c r="E39" s="54">
        <f ca="1">IF(ISERROR(INDEX(INDIRECT(Grade),10,IF(specyear="2004",2,3))),"Pan",INDEX(INDIRECT(Grade),10,IF(specyear="2004",2,3)))</f>
        <v>0</v>
      </c>
      <c r="F39" s="610">
        <f>IF(ISERROR(IF(Bin1RAP="Yes",AggrWt*(('Combined Gradation'!F38-'Combined Gradation'!F39)/100)/((100-BIN1rapac)/100),AggrWt*(('Combined Gradation'!F38-'Combined Gradation'!F39)/100))),0,IF(Bin1RAP="Yes",AggrWt*(('Combined Gradation'!F38-'Combined Gradation'!F39)/100)/((100-BIN1rapac)/100),AggrWt*(('Combined Gradation'!F38-'Combined Gradation'!F39)/100)))</f>
        <v>0</v>
      </c>
      <c r="G39" s="611"/>
      <c r="H39" s="610">
        <f>IF(ISERROR(IF(Bin2RAP="Yes",AggrWt*(('Combined Gradation'!H38-'Combined Gradation'!H39)/100)/((100-BIN2Rapac)/100),AggrWt*(('Combined Gradation'!H38-'Combined Gradation'!H39)/100))),0,IF(Bin2RAP="Yes",AggrWt*(('Combined Gradation'!H38-'Combined Gradation'!H39)/100)/((100-BIN2Rapac)/100),AggrWt*(('Combined Gradation'!H38-'Combined Gradation'!H39)/100)))</f>
        <v>0</v>
      </c>
      <c r="I39" s="611"/>
      <c r="J39" s="610">
        <f>IF(ISERROR(IF(Bin3RAP="Yes",AggrWt*(('Combined Gradation'!J38-'Combined Gradation'!J39)/100)/((100-Bin3Rapac)/100),AggrWt*(('Combined Gradation'!J38-'Combined Gradation'!J39)/100))),0,IF(Bin3RAP="Yes",AggrWt*(('Combined Gradation'!J38-'Combined Gradation'!J39)/100)/((100-Bin3Rapac)/100),AggrWt*(('Combined Gradation'!J38-'Combined Gradation'!J39)/100)))</f>
        <v>0</v>
      </c>
      <c r="K39" s="611"/>
      <c r="L39" s="610">
        <f>IF(ISERROR(IF(Bin4RAP="Yes",AggrWt*(('Combined Gradation'!L38-'Combined Gradation'!L39)/100)/((100-Bin4Rapac)/100),AggrWt*(('Combined Gradation'!L38-'Combined Gradation'!L39)/100))),0,IF(Bin4RAP="Yes",AggrWt*(('Combined Gradation'!L38-'Combined Gradation'!L39)/100)/((100-Bin4Rapac)/100),AggrWt*(('Combined Gradation'!L38-'Combined Gradation'!L39)/100)))</f>
        <v>0</v>
      </c>
      <c r="M39" s="611"/>
      <c r="N39" s="610">
        <f>IF(ISERROR(IF(Bin5RAP="Yes",AggrWt*(('Combined Gradation'!N38-'Combined Gradation'!N39)/100)/((100-Bin5Rapac)/100),AggrWt*(('Combined Gradation'!N38-'Combined Gradation'!N39)/100))),0,IF(Bin5RAP="Yes",AggrWt*(('Combined Gradation'!N38-'Combined Gradation'!N39)/100)/((100-Bin5Rapac)/100),AggrWt*(('Combined Gradation'!N38-'Combined Gradation'!N39)/100)))</f>
        <v>0</v>
      </c>
      <c r="O39" s="611"/>
      <c r="P39" s="610">
        <f>IF(ISERROR(IF(Bin6RAP="Yes",AggrWt*(('Combined Gradation'!P38-'Combined Gradation'!P39)/100)/((100-Bin6Rapac)/100),AggrWt*(('Combined Gradation'!P38-'Combined Gradation'!P39)/100))),0,IF(Bin6RAP="Yes",AggrWt*(('Combined Gradation'!P38-'Combined Gradation'!P39)/100)/((100-Bin6Rapac)/100),AggrWt*(('Combined Gradation'!P38-'Combined Gradation'!P39)/100)))</f>
        <v>0</v>
      </c>
      <c r="Q39" s="611"/>
      <c r="R39" s="610">
        <f>IF(ISERROR(IF(Bin7RAP="Yes",AggrWt*(('Combined Gradation'!R38-'Combined Gradation'!R39)/100)/((100-Bin7Rapac)/100),AggrWt*(('Combined Gradation'!R38-'Combined Gradation'!R39)/100))),0,IF(Bin7RAP="Yes",AggrWt*(('Combined Gradation'!R38-'Combined Gradation'!R39)/100)/((100-Bin7Rapac)/100),AggrWt*(('Combined Gradation'!R38-'Combined Gradation'!R39)/100)))</f>
        <v>0</v>
      </c>
      <c r="S39" s="611"/>
      <c r="T39" s="109">
        <f t="shared" si="0"/>
        <v>0</v>
      </c>
      <c r="U39" s="97">
        <f t="shared" si="1"/>
        <v>0</v>
      </c>
      <c r="V39" s="97">
        <f>SUM($U$30:$U39)</f>
        <v>100</v>
      </c>
      <c r="X39" s="67"/>
      <c r="Y39" s="66"/>
      <c r="Z39" s="66"/>
    </row>
    <row r="40" spans="2:26" ht="15" customHeight="1">
      <c r="B40" s="608"/>
      <c r="C40" s="54">
        <f ca="1">IF(ISERROR(INDEX(INDIRECT(Grade),10,IF(specyear="2004",2,3))),"",INDEX(INDIRECT(Grade),10,IF(specyear="2004",2,3)))</f>
        <v>0</v>
      </c>
      <c r="D40" s="62" t="s">
        <v>60</v>
      </c>
      <c r="E40" s="54" t="s">
        <v>131</v>
      </c>
      <c r="F40" s="610">
        <f>IF(ISERROR(IF(Bin1RAP="Yes",AggrWt*(('Combined Gradation'!F39-'Combined Gradation'!F40)/100)/((100-BIN1rapac)/100),AggrWt*(('Combined Gradation'!F39-'Combined Gradation'!F40)/100))),0,IF(Bin1RAP="Yes",AggrWt*(('Combined Gradation'!F39-'Combined Gradation'!F40)/100)/((100-BIN1rapac)/100),AggrWt*(('Combined Gradation'!F39-'Combined Gradation'!F40)/100)))</f>
        <v>0</v>
      </c>
      <c r="G40" s="611"/>
      <c r="H40" s="610">
        <f>IF(ISERROR(IF(Bin2RAP="Yes",AggrWt*(('Combined Gradation'!H39-'Combined Gradation'!H40)/100)/((100-BIN2Rapac)/100),AggrWt*(('Combined Gradation'!H39-'Combined Gradation'!H40)/100))),0,IF(Bin2RAP="Yes",AggrWt*(('Combined Gradation'!H39-'Combined Gradation'!H40)/100)/((100-BIN2Rapac)/100),AggrWt*(('Combined Gradation'!H39-'Combined Gradation'!H40)/100)))</f>
        <v>0</v>
      </c>
      <c r="I40" s="611"/>
      <c r="J40" s="610">
        <f>IF(ISERROR(IF(Bin3RAP="Yes",AggrWt*(('Combined Gradation'!J39-'Combined Gradation'!J40)/100)/((100-Bin3Rapac)/100),AggrWt*(('Combined Gradation'!J39-'Combined Gradation'!J40)/100))),0,IF(Bin3RAP="Yes",AggrWt*(('Combined Gradation'!J39-'Combined Gradation'!J40)/100)/((100-Bin3Rapac)/100),AggrWt*(('Combined Gradation'!J39-'Combined Gradation'!J40)/100)))</f>
        <v>0</v>
      </c>
      <c r="K40" s="611"/>
      <c r="L40" s="610">
        <f>IF(ISERROR(IF(Bin4RAP="Yes",AggrWt*(('Combined Gradation'!L39-'Combined Gradation'!L40)/100)/((100-Bin4Rapac)/100),AggrWt*(('Combined Gradation'!L39-'Combined Gradation'!L40)/100))),0,IF(Bin4RAP="Yes",AggrWt*(('Combined Gradation'!L39-'Combined Gradation'!L40)/100)/((100-Bin4Rapac)/100),AggrWt*(('Combined Gradation'!L39-'Combined Gradation'!L40)/100)))</f>
        <v>0</v>
      </c>
      <c r="M40" s="611"/>
      <c r="N40" s="610">
        <f>IF(ISERROR(IF(Bin5RAP="Yes",AggrWt*(('Combined Gradation'!N39-'Combined Gradation'!N40)/100)/((100-Bin5Rapac)/100),AggrWt*(('Combined Gradation'!N39-'Combined Gradation'!N40)/100))),0,IF(Bin5RAP="Yes",AggrWt*(('Combined Gradation'!N39-'Combined Gradation'!N40)/100)/((100-Bin5Rapac)/100),AggrWt*(('Combined Gradation'!N39-'Combined Gradation'!N40)/100)))</f>
        <v>0</v>
      </c>
      <c r="O40" s="611"/>
      <c r="P40" s="610">
        <f>IF(ISERROR(IF(Bin6RAP="Yes",AggrWt*(('Combined Gradation'!P39-'Combined Gradation'!P40)/100)/((100-Bin6Rapac)/100),AggrWt*(('Combined Gradation'!P39-'Combined Gradation'!P40)/100))),0,IF(Bin6RAP="Yes",AggrWt*(('Combined Gradation'!P39-'Combined Gradation'!P40)/100)/((100-Bin6Rapac)/100),AggrWt*(('Combined Gradation'!P39-'Combined Gradation'!P40)/100)))</f>
        <v>0</v>
      </c>
      <c r="Q40" s="611"/>
      <c r="R40" s="610">
        <f>IF(ISERROR(IF(Bin7RAP="Yes",AggrWt*(('Combined Gradation'!R39-'Combined Gradation'!R40)/100)/((100-Bin7Rapac)/100),AggrWt*(('Combined Gradation'!R39-'Combined Gradation'!R40)/100))),0,IF(Bin7RAP="Yes",AggrWt*(('Combined Gradation'!R39-'Combined Gradation'!R40)/100)/((100-Bin7Rapac)/100),AggrWt*(('Combined Gradation'!R39-'Combined Gradation'!R40)/100)))</f>
        <v>0</v>
      </c>
      <c r="S40" s="611"/>
      <c r="T40" s="109">
        <f t="shared" si="0"/>
        <v>0</v>
      </c>
      <c r="U40" s="97">
        <f t="shared" si="1"/>
        <v>0</v>
      </c>
      <c r="V40" s="97">
        <f>SUM($U$30:$U40)</f>
        <v>100</v>
      </c>
      <c r="X40" s="67"/>
      <c r="Y40" s="66"/>
      <c r="Z40" s="66"/>
    </row>
    <row r="41" spans="2:26" ht="15" customHeight="1">
      <c r="B41" s="609"/>
      <c r="C41" s="529" t="s">
        <v>63</v>
      </c>
      <c r="D41" s="616"/>
      <c r="E41" s="530"/>
      <c r="F41" s="610">
        <f>SUM(F30:F40)</f>
        <v>9600.000000000002</v>
      </c>
      <c r="G41" s="611"/>
      <c r="H41" s="610">
        <f>SUM(H30:H40)</f>
        <v>6400</v>
      </c>
      <c r="I41" s="611"/>
      <c r="J41" s="610">
        <f>SUM(J30:J40)</f>
        <v>0</v>
      </c>
      <c r="K41" s="611"/>
      <c r="L41" s="610">
        <f>SUM(L30:L40)</f>
        <v>0</v>
      </c>
      <c r="M41" s="611"/>
      <c r="N41" s="610">
        <f>SUM(N30:N40)</f>
        <v>0</v>
      </c>
      <c r="O41" s="611"/>
      <c r="P41" s="610">
        <f>SUM(P30:P40)</f>
        <v>0</v>
      </c>
      <c r="Q41" s="611"/>
      <c r="R41" s="610">
        <f>SUM(R30:R40)</f>
        <v>0</v>
      </c>
      <c r="S41" s="611"/>
      <c r="T41" s="146">
        <f>IF(ISERROR(SUM(F41,H41,J41,L41,N41,P41,R41)),0,SUM(F41,H41,J41,L41,N41,P41,R41))</f>
        <v>16000.000000000002</v>
      </c>
      <c r="U41" s="145" t="s">
        <v>140</v>
      </c>
      <c r="V41"/>
      <c r="X41" s="67"/>
      <c r="Y41" s="66"/>
      <c r="Z41" s="66"/>
    </row>
    <row r="42" spans="3:29" ht="6.75" customHeight="1">
      <c r="C42" s="57"/>
      <c r="D42" s="57"/>
      <c r="E42" s="57"/>
      <c r="F42" s="58"/>
      <c r="G42" s="58"/>
      <c r="H42" s="58"/>
      <c r="I42" s="58"/>
      <c r="J42" s="58"/>
      <c r="K42" s="58"/>
      <c r="L42" s="58"/>
      <c r="M42" s="58"/>
      <c r="N42" s="58"/>
      <c r="O42" s="58"/>
      <c r="P42" s="58"/>
      <c r="Q42" s="58"/>
      <c r="R42" s="58"/>
      <c r="S42" s="58"/>
      <c r="T42" s="59"/>
      <c r="U42"/>
      <c r="V42"/>
      <c r="W42" s="60"/>
      <c r="X42" s="60"/>
      <c r="Y42" s="60"/>
      <c r="Z42" s="60"/>
      <c r="AA42" s="60"/>
      <c r="AB42" s="61"/>
      <c r="AC42" s="61"/>
    </row>
    <row r="43" spans="2:27" ht="17.25" customHeight="1">
      <c r="B43" s="153"/>
      <c r="C43" s="435" t="s">
        <v>146</v>
      </c>
      <c r="D43" s="437"/>
      <c r="E43" s="200"/>
      <c r="F43" s="493" t="str">
        <f>IF(Bin1Frac="","","Bin No.1 = "&amp;Bin1Frac&amp;" %")</f>
        <v>Bin No.1 = 60 %</v>
      </c>
      <c r="G43" s="495"/>
      <c r="H43" s="493" t="str">
        <f>IF(Bin2Frac="","","Bin No.2 = "&amp;Bin2Frac&amp;" %")</f>
        <v>Bin No.2 = 40 %</v>
      </c>
      <c r="I43" s="495"/>
      <c r="J43" s="493">
        <f>IF(Bin3Frac="","","Bin No.3 = "&amp;Bin3Frac&amp;" %")</f>
      </c>
      <c r="K43" s="495"/>
      <c r="L43" s="493">
        <f>IF(Bin4Frac="","","Bin No.4 = "&amp;Bin4Frac&amp;" %")</f>
      </c>
      <c r="M43" s="495"/>
      <c r="N43" s="493">
        <f>IF(Bin5Frac="","","Bin No.5 = "&amp;Bin5Frac&amp;" %")</f>
      </c>
      <c r="O43" s="495"/>
      <c r="P43" s="493">
        <f>IF(Bin6Frac="","","Bin No.6 = "&amp;Bin6Frac&amp;" %")</f>
      </c>
      <c r="Q43" s="495"/>
      <c r="R43" s="493">
        <f>IF(Bin7Frac="","","Bin No.7 = "&amp;Bin7Frac&amp;" %")</f>
      </c>
      <c r="S43" s="495"/>
      <c r="Y43" s="525"/>
      <c r="Z43" s="525"/>
      <c r="AA43" s="525"/>
    </row>
    <row r="44" spans="2:27" ht="17.25" customHeight="1">
      <c r="B44" s="607" t="s">
        <v>65</v>
      </c>
      <c r="C44" s="400" t="s">
        <v>138</v>
      </c>
      <c r="D44" s="400"/>
      <c r="E44" s="400"/>
      <c r="F44" s="513" t="str">
        <f>IF(Bin1Source="","",Bin1Source)</f>
        <v>Hoban</v>
      </c>
      <c r="G44" s="550"/>
      <c r="H44" s="490" t="str">
        <f>IF(Bin2Source="","",Bin2Source)</f>
        <v>Turner</v>
      </c>
      <c r="I44" s="492"/>
      <c r="J44" s="490">
        <f>IF(Bin3Source="","",Bin3Source)</f>
      </c>
      <c r="K44" s="492"/>
      <c r="L44" s="490">
        <f>IF(Bin4Source="","",Bin4Source)</f>
      </c>
      <c r="M44" s="492"/>
      <c r="N44" s="490">
        <f>IF(Bin5Source="","",Bin5Source)</f>
      </c>
      <c r="O44" s="492"/>
      <c r="P44" s="490">
        <f>IF(Bin6Source="","",Bin6Source)</f>
      </c>
      <c r="Q44" s="492"/>
      <c r="R44" s="490">
        <f>IF(Bin7Source="","",Bin7Source)</f>
      </c>
      <c r="S44" s="492"/>
      <c r="T44"/>
      <c r="U44"/>
      <c r="V44"/>
      <c r="W44"/>
      <c r="Y44" s="525"/>
      <c r="Z44" s="525"/>
      <c r="AA44" s="525"/>
    </row>
    <row r="45" spans="2:27" ht="17.25" customHeight="1">
      <c r="B45" s="608"/>
      <c r="C45" s="400" t="s">
        <v>139</v>
      </c>
      <c r="D45" s="400"/>
      <c r="E45" s="400"/>
      <c r="F45" s="513">
        <f>IF(Bin1Aggr="","",Bin1Aggr)</f>
      </c>
      <c r="G45" s="550"/>
      <c r="H45" s="490">
        <f>IF(Bin2Aggr="","",Bin2Aggr)</f>
      </c>
      <c r="I45" s="492"/>
      <c r="J45" s="490">
        <f>IF(Bin3Aggr="","",Bin3Aggr)</f>
      </c>
      <c r="K45" s="492"/>
      <c r="L45" s="490">
        <f>IF(Bin4Aggr="","",Bin4Aggr)</f>
      </c>
      <c r="M45" s="492"/>
      <c r="N45" s="490">
        <f>IF(Bin5Aggr="","",Bin5Aggr)</f>
      </c>
      <c r="O45" s="492"/>
      <c r="P45" s="490">
        <f>IF(Bin6Aggr="","",Bin6Aggr)</f>
      </c>
      <c r="Q45" s="492"/>
      <c r="R45" s="490">
        <f>IF(Bin7Aggr="","",Bin7Aggr)</f>
      </c>
      <c r="S45" s="492"/>
      <c r="T45" s="623" t="s">
        <v>62</v>
      </c>
      <c r="U45"/>
      <c r="V45"/>
      <c r="W45"/>
      <c r="Y45" s="525"/>
      <c r="Z45" s="525"/>
      <c r="AA45" s="525"/>
    </row>
    <row r="46" spans="2:27" ht="17.25" customHeight="1">
      <c r="B46" s="608"/>
      <c r="C46" s="400" t="s">
        <v>125</v>
      </c>
      <c r="D46" s="400"/>
      <c r="E46" s="400"/>
      <c r="F46" s="513" t="str">
        <f>IF(Bin1samp="","",Bin1samp)</f>
        <v>Grade 5</v>
      </c>
      <c r="G46" s="550"/>
      <c r="H46" s="490" t="str">
        <f>IF(Bin2Samp="","",Bin2Samp)</f>
        <v>Screenings</v>
      </c>
      <c r="I46" s="492"/>
      <c r="J46" s="490">
        <f>IF(Bin3Samp="","",Bin3Samp)</f>
      </c>
      <c r="K46" s="492"/>
      <c r="L46" s="490">
        <f>IF(Bin4Samp="","",Bin4Samp)</f>
      </c>
      <c r="M46" s="492"/>
      <c r="N46" s="490">
        <f>IF(Bin5Samp="","",Bin5Samp)</f>
      </c>
      <c r="O46" s="492"/>
      <c r="P46" s="490">
        <f>IF(Bin6Samp="","",Bin6Samp)</f>
      </c>
      <c r="Q46" s="492"/>
      <c r="R46" s="490">
        <f>IF(Bin7Samp="","",Bin7Samp)</f>
      </c>
      <c r="S46" s="492"/>
      <c r="T46" s="624"/>
      <c r="U46"/>
      <c r="V46"/>
      <c r="W46"/>
      <c r="Y46" s="63"/>
      <c r="Z46" s="63"/>
      <c r="AA46" s="63"/>
    </row>
    <row r="47" spans="2:27" ht="6" customHeight="1">
      <c r="B47" s="608"/>
      <c r="C47" s="128"/>
      <c r="D47" s="129"/>
      <c r="E47" s="130"/>
      <c r="F47" s="131"/>
      <c r="G47" s="132"/>
      <c r="H47" s="131"/>
      <c r="I47" s="133"/>
      <c r="J47" s="131"/>
      <c r="K47" s="133"/>
      <c r="L47" s="131"/>
      <c r="M47" s="133"/>
      <c r="N47" s="131"/>
      <c r="O47" s="133"/>
      <c r="P47" s="131"/>
      <c r="Q47" s="133"/>
      <c r="R47" s="131"/>
      <c r="S47" s="133"/>
      <c r="T47" s="624"/>
      <c r="U47"/>
      <c r="V47"/>
      <c r="W47"/>
      <c r="Y47" s="63"/>
      <c r="Z47" s="63"/>
      <c r="AA47" s="63"/>
    </row>
    <row r="48" spans="2:27" ht="17.25" customHeight="1">
      <c r="B48" s="608"/>
      <c r="C48" s="407" t="s">
        <v>4</v>
      </c>
      <c r="D48" s="408"/>
      <c r="E48" s="555"/>
      <c r="F48" s="612" t="str">
        <f>IF(F43="","",IF(Bin1RAP="Yes","RAP Weight","Aggregate Weight"))</f>
        <v>Aggregate Weight</v>
      </c>
      <c r="G48" s="613"/>
      <c r="H48" s="612" t="str">
        <f>IF(H43="","",IF(Bin2RAP="Yes","RAP Weight","Aggregate Weight"))</f>
        <v>Aggregate Weight</v>
      </c>
      <c r="I48" s="613"/>
      <c r="J48" s="612">
        <f>IF(J43="","",IF(Bin3RAP="Yes","RAP Weight","Aggregate Weight"))</f>
      </c>
      <c r="K48" s="613"/>
      <c r="L48" s="612">
        <f>IF(L43="","",IF(Bin4RAP="Yes","RAP Weight","Aggregate Weight"))</f>
      </c>
      <c r="M48" s="613"/>
      <c r="N48" s="612">
        <f>IF(N43="","",IF(Bin5RAP="Yes","RAP Weight","Aggregate Weight"))</f>
      </c>
      <c r="O48" s="613"/>
      <c r="P48" s="612">
        <f>IF(P43="","",IF(Bin6RAP="Yes","RAP Weight","Aggregate Weight"))</f>
      </c>
      <c r="Q48" s="613"/>
      <c r="R48" s="612">
        <f>IF(R43="","",IF(Bin7RAP="Yes","RAP Weight","Aggregate Weight"))</f>
      </c>
      <c r="S48" s="613"/>
      <c r="T48" s="624"/>
      <c r="U48"/>
      <c r="V48"/>
      <c r="W48"/>
      <c r="Y48" s="63"/>
      <c r="Z48" s="63"/>
      <c r="AA48" s="63"/>
    </row>
    <row r="49" spans="2:27" ht="17.25" customHeight="1">
      <c r="B49" s="608"/>
      <c r="C49" s="556" t="s">
        <v>134</v>
      </c>
      <c r="D49" s="557"/>
      <c r="E49" s="558"/>
      <c r="F49" s="614"/>
      <c r="G49" s="615"/>
      <c r="H49" s="614"/>
      <c r="I49" s="615"/>
      <c r="J49" s="614"/>
      <c r="K49" s="615"/>
      <c r="L49" s="614"/>
      <c r="M49" s="615"/>
      <c r="N49" s="614"/>
      <c r="O49" s="615"/>
      <c r="P49" s="614"/>
      <c r="Q49" s="615"/>
      <c r="R49" s="614"/>
      <c r="S49" s="615"/>
      <c r="T49" s="625"/>
      <c r="U49"/>
      <c r="V49"/>
      <c r="W49"/>
      <c r="Y49" s="63"/>
      <c r="Z49" s="63"/>
      <c r="AA49" s="63"/>
    </row>
    <row r="50" spans="2:27" ht="15" customHeight="1">
      <c r="B50" s="608"/>
      <c r="C50" s="64"/>
      <c r="D50" s="62" t="s">
        <v>60</v>
      </c>
      <c r="E50" s="62" t="str">
        <f ca="1">IF(ISERROR(INDEX(INDIRECT(Grade),1,IF(specyear="2004",2,3))),"Pan",INDEX(INDIRECT(Grade),1,IF(specyear="2004",2,3)))</f>
        <v>3/8"</v>
      </c>
      <c r="F50" s="610">
        <f>IF(Bin1Frac="","",F30)</f>
        <v>48.00000000000068</v>
      </c>
      <c r="G50" s="611"/>
      <c r="H50" s="610">
        <f>IF(Bin2Frac="","",IF(RunningT="No",H30,F60+H30))</f>
        <v>9600.000000000002</v>
      </c>
      <c r="I50" s="611"/>
      <c r="J50" s="610">
        <f>IF(Bin3Frac="","",IF(RunningT="No",J30,H60+J30))</f>
      </c>
      <c r="K50" s="611"/>
      <c r="L50" s="610">
        <f>IF(Bin4Frac="","",IF(RunningT="No",L30,J60+L30))</f>
      </c>
      <c r="M50" s="611"/>
      <c r="N50" s="610">
        <f>IF(Bin5Frac="","",IF(RunningT="No",N30,L60+N30))</f>
      </c>
      <c r="O50" s="611"/>
      <c r="P50" s="610">
        <f>IF(Bin6Frac="","",IF(RunningT="No",P30,N60+P30))</f>
      </c>
      <c r="Q50" s="611"/>
      <c r="R50" s="610">
        <f>IF(Bin7Frac="","",IF(RunningT="No",R30,P60+R30))</f>
      </c>
      <c r="S50" s="611"/>
      <c r="T50" s="134">
        <f>SUM(T$30:T30)</f>
        <v>48.00000000000068</v>
      </c>
      <c r="U50"/>
      <c r="V50"/>
      <c r="W50"/>
      <c r="Y50" s="67"/>
      <c r="Z50" s="66"/>
      <c r="AA50" s="66"/>
    </row>
    <row r="51" spans="2:27" ht="15" customHeight="1">
      <c r="B51" s="608"/>
      <c r="C51" s="62" t="str">
        <f ca="1">IF(ISERROR(INDEX(INDIRECT(Grade),1,IF(specyear="2004",2,3))),"",INDEX(INDIRECT(Grade),1,IF(specyear="2004",2,3)))</f>
        <v>3/8"</v>
      </c>
      <c r="D51" s="62" t="s">
        <v>60</v>
      </c>
      <c r="E51" s="54" t="str">
        <f ca="1">IF(ISERROR(INDEX(INDIRECT(Grade),2,IF(specyear="2004",2,3))),"Pan",INDEX(INDIRECT(Grade),2,IF(specyear="2004",2,3)))</f>
        <v>No. 4</v>
      </c>
      <c r="F51" s="610">
        <f>IF(Bin1Frac="","",SUM(F$30:G31))</f>
        <v>7267.200000000001</v>
      </c>
      <c r="G51" s="611"/>
      <c r="H51" s="610">
        <f>IF(Bin2Frac="","",IF(RunningT="No",SUM(H$30:H31),H50+H31))</f>
        <v>9792.000000000002</v>
      </c>
      <c r="I51" s="611"/>
      <c r="J51" s="610">
        <f>IF(Bin3Frac="","",IF(RunningT="No",SUM(J$30:J31),J50+J31))</f>
      </c>
      <c r="K51" s="611"/>
      <c r="L51" s="610">
        <f>IF(Bin4Frac="","",IF(RunningT="No",SUM(L$30:L31),L50+L31))</f>
      </c>
      <c r="M51" s="611"/>
      <c r="N51" s="610">
        <f>IF(Bin5Frac="","",IF(RunningT="No",SUM(N$30:N31),N50+N31))</f>
      </c>
      <c r="O51" s="611"/>
      <c r="P51" s="610">
        <f>IF(Bin6Frac="","",IF(RunningT="No",SUM(P$30:P31),P50+P31))</f>
      </c>
      <c r="Q51" s="611"/>
      <c r="R51" s="610">
        <f>IF(Bin7Frac="","",IF(RunningT="No",SUM(R$30:R31),R50+R31))</f>
      </c>
      <c r="S51" s="611"/>
      <c r="T51" s="134">
        <f>SUM(T$30:T31)</f>
        <v>7459.2</v>
      </c>
      <c r="U51"/>
      <c r="V51"/>
      <c r="W51"/>
      <c r="Y51" s="67"/>
      <c r="Z51" s="66"/>
      <c r="AA51" s="66"/>
    </row>
    <row r="52" spans="2:27" ht="15" customHeight="1">
      <c r="B52" s="608"/>
      <c r="C52" s="54" t="str">
        <f ca="1">IF(ISERROR(INDEX(INDIRECT(Grade),2,IF(specyear="2004",2,3))),"",INDEX(INDIRECT(Grade),2,IF(specyear="2004",2,3)))</f>
        <v>No. 4</v>
      </c>
      <c r="D52" s="62" t="s">
        <v>60</v>
      </c>
      <c r="E52" s="54" t="str">
        <f ca="1">IF(ISERROR(INDEX(INDIRECT(Grade),3,IF(specyear="2004",2,3))),"Pan",INDEX(INDIRECT(Grade),3,IF(specyear="2004",2,3)))</f>
        <v>No. 8</v>
      </c>
      <c r="F52" s="610">
        <f>IF(Bin1Frac="","",SUM(F$30:G32))</f>
        <v>9446.400000000001</v>
      </c>
      <c r="G52" s="611"/>
      <c r="H52" s="610">
        <f>IF(Bin2Frac="","",IF(RunningT="No",SUM(H$30:H32),H51+H32))</f>
        <v>10681.600000000002</v>
      </c>
      <c r="I52" s="611"/>
      <c r="J52" s="610">
        <f>IF(Bin3Frac="","",IF(RunningT="No",SUM(J$30:J32),J51+J32))</f>
      </c>
      <c r="K52" s="611"/>
      <c r="L52" s="610">
        <f>IF(Bin4Frac="","",IF(RunningT="No",SUM(L$30:L32),L51+L32))</f>
      </c>
      <c r="M52" s="611"/>
      <c r="N52" s="610">
        <f>IF(Bin5Frac="","",IF(RunningT="No",SUM(N$30:N32),N51+N32))</f>
      </c>
      <c r="O52" s="611"/>
      <c r="P52" s="610">
        <f>IF(Bin6Frac="","",IF(RunningT="No",SUM(P$30:P32),P51+P32))</f>
      </c>
      <c r="Q52" s="611"/>
      <c r="R52" s="610">
        <f>IF(Bin7Frac="","",IF(RunningT="No",SUM(R$30:R32),R51+R32))</f>
      </c>
      <c r="S52" s="611"/>
      <c r="T52" s="134">
        <f>SUM(T$30:T32)</f>
        <v>10528</v>
      </c>
      <c r="U52"/>
      <c r="V52"/>
      <c r="W52"/>
      <c r="Y52" s="67"/>
      <c r="Z52" s="66"/>
      <c r="AA52" s="66"/>
    </row>
    <row r="53" spans="2:27" ht="15" customHeight="1">
      <c r="B53" s="608"/>
      <c r="C53" s="54" t="str">
        <f ca="1">IF(ISERROR(INDEX(INDIRECT(Grade),3,IF(specyear="2004",2,3))),"",INDEX(INDIRECT(Grade),3,IF(specyear="2004",2,3)))</f>
        <v>No. 8</v>
      </c>
      <c r="D53" s="62" t="s">
        <v>60</v>
      </c>
      <c r="E53" s="54" t="str">
        <f ca="1">IF(ISERROR(INDEX(INDIRECT(Grade),4,IF(specyear="2004",2,3))),"Pan",INDEX(INDIRECT(Grade),4,IF(specyear="2004",2,3)))</f>
        <v>No. 16</v>
      </c>
      <c r="F53" s="610">
        <f>IF(Bin1Frac="","",SUM(F$30:G33))</f>
        <v>9532.800000000001</v>
      </c>
      <c r="G53" s="611"/>
      <c r="H53" s="610">
        <f>IF(Bin2Frac="","",IF(RunningT="No",SUM(H$30:H33),H52+H33))</f>
        <v>12435.200000000003</v>
      </c>
      <c r="I53" s="611"/>
      <c r="J53" s="610">
        <f>IF(Bin3Frac="","",IF(RunningT="No",SUM(J$30:J33),J52+J33))</f>
      </c>
      <c r="K53" s="611"/>
      <c r="L53" s="610">
        <f>IF(Bin4Frac="","",IF(RunningT="No",SUM(L$30:L33),L52+L33))</f>
      </c>
      <c r="M53" s="611"/>
      <c r="N53" s="610">
        <f>IF(Bin5Frac="","",IF(RunningT="No",SUM(N$30:N33),N52+N33))</f>
      </c>
      <c r="O53" s="611"/>
      <c r="P53" s="610">
        <f>IF(Bin6Frac="","",IF(RunningT="No",SUM(P$30:P33),P52+P33))</f>
      </c>
      <c r="Q53" s="611"/>
      <c r="R53" s="610">
        <f>IF(Bin7Frac="","",IF(RunningT="No",SUM(R$30:R33),R52+R33))</f>
      </c>
      <c r="S53" s="611"/>
      <c r="T53" s="134">
        <f>SUM(T$30:T33)</f>
        <v>12368</v>
      </c>
      <c r="U53"/>
      <c r="V53"/>
      <c r="W53"/>
      <c r="Y53" s="67"/>
      <c r="Z53" s="66"/>
      <c r="AA53" s="66"/>
    </row>
    <row r="54" spans="2:27" ht="15" customHeight="1">
      <c r="B54" s="608"/>
      <c r="C54" s="54" t="str">
        <f ca="1">IF(ISERROR(INDEX(INDIRECT(Grade),4,IF(specyear="2004",2,3))),"",INDEX(INDIRECT(Grade),4,IF(specyear="2004",2,3)))</f>
        <v>No. 16</v>
      </c>
      <c r="D54" s="62" t="s">
        <v>60</v>
      </c>
      <c r="E54" s="54" t="str">
        <f ca="1">IF(ISERROR(INDEX(INDIRECT(Grade),5,IF(specyear="2004",2,3))),"Pan",INDEX(INDIRECT(Grade),5,IF(specyear="2004",2,3)))</f>
        <v>No. 30</v>
      </c>
      <c r="F54" s="610">
        <f>IF(Bin1Frac="","",SUM(F$30:G34))</f>
        <v>9532.800000000001</v>
      </c>
      <c r="G54" s="611"/>
      <c r="H54" s="610">
        <f>IF(Bin2Frac="","",IF(RunningT="No",SUM(H$30:H34),H53+H34))</f>
        <v>13292.800000000003</v>
      </c>
      <c r="I54" s="611"/>
      <c r="J54" s="610">
        <f>IF(Bin3Frac="","",IF(RunningT="No",SUM(J$30:J34),J53+J34))</f>
      </c>
      <c r="K54" s="611"/>
      <c r="L54" s="610">
        <f>IF(Bin4Frac="","",IF(RunningT="No",SUM(L$30:L34),L53+L34))</f>
      </c>
      <c r="M54" s="611"/>
      <c r="N54" s="610">
        <f>IF(Bin5Frac="","",IF(RunningT="No",SUM(N$30:N34),N53+N34))</f>
      </c>
      <c r="O54" s="611"/>
      <c r="P54" s="610">
        <f>IF(Bin6Frac="","",IF(RunningT="No",SUM(P$30:P34),P53+P34))</f>
      </c>
      <c r="Q54" s="611"/>
      <c r="R54" s="610">
        <f>IF(Bin7Frac="","",IF(RunningT="No",SUM(R$30:R34),R53+R34))</f>
      </c>
      <c r="S54" s="611"/>
      <c r="T54" s="134">
        <f>SUM(T$30:T34)</f>
        <v>13225.6</v>
      </c>
      <c r="U54"/>
      <c r="V54"/>
      <c r="W54"/>
      <c r="Y54" s="67"/>
      <c r="Z54" s="66"/>
      <c r="AA54" s="66"/>
    </row>
    <row r="55" spans="2:27" ht="15" customHeight="1">
      <c r="B55" s="608"/>
      <c r="C55" s="54" t="str">
        <f ca="1">IF(ISERROR(INDEX(INDIRECT(Grade),5,IF(specyear="2004",2,3))),"",INDEX(INDIRECT(Grade),5,IF(specyear="2004",2,3)))</f>
        <v>No. 30</v>
      </c>
      <c r="D55" s="62" t="s">
        <v>60</v>
      </c>
      <c r="E55" s="54" t="str">
        <f ca="1">IF(ISERROR(INDEX(INDIRECT(Grade),6,IF(specyear="2004",2,3))),"Pan",INDEX(INDIRECT(Grade),6,IF(specyear="2004",2,3)))</f>
        <v>No. 50</v>
      </c>
      <c r="F55" s="610">
        <f>IF(Bin1Frac="","",SUM(F$30:G35))</f>
        <v>9542.400000000001</v>
      </c>
      <c r="G55" s="611"/>
      <c r="H55" s="610">
        <f>IF(Bin2Frac="","",IF(RunningT="No",SUM(H$30:H35),H54+H35))</f>
        <v>13920.000000000002</v>
      </c>
      <c r="I55" s="611"/>
      <c r="J55" s="610">
        <f>IF(Bin3Frac="","",IF(RunningT="No",SUM(J$30:J35),J54+J35))</f>
      </c>
      <c r="K55" s="611"/>
      <c r="L55" s="610">
        <f>IF(Bin4Frac="","",IF(RunningT="No",SUM(L$30:L35),L54+L35))</f>
      </c>
      <c r="M55" s="611"/>
      <c r="N55" s="610">
        <f>IF(Bin5Frac="","",IF(RunningT="No",SUM(N$30:N35),N54+N35))</f>
      </c>
      <c r="O55" s="611"/>
      <c r="P55" s="610">
        <f>IF(Bin6Frac="","",IF(RunningT="No",SUM(P$30:P35),P54+P35))</f>
      </c>
      <c r="Q55" s="611"/>
      <c r="R55" s="610">
        <f>IF(Bin7Frac="","",IF(RunningT="No",SUM(R$30:R35),R54+R35))</f>
      </c>
      <c r="S55" s="611"/>
      <c r="T55" s="134">
        <f>SUM(T$30:T35)</f>
        <v>13862.4</v>
      </c>
      <c r="U55"/>
      <c r="V55"/>
      <c r="W55"/>
      <c r="Y55" s="67"/>
      <c r="Z55" s="66"/>
      <c r="AA55" s="66"/>
    </row>
    <row r="56" spans="2:27" ht="15" customHeight="1">
      <c r="B56" s="608"/>
      <c r="C56" s="54" t="str">
        <f ca="1">IF(ISERROR(INDEX(INDIRECT(Grade),6,IF(specyear="2004",2,3))),"",INDEX(INDIRECT(Grade),6,IF(specyear="2004",2,3)))</f>
        <v>No. 50</v>
      </c>
      <c r="D56" s="62" t="s">
        <v>60</v>
      </c>
      <c r="E56" s="54" t="str">
        <f ca="1">IF(ISERROR(INDEX(INDIRECT(Grade),7,IF(specyear="2004",2,3))),"Pan",INDEX(INDIRECT(Grade),7,IF(specyear="2004",2,3)))</f>
        <v>No. 200</v>
      </c>
      <c r="F56" s="610">
        <f>IF(Bin1Frac="","",SUM(F$30:G36))</f>
        <v>9552.000000000002</v>
      </c>
      <c r="G56" s="611"/>
      <c r="H56" s="610">
        <f>IF(Bin2Frac="","",IF(RunningT="No",SUM(H$30:H36),H55+H36))</f>
        <v>14828.800000000001</v>
      </c>
      <c r="I56" s="611"/>
      <c r="J56" s="610">
        <f>IF(Bin3Frac="","",IF(RunningT="No",SUM(J$30:J36),J55+J36))</f>
      </c>
      <c r="K56" s="611"/>
      <c r="L56" s="610">
        <f>IF(Bin4Frac="","",IF(RunningT="No",SUM(L$30:L36),L55+L36))</f>
      </c>
      <c r="M56" s="611"/>
      <c r="N56" s="610">
        <f>IF(Bin5Frac="","",IF(RunningT="No",SUM(N$30:N36),N55+N36))</f>
      </c>
      <c r="O56" s="611"/>
      <c r="P56" s="610">
        <f>IF(Bin6Frac="","",IF(RunningT="No",SUM(P$30:P36),P55+P36))</f>
      </c>
      <c r="Q56" s="611"/>
      <c r="R56" s="610">
        <f>IF(Bin7Frac="","",IF(RunningT="No",SUM(R$30:R36),R55+R36))</f>
      </c>
      <c r="S56" s="611"/>
      <c r="T56" s="134">
        <f>SUM(T$30:T36)</f>
        <v>14780.8</v>
      </c>
      <c r="U56"/>
      <c r="V56"/>
      <c r="W56"/>
      <c r="Y56" s="67"/>
      <c r="Z56" s="66"/>
      <c r="AA56" s="66"/>
    </row>
    <row r="57" spans="2:27" ht="15" customHeight="1">
      <c r="B57" s="608"/>
      <c r="C57" s="54" t="str">
        <f ca="1">IF(ISERROR(INDEX(INDIRECT(Grade),7,IF(specyear="2004",2,3))),"",INDEX(INDIRECT(Grade),7,IF(specyear="2004",2,3)))</f>
        <v>No. 200</v>
      </c>
      <c r="D57" s="62" t="s">
        <v>60</v>
      </c>
      <c r="E57" s="54">
        <f ca="1">IF(ISERROR(INDEX(INDIRECT(Grade),8,IF(specyear="2004",2,3))),"Pan",INDEX(INDIRECT(Grade),8,IF(specyear="2004",2,3)))</f>
        <v>0</v>
      </c>
      <c r="F57" s="610">
        <f>IF(Bin1Frac="","",SUM(F$30:G37))</f>
        <v>9600.000000000002</v>
      </c>
      <c r="G57" s="611"/>
      <c r="H57" s="610">
        <f>IF(Bin2Frac="","",IF(RunningT="No",SUM(H$30:H37),H56+H37))</f>
        <v>16000.000000000002</v>
      </c>
      <c r="I57" s="611"/>
      <c r="J57" s="610">
        <f>IF(Bin3Frac="","",IF(RunningT="No",SUM(J$30:J37),J56+J37))</f>
      </c>
      <c r="K57" s="611"/>
      <c r="L57" s="610">
        <f>IF(Bin4Frac="","",IF(RunningT="No",SUM(L$30:L37),L56+L37))</f>
      </c>
      <c r="M57" s="611"/>
      <c r="N57" s="610">
        <f>IF(Bin5Frac="","",IF(RunningT="No",SUM(N$30:N37),N56+N37))</f>
      </c>
      <c r="O57" s="611"/>
      <c r="P57" s="610">
        <f>IF(Bin6Frac="","",IF(RunningT="No",SUM(P$30:P37),P56+P37))</f>
      </c>
      <c r="Q57" s="611"/>
      <c r="R57" s="610">
        <f>IF(Bin7Frac="","",IF(RunningT="No",SUM(R$30:R37),R56+R37))</f>
      </c>
      <c r="S57" s="611"/>
      <c r="T57" s="134">
        <f>SUM(T$30:T37)</f>
        <v>16000</v>
      </c>
      <c r="U57"/>
      <c r="V57"/>
      <c r="W57"/>
      <c r="Y57" s="67"/>
      <c r="Z57" s="66"/>
      <c r="AA57" s="66"/>
    </row>
    <row r="58" spans="2:27" ht="15" customHeight="1">
      <c r="B58" s="608"/>
      <c r="C58" s="54">
        <f ca="1">IF(ISERROR(INDEX(INDIRECT(Grade),8,IF(specyear="2004",2,3))),"",INDEX(INDIRECT(Grade),8,IF(specyear="2004",2,3)))</f>
        <v>0</v>
      </c>
      <c r="D58" s="62" t="s">
        <v>60</v>
      </c>
      <c r="E58" s="54">
        <f ca="1">IF(ISERROR(INDEX(INDIRECT(Grade),9,IF(specyear="2004",2,3))),"Pan",INDEX(INDIRECT(Grade),9,IF(specyear="2004",2,3)))</f>
        <v>0</v>
      </c>
      <c r="F58" s="610">
        <f>IF(Bin1Frac="","",SUM(F$30:G38))</f>
        <v>9600.000000000002</v>
      </c>
      <c r="G58" s="611"/>
      <c r="H58" s="610">
        <f>IF(Bin2Frac="","",IF(RunningT="No",SUM(H$30:H38),H57+H38))</f>
        <v>16000.000000000002</v>
      </c>
      <c r="I58" s="611"/>
      <c r="J58" s="610">
        <f>IF(Bin3Frac="","",IF(RunningT="No",SUM(J$30:J38),J57+J38))</f>
      </c>
      <c r="K58" s="611"/>
      <c r="L58" s="610">
        <f>IF(Bin4Frac="","",IF(RunningT="No",SUM(L$30:L38),L57+L38))</f>
      </c>
      <c r="M58" s="611"/>
      <c r="N58" s="610">
        <f>IF(Bin5Frac="","",IF(RunningT="No",SUM(N$30:N38),N57+N38))</f>
      </c>
      <c r="O58" s="611"/>
      <c r="P58" s="610">
        <f>IF(Bin6Frac="","",IF(RunningT="No",SUM(P$30:P38),P57+P38))</f>
      </c>
      <c r="Q58" s="611"/>
      <c r="R58" s="610">
        <f>IF(Bin7Frac="","",IF(RunningT="No",SUM(R$30:R38),R57+R38))</f>
      </c>
      <c r="S58" s="611"/>
      <c r="T58" s="134">
        <f>SUM(T$30:T38)</f>
        <v>16000</v>
      </c>
      <c r="U58" s="154"/>
      <c r="V58"/>
      <c r="W58"/>
      <c r="Y58" s="67"/>
      <c r="Z58" s="66"/>
      <c r="AA58" s="66"/>
    </row>
    <row r="59" spans="2:27" ht="15" customHeight="1">
      <c r="B59" s="608"/>
      <c r="C59" s="54">
        <f ca="1">IF(ISERROR(INDEX(INDIRECT(Grade),9,IF(specyear="2004",2,3))),"",INDEX(INDIRECT(Grade),9,IF(specyear="2004",2,3)))</f>
        <v>0</v>
      </c>
      <c r="D59" s="62" t="s">
        <v>60</v>
      </c>
      <c r="E59" s="54">
        <f ca="1">IF(ISERROR(INDEX(INDIRECT(Grade),10,IF(specyear="2004",2,3))),"Pan",INDEX(INDIRECT(Grade),10,IF(specyear="2004",2,3)))</f>
        <v>0</v>
      </c>
      <c r="F59" s="610">
        <f>IF(Bin1Frac="","",SUM(F$30:G39))</f>
        <v>9600.000000000002</v>
      </c>
      <c r="G59" s="611"/>
      <c r="H59" s="610">
        <f>IF(Bin2Frac="","",IF(RunningT="No",SUM(H$30:H39),H58+H39))</f>
        <v>16000.000000000002</v>
      </c>
      <c r="I59" s="611"/>
      <c r="J59" s="610">
        <f>IF(Bin3Frac="","",IF(RunningT="No",SUM(J$30:J39),J58+J39))</f>
      </c>
      <c r="K59" s="611"/>
      <c r="L59" s="610">
        <f>IF(Bin4Frac="","",IF(RunningT="No",SUM(L$30:L39),L58+L39))</f>
      </c>
      <c r="M59" s="611"/>
      <c r="N59" s="610">
        <f>IF(Bin5Frac="","",IF(RunningT="No",SUM(N$30:N39),N58+N39))</f>
      </c>
      <c r="O59" s="611"/>
      <c r="P59" s="610">
        <f>IF(Bin6Frac="","",IF(RunningT="No",SUM(P$30:P39),P58+P39))</f>
      </c>
      <c r="Q59" s="611"/>
      <c r="R59" s="610">
        <f>IF(Bin7Frac="","",IF(RunningT="No",SUM(R$30:R39),R58+R39))</f>
      </c>
      <c r="S59" s="611"/>
      <c r="T59" s="134">
        <f>SUM(T$30:T39)</f>
        <v>16000</v>
      </c>
      <c r="U59" s="154"/>
      <c r="V59"/>
      <c r="W59"/>
      <c r="Y59" s="67"/>
      <c r="Z59" s="66"/>
      <c r="AA59" s="66"/>
    </row>
    <row r="60" spans="2:27" ht="15" customHeight="1">
      <c r="B60" s="609"/>
      <c r="C60" s="54">
        <f ca="1">IF(ISERROR(INDEX(INDIRECT(Grade),10,IF(specyear="2004",2,3))),"",INDEX(INDIRECT(Grade),10,IF(specyear="2004",2,3)))</f>
        <v>0</v>
      </c>
      <c r="D60" s="62" t="s">
        <v>60</v>
      </c>
      <c r="E60" s="54" t="s">
        <v>131</v>
      </c>
      <c r="F60" s="610">
        <f>IF(Bin1Frac="","",SUM(F$30:G40))</f>
        <v>9600.000000000002</v>
      </c>
      <c r="G60" s="611"/>
      <c r="H60" s="610">
        <f>IF(Bin2Frac="","",IF(RunningT="No",SUM(H$30:H40),H59+H40))</f>
        <v>16000.000000000002</v>
      </c>
      <c r="I60" s="611"/>
      <c r="J60" s="610">
        <f>IF(Bin3Frac="","",IF(RunningT="No",SUM(J$30:J40),J59+J40))</f>
      </c>
      <c r="K60" s="611"/>
      <c r="L60" s="610">
        <f>IF(Bin4Frac="","",IF(RunningT="No",SUM(L$30:L40),L59+L40))</f>
      </c>
      <c r="M60" s="611"/>
      <c r="N60" s="610">
        <f>IF(Bin5Frac="","",IF(RunningT="No",SUM(N$30:N40),N59+N40))</f>
      </c>
      <c r="O60" s="611"/>
      <c r="P60" s="610">
        <f>IF(Bin6Frac="","",IF(RunningT="No",SUM(P$30:P40),P59+P40))</f>
      </c>
      <c r="Q60" s="611"/>
      <c r="R60" s="610">
        <f>IF(Bin7Frac="","",IF(RunningT="No",SUM(R$30:R40),R59+R40))</f>
      </c>
      <c r="S60" s="611"/>
      <c r="T60" s="146">
        <f>SUM(T$30:T40)</f>
        <v>16000</v>
      </c>
      <c r="U60" s="152" t="s">
        <v>140</v>
      </c>
      <c r="V60"/>
      <c r="W60"/>
      <c r="Y60" s="67"/>
      <c r="Z60" s="66"/>
      <c r="AA60" s="66"/>
    </row>
    <row r="61" spans="3:29" ht="6" customHeight="1">
      <c r="C61" s="57"/>
      <c r="D61" s="57"/>
      <c r="E61" s="57"/>
      <c r="F61" s="58"/>
      <c r="G61" s="58"/>
      <c r="H61" s="58"/>
      <c r="I61" s="58"/>
      <c r="J61" s="58"/>
      <c r="K61" s="58"/>
      <c r="L61" s="58"/>
      <c r="M61" s="58"/>
      <c r="N61" s="58"/>
      <c r="O61" s="58"/>
      <c r="P61" s="58"/>
      <c r="Q61" s="58"/>
      <c r="R61" s="58"/>
      <c r="S61" s="58"/>
      <c r="T61"/>
      <c r="U61"/>
      <c r="V61"/>
      <c r="W61"/>
      <c r="X61" s="60"/>
      <c r="Y61" s="60"/>
      <c r="Z61" s="60"/>
      <c r="AA61" s="60"/>
      <c r="AB61" s="61"/>
      <c r="AC61" s="61"/>
    </row>
    <row r="62" spans="2:23" s="1" customFormat="1" ht="12.75" customHeight="1">
      <c r="B62" s="16" t="s">
        <v>5</v>
      </c>
      <c r="E62" s="17">
        <f ca="1">NOW()</f>
        <v>40499.63441539352</v>
      </c>
      <c r="F62" s="10"/>
      <c r="U62"/>
      <c r="V62"/>
      <c r="W62"/>
    </row>
    <row r="63" spans="1:13" ht="15" customHeight="1">
      <c r="A63" s="1"/>
      <c r="B63" s="428"/>
      <c r="C63" s="429"/>
      <c r="D63" s="429"/>
      <c r="E63" s="429"/>
      <c r="F63" s="429"/>
      <c r="G63" s="429"/>
      <c r="H63" s="429"/>
      <c r="I63" s="429"/>
      <c r="J63" s="429"/>
      <c r="K63" s="429"/>
      <c r="L63" s="429"/>
      <c r="M63" s="430"/>
    </row>
    <row r="64" spans="1:13" ht="15" customHeight="1">
      <c r="A64" s="1"/>
      <c r="B64" s="431"/>
      <c r="C64" s="432"/>
      <c r="D64" s="432"/>
      <c r="E64" s="432"/>
      <c r="F64" s="432"/>
      <c r="G64" s="432"/>
      <c r="H64" s="432"/>
      <c r="I64" s="432"/>
      <c r="J64" s="432"/>
      <c r="K64" s="432"/>
      <c r="L64" s="432"/>
      <c r="M64" s="433"/>
    </row>
    <row r="65" spans="14:19" ht="3" customHeight="1">
      <c r="N65"/>
      <c r="O65"/>
      <c r="P65"/>
      <c r="Q65"/>
      <c r="R65"/>
      <c r="S65"/>
    </row>
    <row r="66" ht="12.75" customHeight="1"/>
    <row r="67" ht="15" customHeight="1"/>
    <row r="68" ht="12.75" customHeight="1"/>
    <row r="69" ht="15" customHeight="1"/>
    <row r="70" ht="12.75" customHeight="1"/>
    <row r="71" ht="15" customHeight="1"/>
    <row r="72" ht="15" customHeight="1"/>
  </sheetData>
  <sheetProtection password="DE07" sheet="1" formatCells="0" formatColumns="0" formatRows="0"/>
  <mergeCells count="314">
    <mergeCell ref="R39:S39"/>
    <mergeCell ref="F59:G59"/>
    <mergeCell ref="H59:I59"/>
    <mergeCell ref="J59:K59"/>
    <mergeCell ref="L59:M59"/>
    <mergeCell ref="N59:O59"/>
    <mergeCell ref="P59:Q59"/>
    <mergeCell ref="R59:S59"/>
    <mergeCell ref="J39:K39"/>
    <mergeCell ref="L39:M39"/>
    <mergeCell ref="N39:O39"/>
    <mergeCell ref="P39:Q39"/>
    <mergeCell ref="V25:V29"/>
    <mergeCell ref="U25:U29"/>
    <mergeCell ref="T25:T29"/>
    <mergeCell ref="R30:S30"/>
    <mergeCell ref="R31:S31"/>
    <mergeCell ref="R32:S32"/>
    <mergeCell ref="R38:S38"/>
    <mergeCell ref="R33:S33"/>
    <mergeCell ref="R34:S34"/>
    <mergeCell ref="R35:S35"/>
    <mergeCell ref="R36:S36"/>
    <mergeCell ref="R37:S37"/>
    <mergeCell ref="R40:S40"/>
    <mergeCell ref="R41:S41"/>
    <mergeCell ref="P41:Q41"/>
    <mergeCell ref="P40:Q40"/>
    <mergeCell ref="N34:O34"/>
    <mergeCell ref="N35:O35"/>
    <mergeCell ref="N36:O36"/>
    <mergeCell ref="P36:Q36"/>
    <mergeCell ref="P34:Q34"/>
    <mergeCell ref="P35:Q35"/>
    <mergeCell ref="P30:Q30"/>
    <mergeCell ref="P31:Q31"/>
    <mergeCell ref="P32:Q32"/>
    <mergeCell ref="P38:Q38"/>
    <mergeCell ref="P37:Q37"/>
    <mergeCell ref="P33:Q33"/>
    <mergeCell ref="L40:M40"/>
    <mergeCell ref="L41:M41"/>
    <mergeCell ref="N37:O37"/>
    <mergeCell ref="N30:O30"/>
    <mergeCell ref="N31:O31"/>
    <mergeCell ref="N32:O32"/>
    <mergeCell ref="N33:O33"/>
    <mergeCell ref="N38:O38"/>
    <mergeCell ref="N40:O40"/>
    <mergeCell ref="N41:O41"/>
    <mergeCell ref="L37:M37"/>
    <mergeCell ref="L38:M38"/>
    <mergeCell ref="L34:M34"/>
    <mergeCell ref="L35:M35"/>
    <mergeCell ref="L36:M36"/>
    <mergeCell ref="C24:E24"/>
    <mergeCell ref="F37:G37"/>
    <mergeCell ref="N23:O23"/>
    <mergeCell ref="N24:O24"/>
    <mergeCell ref="H37:I37"/>
    <mergeCell ref="J30:K30"/>
    <mergeCell ref="J31:K31"/>
    <mergeCell ref="J32:K32"/>
    <mergeCell ref="J33:K33"/>
    <mergeCell ref="J34:K34"/>
    <mergeCell ref="F40:G40"/>
    <mergeCell ref="F41:G41"/>
    <mergeCell ref="F30:G30"/>
    <mergeCell ref="H38:I38"/>
    <mergeCell ref="H40:I40"/>
    <mergeCell ref="H41:I41"/>
    <mergeCell ref="H31:I31"/>
    <mergeCell ref="H32:I32"/>
    <mergeCell ref="F39:G39"/>
    <mergeCell ref="H39:I39"/>
    <mergeCell ref="F36:G36"/>
    <mergeCell ref="F35:G35"/>
    <mergeCell ref="F31:G31"/>
    <mergeCell ref="H34:I34"/>
    <mergeCell ref="H35:I35"/>
    <mergeCell ref="F32:G32"/>
    <mergeCell ref="F34:G34"/>
    <mergeCell ref="H36:I36"/>
    <mergeCell ref="R23:S23"/>
    <mergeCell ref="P23:Q23"/>
    <mergeCell ref="P26:Q26"/>
    <mergeCell ref="R24:S24"/>
    <mergeCell ref="R25:S25"/>
    <mergeCell ref="R26:S26"/>
    <mergeCell ref="P24:Q24"/>
    <mergeCell ref="P25:Q25"/>
    <mergeCell ref="Z43:Z45"/>
    <mergeCell ref="AA43:AA45"/>
    <mergeCell ref="X23:X25"/>
    <mergeCell ref="Z23:Z25"/>
    <mergeCell ref="Y23:Y25"/>
    <mergeCell ref="N48:O49"/>
    <mergeCell ref="R48:S49"/>
    <mergeCell ref="R46:S46"/>
    <mergeCell ref="N46:O46"/>
    <mergeCell ref="P44:Q44"/>
    <mergeCell ref="Y43:Y45"/>
    <mergeCell ref="R45:S45"/>
    <mergeCell ref="T45:T49"/>
    <mergeCell ref="P46:Q46"/>
    <mergeCell ref="P45:Q45"/>
    <mergeCell ref="N45:O45"/>
    <mergeCell ref="N44:O44"/>
    <mergeCell ref="H6:J6"/>
    <mergeCell ref="H7:J7"/>
    <mergeCell ref="J26:K26"/>
    <mergeCell ref="L26:M26"/>
    <mergeCell ref="N43:O43"/>
    <mergeCell ref="H28:I29"/>
    <mergeCell ref="J28:K29"/>
    <mergeCell ref="N26:O26"/>
    <mergeCell ref="L23:M23"/>
    <mergeCell ref="L25:M25"/>
    <mergeCell ref="H23:I23"/>
    <mergeCell ref="N28:O29"/>
    <mergeCell ref="J24:K24"/>
    <mergeCell ref="H26:I26"/>
    <mergeCell ref="J23:K23"/>
    <mergeCell ref="J25:K25"/>
    <mergeCell ref="B6:D6"/>
    <mergeCell ref="B7:D7"/>
    <mergeCell ref="E6:G6"/>
    <mergeCell ref="E7:G7"/>
    <mergeCell ref="F60:G60"/>
    <mergeCell ref="P19:Q19"/>
    <mergeCell ref="P21:Q21"/>
    <mergeCell ref="B21:F21"/>
    <mergeCell ref="B20:F20"/>
    <mergeCell ref="G19:H19"/>
    <mergeCell ref="B19:F19"/>
    <mergeCell ref="N25:O25"/>
    <mergeCell ref="L24:M24"/>
    <mergeCell ref="F23:G23"/>
    <mergeCell ref="N50:O50"/>
    <mergeCell ref="F53:G53"/>
    <mergeCell ref="F54:G54"/>
    <mergeCell ref="L51:M51"/>
    <mergeCell ref="N51:O51"/>
    <mergeCell ref="L53:M53"/>
    <mergeCell ref="N53:O53"/>
    <mergeCell ref="H54:I54"/>
    <mergeCell ref="J54:K54"/>
    <mergeCell ref="H53:I53"/>
    <mergeCell ref="F56:G56"/>
    <mergeCell ref="F57:G57"/>
    <mergeCell ref="F58:G58"/>
    <mergeCell ref="F55:G55"/>
    <mergeCell ref="J53:K53"/>
    <mergeCell ref="L50:M50"/>
    <mergeCell ref="L44:M44"/>
    <mergeCell ref="L46:M46"/>
    <mergeCell ref="L45:M45"/>
    <mergeCell ref="L48:M49"/>
    <mergeCell ref="J50:K50"/>
    <mergeCell ref="J51:K51"/>
    <mergeCell ref="J52:K52"/>
    <mergeCell ref="L52:M52"/>
    <mergeCell ref="P53:Q53"/>
    <mergeCell ref="N52:O52"/>
    <mergeCell ref="R52:S52"/>
    <mergeCell ref="R53:S53"/>
    <mergeCell ref="P52:Q52"/>
    <mergeCell ref="L54:M54"/>
    <mergeCell ref="N54:O54"/>
    <mergeCell ref="P54:Q54"/>
    <mergeCell ref="R54:S54"/>
    <mergeCell ref="R56:S56"/>
    <mergeCell ref="N55:O55"/>
    <mergeCell ref="H56:I56"/>
    <mergeCell ref="J56:K56"/>
    <mergeCell ref="L56:M56"/>
    <mergeCell ref="N56:O56"/>
    <mergeCell ref="P55:Q55"/>
    <mergeCell ref="R55:S55"/>
    <mergeCell ref="J55:K55"/>
    <mergeCell ref="L55:M55"/>
    <mergeCell ref="R57:S57"/>
    <mergeCell ref="H58:I58"/>
    <mergeCell ref="J58:K58"/>
    <mergeCell ref="L58:M58"/>
    <mergeCell ref="N58:O58"/>
    <mergeCell ref="P58:Q58"/>
    <mergeCell ref="R58:S58"/>
    <mergeCell ref="H57:I57"/>
    <mergeCell ref="J57:K57"/>
    <mergeCell ref="L57:M57"/>
    <mergeCell ref="H60:I60"/>
    <mergeCell ref="J60:K60"/>
    <mergeCell ref="L60:M60"/>
    <mergeCell ref="N60:O60"/>
    <mergeCell ref="P57:Q57"/>
    <mergeCell ref="H55:I55"/>
    <mergeCell ref="N57:O57"/>
    <mergeCell ref="P56:Q56"/>
    <mergeCell ref="P60:Q60"/>
    <mergeCell ref="R60:S60"/>
    <mergeCell ref="R43:S43"/>
    <mergeCell ref="P43:Q43"/>
    <mergeCell ref="R44:S44"/>
    <mergeCell ref="P50:Q50"/>
    <mergeCell ref="R50:S50"/>
    <mergeCell ref="P51:Q51"/>
    <mergeCell ref="R51:S51"/>
    <mergeCell ref="P48:Q49"/>
    <mergeCell ref="B12:D12"/>
    <mergeCell ref="B14:D14"/>
    <mergeCell ref="E12:G12"/>
    <mergeCell ref="H12:J12"/>
    <mergeCell ref="E14:M14"/>
    <mergeCell ref="B13:D13"/>
    <mergeCell ref="E13:M13"/>
    <mergeCell ref="B15:D15"/>
    <mergeCell ref="E15:G15"/>
    <mergeCell ref="H15:J15"/>
    <mergeCell ref="K15:M15"/>
    <mergeCell ref="P28:Q29"/>
    <mergeCell ref="R28:S29"/>
    <mergeCell ref="F17:G17"/>
    <mergeCell ref="B24:B41"/>
    <mergeCell ref="F28:G29"/>
    <mergeCell ref="C25:E25"/>
    <mergeCell ref="C26:E26"/>
    <mergeCell ref="C41:E41"/>
    <mergeCell ref="L28:M29"/>
    <mergeCell ref="H25:I25"/>
    <mergeCell ref="C28:E28"/>
    <mergeCell ref="C29:E29"/>
    <mergeCell ref="H30:I30"/>
    <mergeCell ref="J38:K38"/>
    <mergeCell ref="J37:K37"/>
    <mergeCell ref="J36:K36"/>
    <mergeCell ref="J35:K35"/>
    <mergeCell ref="F38:G38"/>
    <mergeCell ref="H33:I33"/>
    <mergeCell ref="F33:G33"/>
    <mergeCell ref="J40:K40"/>
    <mergeCell ref="J41:K41"/>
    <mergeCell ref="L30:M30"/>
    <mergeCell ref="C44:E44"/>
    <mergeCell ref="H44:I44"/>
    <mergeCell ref="J44:K44"/>
    <mergeCell ref="C43:D43"/>
    <mergeCell ref="L31:M31"/>
    <mergeCell ref="L32:M32"/>
    <mergeCell ref="L33:M33"/>
    <mergeCell ref="F43:G43"/>
    <mergeCell ref="H43:I43"/>
    <mergeCell ref="J43:K43"/>
    <mergeCell ref="L43:M43"/>
    <mergeCell ref="C46:E46"/>
    <mergeCell ref="H46:I46"/>
    <mergeCell ref="J46:K46"/>
    <mergeCell ref="C45:E45"/>
    <mergeCell ref="H45:I45"/>
    <mergeCell ref="J45:K45"/>
    <mergeCell ref="F48:G49"/>
    <mergeCell ref="H48:I49"/>
    <mergeCell ref="J48:K49"/>
    <mergeCell ref="C49:E49"/>
    <mergeCell ref="B8:D8"/>
    <mergeCell ref="B9:D9"/>
    <mergeCell ref="B10:D10"/>
    <mergeCell ref="B11:D11"/>
    <mergeCell ref="E8:G8"/>
    <mergeCell ref="E9:G9"/>
    <mergeCell ref="E10:G10"/>
    <mergeCell ref="E11:G11"/>
    <mergeCell ref="K10:M10"/>
    <mergeCell ref="K11:M11"/>
    <mergeCell ref="K12:M12"/>
    <mergeCell ref="H8:J8"/>
    <mergeCell ref="H9:J9"/>
    <mergeCell ref="H10:J10"/>
    <mergeCell ref="H11:J11"/>
    <mergeCell ref="K6:M6"/>
    <mergeCell ref="K7:M7"/>
    <mergeCell ref="K8:M8"/>
    <mergeCell ref="K9:M9"/>
    <mergeCell ref="B44:B60"/>
    <mergeCell ref="F50:G50"/>
    <mergeCell ref="B17:D17"/>
    <mergeCell ref="J17:K17"/>
    <mergeCell ref="H50:I50"/>
    <mergeCell ref="F51:G51"/>
    <mergeCell ref="H51:I51"/>
    <mergeCell ref="F52:G52"/>
    <mergeCell ref="H52:I52"/>
    <mergeCell ref="C48:E48"/>
    <mergeCell ref="G21:H21"/>
    <mergeCell ref="Q17:R17"/>
    <mergeCell ref="B63:M64"/>
    <mergeCell ref="F24:G24"/>
    <mergeCell ref="F25:G25"/>
    <mergeCell ref="F26:G26"/>
    <mergeCell ref="F44:G44"/>
    <mergeCell ref="F45:G45"/>
    <mergeCell ref="F46:G46"/>
    <mergeCell ref="H24:I24"/>
    <mergeCell ref="H17:I17"/>
    <mergeCell ref="L17:M17"/>
    <mergeCell ref="J19:O19"/>
    <mergeCell ref="J20:O20"/>
    <mergeCell ref="G20:H20"/>
    <mergeCell ref="N17:P17"/>
    <mergeCell ref="S19:T21"/>
    <mergeCell ref="U19:U21"/>
    <mergeCell ref="V19:V21"/>
    <mergeCell ref="J21:O21"/>
    <mergeCell ref="P20:Q20"/>
  </mergeCells>
  <conditionalFormatting sqref="J61 H61 P61 N61 L61 W42:AA42 C61:F61 R61 R42 X61:AA61 L42 N42 P42 H42 J42 C42:F42">
    <cfRule type="expression" priority="1" dxfId="0" stopIfTrue="1">
      <formula>(SUM(SSize9,MixDes9,JMFDes9)=0)</formula>
    </cfRule>
  </conditionalFormatting>
  <conditionalFormatting sqref="O61 Q61 K61 O42 G42 S61 I61 M61 I42 G61 S42:T42 M42 K42 Q42">
    <cfRule type="expression" priority="2" dxfId="0" stopIfTrue="1">
      <formula>(SUM(SSize1,MixDes1,JMFDes1)=0)</formula>
    </cfRule>
  </conditionalFormatting>
  <conditionalFormatting sqref="D60 C39:V39 C59 E59:T59">
    <cfRule type="expression" priority="3" dxfId="0" stopIfTrue="1">
      <formula>SSize9=0</formula>
    </cfRule>
  </conditionalFormatting>
  <conditionalFormatting sqref="C58 D58:D59 E58:T58 C38:V38">
    <cfRule type="expression" priority="4" dxfId="0" stopIfTrue="1">
      <formula>SSize8=0</formula>
    </cfRule>
  </conditionalFormatting>
  <conditionalFormatting sqref="C57:T57 C37:V37">
    <cfRule type="expression" priority="5" dxfId="0" stopIfTrue="1">
      <formula>SSize7=0</formula>
    </cfRule>
  </conditionalFormatting>
  <conditionalFormatting sqref="C35:E36 C55:T56 F35:V35">
    <cfRule type="expression" priority="6" dxfId="0" stopIfTrue="1">
      <formula>SSize5=0</formula>
    </cfRule>
  </conditionalFormatting>
  <conditionalFormatting sqref="C54:T54 C34:V34">
    <cfRule type="expression" priority="7" dxfId="0" stopIfTrue="1">
      <formula>SSize4=0</formula>
    </cfRule>
  </conditionalFormatting>
  <conditionalFormatting sqref="C53:T53 C33:V33">
    <cfRule type="expression" priority="8" dxfId="0" stopIfTrue="1">
      <formula>SSize3=0</formula>
    </cfRule>
  </conditionalFormatting>
  <conditionalFormatting sqref="C52:T52 C32:V32">
    <cfRule type="expression" priority="9" dxfId="0" stopIfTrue="1">
      <formula>SSize2=0</formula>
    </cfRule>
  </conditionalFormatting>
  <conditionalFormatting sqref="C51:T51 C31:V31">
    <cfRule type="expression" priority="10" dxfId="0" stopIfTrue="1">
      <formula>SSize1=0</formula>
    </cfRule>
  </conditionalFormatting>
  <conditionalFormatting sqref="J20:R20 U41 U60">
    <cfRule type="expression" priority="11" dxfId="0" stopIfTrue="1">
      <formula>AND(Bin1RAP&lt;&gt;"yes",Bin2RAP&lt;&gt;"yes",Bin3RAP&lt;&gt;"yes",Bin4RAP&lt;&gt;"yes",Bin5RAP&lt;&gt;"yes",Bin6RAP&lt;&gt;"yes",Bin7RAP&lt;&gt;"yes")</formula>
    </cfRule>
  </conditionalFormatting>
  <conditionalFormatting sqref="F36:V36">
    <cfRule type="expression" priority="12" dxfId="0" stopIfTrue="1">
      <formula>SSize6=0</formula>
    </cfRule>
  </conditionalFormatting>
  <conditionalFormatting sqref="C40:V40 C60 E60:T60">
    <cfRule type="expression" priority="13" dxfId="0" stopIfTrue="1">
      <formula>SSize10=0</formula>
    </cfRule>
  </conditionalFormatting>
  <conditionalFormatting sqref="S19:V21">
    <cfRule type="expression" priority="14" dxfId="14" stopIfTrue="1">
      <formula>OR(OR(MID(Grade,13,3)="A_R",MID(Grade,11,2)="AR"),OR(AND(MID(Grade,9,3)="PFC",MID(Grade,13,3)&lt;&gt;"A_R"),AND(MID(Grade,9,4)="SMA_")))</formula>
    </cfRule>
  </conditionalFormatting>
  <dataValidations count="2">
    <dataValidation type="textLength" operator="lessThan" allowBlank="1" showInputMessage="1" showErrorMessage="1" errorTitle="Text Length" error="Please limit the text length to 200 characters." sqref="B63:M64">
      <formula1>201</formula1>
    </dataValidation>
    <dataValidation type="list" allowBlank="1" showInputMessage="1" showErrorMessage="1" sqref="E43">
      <formula1>"Yes,No"</formula1>
    </dataValidation>
  </dataValidations>
  <printOptions/>
  <pageMargins left="0.25" right="0.25" top="0.26" bottom="0.3" header="0.17" footer="0.2"/>
  <pageSetup fitToHeight="1" fitToWidth="1" horizontalDpi="600" verticalDpi="600" orientation="landscape" scale="61" r:id="rId3"/>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BC45"/>
  <sheetViews>
    <sheetView showGridLines="0" showZeros="0" workbookViewId="0" topLeftCell="A16">
      <selection activeCell="A1" sqref="A1"/>
    </sheetView>
  </sheetViews>
  <sheetFormatPr defaultColWidth="9.140625" defaultRowHeight="15" customHeight="1"/>
  <cols>
    <col min="1" max="1" width="1.28515625" style="20" customWidth="1"/>
    <col min="2" max="6" width="8.00390625" style="10" customWidth="1"/>
    <col min="7" max="8" width="8.00390625" style="10" hidden="1" customWidth="1"/>
    <col min="9" max="10" width="8.00390625" style="10" customWidth="1"/>
    <col min="11" max="12" width="8.00390625" style="10" hidden="1" customWidth="1"/>
    <col min="13" max="14" width="8.00390625" style="10" customWidth="1"/>
    <col min="15" max="16" width="8.00390625" style="10" hidden="1" customWidth="1"/>
    <col min="17" max="18" width="8.00390625" style="10" customWidth="1"/>
    <col min="19" max="19" width="8.00390625" style="10" hidden="1" customWidth="1"/>
    <col min="20" max="20" width="7.7109375" style="10" hidden="1" customWidth="1"/>
    <col min="21" max="22" width="7.7109375" style="10" customWidth="1"/>
    <col min="23" max="24" width="7.7109375" style="10" hidden="1" customWidth="1"/>
    <col min="25" max="26" width="7.7109375" style="10" customWidth="1"/>
    <col min="27" max="28" width="7.7109375" style="10" hidden="1" customWidth="1"/>
    <col min="29" max="30" width="7.7109375" style="10" customWidth="1"/>
    <col min="31" max="32" width="7.7109375" style="10" hidden="1" customWidth="1"/>
    <col min="33" max="50" width="7.7109375" style="10" customWidth="1"/>
    <col min="51" max="16384" width="6.7109375" style="10" customWidth="1"/>
  </cols>
  <sheetData>
    <row r="1" spans="1:53" s="5" customFormat="1" ht="15" customHeight="1">
      <c r="A1" s="18"/>
      <c r="B1" s="170" t="s">
        <v>0</v>
      </c>
      <c r="C1" s="2"/>
      <c r="D1" s="2"/>
      <c r="E1" s="2"/>
      <c r="F1" s="2"/>
      <c r="G1" s="3"/>
      <c r="H1" s="3"/>
      <c r="I1" s="3"/>
      <c r="J1" s="3"/>
      <c r="K1" s="3"/>
      <c r="L1" s="3"/>
      <c r="M1" s="3"/>
      <c r="N1" s="3"/>
      <c r="O1" s="3"/>
      <c r="P1" s="3"/>
      <c r="Q1" s="3"/>
      <c r="R1" s="3"/>
      <c r="S1" s="3"/>
      <c r="T1" s="3"/>
      <c r="U1" s="3"/>
      <c r="V1" s="18"/>
      <c r="W1" s="18"/>
      <c r="X1" s="18"/>
      <c r="Y1" s="18"/>
      <c r="Z1" s="18"/>
      <c r="AA1" s="18"/>
      <c r="AB1" s="18"/>
      <c r="AC1" s="18"/>
      <c r="AD1" s="18"/>
      <c r="AE1"/>
      <c r="AF1"/>
      <c r="AG1" s="88"/>
      <c r="AH1" s="88"/>
      <c r="AI1" s="18"/>
      <c r="AJ1" s="18"/>
      <c r="AK1" s="18"/>
      <c r="AL1" s="18"/>
      <c r="AM1" s="18"/>
      <c r="AN1" s="18"/>
      <c r="AO1" s="18"/>
      <c r="AP1" s="18"/>
      <c r="AQ1" s="18"/>
      <c r="AR1" s="18"/>
      <c r="AS1" s="39"/>
      <c r="AT1" s="39"/>
      <c r="AU1" s="88"/>
      <c r="AV1" s="88"/>
      <c r="AW1" s="88"/>
      <c r="AX1" s="88"/>
      <c r="AY1" s="88"/>
      <c r="BA1" s="6"/>
    </row>
    <row r="2" spans="1:53" s="5" customFormat="1" ht="15" customHeight="1">
      <c r="A2" s="18"/>
      <c r="B2" s="2">
        <f>IF(location="","",location)</f>
      </c>
      <c r="C2" s="2"/>
      <c r="D2" s="2"/>
      <c r="E2" s="2"/>
      <c r="F2" s="2"/>
      <c r="G2" s="3"/>
      <c r="H2" s="3"/>
      <c r="I2" s="3"/>
      <c r="J2" s="3"/>
      <c r="K2" s="3"/>
      <c r="L2" s="3"/>
      <c r="M2" s="3"/>
      <c r="N2" s="3"/>
      <c r="O2" s="3"/>
      <c r="P2" s="3"/>
      <c r="Q2" s="3"/>
      <c r="R2" s="3"/>
      <c r="S2" s="3"/>
      <c r="T2" s="3"/>
      <c r="U2" s="3"/>
      <c r="V2" s="19"/>
      <c r="W2" s="19"/>
      <c r="X2" s="19"/>
      <c r="Y2" s="19"/>
      <c r="Z2" s="19"/>
      <c r="AA2" s="19"/>
      <c r="AB2" s="19"/>
      <c r="AC2" s="18"/>
      <c r="AD2" s="18"/>
      <c r="AE2"/>
      <c r="AF2"/>
      <c r="AG2" s="88"/>
      <c r="AH2" s="88"/>
      <c r="AI2" s="4"/>
      <c r="AJ2" s="4"/>
      <c r="AK2" s="4"/>
      <c r="AL2" s="4"/>
      <c r="AM2" s="4"/>
      <c r="AN2" s="4"/>
      <c r="AO2" s="4"/>
      <c r="AP2" s="4"/>
      <c r="AQ2" s="4"/>
      <c r="AR2" s="4"/>
      <c r="AS2" s="4"/>
      <c r="AT2" s="4"/>
      <c r="AU2" s="90"/>
      <c r="AV2" s="90"/>
      <c r="AW2" s="6"/>
      <c r="AX2" s="6"/>
      <c r="AY2" s="6"/>
      <c r="AZ2" s="6"/>
      <c r="BA2" s="91"/>
    </row>
    <row r="3" spans="1:54" s="5" customFormat="1" ht="5.25" customHeight="1">
      <c r="A3" s="19"/>
      <c r="B3" s="8"/>
      <c r="C3" s="8"/>
      <c r="D3" s="8"/>
      <c r="E3" s="8"/>
      <c r="F3" s="8"/>
      <c r="G3" s="3"/>
      <c r="H3" s="3"/>
      <c r="I3" s="3"/>
      <c r="J3" s="3"/>
      <c r="K3" s="3"/>
      <c r="L3" s="3"/>
      <c r="M3" s="3"/>
      <c r="N3" s="3"/>
      <c r="O3" s="3"/>
      <c r="P3" s="3"/>
      <c r="Q3" s="3"/>
      <c r="R3" s="3"/>
      <c r="S3" s="3"/>
      <c r="T3" s="3"/>
      <c r="U3" s="3"/>
      <c r="V3" s="19"/>
      <c r="W3" s="19"/>
      <c r="X3" s="19"/>
      <c r="Y3" s="19"/>
      <c r="Z3" s="19"/>
      <c r="AA3" s="19"/>
      <c r="AB3" s="19"/>
      <c r="AC3" s="19"/>
      <c r="AD3" s="19"/>
      <c r="AE3"/>
      <c r="AF3"/>
      <c r="AG3" s="19"/>
      <c r="AH3" s="19"/>
      <c r="AI3" s="3"/>
      <c r="AJ3" s="3"/>
      <c r="AK3" s="3"/>
      <c r="AL3" s="3"/>
      <c r="AM3" s="3"/>
      <c r="AN3" s="3"/>
      <c r="AO3" s="3"/>
      <c r="AP3" s="3"/>
      <c r="AQ3" s="3"/>
      <c r="AR3" s="3"/>
      <c r="AS3" s="3"/>
      <c r="AT3" s="3"/>
      <c r="AU3" s="92"/>
      <c r="AV3" s="92"/>
      <c r="AW3" s="6"/>
      <c r="AX3" s="6"/>
      <c r="AY3" s="6"/>
      <c r="AZ3" s="6"/>
      <c r="BA3" s="91"/>
      <c r="BB3" s="7"/>
    </row>
    <row r="4" spans="1:53" s="5" customFormat="1" ht="14.25" customHeight="1">
      <c r="A4" s="18"/>
      <c r="B4" s="9" t="s">
        <v>155</v>
      </c>
      <c r="C4" s="9"/>
      <c r="D4" s="9"/>
      <c r="E4" s="9"/>
      <c r="F4" s="9"/>
      <c r="G4" s="3"/>
      <c r="H4" s="3"/>
      <c r="I4" s="3"/>
      <c r="J4" s="3"/>
      <c r="K4" s="3"/>
      <c r="L4" s="3"/>
      <c r="M4" s="3"/>
      <c r="N4" s="3"/>
      <c r="O4" s="4"/>
      <c r="P4" s="4"/>
      <c r="Q4" s="4"/>
      <c r="R4" s="4"/>
      <c r="S4" s="4"/>
      <c r="T4" s="4"/>
      <c r="U4" s="4"/>
      <c r="V4" s="18"/>
      <c r="W4" s="18"/>
      <c r="X4" s="18"/>
      <c r="Y4" s="18"/>
      <c r="Z4" s="18"/>
      <c r="AA4" s="18"/>
      <c r="AB4" s="18"/>
      <c r="AC4" s="18"/>
      <c r="AD4" s="18"/>
      <c r="AE4"/>
      <c r="AF4"/>
      <c r="AG4" s="93"/>
      <c r="AH4" s="93"/>
      <c r="AI4" s="18"/>
      <c r="AJ4" s="18"/>
      <c r="AK4" s="18"/>
      <c r="AL4" s="18"/>
      <c r="AM4" s="18"/>
      <c r="AN4" s="18"/>
      <c r="AO4" s="39"/>
      <c r="AP4" s="39"/>
      <c r="AQ4" s="88"/>
      <c r="AR4" s="88"/>
      <c r="AS4" s="89"/>
      <c r="AT4" s="89"/>
      <c r="AU4" s="88"/>
      <c r="AV4" s="88"/>
      <c r="AX4" s="6"/>
      <c r="AY4" s="6"/>
      <c r="AZ4" s="6"/>
      <c r="BA4" s="6"/>
    </row>
    <row r="5" spans="1:41" s="5" customFormat="1" ht="10.5" customHeight="1">
      <c r="A5" s="18"/>
      <c r="F5" s="1"/>
      <c r="G5" s="1"/>
      <c r="H5" s="1"/>
      <c r="I5" s="1"/>
      <c r="J5" s="1"/>
      <c r="K5" s="1"/>
      <c r="L5" s="1"/>
      <c r="M5" s="1"/>
      <c r="N5" s="1"/>
      <c r="P5"/>
      <c r="Q5"/>
      <c r="R5"/>
      <c r="S5"/>
      <c r="T5"/>
      <c r="U5" s="86" t="str">
        <f>"File Version: "&amp;TEXT(MID(sn,SEARCH("::",sn,1)+2,20),"mm/dd/yy hh:mm:ss")</f>
        <v>File Version: 05/10/07 09:30:41</v>
      </c>
      <c r="V5"/>
      <c r="W5"/>
      <c r="X5"/>
      <c r="Y5"/>
      <c r="Z5"/>
      <c r="AA5"/>
      <c r="AB5"/>
      <c r="AE5" s="6"/>
      <c r="AF5" s="6"/>
      <c r="AG5" s="7"/>
      <c r="AH5" s="7"/>
      <c r="AI5" s="6"/>
      <c r="AJ5" s="6"/>
      <c r="AK5" s="6"/>
      <c r="AL5" s="6"/>
      <c r="AM5" s="6"/>
      <c r="AN5" s="6"/>
      <c r="AO5" s="6"/>
    </row>
    <row r="6" spans="1:55" s="5" customFormat="1" ht="15" customHeight="1">
      <c r="A6" s="18"/>
      <c r="B6" s="401" t="s">
        <v>46</v>
      </c>
      <c r="C6" s="402"/>
      <c r="D6" s="403"/>
      <c r="E6" s="499" t="str">
        <f>IF(sampleid="","",sampleid)</f>
        <v>TTI_Hoban+Turner_SMA</v>
      </c>
      <c r="F6" s="500"/>
      <c r="G6" s="500"/>
      <c r="H6" s="500"/>
      <c r="I6" s="501"/>
      <c r="J6" s="502" t="s">
        <v>111</v>
      </c>
      <c r="K6" s="503"/>
      <c r="L6" s="503"/>
      <c r="M6" s="503"/>
      <c r="N6" s="504"/>
      <c r="O6" s="138"/>
      <c r="P6" s="138"/>
      <c r="Q6" s="636" t="str">
        <f>IF(sampleddate="","",sampleddate)</f>
        <v>11/18/2010</v>
      </c>
      <c r="R6" s="636"/>
      <c r="S6" s="636"/>
      <c r="T6" s="636"/>
      <c r="U6" s="636"/>
      <c r="V6"/>
      <c r="W6"/>
      <c r="X6"/>
      <c r="Y6"/>
      <c r="Z6"/>
      <c r="AA6"/>
      <c r="AB6"/>
      <c r="AC6"/>
      <c r="AD6"/>
      <c r="AE6"/>
      <c r="AF6"/>
      <c r="AG6"/>
      <c r="AH6"/>
      <c r="AI6"/>
      <c r="AJ6"/>
      <c r="AK6"/>
      <c r="AL6"/>
      <c r="AM6"/>
      <c r="AN6"/>
      <c r="AO6"/>
      <c r="AP6"/>
      <c r="AW6" s="6"/>
      <c r="AX6" s="6"/>
      <c r="AY6" s="6"/>
      <c r="AZ6" s="6"/>
      <c r="BA6" s="6"/>
      <c r="BB6" s="6"/>
      <c r="BC6" s="6"/>
    </row>
    <row r="7" spans="1:55" s="5" customFormat="1" ht="15" customHeight="1">
      <c r="A7" s="39"/>
      <c r="B7" s="401" t="s">
        <v>47</v>
      </c>
      <c r="C7" s="402"/>
      <c r="D7" s="403"/>
      <c r="E7" s="499">
        <f>IF(testnumber="","",testnumber)</f>
      </c>
      <c r="F7" s="500"/>
      <c r="G7" s="500"/>
      <c r="H7" s="500"/>
      <c r="I7" s="501"/>
      <c r="J7" s="502" t="s">
        <v>48</v>
      </c>
      <c r="K7" s="503"/>
      <c r="L7" s="503"/>
      <c r="M7" s="503"/>
      <c r="N7" s="504"/>
      <c r="O7" s="138"/>
      <c r="P7" s="138"/>
      <c r="Q7" s="636">
        <f>IF(lettingdate="","",lettingdate)</f>
      </c>
      <c r="R7" s="636"/>
      <c r="S7" s="636"/>
      <c r="T7" s="636"/>
      <c r="U7" s="636"/>
      <c r="V7"/>
      <c r="W7"/>
      <c r="X7"/>
      <c r="Y7"/>
      <c r="Z7"/>
      <c r="AA7"/>
      <c r="AB7"/>
      <c r="AC7"/>
      <c r="AD7"/>
      <c r="AE7"/>
      <c r="AF7"/>
      <c r="AW7" s="6"/>
      <c r="AX7" s="6"/>
      <c r="AY7" s="6"/>
      <c r="AZ7" s="6"/>
      <c r="BA7" s="6"/>
      <c r="BB7" s="6"/>
      <c r="BC7" s="6"/>
    </row>
    <row r="8" spans="1:55" s="5" customFormat="1" ht="15" customHeight="1">
      <c r="A8" s="39"/>
      <c r="B8" s="401" t="s">
        <v>417</v>
      </c>
      <c r="C8" s="402"/>
      <c r="D8" s="403"/>
      <c r="E8" s="499">
        <f>IF(status="","",status)</f>
      </c>
      <c r="F8" s="500"/>
      <c r="G8" s="500"/>
      <c r="H8" s="500"/>
      <c r="I8" s="501"/>
      <c r="J8" s="502" t="s">
        <v>49</v>
      </c>
      <c r="K8" s="503"/>
      <c r="L8" s="503"/>
      <c r="M8" s="503"/>
      <c r="N8" s="504"/>
      <c r="O8" s="138"/>
      <c r="P8" s="138"/>
      <c r="Q8" s="636">
        <f>IF(ccsj="","",ccsj)</f>
      </c>
      <c r="R8" s="636"/>
      <c r="S8" s="636"/>
      <c r="T8" s="636"/>
      <c r="U8" s="636"/>
      <c r="V8"/>
      <c r="W8"/>
      <c r="X8"/>
      <c r="Y8"/>
      <c r="Z8"/>
      <c r="AA8"/>
      <c r="AB8"/>
      <c r="AC8"/>
      <c r="AD8"/>
      <c r="AE8"/>
      <c r="AF8"/>
      <c r="AW8" s="6"/>
      <c r="AX8" s="6"/>
      <c r="AY8" s="6"/>
      <c r="AZ8" s="6"/>
      <c r="BA8" s="6"/>
      <c r="BB8" s="6"/>
      <c r="BC8" s="6"/>
    </row>
    <row r="9" spans="1:40" s="5" customFormat="1" ht="15" customHeight="1">
      <c r="A9" s="39"/>
      <c r="B9" s="401" t="s">
        <v>50</v>
      </c>
      <c r="C9" s="402"/>
      <c r="D9" s="403"/>
      <c r="E9" s="499">
        <f>IF(county="","",county)</f>
      </c>
      <c r="F9" s="500"/>
      <c r="G9" s="500"/>
      <c r="H9" s="500"/>
      <c r="I9" s="501"/>
      <c r="J9" s="502" t="s">
        <v>51</v>
      </c>
      <c r="K9" s="503"/>
      <c r="L9" s="503"/>
      <c r="M9" s="503"/>
      <c r="N9" s="504"/>
      <c r="O9" s="138"/>
      <c r="P9" s="138"/>
      <c r="Q9" s="638" t="str">
        <f>IF(specyear="","",specyear)</f>
        <v>2004</v>
      </c>
      <c r="R9" s="638"/>
      <c r="S9" s="638"/>
      <c r="T9" s="638"/>
      <c r="U9" s="638"/>
      <c r="V9"/>
      <c r="W9"/>
      <c r="X9"/>
      <c r="Y9"/>
      <c r="Z9"/>
      <c r="AA9"/>
      <c r="AB9"/>
      <c r="AC9"/>
      <c r="AD9"/>
      <c r="AE9"/>
      <c r="AF9"/>
      <c r="AH9" s="10"/>
      <c r="AI9" s="10"/>
      <c r="AJ9" s="10"/>
      <c r="AK9" s="10"/>
      <c r="AL9" s="10"/>
      <c r="AM9" s="10"/>
      <c r="AN9" s="10"/>
    </row>
    <row r="10" spans="1:32" s="5" customFormat="1" ht="15" customHeight="1">
      <c r="A10" s="39"/>
      <c r="B10" s="401" t="s">
        <v>52</v>
      </c>
      <c r="C10" s="402"/>
      <c r="D10" s="403"/>
      <c r="E10" s="499" t="str">
        <f>IF(sampledby="","",sampledby)</f>
        <v>Xiaodi </v>
      </c>
      <c r="F10" s="500"/>
      <c r="G10" s="500"/>
      <c r="H10" s="500"/>
      <c r="I10" s="501"/>
      <c r="J10" s="401" t="s">
        <v>53</v>
      </c>
      <c r="K10" s="402"/>
      <c r="L10" s="402"/>
      <c r="M10" s="402"/>
      <c r="N10" s="403"/>
      <c r="O10" s="143"/>
      <c r="P10" s="143"/>
      <c r="Q10" s="636">
        <f>IF(specitem="","",specitem)</f>
      </c>
      <c r="R10" s="636"/>
      <c r="S10" s="636"/>
      <c r="T10" s="636"/>
      <c r="U10" s="636"/>
      <c r="V10"/>
      <c r="W10"/>
      <c r="X10"/>
      <c r="Y10"/>
      <c r="Z10"/>
      <c r="AA10"/>
      <c r="AB10"/>
      <c r="AC10"/>
      <c r="AD10"/>
      <c r="AE10"/>
      <c r="AF10"/>
    </row>
    <row r="11" spans="1:21" ht="15" customHeight="1">
      <c r="A11" s="39"/>
      <c r="B11" s="401" t="s">
        <v>54</v>
      </c>
      <c r="C11" s="402"/>
      <c r="D11" s="403"/>
      <c r="E11" s="499" t="str">
        <f>IF(samplelocation="","",samplelocation)</f>
        <v>TTI</v>
      </c>
      <c r="F11" s="500"/>
      <c r="G11" s="500"/>
      <c r="H11" s="500"/>
      <c r="I11" s="501"/>
      <c r="J11" s="502" t="s">
        <v>55</v>
      </c>
      <c r="K11" s="503"/>
      <c r="L11" s="503"/>
      <c r="M11" s="503"/>
      <c r="N11" s="504"/>
      <c r="O11" s="138"/>
      <c r="P11" s="138"/>
      <c r="Q11" s="637">
        <f>IF(specialprovision="","",specialprovision)</f>
      </c>
      <c r="R11" s="637"/>
      <c r="S11" s="637"/>
      <c r="T11" s="637"/>
      <c r="U11" s="637"/>
    </row>
    <row r="12" spans="1:21" ht="15" customHeight="1">
      <c r="A12" s="39"/>
      <c r="B12" s="401" t="s">
        <v>418</v>
      </c>
      <c r="C12" s="402"/>
      <c r="D12" s="403"/>
      <c r="E12" s="499">
        <f>IF(material="","",material)</f>
      </c>
      <c r="F12" s="500"/>
      <c r="G12" s="500"/>
      <c r="H12" s="500"/>
      <c r="I12" s="501"/>
      <c r="J12" s="401" t="s">
        <v>56</v>
      </c>
      <c r="K12" s="402"/>
      <c r="L12" s="402"/>
      <c r="M12" s="402"/>
      <c r="N12" s="403"/>
      <c r="O12" s="143"/>
      <c r="P12" s="143"/>
      <c r="Q12" s="637" t="str">
        <f>IF(Grade="","",Grade)</f>
        <v>Other</v>
      </c>
      <c r="R12" s="637"/>
      <c r="S12" s="637"/>
      <c r="T12" s="637"/>
      <c r="U12" s="637"/>
    </row>
    <row r="13" spans="1:21" ht="15" customHeight="1">
      <c r="A13" s="39"/>
      <c r="B13" s="401" t="s">
        <v>416</v>
      </c>
      <c r="C13" s="402"/>
      <c r="D13" s="403"/>
      <c r="E13" s="537">
        <f>IF(matl_nm="","",matl_nm)</f>
      </c>
      <c r="F13" s="538"/>
      <c r="G13" s="538"/>
      <c r="H13" s="538"/>
      <c r="I13" s="538"/>
      <c r="J13" s="538"/>
      <c r="K13" s="538"/>
      <c r="L13" s="538"/>
      <c r="M13" s="538"/>
      <c r="N13" s="538"/>
      <c r="O13" s="538"/>
      <c r="P13" s="538"/>
      <c r="Q13" s="538"/>
      <c r="R13" s="538"/>
      <c r="S13" s="538"/>
      <c r="T13" s="538"/>
      <c r="U13" s="539"/>
    </row>
    <row r="14" spans="1:21" ht="15" customHeight="1">
      <c r="A14" s="39"/>
      <c r="B14" s="401" t="s">
        <v>57</v>
      </c>
      <c r="C14" s="402"/>
      <c r="D14" s="403"/>
      <c r="E14" s="496">
        <f>IF(producer="","",producer)</f>
      </c>
      <c r="F14" s="497"/>
      <c r="G14" s="497"/>
      <c r="H14" s="497"/>
      <c r="I14" s="497"/>
      <c r="J14" s="497"/>
      <c r="K14" s="497"/>
      <c r="L14" s="497"/>
      <c r="M14" s="497"/>
      <c r="N14" s="497"/>
      <c r="O14" s="497"/>
      <c r="P14" s="497"/>
      <c r="Q14" s="497"/>
      <c r="R14" s="497"/>
      <c r="S14" s="497"/>
      <c r="T14" s="497"/>
      <c r="U14" s="498"/>
    </row>
    <row r="15" spans="1:21" ht="15" customHeight="1">
      <c r="A15" s="39"/>
      <c r="B15" s="401" t="s">
        <v>58</v>
      </c>
      <c r="C15" s="402"/>
      <c r="D15" s="403"/>
      <c r="E15" s="499">
        <f>IF(areaengineer="","",areaengineer)</f>
      </c>
      <c r="F15" s="500"/>
      <c r="G15" s="500"/>
      <c r="H15" s="500"/>
      <c r="I15" s="501"/>
      <c r="J15" s="502" t="s">
        <v>59</v>
      </c>
      <c r="K15" s="503"/>
      <c r="L15" s="503"/>
      <c r="M15" s="503"/>
      <c r="N15" s="504"/>
      <c r="O15" s="138"/>
      <c r="P15" s="138"/>
      <c r="Q15" s="505">
        <f>IF(projectmanager="","",projectmanager)</f>
      </c>
      <c r="R15" s="506"/>
      <c r="S15" s="506"/>
      <c r="T15" s="506"/>
      <c r="U15" s="507"/>
    </row>
    <row r="16" spans="1:17" ht="6" customHeight="1">
      <c r="A16" s="39"/>
      <c r="B16" s="11"/>
      <c r="C16" s="11"/>
      <c r="D16" s="11"/>
      <c r="E16" s="11"/>
      <c r="F16" s="12"/>
      <c r="G16" s="12"/>
      <c r="H16" s="12"/>
      <c r="I16" s="12"/>
      <c r="J16" s="12"/>
      <c r="K16" s="12"/>
      <c r="L16" s="12"/>
      <c r="M16" s="12"/>
      <c r="N16" s="12"/>
      <c r="O16" s="12"/>
      <c r="P16" s="12"/>
      <c r="Q16" s="12"/>
    </row>
    <row r="17" spans="1:30" ht="15" customHeight="1">
      <c r="A17" s="39"/>
      <c r="B17" s="401" t="s">
        <v>1</v>
      </c>
      <c r="C17" s="402"/>
      <c r="D17" s="403"/>
      <c r="E17" s="139">
        <f>IF(courselift="","",courselift)</f>
      </c>
      <c r="F17" s="369" t="s">
        <v>2</v>
      </c>
      <c r="G17" s="580"/>
      <c r="H17" s="580"/>
      <c r="I17" s="370"/>
      <c r="J17" s="484">
        <f>IF(station="","",station)</f>
      </c>
      <c r="K17" s="634"/>
      <c r="L17" s="634"/>
      <c r="M17" s="485"/>
      <c r="N17" s="580" t="s">
        <v>3</v>
      </c>
      <c r="O17" s="580"/>
      <c r="P17" s="580"/>
      <c r="Q17" s="370"/>
      <c r="R17" s="629">
        <f>IF(distfromcl="","",distfromcl)</f>
      </c>
      <c r="S17" s="630"/>
      <c r="T17" s="630"/>
      <c r="U17" s="631"/>
      <c r="V17" s="540" t="s">
        <v>393</v>
      </c>
      <c r="W17" s="540"/>
      <c r="X17" s="540"/>
      <c r="Y17" s="540"/>
      <c r="Z17" s="540"/>
      <c r="AC17" s="459">
        <f>IF(condesignnum="","",condesignnum)</f>
      </c>
      <c r="AD17" s="460"/>
    </row>
    <row r="18" ht="15" customHeight="1"/>
    <row r="19" spans="1:40" s="123" customFormat="1" ht="17.25" customHeight="1">
      <c r="A19" s="122"/>
      <c r="E19" s="493" t="str">
        <f>IF(Bin1Frac="","","Bin No.1 = "&amp;Bin1Frac&amp;" %")</f>
        <v>Bin No.1 = 60 %</v>
      </c>
      <c r="F19" s="495"/>
      <c r="G19" s="74"/>
      <c r="H19" s="74"/>
      <c r="I19" s="493" t="str">
        <f>IF(Bin2Frac="","","Bin No.2 = "&amp;Bin2Frac&amp;" %")</f>
        <v>Bin No.2 = 40 %</v>
      </c>
      <c r="J19" s="495"/>
      <c r="K19" s="74"/>
      <c r="L19" s="74"/>
      <c r="M19" s="493">
        <f>IF(Bin3Frac="","","Bin No.3 = "&amp;Bin3Frac&amp;" %")</f>
      </c>
      <c r="N19" s="495"/>
      <c r="O19" s="74"/>
      <c r="P19" s="74"/>
      <c r="Q19" s="493">
        <f>IF(Bin4Frac="","","Bin No.4 = "&amp;Bin4Frac&amp;" %")</f>
      </c>
      <c r="R19" s="495"/>
      <c r="S19" s="74"/>
      <c r="T19" s="74"/>
      <c r="U19" s="493">
        <f>IF(Bin5Frac="","","Bin No.5 = "&amp;Bin5Frac&amp;" %")</f>
      </c>
      <c r="V19" s="495"/>
      <c r="W19" s="74"/>
      <c r="X19" s="74"/>
      <c r="Y19" s="493">
        <f>IF(Bin6Frac="","","Bin No.6 = "&amp;Bin6Frac&amp;" %")</f>
      </c>
      <c r="Z19" s="495"/>
      <c r="AA19" s="74"/>
      <c r="AB19" s="74"/>
      <c r="AC19" s="493">
        <f>IF(Bin7Frac="","","Bin No.7 = "&amp;Bin7Frac&amp;" %")</f>
      </c>
      <c r="AD19" s="495"/>
      <c r="AE19" s="55"/>
      <c r="AF19" s="68"/>
      <c r="AG19" s="68"/>
      <c r="AH19" s="68"/>
      <c r="AI19" s="124"/>
      <c r="AJ19" s="124"/>
      <c r="AL19" s="549"/>
      <c r="AM19" s="549"/>
      <c r="AN19" s="549"/>
    </row>
    <row r="20" spans="1:40" ht="17.25" customHeight="1">
      <c r="A20" s="71"/>
      <c r="B20" s="400" t="s">
        <v>138</v>
      </c>
      <c r="C20" s="400"/>
      <c r="D20" s="400"/>
      <c r="E20" s="513" t="str">
        <f>IF(Bin1Source="","",Bin1Source)</f>
        <v>Hoban</v>
      </c>
      <c r="F20" s="550"/>
      <c r="G20" s="65"/>
      <c r="H20" s="65"/>
      <c r="I20" s="490" t="str">
        <f>IF(Bin2Source="","",Bin2Source)</f>
        <v>Turner</v>
      </c>
      <c r="J20" s="492"/>
      <c r="K20" s="490"/>
      <c r="L20" s="492"/>
      <c r="M20" s="490">
        <f>IF(Bin3Source="","",Bin3Source)</f>
      </c>
      <c r="N20" s="492"/>
      <c r="O20" s="490"/>
      <c r="P20" s="492"/>
      <c r="Q20" s="490">
        <f>IF(Bin4Source="","",Bin4Source)</f>
      </c>
      <c r="R20" s="492"/>
      <c r="S20" s="490"/>
      <c r="T20" s="492"/>
      <c r="U20" s="490">
        <f>IF(Bin5Source="","",Bin5Source)</f>
      </c>
      <c r="V20" s="492"/>
      <c r="W20" s="490"/>
      <c r="X20" s="492"/>
      <c r="Y20" s="490">
        <f>IF(Bin6Source="","",Bin6Source)</f>
      </c>
      <c r="Z20" s="492"/>
      <c r="AA20" s="490"/>
      <c r="AB20" s="492"/>
      <c r="AC20" s="490">
        <f>IF(Bin7Source="","",Bin7Source)</f>
      </c>
      <c r="AD20" s="492"/>
      <c r="AE20" s="70"/>
      <c r="AF20" s="67"/>
      <c r="AG20" s="67"/>
      <c r="AH20" s="67"/>
      <c r="AI20" s="69"/>
      <c r="AJ20" s="69"/>
      <c r="AL20" s="549"/>
      <c r="AM20" s="549"/>
      <c r="AN20" s="549"/>
    </row>
    <row r="21" spans="1:40" ht="17.25" customHeight="1">
      <c r="A21" s="71"/>
      <c r="B21" s="400" t="s">
        <v>139</v>
      </c>
      <c r="C21" s="400"/>
      <c r="D21" s="400"/>
      <c r="E21" s="513">
        <f>IF(Bin1Aggr="","",Bin1Aggr)</f>
      </c>
      <c r="F21" s="550"/>
      <c r="G21" s="65"/>
      <c r="H21" s="65"/>
      <c r="I21" s="490">
        <f>IF(Bin2Aggr="","",Bin2Aggr)</f>
      </c>
      <c r="J21" s="492"/>
      <c r="K21" s="490"/>
      <c r="L21" s="492"/>
      <c r="M21" s="490">
        <f>IF(Bin3Aggr="","",Bin3Aggr)</f>
      </c>
      <c r="N21" s="492"/>
      <c r="O21" s="490"/>
      <c r="P21" s="492"/>
      <c r="Q21" s="490">
        <f>IF(Bin4Aggr="","",Bin4Aggr)</f>
      </c>
      <c r="R21" s="492"/>
      <c r="S21" s="490"/>
      <c r="T21" s="492"/>
      <c r="U21" s="490">
        <f>IF(Bin5Aggr="","",Bin5Aggr)</f>
      </c>
      <c r="V21" s="492"/>
      <c r="W21" s="490"/>
      <c r="X21" s="492"/>
      <c r="Y21" s="490">
        <f>IF(Bin6Aggr="","",Bin6Aggr)</f>
      </c>
      <c r="Z21" s="492"/>
      <c r="AA21" s="490"/>
      <c r="AB21" s="492"/>
      <c r="AC21" s="490">
        <f>IF(Bin7Aggr="","",Bin7Aggr)</f>
      </c>
      <c r="AD21" s="492"/>
      <c r="AE21" s="55"/>
      <c r="AF21" s="68"/>
      <c r="AG21" s="68"/>
      <c r="AH21" s="68"/>
      <c r="AI21" s="69"/>
      <c r="AJ21" s="69"/>
      <c r="AL21" s="549"/>
      <c r="AM21" s="549"/>
      <c r="AN21" s="549"/>
    </row>
    <row r="22" spans="1:40" ht="17.25" customHeight="1">
      <c r="A22" s="71"/>
      <c r="B22" s="400" t="s">
        <v>125</v>
      </c>
      <c r="C22" s="400"/>
      <c r="D22" s="400"/>
      <c r="E22" s="513" t="str">
        <f>IF(Bin1samp="","",Bin1samp)</f>
        <v>Grade 5</v>
      </c>
      <c r="F22" s="550"/>
      <c r="G22" s="65"/>
      <c r="H22" s="65"/>
      <c r="I22" s="490" t="str">
        <f>IF(Bin2Samp="","",Bin2Samp)</f>
        <v>Screenings</v>
      </c>
      <c r="J22" s="492"/>
      <c r="K22" s="490"/>
      <c r="L22" s="492"/>
      <c r="M22" s="490">
        <f>IF(Bin3Samp="","",Bin3Samp)</f>
      </c>
      <c r="N22" s="492"/>
      <c r="O22" s="490"/>
      <c r="P22" s="492"/>
      <c r="Q22" s="490">
        <f>IF(Bin4Samp="","",Bin4Samp)</f>
      </c>
      <c r="R22" s="492"/>
      <c r="S22" s="490"/>
      <c r="T22" s="492"/>
      <c r="U22" s="490">
        <f>IF(Bin5Samp="","",Bin5Samp)</f>
      </c>
      <c r="V22" s="492"/>
      <c r="W22" s="490"/>
      <c r="X22" s="492"/>
      <c r="Y22" s="490">
        <f>IF(Bin6Samp="","",Bin6Samp)</f>
      </c>
      <c r="Z22" s="492"/>
      <c r="AA22" s="490"/>
      <c r="AB22" s="492"/>
      <c r="AC22" s="490">
        <f>IF(Bin7Samp="","",Bin7Samp)</f>
      </c>
      <c r="AD22" s="492"/>
      <c r="AE22" s="70"/>
      <c r="AF22" s="67"/>
      <c r="AG22" s="67"/>
      <c r="AH22" s="67"/>
      <c r="AI22" s="69"/>
      <c r="AJ22" s="69"/>
      <c r="AL22" s="63"/>
      <c r="AM22" s="63"/>
      <c r="AN22" s="63"/>
    </row>
    <row r="23" spans="2:30" ht="6" customHeight="1">
      <c r="B23" s="125"/>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7"/>
    </row>
    <row r="24" spans="1:40" ht="17.25" customHeight="1">
      <c r="A24" s="71"/>
      <c r="B24" s="407" t="s">
        <v>4</v>
      </c>
      <c r="C24" s="408"/>
      <c r="D24" s="555"/>
      <c r="E24" s="544" t="s">
        <v>135</v>
      </c>
      <c r="F24" s="632" t="s">
        <v>136</v>
      </c>
      <c r="G24" s="72"/>
      <c r="H24" s="72"/>
      <c r="I24" s="544" t="s">
        <v>135</v>
      </c>
      <c r="J24" s="632" t="s">
        <v>136</v>
      </c>
      <c r="K24" s="544"/>
      <c r="L24" s="632"/>
      <c r="M24" s="544" t="s">
        <v>135</v>
      </c>
      <c r="N24" s="632" t="s">
        <v>136</v>
      </c>
      <c r="O24" s="544"/>
      <c r="P24" s="632"/>
      <c r="Q24" s="544" t="s">
        <v>135</v>
      </c>
      <c r="R24" s="632" t="s">
        <v>136</v>
      </c>
      <c r="S24" s="544"/>
      <c r="T24" s="632"/>
      <c r="U24" s="544" t="s">
        <v>135</v>
      </c>
      <c r="V24" s="632" t="s">
        <v>136</v>
      </c>
      <c r="W24" s="544"/>
      <c r="X24" s="632"/>
      <c r="Y24" s="544" t="s">
        <v>135</v>
      </c>
      <c r="Z24" s="632" t="s">
        <v>136</v>
      </c>
      <c r="AA24" s="544"/>
      <c r="AB24" s="632"/>
      <c r="AC24" s="544" t="s">
        <v>135</v>
      </c>
      <c r="AD24" s="632" t="s">
        <v>136</v>
      </c>
      <c r="AE24" s="70"/>
      <c r="AF24" s="67"/>
      <c r="AG24" s="67"/>
      <c r="AH24" s="67"/>
      <c r="AI24" s="69"/>
      <c r="AJ24" s="69"/>
      <c r="AL24" s="63"/>
      <c r="AM24" s="63"/>
      <c r="AN24" s="63"/>
    </row>
    <row r="25" spans="1:40" ht="17.25" customHeight="1">
      <c r="A25" s="71"/>
      <c r="B25" s="556" t="s">
        <v>134</v>
      </c>
      <c r="C25" s="557"/>
      <c r="D25" s="558"/>
      <c r="E25" s="545"/>
      <c r="F25" s="633"/>
      <c r="G25" s="121"/>
      <c r="H25" s="121"/>
      <c r="I25" s="545"/>
      <c r="J25" s="633"/>
      <c r="K25" s="545"/>
      <c r="L25" s="633"/>
      <c r="M25" s="545"/>
      <c r="N25" s="633"/>
      <c r="O25" s="545"/>
      <c r="P25" s="633"/>
      <c r="Q25" s="545"/>
      <c r="R25" s="633"/>
      <c r="S25" s="545"/>
      <c r="T25" s="633"/>
      <c r="U25" s="545"/>
      <c r="V25" s="633"/>
      <c r="W25" s="545"/>
      <c r="X25" s="633"/>
      <c r="Y25" s="545"/>
      <c r="Z25" s="633"/>
      <c r="AA25" s="545"/>
      <c r="AB25" s="633"/>
      <c r="AC25" s="545"/>
      <c r="AD25" s="633"/>
      <c r="AE25" s="70"/>
      <c r="AF25" s="67"/>
      <c r="AG25" s="67"/>
      <c r="AH25" s="67"/>
      <c r="AI25" s="69"/>
      <c r="AJ25" s="69"/>
      <c r="AL25" s="63"/>
      <c r="AM25" s="63"/>
      <c r="AN25" s="63"/>
    </row>
    <row r="26" spans="1:40" ht="15" customHeight="1">
      <c r="A26" s="71"/>
      <c r="B26" s="120"/>
      <c r="C26" s="62" t="s">
        <v>60</v>
      </c>
      <c r="D26" s="62" t="str">
        <f ca="1">IF(ISERROR(INDEX(INDIRECT(Grade),1,IF(specyear="2004",2,3))),"Pan",INDEX(INDIRECT(Grade),1,IF(specyear="2004",2,3)))</f>
        <v>3/8"</v>
      </c>
      <c r="E26" s="99">
        <f>IF('Combined Gradation'!E30="",0,100-'Combined Gradation'!E30)</f>
        <v>0.5</v>
      </c>
      <c r="F26" s="201"/>
      <c r="G26" s="111">
        <f aca="true" t="shared" si="0" ref="G26:G36">IF(ISERROR(E26/F26),0,(E26/F26))</f>
        <v>0</v>
      </c>
      <c r="H26" s="111">
        <f>IF(F26&lt;&gt;"",E26,0)</f>
        <v>0</v>
      </c>
      <c r="I26" s="99">
        <f>IF('Combined Gradation'!G30="",0,100-'Combined Gradation'!G30)</f>
        <v>0</v>
      </c>
      <c r="J26" s="201"/>
      <c r="K26" s="111">
        <f aca="true" t="shared" si="1" ref="K26:K36">IF(ISERROR(I26/J26),0,(I26/J26))</f>
        <v>0</v>
      </c>
      <c r="L26" s="111">
        <f aca="true" t="shared" si="2" ref="L26:L36">IF(J26&lt;&gt;"",I26,0)</f>
        <v>0</v>
      </c>
      <c r="M26" s="99">
        <f>IF('Combined Gradation'!I30="",0,100-'Combined Gradation'!I30)</f>
        <v>0</v>
      </c>
      <c r="N26" s="201"/>
      <c r="O26" s="111">
        <f>IF(ISERROR(M26/N26),0,(M26/N26))</f>
        <v>0</v>
      </c>
      <c r="P26" s="111">
        <f>IF(N26&lt;&gt;"",M26,0)</f>
        <v>0</v>
      </c>
      <c r="Q26" s="99">
        <f>IF('Combined Gradation'!K30="",0,100-'Combined Gradation'!K30)</f>
        <v>0</v>
      </c>
      <c r="R26" s="201"/>
      <c r="S26" s="111">
        <f>IF(ISERROR(Q26/R26),0,(Q26/R26))</f>
        <v>0</v>
      </c>
      <c r="T26" s="111">
        <f>IF(R26&lt;&gt;"",Q26,0)</f>
        <v>0</v>
      </c>
      <c r="U26" s="99">
        <f>IF('Combined Gradation'!M30="",0,100-'Combined Gradation'!M30)</f>
        <v>0</v>
      </c>
      <c r="V26" s="201"/>
      <c r="W26" s="111">
        <f>IF(ISERROR(U26/V26),0,(U26/V26))</f>
        <v>0</v>
      </c>
      <c r="X26" s="111">
        <f>IF(V26&lt;&gt;"",U26,0)</f>
        <v>0</v>
      </c>
      <c r="Y26" s="99">
        <f>IF('Combined Gradation'!O30="",0,100-'Combined Gradation'!O30)</f>
        <v>0</v>
      </c>
      <c r="Z26" s="201"/>
      <c r="AA26" s="111">
        <f>IF(ISERROR(Y26/Z26),0,(Y26/Z26))</f>
        <v>0</v>
      </c>
      <c r="AB26" s="111">
        <f>IF(Z26&lt;&gt;"",Y26,0)</f>
        <v>0</v>
      </c>
      <c r="AC26" s="99">
        <f>IF('Combined Gradation'!Q30="",0,100-'Combined Gradation'!Q30)</f>
        <v>0</v>
      </c>
      <c r="AD26" s="201"/>
      <c r="AE26" s="113">
        <f>IF(ISERROR(AC26/AD26),0,(AC26/AD26))</f>
        <v>0</v>
      </c>
      <c r="AF26" s="113">
        <f>IF(AD26&lt;&gt;"",AC26,0)</f>
        <v>0</v>
      </c>
      <c r="AG26" s="58"/>
      <c r="AH26" s="58"/>
      <c r="AI26" s="73"/>
      <c r="AJ26" s="73"/>
      <c r="AL26" s="67"/>
      <c r="AM26" s="66"/>
      <c r="AN26" s="66"/>
    </row>
    <row r="27" spans="1:40" ht="15" customHeight="1">
      <c r="A27" s="71"/>
      <c r="B27" s="62" t="str">
        <f ca="1">IF(ISERROR(INDEX(INDIRECT(Grade),1,IF(specyear="2004",2,3))),"",INDEX(INDIRECT(Grade),1,IF(specyear="2004",2,3)))</f>
        <v>3/8"</v>
      </c>
      <c r="C27" s="62" t="s">
        <v>60</v>
      </c>
      <c r="D27" s="54" t="str">
        <f ca="1">IF(ISERROR(INDEX(INDIRECT(Grade),2,IF(specyear="2004",2,3))),"Pan",INDEX(INDIRECT(Grade),2,IF(specyear="2004",2,3)))</f>
        <v>No. 4</v>
      </c>
      <c r="E27" s="99">
        <f>('Combined Gradation'!E30-'Combined Gradation'!E31)</f>
        <v>75.2</v>
      </c>
      <c r="F27" s="201"/>
      <c r="G27" s="111">
        <f t="shared" si="0"/>
        <v>0</v>
      </c>
      <c r="H27" s="111">
        <f aca="true" t="shared" si="3" ref="H27:H36">IF(F27&lt;&gt;"",E27,0)</f>
        <v>0</v>
      </c>
      <c r="I27" s="99">
        <f>('Combined Gradation'!G30-'Combined Gradation'!G31)</f>
        <v>3</v>
      </c>
      <c r="J27" s="201"/>
      <c r="K27" s="111">
        <f t="shared" si="1"/>
        <v>0</v>
      </c>
      <c r="L27" s="111">
        <f t="shared" si="2"/>
        <v>0</v>
      </c>
      <c r="M27" s="99">
        <f>('Combined Gradation'!I30-'Combined Gradation'!I31)</f>
        <v>0</v>
      </c>
      <c r="N27" s="201"/>
      <c r="O27" s="111">
        <f aca="true" t="shared" si="4" ref="O27:O36">IF(ISERROR(M27/N27),0,(M27/N27))</f>
        <v>0</v>
      </c>
      <c r="P27" s="111">
        <f aca="true" t="shared" si="5" ref="P27:P36">IF(N27&lt;&gt;"",M27,0)</f>
        <v>0</v>
      </c>
      <c r="Q27" s="99">
        <f>('Combined Gradation'!K30-'Combined Gradation'!K31)</f>
        <v>0</v>
      </c>
      <c r="R27" s="201"/>
      <c r="S27" s="111">
        <f aca="true" t="shared" si="6" ref="S27:S36">IF(ISERROR(Q27/R27),0,(Q27/R27))</f>
        <v>0</v>
      </c>
      <c r="T27" s="111">
        <f aca="true" t="shared" si="7" ref="T27:T36">IF(R27&lt;&gt;"",Q27,0)</f>
        <v>0</v>
      </c>
      <c r="U27" s="99">
        <f>('Combined Gradation'!M30-'Combined Gradation'!M31)</f>
        <v>0</v>
      </c>
      <c r="V27" s="201"/>
      <c r="W27" s="111">
        <f aca="true" t="shared" si="8" ref="W27:W36">IF(ISERROR(U27/V27),0,(U27/V27))</f>
        <v>0</v>
      </c>
      <c r="X27" s="111">
        <f aca="true" t="shared" si="9" ref="X27:X36">IF(V27&lt;&gt;"",U27,0)</f>
        <v>0</v>
      </c>
      <c r="Y27" s="99">
        <f>('Combined Gradation'!O30-'Combined Gradation'!O31)</f>
        <v>0</v>
      </c>
      <c r="Z27" s="201"/>
      <c r="AA27" s="111">
        <f aca="true" t="shared" si="10" ref="AA27:AA36">IF(ISERROR(Y27/Z27),0,(Y27/Z27))</f>
        <v>0</v>
      </c>
      <c r="AB27" s="111">
        <f aca="true" t="shared" si="11" ref="AB27:AB36">IF(Z27&lt;&gt;"",Y27,0)</f>
        <v>0</v>
      </c>
      <c r="AC27" s="99">
        <f>('Combined Gradation'!Q30-'Combined Gradation'!Q31)</f>
        <v>0</v>
      </c>
      <c r="AD27" s="201"/>
      <c r="AE27" s="111">
        <f aca="true" t="shared" si="12" ref="AE27:AE36">IF(ISERROR(AC27/AD27),0,(AC27/AD27))</f>
        <v>0</v>
      </c>
      <c r="AF27" s="111">
        <f aca="true" t="shared" si="13" ref="AF27:AF36">IF(AD27&lt;&gt;"",AC27,0)</f>
        <v>0</v>
      </c>
      <c r="AG27" s="58"/>
      <c r="AH27" s="58"/>
      <c r="AI27" s="73"/>
      <c r="AJ27" s="73"/>
      <c r="AL27" s="67"/>
      <c r="AM27" s="66"/>
      <c r="AN27" s="66"/>
    </row>
    <row r="28" spans="1:40" ht="15" customHeight="1">
      <c r="A28" s="71"/>
      <c r="B28" s="54" t="str">
        <f ca="1">IF(ISERROR(INDEX(INDIRECT(Grade),2,IF(specyear="2004",2,3))),"",INDEX(INDIRECT(Grade),2,IF(specyear="2004",2,3)))</f>
        <v>No. 4</v>
      </c>
      <c r="C28" s="62" t="s">
        <v>60</v>
      </c>
      <c r="D28" s="54" t="str">
        <f ca="1">IF(ISERROR(INDEX(INDIRECT(Grade),3,IF(specyear="2004",2,3))),"Pan",INDEX(INDIRECT(Grade),3,IF(specyear="2004",2,3)))</f>
        <v>No. 8</v>
      </c>
      <c r="E28" s="99">
        <f>('Combined Gradation'!E31-'Combined Gradation'!E32)</f>
        <v>22.7</v>
      </c>
      <c r="F28" s="201"/>
      <c r="G28" s="111">
        <f t="shared" si="0"/>
        <v>0</v>
      </c>
      <c r="H28" s="111">
        <f t="shared" si="3"/>
        <v>0</v>
      </c>
      <c r="I28" s="99">
        <f>('Combined Gradation'!G31-'Combined Gradation'!G32)</f>
        <v>13.900000000000006</v>
      </c>
      <c r="J28" s="201"/>
      <c r="K28" s="111">
        <f t="shared" si="1"/>
        <v>0</v>
      </c>
      <c r="L28" s="111">
        <f t="shared" si="2"/>
        <v>0</v>
      </c>
      <c r="M28" s="99">
        <f>('Combined Gradation'!I31-'Combined Gradation'!I32)</f>
        <v>0</v>
      </c>
      <c r="N28" s="201"/>
      <c r="O28" s="111">
        <f t="shared" si="4"/>
        <v>0</v>
      </c>
      <c r="P28" s="111">
        <f t="shared" si="5"/>
        <v>0</v>
      </c>
      <c r="Q28" s="99">
        <f>('Combined Gradation'!K31-'Combined Gradation'!K32)</f>
        <v>0</v>
      </c>
      <c r="R28" s="201"/>
      <c r="S28" s="111">
        <f t="shared" si="6"/>
        <v>0</v>
      </c>
      <c r="T28" s="111">
        <f t="shared" si="7"/>
        <v>0</v>
      </c>
      <c r="U28" s="99">
        <f>('Combined Gradation'!M31-'Combined Gradation'!M32)</f>
        <v>0</v>
      </c>
      <c r="V28" s="201"/>
      <c r="W28" s="111">
        <f t="shared" si="8"/>
        <v>0</v>
      </c>
      <c r="X28" s="111">
        <f t="shared" si="9"/>
        <v>0</v>
      </c>
      <c r="Y28" s="99">
        <f>('Combined Gradation'!O31-'Combined Gradation'!O32)</f>
        <v>0</v>
      </c>
      <c r="Z28" s="201"/>
      <c r="AA28" s="111">
        <f t="shared" si="10"/>
        <v>0</v>
      </c>
      <c r="AB28" s="111">
        <f t="shared" si="11"/>
        <v>0</v>
      </c>
      <c r="AC28" s="99">
        <f>('Combined Gradation'!Q31-'Combined Gradation'!Q32)</f>
        <v>0</v>
      </c>
      <c r="AD28" s="201"/>
      <c r="AE28" s="111">
        <f t="shared" si="12"/>
        <v>0</v>
      </c>
      <c r="AF28" s="111">
        <f t="shared" si="13"/>
        <v>0</v>
      </c>
      <c r="AG28" s="58"/>
      <c r="AH28" s="58"/>
      <c r="AI28" s="73"/>
      <c r="AJ28" s="73"/>
      <c r="AL28" s="67"/>
      <c r="AM28" s="66"/>
      <c r="AN28" s="66"/>
    </row>
    <row r="29" spans="1:40" ht="15" customHeight="1">
      <c r="A29" s="71"/>
      <c r="B29" s="54" t="str">
        <f ca="1">IF(ISERROR(INDEX(INDIRECT(Grade),3,IF(specyear="2004",2,3))),"",INDEX(INDIRECT(Grade),3,IF(specyear="2004",2,3)))</f>
        <v>No. 8</v>
      </c>
      <c r="C29" s="62" t="s">
        <v>60</v>
      </c>
      <c r="D29" s="54" t="str">
        <f ca="1">IF(ISERROR(INDEX(INDIRECT(Grade),4,IF(specyear="2004",2,3))),"Pan",INDEX(INDIRECT(Grade),4,IF(specyear="2004",2,3)))</f>
        <v>No. 16</v>
      </c>
      <c r="E29" s="99">
        <f>('Combined Gradation'!E32-'Combined Gradation'!E33)</f>
        <v>0.9000000000000001</v>
      </c>
      <c r="F29" s="201"/>
      <c r="G29" s="111">
        <f t="shared" si="0"/>
        <v>0</v>
      </c>
      <c r="H29" s="111">
        <f t="shared" si="3"/>
        <v>0</v>
      </c>
      <c r="I29" s="99">
        <f>('Combined Gradation'!G32-'Combined Gradation'!G33)</f>
        <v>27.39999999999999</v>
      </c>
      <c r="J29" s="201"/>
      <c r="K29" s="111">
        <f t="shared" si="1"/>
        <v>0</v>
      </c>
      <c r="L29" s="111">
        <f t="shared" si="2"/>
        <v>0</v>
      </c>
      <c r="M29" s="99">
        <f>('Combined Gradation'!I32-'Combined Gradation'!I33)</f>
        <v>0</v>
      </c>
      <c r="N29" s="201"/>
      <c r="O29" s="111">
        <f t="shared" si="4"/>
        <v>0</v>
      </c>
      <c r="P29" s="111">
        <f t="shared" si="5"/>
        <v>0</v>
      </c>
      <c r="Q29" s="99">
        <f>('Combined Gradation'!K32-'Combined Gradation'!K33)</f>
        <v>0</v>
      </c>
      <c r="R29" s="201"/>
      <c r="S29" s="111">
        <f t="shared" si="6"/>
        <v>0</v>
      </c>
      <c r="T29" s="111">
        <f t="shared" si="7"/>
        <v>0</v>
      </c>
      <c r="U29" s="99">
        <f>('Combined Gradation'!M32-'Combined Gradation'!M33)</f>
        <v>0</v>
      </c>
      <c r="V29" s="201"/>
      <c r="W29" s="111">
        <f t="shared" si="8"/>
        <v>0</v>
      </c>
      <c r="X29" s="111">
        <f t="shared" si="9"/>
        <v>0</v>
      </c>
      <c r="Y29" s="99">
        <f>('Combined Gradation'!O32-'Combined Gradation'!O33)</f>
        <v>0</v>
      </c>
      <c r="Z29" s="201"/>
      <c r="AA29" s="111">
        <f t="shared" si="10"/>
        <v>0</v>
      </c>
      <c r="AB29" s="111">
        <f t="shared" si="11"/>
        <v>0</v>
      </c>
      <c r="AC29" s="99">
        <f>('Combined Gradation'!Q32-'Combined Gradation'!Q33)</f>
        <v>0</v>
      </c>
      <c r="AD29" s="201"/>
      <c r="AE29" s="111">
        <f t="shared" si="12"/>
        <v>0</v>
      </c>
      <c r="AF29" s="111">
        <f t="shared" si="13"/>
        <v>0</v>
      </c>
      <c r="AG29" s="58"/>
      <c r="AH29" s="58"/>
      <c r="AI29" s="73"/>
      <c r="AJ29" s="73"/>
      <c r="AL29" s="67"/>
      <c r="AM29" s="66"/>
      <c r="AN29" s="66"/>
    </row>
    <row r="30" spans="1:40" ht="15" customHeight="1">
      <c r="A30" s="71"/>
      <c r="B30" s="54" t="str">
        <f ca="1">IF(ISERROR(INDEX(INDIRECT(Grade),4,IF(specyear="2004",2,3))),"",INDEX(INDIRECT(Grade),4,IF(specyear="2004",2,3)))</f>
        <v>No. 16</v>
      </c>
      <c r="C30" s="62" t="s">
        <v>60</v>
      </c>
      <c r="D30" s="54" t="str">
        <f ca="1">IF(ISERROR(INDEX(INDIRECT(Grade),5,IF(specyear="2004",2,3))),"Pan",INDEX(INDIRECT(Grade),5,IF(specyear="2004",2,3)))</f>
        <v>No. 30</v>
      </c>
      <c r="E30" s="99">
        <f>('Combined Gradation'!E33-'Combined Gradation'!E34)</f>
        <v>0</v>
      </c>
      <c r="F30" s="201"/>
      <c r="G30" s="111">
        <f t="shared" si="0"/>
        <v>0</v>
      </c>
      <c r="H30" s="111">
        <f t="shared" si="3"/>
        <v>0</v>
      </c>
      <c r="I30" s="99">
        <f>('Combined Gradation'!G33-'Combined Gradation'!G34)</f>
        <v>13.400000000000006</v>
      </c>
      <c r="J30" s="201"/>
      <c r="K30" s="111">
        <f t="shared" si="1"/>
        <v>0</v>
      </c>
      <c r="L30" s="111">
        <f t="shared" si="2"/>
        <v>0</v>
      </c>
      <c r="M30" s="99">
        <f>('Combined Gradation'!I33-'Combined Gradation'!I34)</f>
        <v>0</v>
      </c>
      <c r="N30" s="201"/>
      <c r="O30" s="111">
        <f t="shared" si="4"/>
        <v>0</v>
      </c>
      <c r="P30" s="111">
        <f t="shared" si="5"/>
        <v>0</v>
      </c>
      <c r="Q30" s="99">
        <f>('Combined Gradation'!K33-'Combined Gradation'!K34)</f>
        <v>0</v>
      </c>
      <c r="R30" s="201"/>
      <c r="S30" s="111">
        <f t="shared" si="6"/>
        <v>0</v>
      </c>
      <c r="T30" s="111">
        <f t="shared" si="7"/>
        <v>0</v>
      </c>
      <c r="U30" s="99">
        <f>('Combined Gradation'!M33-'Combined Gradation'!M34)</f>
        <v>0</v>
      </c>
      <c r="V30" s="201"/>
      <c r="W30" s="111">
        <f t="shared" si="8"/>
        <v>0</v>
      </c>
      <c r="X30" s="111">
        <f t="shared" si="9"/>
        <v>0</v>
      </c>
      <c r="Y30" s="99">
        <f>('Combined Gradation'!O33-'Combined Gradation'!O34)</f>
        <v>0</v>
      </c>
      <c r="Z30" s="201"/>
      <c r="AA30" s="111">
        <f t="shared" si="10"/>
        <v>0</v>
      </c>
      <c r="AB30" s="111">
        <f t="shared" si="11"/>
        <v>0</v>
      </c>
      <c r="AC30" s="99">
        <f>('Combined Gradation'!Q33-'Combined Gradation'!Q34)</f>
        <v>0</v>
      </c>
      <c r="AD30" s="201"/>
      <c r="AE30" s="111">
        <f t="shared" si="12"/>
        <v>0</v>
      </c>
      <c r="AF30" s="111">
        <f t="shared" si="13"/>
        <v>0</v>
      </c>
      <c r="AG30" s="58"/>
      <c r="AH30" s="58"/>
      <c r="AI30" s="73"/>
      <c r="AJ30" s="73"/>
      <c r="AL30" s="67"/>
      <c r="AM30" s="66"/>
      <c r="AN30" s="66"/>
    </row>
    <row r="31" spans="1:40" ht="15" customHeight="1">
      <c r="A31" s="71"/>
      <c r="B31" s="54" t="str">
        <f ca="1">IF(ISERROR(INDEX(INDIRECT(Grade),5,IF(specyear="2004",2,3))),"",INDEX(INDIRECT(Grade),5,IF(specyear="2004",2,3)))</f>
        <v>No. 30</v>
      </c>
      <c r="C31" s="62" t="s">
        <v>60</v>
      </c>
      <c r="D31" s="54" t="str">
        <f ca="1">IF(ISERROR(INDEX(INDIRECT(Grade),6,IF(specyear="2004",2,3))),"Pan",INDEX(INDIRECT(Grade),6,IF(specyear="2004",2,3)))</f>
        <v>No. 50</v>
      </c>
      <c r="E31" s="99">
        <f>('Combined Gradation'!E34-'Combined Gradation'!E35)</f>
        <v>0.09999999999999998</v>
      </c>
      <c r="F31" s="201"/>
      <c r="G31" s="111">
        <f t="shared" si="0"/>
        <v>0</v>
      </c>
      <c r="H31" s="111">
        <f t="shared" si="3"/>
        <v>0</v>
      </c>
      <c r="I31" s="99">
        <f>('Combined Gradation'!G34-'Combined Gradation'!G35)</f>
        <v>9.799999999999997</v>
      </c>
      <c r="J31" s="201"/>
      <c r="K31" s="111">
        <f t="shared" si="1"/>
        <v>0</v>
      </c>
      <c r="L31" s="111">
        <f t="shared" si="2"/>
        <v>0</v>
      </c>
      <c r="M31" s="99">
        <f>('Combined Gradation'!I34-'Combined Gradation'!I35)</f>
        <v>0</v>
      </c>
      <c r="N31" s="201"/>
      <c r="O31" s="111">
        <f t="shared" si="4"/>
        <v>0</v>
      </c>
      <c r="P31" s="111">
        <f t="shared" si="5"/>
        <v>0</v>
      </c>
      <c r="Q31" s="99">
        <f>('Combined Gradation'!K34-'Combined Gradation'!K35)</f>
        <v>0</v>
      </c>
      <c r="R31" s="201"/>
      <c r="S31" s="111">
        <f t="shared" si="6"/>
        <v>0</v>
      </c>
      <c r="T31" s="111">
        <f t="shared" si="7"/>
        <v>0</v>
      </c>
      <c r="U31" s="99">
        <f>('Combined Gradation'!M34-'Combined Gradation'!M35)</f>
        <v>0</v>
      </c>
      <c r="V31" s="201"/>
      <c r="W31" s="111">
        <f t="shared" si="8"/>
        <v>0</v>
      </c>
      <c r="X31" s="111">
        <f t="shared" si="9"/>
        <v>0</v>
      </c>
      <c r="Y31" s="99">
        <f>('Combined Gradation'!O34-'Combined Gradation'!O35)</f>
        <v>0</v>
      </c>
      <c r="Z31" s="201"/>
      <c r="AA31" s="111">
        <f t="shared" si="10"/>
        <v>0</v>
      </c>
      <c r="AB31" s="111">
        <f t="shared" si="11"/>
        <v>0</v>
      </c>
      <c r="AC31" s="99">
        <f>('Combined Gradation'!Q34-'Combined Gradation'!Q35)</f>
        <v>0</v>
      </c>
      <c r="AD31" s="201"/>
      <c r="AE31" s="111">
        <f t="shared" si="12"/>
        <v>0</v>
      </c>
      <c r="AF31" s="111">
        <f t="shared" si="13"/>
        <v>0</v>
      </c>
      <c r="AG31" s="58"/>
      <c r="AH31" s="58"/>
      <c r="AI31" s="73"/>
      <c r="AJ31" s="73"/>
      <c r="AL31" s="67"/>
      <c r="AM31" s="66"/>
      <c r="AN31" s="66"/>
    </row>
    <row r="32" spans="1:40" ht="15" customHeight="1">
      <c r="A32" s="71"/>
      <c r="B32" s="54" t="str">
        <f ca="1">IF(ISERROR(INDEX(INDIRECT(Grade),6,IF(specyear="2004",2,3))),"",INDEX(INDIRECT(Grade),6,IF(specyear="2004",2,3)))</f>
        <v>No. 50</v>
      </c>
      <c r="C32" s="62" t="s">
        <v>60</v>
      </c>
      <c r="D32" s="54" t="str">
        <f ca="1">IF(ISERROR(INDEX(INDIRECT(Grade),7,IF(specyear="2004",2,3))),"Pan",INDEX(INDIRECT(Grade),7,IF(specyear="2004",2,3)))</f>
        <v>No. 200</v>
      </c>
      <c r="E32" s="99">
        <f>('Combined Gradation'!E35-'Combined Gradation'!E36)</f>
        <v>0.09999999999999998</v>
      </c>
      <c r="F32" s="201"/>
      <c r="G32" s="111">
        <f t="shared" si="0"/>
        <v>0</v>
      </c>
      <c r="H32" s="111">
        <f t="shared" si="3"/>
        <v>0</v>
      </c>
      <c r="I32" s="99">
        <f>('Combined Gradation'!G35-'Combined Gradation'!G36)</f>
        <v>14.2</v>
      </c>
      <c r="J32" s="201">
        <v>0</v>
      </c>
      <c r="K32" s="111">
        <f t="shared" si="1"/>
        <v>0</v>
      </c>
      <c r="L32" s="111">
        <f t="shared" si="2"/>
        <v>14.2</v>
      </c>
      <c r="M32" s="99">
        <f>('Combined Gradation'!I35-'Combined Gradation'!I36)</f>
        <v>0</v>
      </c>
      <c r="N32" s="201"/>
      <c r="O32" s="111">
        <f t="shared" si="4"/>
        <v>0</v>
      </c>
      <c r="P32" s="111">
        <f t="shared" si="5"/>
        <v>0</v>
      </c>
      <c r="Q32" s="99">
        <f>('Combined Gradation'!K35-'Combined Gradation'!K36)</f>
        <v>0</v>
      </c>
      <c r="R32" s="201"/>
      <c r="S32" s="111">
        <f t="shared" si="6"/>
        <v>0</v>
      </c>
      <c r="T32" s="111">
        <f t="shared" si="7"/>
        <v>0</v>
      </c>
      <c r="U32" s="99">
        <f>('Combined Gradation'!M35-'Combined Gradation'!M36)</f>
        <v>0</v>
      </c>
      <c r="V32" s="201"/>
      <c r="W32" s="111">
        <f t="shared" si="8"/>
        <v>0</v>
      </c>
      <c r="X32" s="111">
        <f t="shared" si="9"/>
        <v>0</v>
      </c>
      <c r="Y32" s="99">
        <f>('Combined Gradation'!O35-'Combined Gradation'!O36)</f>
        <v>0</v>
      </c>
      <c r="Z32" s="201"/>
      <c r="AA32" s="111">
        <f t="shared" si="10"/>
        <v>0</v>
      </c>
      <c r="AB32" s="111">
        <f t="shared" si="11"/>
        <v>0</v>
      </c>
      <c r="AC32" s="99">
        <f>('Combined Gradation'!Q35-'Combined Gradation'!Q36)</f>
        <v>0</v>
      </c>
      <c r="AD32" s="201"/>
      <c r="AE32" s="111">
        <f t="shared" si="12"/>
        <v>0</v>
      </c>
      <c r="AF32" s="111">
        <f t="shared" si="13"/>
        <v>0</v>
      </c>
      <c r="AG32" s="58"/>
      <c r="AH32" s="58"/>
      <c r="AI32" s="73"/>
      <c r="AJ32" s="73"/>
      <c r="AL32" s="67"/>
      <c r="AM32" s="66"/>
      <c r="AN32" s="66"/>
    </row>
    <row r="33" spans="1:40" ht="15" customHeight="1">
      <c r="A33" s="71"/>
      <c r="B33" s="54" t="str">
        <f ca="1">IF(ISERROR(INDEX(INDIRECT(Grade),7,IF(specyear="2004",2,3))),"",INDEX(INDIRECT(Grade),7,IF(specyear="2004",2,3)))</f>
        <v>No. 200</v>
      </c>
      <c r="C33" s="62" t="s">
        <v>60</v>
      </c>
      <c r="D33" s="54">
        <f ca="1">IF(ISERROR(INDEX(INDIRECT(Grade),8,IF(specyear="2004",2,3))),"Pan",INDEX(INDIRECT(Grade),8,IF(specyear="2004",2,3)))</f>
        <v>0</v>
      </c>
      <c r="E33" s="99">
        <f>('Combined Gradation'!E36-'Combined Gradation'!E37)</f>
        <v>0.5</v>
      </c>
      <c r="F33" s="201"/>
      <c r="G33" s="111">
        <f t="shared" si="0"/>
        <v>0</v>
      </c>
      <c r="H33" s="111">
        <f t="shared" si="3"/>
        <v>0</v>
      </c>
      <c r="I33" s="99">
        <f>('Combined Gradation'!G36-'Combined Gradation'!G37)</f>
        <v>18.3</v>
      </c>
      <c r="J33" s="201">
        <v>0</v>
      </c>
      <c r="K33" s="111">
        <f t="shared" si="1"/>
        <v>0</v>
      </c>
      <c r="L33" s="111">
        <f t="shared" si="2"/>
        <v>18.3</v>
      </c>
      <c r="M33" s="99">
        <f>('Combined Gradation'!I36-'Combined Gradation'!I37)</f>
        <v>0</v>
      </c>
      <c r="N33" s="201"/>
      <c r="O33" s="111">
        <f t="shared" si="4"/>
        <v>0</v>
      </c>
      <c r="P33" s="111">
        <f t="shared" si="5"/>
        <v>0</v>
      </c>
      <c r="Q33" s="99">
        <f>('Combined Gradation'!K36-'Combined Gradation'!K37)</f>
        <v>0</v>
      </c>
      <c r="R33" s="201"/>
      <c r="S33" s="111">
        <f t="shared" si="6"/>
        <v>0</v>
      </c>
      <c r="T33" s="111">
        <f t="shared" si="7"/>
        <v>0</v>
      </c>
      <c r="U33" s="99">
        <f>('Combined Gradation'!M36-'Combined Gradation'!M37)</f>
        <v>0</v>
      </c>
      <c r="V33" s="201"/>
      <c r="W33" s="111">
        <f t="shared" si="8"/>
        <v>0</v>
      </c>
      <c r="X33" s="111">
        <f t="shared" si="9"/>
        <v>0</v>
      </c>
      <c r="Y33" s="99">
        <f>('Combined Gradation'!O36-'Combined Gradation'!O37)</f>
        <v>0</v>
      </c>
      <c r="Z33" s="201"/>
      <c r="AA33" s="111">
        <f t="shared" si="10"/>
        <v>0</v>
      </c>
      <c r="AB33" s="111">
        <f t="shared" si="11"/>
        <v>0</v>
      </c>
      <c r="AC33" s="99">
        <f>('Combined Gradation'!Q36-'Combined Gradation'!Q37)</f>
        <v>0</v>
      </c>
      <c r="AD33" s="201"/>
      <c r="AE33" s="111">
        <f t="shared" si="12"/>
        <v>0</v>
      </c>
      <c r="AF33" s="111">
        <f t="shared" si="13"/>
        <v>0</v>
      </c>
      <c r="AG33" s="58"/>
      <c r="AH33" s="58"/>
      <c r="AI33" s="73"/>
      <c r="AJ33" s="73"/>
      <c r="AL33" s="67"/>
      <c r="AM33" s="66"/>
      <c r="AN33" s="66"/>
    </row>
    <row r="34" spans="1:40" ht="15" customHeight="1">
      <c r="A34" s="71"/>
      <c r="B34" s="54">
        <f ca="1">IF(ISERROR(INDEX(INDIRECT(Grade),8,IF(specyear="2004",2,3))),"",INDEX(INDIRECT(Grade),8,IF(specyear="2004",2,3)))</f>
        <v>0</v>
      </c>
      <c r="C34" s="62" t="s">
        <v>60</v>
      </c>
      <c r="D34" s="54">
        <f ca="1">IF(ISERROR(INDEX(INDIRECT(Grade),9,IF(specyear="2004",2,3))),"Pan",INDEX(INDIRECT(Grade),9,IF(specyear="2004",2,3)))</f>
        <v>0</v>
      </c>
      <c r="E34" s="99">
        <f>('Combined Gradation'!E37-'Combined Gradation'!E38)</f>
        <v>0</v>
      </c>
      <c r="F34" s="201"/>
      <c r="G34" s="111">
        <f t="shared" si="0"/>
        <v>0</v>
      </c>
      <c r="H34" s="111">
        <f t="shared" si="3"/>
        <v>0</v>
      </c>
      <c r="I34" s="99">
        <f>('Combined Gradation'!G37-'Combined Gradation'!G38)</f>
        <v>0</v>
      </c>
      <c r="J34" s="201">
        <v>0</v>
      </c>
      <c r="K34" s="111">
        <f t="shared" si="1"/>
        <v>0</v>
      </c>
      <c r="L34" s="111">
        <f t="shared" si="2"/>
        <v>0</v>
      </c>
      <c r="M34" s="99">
        <f>('Combined Gradation'!I37-'Combined Gradation'!I38)</f>
        <v>0</v>
      </c>
      <c r="N34" s="201"/>
      <c r="O34" s="111">
        <f t="shared" si="4"/>
        <v>0</v>
      </c>
      <c r="P34" s="111">
        <f t="shared" si="5"/>
        <v>0</v>
      </c>
      <c r="Q34" s="99">
        <f>('Combined Gradation'!K37-'Combined Gradation'!K38)</f>
        <v>0</v>
      </c>
      <c r="R34" s="201"/>
      <c r="S34" s="111">
        <f t="shared" si="6"/>
        <v>0</v>
      </c>
      <c r="T34" s="111">
        <f t="shared" si="7"/>
        <v>0</v>
      </c>
      <c r="U34" s="99">
        <f>('Combined Gradation'!M37-'Combined Gradation'!M38)</f>
        <v>0</v>
      </c>
      <c r="V34" s="201"/>
      <c r="W34" s="111">
        <f t="shared" si="8"/>
        <v>0</v>
      </c>
      <c r="X34" s="111">
        <f t="shared" si="9"/>
        <v>0</v>
      </c>
      <c r="Y34" s="99">
        <f>('Combined Gradation'!O37-'Combined Gradation'!O38)</f>
        <v>0</v>
      </c>
      <c r="Z34" s="201"/>
      <c r="AA34" s="111">
        <f t="shared" si="10"/>
        <v>0</v>
      </c>
      <c r="AB34" s="111">
        <f t="shared" si="11"/>
        <v>0</v>
      </c>
      <c r="AC34" s="99">
        <f>('Combined Gradation'!Q37-'Combined Gradation'!Q38)</f>
        <v>0</v>
      </c>
      <c r="AD34" s="201"/>
      <c r="AE34" s="111">
        <f t="shared" si="12"/>
        <v>0</v>
      </c>
      <c r="AF34" s="111">
        <f t="shared" si="13"/>
        <v>0</v>
      </c>
      <c r="AG34" s="58"/>
      <c r="AH34" s="58"/>
      <c r="AI34" s="73"/>
      <c r="AJ34" s="73"/>
      <c r="AL34" s="67"/>
      <c r="AM34" s="66"/>
      <c r="AN34" s="66"/>
    </row>
    <row r="35" spans="1:40" ht="15" customHeight="1">
      <c r="A35" s="71"/>
      <c r="B35" s="54">
        <f ca="1">IF(ISERROR(INDEX(INDIRECT(Grade),9,IF(specyear="2004",2,3))),"",INDEX(INDIRECT(Grade),9,IF(specyear="2004",2,3)))</f>
        <v>0</v>
      </c>
      <c r="C35" s="62" t="s">
        <v>60</v>
      </c>
      <c r="D35" s="54">
        <f ca="1">IF(ISERROR(INDEX(INDIRECT(Grade),10,IF(specyear="2004",2,3))),"Pan",INDEX(INDIRECT(Grade),10,IF(specyear="2004",2,3)))</f>
        <v>0</v>
      </c>
      <c r="E35" s="99">
        <f>('Combined Gradation'!E38-'Combined Gradation'!E39)</f>
        <v>0</v>
      </c>
      <c r="F35" s="201"/>
      <c r="G35" s="111">
        <f t="shared" si="0"/>
        <v>0</v>
      </c>
      <c r="H35" s="111">
        <f t="shared" si="3"/>
        <v>0</v>
      </c>
      <c r="I35" s="99">
        <f>('Combined Gradation'!G38-'Combined Gradation'!G39)</f>
        <v>0</v>
      </c>
      <c r="J35" s="201">
        <v>0</v>
      </c>
      <c r="K35" s="111">
        <f t="shared" si="1"/>
        <v>0</v>
      </c>
      <c r="L35" s="111">
        <f t="shared" si="2"/>
        <v>0</v>
      </c>
      <c r="M35" s="99">
        <f>('Combined Gradation'!I38-'Combined Gradation'!I39)</f>
        <v>0</v>
      </c>
      <c r="N35" s="201"/>
      <c r="O35" s="111">
        <f t="shared" si="4"/>
        <v>0</v>
      </c>
      <c r="P35" s="111">
        <f t="shared" si="5"/>
        <v>0</v>
      </c>
      <c r="Q35" s="99">
        <f>('Combined Gradation'!K38-'Combined Gradation'!K39)</f>
        <v>0</v>
      </c>
      <c r="R35" s="201"/>
      <c r="S35" s="111">
        <f t="shared" si="6"/>
        <v>0</v>
      </c>
      <c r="T35" s="111">
        <f t="shared" si="7"/>
        <v>0</v>
      </c>
      <c r="U35" s="99">
        <f>('Combined Gradation'!M38-'Combined Gradation'!M39)</f>
        <v>0</v>
      </c>
      <c r="V35" s="201"/>
      <c r="W35" s="111">
        <f t="shared" si="8"/>
        <v>0</v>
      </c>
      <c r="X35" s="111">
        <f t="shared" si="9"/>
        <v>0</v>
      </c>
      <c r="Y35" s="99">
        <f>('Combined Gradation'!O38-'Combined Gradation'!O39)</f>
        <v>0</v>
      </c>
      <c r="Z35" s="201"/>
      <c r="AA35" s="111">
        <f t="shared" si="10"/>
        <v>0</v>
      </c>
      <c r="AB35" s="111">
        <f t="shared" si="11"/>
        <v>0</v>
      </c>
      <c r="AC35" s="99">
        <f>('Combined Gradation'!Q38-'Combined Gradation'!Q39)</f>
        <v>0</v>
      </c>
      <c r="AD35" s="201"/>
      <c r="AE35" s="111">
        <f t="shared" si="12"/>
        <v>0</v>
      </c>
      <c r="AF35" s="111">
        <f t="shared" si="13"/>
        <v>0</v>
      </c>
      <c r="AG35" s="58"/>
      <c r="AH35" s="58"/>
      <c r="AI35" s="73"/>
      <c r="AJ35" s="73"/>
      <c r="AL35" s="67"/>
      <c r="AM35" s="66"/>
      <c r="AN35" s="66"/>
    </row>
    <row r="36" spans="1:40" ht="15" customHeight="1">
      <c r="A36" s="71"/>
      <c r="B36" s="54">
        <f ca="1">IF(ISERROR(INDEX(INDIRECT(Grade),10,IF(specyear="2004",2,3))),"",INDEX(INDIRECT(Grade),10,IF(specyear="2004",2,3)))</f>
        <v>0</v>
      </c>
      <c r="C36" s="62" t="s">
        <v>60</v>
      </c>
      <c r="D36" s="54" t="s">
        <v>131</v>
      </c>
      <c r="E36" s="99">
        <f>('Combined Gradation'!E39-'Combined Gradation'!E40)</f>
        <v>0</v>
      </c>
      <c r="F36" s="201"/>
      <c r="G36" s="111">
        <f t="shared" si="0"/>
        <v>0</v>
      </c>
      <c r="H36" s="111">
        <f t="shared" si="3"/>
        <v>0</v>
      </c>
      <c r="I36" s="99">
        <f>('Combined Gradation'!G39-'Combined Gradation'!G40)</f>
        <v>0</v>
      </c>
      <c r="J36" s="201">
        <v>0</v>
      </c>
      <c r="K36" s="111">
        <f t="shared" si="1"/>
        <v>0</v>
      </c>
      <c r="L36" s="111">
        <f t="shared" si="2"/>
        <v>0</v>
      </c>
      <c r="M36" s="99">
        <f>('Combined Gradation'!I39-'Combined Gradation'!I40)</f>
        <v>0</v>
      </c>
      <c r="N36" s="201"/>
      <c r="O36" s="111">
        <f t="shared" si="4"/>
        <v>0</v>
      </c>
      <c r="P36" s="111">
        <f t="shared" si="5"/>
        <v>0</v>
      </c>
      <c r="Q36" s="99">
        <f>('Combined Gradation'!K39)</f>
        <v>0</v>
      </c>
      <c r="R36" s="201"/>
      <c r="S36" s="111">
        <f t="shared" si="6"/>
        <v>0</v>
      </c>
      <c r="T36" s="111">
        <f t="shared" si="7"/>
        <v>0</v>
      </c>
      <c r="U36" s="99">
        <f>('Combined Gradation'!M39-'Combined Gradation'!M40)</f>
        <v>0</v>
      </c>
      <c r="V36" s="201"/>
      <c r="W36" s="111">
        <f t="shared" si="8"/>
        <v>0</v>
      </c>
      <c r="X36" s="111">
        <f t="shared" si="9"/>
        <v>0</v>
      </c>
      <c r="Y36" s="99">
        <f>('Combined Gradation'!O39-'Combined Gradation'!O40)</f>
        <v>0</v>
      </c>
      <c r="Z36" s="201"/>
      <c r="AA36" s="111">
        <f t="shared" si="10"/>
        <v>0</v>
      </c>
      <c r="AB36" s="111">
        <f t="shared" si="11"/>
        <v>0</v>
      </c>
      <c r="AC36" s="99">
        <f>('Combined Gradation'!Q39-'Combined Gradation'!Q40)</f>
        <v>0</v>
      </c>
      <c r="AD36" s="201"/>
      <c r="AE36" s="111">
        <f t="shared" si="12"/>
        <v>0</v>
      </c>
      <c r="AF36" s="111">
        <f t="shared" si="13"/>
        <v>0</v>
      </c>
      <c r="AG36" s="58"/>
      <c r="AH36" s="58"/>
      <c r="AI36" s="73"/>
      <c r="AJ36" s="73"/>
      <c r="AL36" s="67"/>
      <c r="AM36" s="66"/>
      <c r="AN36" s="66"/>
    </row>
    <row r="37" spans="1:33" ht="15" customHeight="1">
      <c r="A37" s="71"/>
      <c r="B37" s="529" t="s">
        <v>63</v>
      </c>
      <c r="C37" s="616"/>
      <c r="D37" s="530"/>
      <c r="E37" s="101">
        <f>SUM(E26:E36)</f>
        <v>100</v>
      </c>
      <c r="F37" s="112">
        <f>IF(ISERROR(SUM(H26:H36)/SUM(G26:G36)),0,SUM(H26:H36)/SUM(G26:G36))</f>
        <v>0</v>
      </c>
      <c r="G37" s="148"/>
      <c r="H37" s="148"/>
      <c r="I37" s="101">
        <f>SUM(I26:I36)</f>
        <v>100</v>
      </c>
      <c r="J37" s="112">
        <f>IF(ISERROR(SUM(L26:L36)/SUM(K26:K36)),0,SUM(L26:L36)/SUM(K26:K36))</f>
        <v>0</v>
      </c>
      <c r="K37" s="148"/>
      <c r="L37" s="148"/>
      <c r="M37" s="101">
        <f>SUM(M26:M36)</f>
        <v>0</v>
      </c>
      <c r="N37" s="112">
        <f>IF(ISERROR(SUM(P26:P36)/SUM(O26:O36)),0,SUM(P26:P36)/SUM(O26:O36))</f>
        <v>0</v>
      </c>
      <c r="O37" s="148"/>
      <c r="P37" s="148"/>
      <c r="Q37" s="101">
        <f>SUM(Q26:Q36)</f>
        <v>0</v>
      </c>
      <c r="R37" s="112">
        <f>IF(ISERROR(SUM(T26:T36)/SUM(S26:S36)),0,SUM(T26:T36)/SUM(S26:S36))</f>
        <v>0</v>
      </c>
      <c r="S37" s="148"/>
      <c r="T37" s="148"/>
      <c r="U37" s="101">
        <f>SUM(U26:U36)</f>
        <v>0</v>
      </c>
      <c r="V37" s="112">
        <f>IF(ISERROR(SUM(X26:X36)/SUM(W26:W36)),0,SUM(X26:X36)/SUM(W26:W36))</f>
        <v>0</v>
      </c>
      <c r="W37" s="148"/>
      <c r="X37" s="148"/>
      <c r="Y37" s="101">
        <f>SUM(Y26:Y36)</f>
        <v>0</v>
      </c>
      <c r="Z37" s="112">
        <f>IF(ISERROR(SUM(AB26:AB36)/SUM(AA26:AA36)),0,SUM(AB26:AB36)/SUM(AA26:AA36))</f>
        <v>0</v>
      </c>
      <c r="AA37" s="148"/>
      <c r="AB37" s="148"/>
      <c r="AC37" s="101">
        <f>SUM(AC26:AC36)</f>
        <v>0</v>
      </c>
      <c r="AD37" s="112">
        <f>IF(ISERROR(SUM(AF26:AF36)/SUM(AE26:AE36)),0,SUM(AF26:AF36)/SUM(AE26:AE36))</f>
        <v>0</v>
      </c>
      <c r="AE37" s="110"/>
      <c r="AF37" s="110"/>
      <c r="AG37" s="58"/>
    </row>
    <row r="38" spans="1:33" s="141" customFormat="1" ht="15" customHeight="1">
      <c r="A38" s="149"/>
      <c r="E38" s="150"/>
      <c r="F38" s="150">
        <f>IF(ISERROR(Bin1Frac/F37),0,(Bin1Frac/F37))</f>
        <v>0</v>
      </c>
      <c r="G38" s="115" t="e">
        <f ca="1">"E"&amp;25+INDEX(INDIRECT(Grade),1,10)</f>
        <v>#REF!</v>
      </c>
      <c r="H38" s="115" t="e">
        <f ca="1">"F"&amp;25+INDEX(INDIRECT(Grade),1,10)</f>
        <v>#REF!</v>
      </c>
      <c r="I38" s="150"/>
      <c r="J38" s="150">
        <f>IF(ISERROR(Bin2Frac/J37),0,(Bin2Frac/J37))</f>
        <v>0</v>
      </c>
      <c r="K38" s="115" t="e">
        <f ca="1">"I"&amp;25+INDEX(INDIRECT(Grade),1,10)</f>
        <v>#REF!</v>
      </c>
      <c r="L38" s="115" t="e">
        <f ca="1">"J"&amp;25+INDEX(INDIRECT(Grade),1,10)</f>
        <v>#REF!</v>
      </c>
      <c r="M38" s="150"/>
      <c r="N38" s="150">
        <f>IF(ISERROR(Bin3Frac/N37),0,(Bin3Frac/N37))</f>
        <v>0</v>
      </c>
      <c r="O38" s="115" t="e">
        <f ca="1">"M"&amp;25+INDEX(INDIRECT(Grade),1,10)</f>
        <v>#REF!</v>
      </c>
      <c r="P38" s="115" t="e">
        <f ca="1">"N"&amp;25+INDEX(INDIRECT(Grade),1,10)</f>
        <v>#REF!</v>
      </c>
      <c r="Q38" s="150"/>
      <c r="R38" s="150">
        <f>IF(ISERROR(Bin4Frac/R37),0,(Bin4Frac/R37))</f>
        <v>0</v>
      </c>
      <c r="S38" s="115" t="e">
        <f ca="1">"Q"&amp;25+INDEX(INDIRECT(Grade),1,10)</f>
        <v>#REF!</v>
      </c>
      <c r="T38" s="115" t="e">
        <f ca="1">"R"&amp;25+INDEX(INDIRECT(Grade),1,10)</f>
        <v>#REF!</v>
      </c>
      <c r="U38" s="150"/>
      <c r="V38" s="150">
        <f>IF(ISERROR(Bin5Frac/V37),0,(Bin5Frac/V37))</f>
        <v>0</v>
      </c>
      <c r="W38" s="115" t="e">
        <f ca="1">"U"&amp;25+INDEX(INDIRECT(Grade),1,10)</f>
        <v>#REF!</v>
      </c>
      <c r="X38" s="115" t="e">
        <f ca="1">"V"&amp;25+INDEX(INDIRECT(Grade),1,10)</f>
        <v>#REF!</v>
      </c>
      <c r="Y38" s="150"/>
      <c r="Z38" s="150">
        <f>IF(ISERROR(Bin6Frac/Z37),0,(Bin6Frac/Z37))</f>
        <v>0</v>
      </c>
      <c r="AA38" s="115" t="e">
        <f ca="1">"Y"&amp;25+INDEX(INDIRECT(Grade),1,10)</f>
        <v>#REF!</v>
      </c>
      <c r="AB38" s="115" t="e">
        <f ca="1">"Z"&amp;25+INDEX(INDIRECT(Grade),1,10)</f>
        <v>#REF!</v>
      </c>
      <c r="AC38" s="150"/>
      <c r="AD38" s="150">
        <f>IF(ISERROR(Bin7Frac/AD37),0,(Bin7Frac/AD37))</f>
        <v>0</v>
      </c>
      <c r="AE38" s="115" t="e">
        <f ca="1">"AC"&amp;25+INDEX(INDIRECT(Grade),1,10)</f>
        <v>#REF!</v>
      </c>
      <c r="AF38" s="115" t="e">
        <f ca="1">"AD"&amp;25+INDEX(INDIRECT(Grade),1,10)</f>
        <v>#REF!</v>
      </c>
      <c r="AG38" s="151"/>
    </row>
    <row r="39" spans="2:33" ht="15" customHeight="1">
      <c r="B39" s="57"/>
      <c r="C39" s="57"/>
      <c r="D39" s="57"/>
      <c r="E39" s="58"/>
      <c r="F39" s="336">
        <f ca="1">IF(ISERROR(Bin1Frac*SUMPRODUCT(E26:INDIRECT(G38),F26:INDIRECT(H38))/(100*SUM(E26:INDIRECT(G38)))),0,Bin1Frac*SUMPRODUCT(E26:INDIRECT(G38),F26:INDIRECT(H38))/(100*SUM(E26:INDIRECT(G38))))</f>
        <v>0</v>
      </c>
      <c r="G39" s="58"/>
      <c r="H39" s="58"/>
      <c r="I39" s="58"/>
      <c r="J39" s="336">
        <f ca="1">IF(ISERROR(Bin2Frac*SUMPRODUCT(I26:INDIRECT(K38),J26:INDIRECT(L38))/(100*SUM(I26:INDIRECT(K38)))),0,Bin2Frac*SUMPRODUCT(I26:INDIRECT(K38),J26:INDIRECT(L38))/(100*SUM(I26:INDIRECT(K38))))</f>
        <v>0</v>
      </c>
      <c r="K39" s="58"/>
      <c r="L39" s="58"/>
      <c r="M39" s="58"/>
      <c r="N39" s="150">
        <f ca="1">IF(ISERROR(Bin3Frac*SUMPRODUCT(M26:INDIRECT(O38),N26:INDIRECT(P38))/(100*SUM(M26:INDIRECT(O38)))),0,Bin3Frac*SUMPRODUCT(M26:INDIRECT(O38),N26:INDIRECT(P38))/(100*SUM(M26:INDIRECT(O38))))</f>
        <v>0</v>
      </c>
      <c r="O39" s="58"/>
      <c r="P39" s="58"/>
      <c r="Q39" s="58"/>
      <c r="R39" s="150">
        <f ca="1">IF(ISERROR(Bin4Frac*SUMPRODUCT(Q26:INDIRECT(S38),R26:INDIRECT(T38))/(100*SUM(Q26:INDIRECT(S38)))),0,Bin4Frac*SUMPRODUCT(Q26:INDIRECT(S38),R26:INDIRECT(T38))/(100*SUM(Q26:INDIRECT(S38))))</f>
        <v>0</v>
      </c>
      <c r="S39" s="58"/>
      <c r="T39" s="58"/>
      <c r="U39" s="58"/>
      <c r="V39" s="150">
        <f ca="1">IF(ISERROR(Bin5Frac*SUMPRODUCT(U26:INDIRECT(W38),V26:INDIRECT(X38))/(100*SUM(U26:INDIRECT(W38)))),0,Bin5Frac*SUMPRODUCT(U26:INDIRECT(W38),V26:INDIRECT(X38))/(100*SUM(U26:INDIRECT(W38))))</f>
        <v>0</v>
      </c>
      <c r="W39" s="58"/>
      <c r="X39" s="58"/>
      <c r="Y39" s="58"/>
      <c r="Z39" s="150">
        <f ca="1">IF(ISERROR(Bin6Frac*SUMPRODUCT(Y26:INDIRECT(AA38),Z26:INDIRECT(AB38))/(100*SUM(Y26:INDIRECT(AA38)))),0,Bin6Frac*SUMPRODUCT(Y26:INDIRECT(AA38),Z26:INDIRECT(AB38))/(100*SUM(Y26:INDIRECT(AA38))))</f>
        <v>0</v>
      </c>
      <c r="AA39" s="58"/>
      <c r="AB39" s="58"/>
      <c r="AC39" s="58"/>
      <c r="AD39" s="150">
        <f ca="1">IF(ISERROR(Bin7Frac*SUMPRODUCT(AC26:INDIRECT(AE38),AD26:INDIRECT(AF38))/(100*SUM(AC26:INDIRECT(AE38)))),0,Bin7Frac*SUMPRODUCT(AC26:INDIRECT(AE38),AD26:INDIRECT(AF38))/(100*SUM(AC26:INDIRECT(AE38))))</f>
        <v>0</v>
      </c>
      <c r="AE39" s="58"/>
      <c r="AF39" s="58"/>
      <c r="AG39" s="58"/>
    </row>
    <row r="40" spans="1:33" ht="17.25" customHeight="1">
      <c r="A40" s="114"/>
      <c r="B40" s="115"/>
      <c r="E40" s="342" t="s">
        <v>137</v>
      </c>
      <c r="F40" s="340"/>
      <c r="G40" s="340"/>
      <c r="H40" s="340"/>
      <c r="I40" s="340"/>
      <c r="J40" s="635"/>
      <c r="K40" s="106"/>
      <c r="L40" s="107"/>
      <c r="M40" s="119">
        <f>IF(ISERROR((IF(F38&gt;0,Bin1Frac,0)+IF(J38&gt;0,Bin2Frac,0)+IF(N38&gt;0,Bin3Frac,0)+IF(R38&gt;0,Bin4Frac,0)+IF(V38&gt;0,Bin5Frac,0)+IF(Z38&gt;0,Bin6Frac,0)+IF(AD38&gt;0,Bin7Frac,0))/SUM(F38,J38,N38,R38,V38,Z38,AD38)),"",(IF(F38&gt;0,Bin1Frac,0)+IF(J38&gt;0,Bin2Frac,0)+IF(N38&gt;0,Bin3Frac,0)+IF(R38&gt;0,Bin4Frac,0)+IF(V38&gt;0,Bin5Frac,0)+IF(Z38&gt;0,Bin6Frac,0)+IF(AD38&gt;0,Bin7Frac,0))/SUM(F38,J38,N38,R38,V38,Z38,AD38))</f>
      </c>
      <c r="O40" s="115"/>
      <c r="P40" s="115"/>
      <c r="Q40" s="342" t="s">
        <v>126</v>
      </c>
      <c r="R40" s="340"/>
      <c r="S40" s="340"/>
      <c r="T40" s="340"/>
      <c r="U40" s="340"/>
      <c r="V40" s="635"/>
      <c r="W40" s="115"/>
      <c r="X40" s="115"/>
      <c r="Y40" s="119">
        <f>SGAsph</f>
        <v>1.016</v>
      </c>
      <c r="Z40" s="115"/>
      <c r="AA40" s="115"/>
      <c r="AB40" s="115"/>
      <c r="AD40" s="115"/>
      <c r="AE40" s="115"/>
      <c r="AF40" s="116"/>
      <c r="AG40" s="115"/>
    </row>
    <row r="41" spans="1:47" s="115" customFormat="1" ht="17.25" customHeight="1">
      <c r="A41" s="114"/>
      <c r="E41" s="342" t="s">
        <v>405</v>
      </c>
      <c r="F41" s="340"/>
      <c r="G41" s="340"/>
      <c r="H41" s="340"/>
      <c r="I41" s="340"/>
      <c r="J41" s="635"/>
      <c r="M41" s="119">
        <f>IF(ISERROR(SUM(F39,J39,N39,R39,V39,Z39,AD39)),"",SUM(F39,J39,N39,R39,V39,Z39,AD39))</f>
        <v>0</v>
      </c>
      <c r="AC41" s="116"/>
      <c r="AE41" s="116"/>
      <c r="AF41" s="116"/>
      <c r="AG41" s="116"/>
      <c r="AH41" s="116"/>
      <c r="AI41" s="116"/>
      <c r="AJ41" s="116"/>
      <c r="AK41" s="117"/>
      <c r="AL41" s="117"/>
      <c r="AM41" s="116"/>
      <c r="AN41" s="116"/>
      <c r="AO41" s="116"/>
      <c r="AP41" s="116"/>
      <c r="AQ41" s="116"/>
      <c r="AR41" s="116"/>
      <c r="AS41" s="116"/>
      <c r="AT41" s="118"/>
      <c r="AU41" s="118"/>
    </row>
    <row r="42" spans="1:40" ht="6" customHeight="1">
      <c r="A42" s="39"/>
      <c r="B42" s="5"/>
      <c r="C42" s="5"/>
      <c r="D42" s="5"/>
      <c r="E42" s="5"/>
      <c r="I42" s="7"/>
      <c r="J42" s="333"/>
      <c r="K42" s="7"/>
      <c r="L42" s="7"/>
      <c r="M42" s="7"/>
      <c r="N42" s="333"/>
      <c r="O42" s="7"/>
      <c r="P42" s="7"/>
      <c r="Q42" s="7"/>
      <c r="R42" s="333"/>
      <c r="S42" s="7"/>
      <c r="T42" s="7"/>
      <c r="U42" s="7"/>
      <c r="V42" s="333"/>
      <c r="W42" s="7"/>
      <c r="X42" s="7"/>
      <c r="Y42" s="7"/>
      <c r="Z42" s="333"/>
      <c r="AA42" s="7"/>
      <c r="AB42" s="7"/>
      <c r="AC42" s="7"/>
      <c r="AD42" s="333"/>
      <c r="AE42" s="5"/>
      <c r="AF42" s="5"/>
      <c r="AG42" s="5"/>
      <c r="AH42" s="5"/>
      <c r="AI42" s="5"/>
      <c r="AJ42" s="5"/>
      <c r="AK42" s="5"/>
      <c r="AL42" s="5"/>
      <c r="AM42" s="5"/>
      <c r="AN42" s="5"/>
    </row>
    <row r="43" spans="1:9" s="1" customFormat="1" ht="12.75" customHeight="1">
      <c r="A43" s="18"/>
      <c r="B43" s="16" t="s">
        <v>5</v>
      </c>
      <c r="E43" s="17">
        <f ca="1">NOW()</f>
        <v>40499.63441539352</v>
      </c>
      <c r="F43" s="10"/>
      <c r="G43" s="10"/>
      <c r="H43" s="10"/>
      <c r="I43" s="10"/>
    </row>
    <row r="44" spans="1:32" ht="15" customHeight="1">
      <c r="A44" s="18"/>
      <c r="B44" s="428"/>
      <c r="C44" s="429"/>
      <c r="D44" s="429"/>
      <c r="E44" s="429"/>
      <c r="F44" s="429"/>
      <c r="G44" s="429"/>
      <c r="H44" s="429"/>
      <c r="I44" s="429"/>
      <c r="J44" s="429"/>
      <c r="K44" s="429"/>
      <c r="L44" s="429"/>
      <c r="M44" s="429"/>
      <c r="N44" s="429"/>
      <c r="O44" s="429"/>
      <c r="P44" s="429"/>
      <c r="Q44" s="429"/>
      <c r="R44" s="429"/>
      <c r="S44" s="429"/>
      <c r="T44" s="429"/>
      <c r="U44" s="430"/>
      <c r="AE44" s="202"/>
      <c r="AF44" s="202"/>
    </row>
    <row r="45" spans="1:32" ht="15" customHeight="1">
      <c r="A45" s="18"/>
      <c r="B45" s="431"/>
      <c r="C45" s="432"/>
      <c r="D45" s="432"/>
      <c r="E45" s="432"/>
      <c r="F45" s="432"/>
      <c r="G45" s="432"/>
      <c r="H45" s="432"/>
      <c r="I45" s="432"/>
      <c r="J45" s="432"/>
      <c r="K45" s="432"/>
      <c r="L45" s="432"/>
      <c r="M45" s="432"/>
      <c r="N45" s="432"/>
      <c r="O45" s="432"/>
      <c r="P45" s="432"/>
      <c r="Q45" s="432"/>
      <c r="R45" s="432"/>
      <c r="S45" s="432"/>
      <c r="T45" s="432"/>
      <c r="U45" s="433"/>
      <c r="AE45" s="203"/>
      <c r="AF45" s="203"/>
    </row>
    <row r="46" ht="3" customHeight="1"/>
    <row r="47" ht="12.75" customHeight="1"/>
    <row r="48" ht="15" customHeight="1"/>
    <row r="49" ht="12.75" customHeight="1"/>
    <row r="50" ht="15" customHeight="1"/>
    <row r="51" ht="12.75" customHeight="1"/>
    <row r="52" ht="15" customHeight="1"/>
    <row r="53" ht="15" customHeight="1"/>
    <row r="54" ht="15" customHeight="1"/>
    <row r="55" ht="15" customHeight="1"/>
  </sheetData>
  <sheetProtection password="DE07" sheet="1" formatCells="0" formatColumns="0" formatRows="0"/>
  <mergeCells count="123">
    <mergeCell ref="B13:D13"/>
    <mergeCell ref="E13:U13"/>
    <mergeCell ref="B37:D37"/>
    <mergeCell ref="AC19:AD19"/>
    <mergeCell ref="M19:N19"/>
    <mergeCell ref="B20:D20"/>
    <mergeCell ref="B21:D21"/>
    <mergeCell ref="B22:D22"/>
    <mergeCell ref="E22:F22"/>
    <mergeCell ref="Y21:Z21"/>
    <mergeCell ref="E21:F21"/>
    <mergeCell ref="Y22:Z22"/>
    <mergeCell ref="B6:D6"/>
    <mergeCell ref="B7:D7"/>
    <mergeCell ref="B8:D8"/>
    <mergeCell ref="B9:D9"/>
    <mergeCell ref="J8:N8"/>
    <mergeCell ref="J9:N9"/>
    <mergeCell ref="J6:N6"/>
    <mergeCell ref="J7:N7"/>
    <mergeCell ref="AM19:AM21"/>
    <mergeCell ref="AC22:AD22"/>
    <mergeCell ref="AA22:AB22"/>
    <mergeCell ref="AA20:AB20"/>
    <mergeCell ref="AC20:AD20"/>
    <mergeCell ref="AA21:AB21"/>
    <mergeCell ref="AC21:AD21"/>
    <mergeCell ref="AN19:AN21"/>
    <mergeCell ref="E20:F20"/>
    <mergeCell ref="Y20:Z20"/>
    <mergeCell ref="AL19:AL21"/>
    <mergeCell ref="Q19:R19"/>
    <mergeCell ref="U19:V19"/>
    <mergeCell ref="Y19:Z19"/>
    <mergeCell ref="E19:F19"/>
    <mergeCell ref="I19:J19"/>
    <mergeCell ref="Q20:R20"/>
    <mergeCell ref="U24:U25"/>
    <mergeCell ref="E40:J40"/>
    <mergeCell ref="L24:L25"/>
    <mergeCell ref="M24:M25"/>
    <mergeCell ref="N24:N25"/>
    <mergeCell ref="J24:J25"/>
    <mergeCell ref="K24:K25"/>
    <mergeCell ref="B12:D12"/>
    <mergeCell ref="B14:D14"/>
    <mergeCell ref="B15:D15"/>
    <mergeCell ref="J10:N10"/>
    <mergeCell ref="J11:N11"/>
    <mergeCell ref="B10:D10"/>
    <mergeCell ref="B11:D11"/>
    <mergeCell ref="E10:I10"/>
    <mergeCell ref="E11:I11"/>
    <mergeCell ref="E12:I12"/>
    <mergeCell ref="S20:T20"/>
    <mergeCell ref="U20:V20"/>
    <mergeCell ref="W20:X20"/>
    <mergeCell ref="I20:J20"/>
    <mergeCell ref="K20:L20"/>
    <mergeCell ref="M20:N20"/>
    <mergeCell ref="O20:P20"/>
    <mergeCell ref="S21:T21"/>
    <mergeCell ref="U21:V21"/>
    <mergeCell ref="W21:X21"/>
    <mergeCell ref="I21:J21"/>
    <mergeCell ref="K21:L21"/>
    <mergeCell ref="M21:N21"/>
    <mergeCell ref="O21:P21"/>
    <mergeCell ref="Y24:Y25"/>
    <mergeCell ref="Q22:R22"/>
    <mergeCell ref="S22:T22"/>
    <mergeCell ref="U22:V22"/>
    <mergeCell ref="W22:X22"/>
    <mergeCell ref="Q24:Q25"/>
    <mergeCell ref="V24:V25"/>
    <mergeCell ref="R24:R25"/>
    <mergeCell ref="S24:S25"/>
    <mergeCell ref="T24:T25"/>
    <mergeCell ref="E6:I6"/>
    <mergeCell ref="E7:I7"/>
    <mergeCell ref="E8:I8"/>
    <mergeCell ref="E9:I9"/>
    <mergeCell ref="B44:U45"/>
    <mergeCell ref="F17:I17"/>
    <mergeCell ref="B17:D17"/>
    <mergeCell ref="B24:D24"/>
    <mergeCell ref="B25:D25"/>
    <mergeCell ref="E24:E25"/>
    <mergeCell ref="F24:F25"/>
    <mergeCell ref="I24:I25"/>
    <mergeCell ref="I22:J22"/>
    <mergeCell ref="K22:L22"/>
    <mergeCell ref="Q6:U6"/>
    <mergeCell ref="Q7:U7"/>
    <mergeCell ref="Q8:U8"/>
    <mergeCell ref="Q9:U9"/>
    <mergeCell ref="Q10:U10"/>
    <mergeCell ref="Q11:U11"/>
    <mergeCell ref="Q12:U12"/>
    <mergeCell ref="Q15:U15"/>
    <mergeCell ref="E14:U14"/>
    <mergeCell ref="J12:N12"/>
    <mergeCell ref="J15:N15"/>
    <mergeCell ref="N17:Q17"/>
    <mergeCell ref="J17:M17"/>
    <mergeCell ref="E15:I15"/>
    <mergeCell ref="E41:J41"/>
    <mergeCell ref="M22:N22"/>
    <mergeCell ref="O22:P22"/>
    <mergeCell ref="Q21:R21"/>
    <mergeCell ref="O24:O25"/>
    <mergeCell ref="P24:P25"/>
    <mergeCell ref="Q40:V40"/>
    <mergeCell ref="AC17:AD17"/>
    <mergeCell ref="V17:Z17"/>
    <mergeCell ref="R17:U17"/>
    <mergeCell ref="W24:W25"/>
    <mergeCell ref="AD24:AD25"/>
    <mergeCell ref="Z24:Z25"/>
    <mergeCell ref="AA24:AA25"/>
    <mergeCell ref="AB24:AB25"/>
    <mergeCell ref="AC24:AC25"/>
    <mergeCell ref="X24:X25"/>
  </mergeCells>
  <conditionalFormatting sqref="B34:AD34">
    <cfRule type="expression" priority="1" dxfId="0" stopIfTrue="1">
      <formula>AND(SSize8=0,SUM($F34,$J34,$N34,$R34,$V34,$Z34,$AD34)=0)</formula>
    </cfRule>
  </conditionalFormatting>
  <conditionalFormatting sqref="B33:AD33">
    <cfRule type="expression" priority="2" dxfId="0" stopIfTrue="1">
      <formula>AND(SSize7=0,SUM($F33,$J33,$N33,$R33,$V33,$Z33,$AD33)=0)</formula>
    </cfRule>
  </conditionalFormatting>
  <conditionalFormatting sqref="B32:AD32">
    <cfRule type="expression" priority="3" dxfId="0" stopIfTrue="1">
      <formula>AND(SSize6=0,SUM($F32,$J32,$N32,$R32,$V32,$Z32,$AD32)=0)</formula>
    </cfRule>
  </conditionalFormatting>
  <conditionalFormatting sqref="B31:AD31">
    <cfRule type="expression" priority="4" dxfId="0" stopIfTrue="1">
      <formula>AND(SSize5=0,SUM($F31,$J31,$N31,$R31,$V31,$Z31,$AD31)=0)</formula>
    </cfRule>
  </conditionalFormatting>
  <conditionalFormatting sqref="B30:AD30">
    <cfRule type="expression" priority="5" dxfId="0" stopIfTrue="1">
      <formula>AND(SSize4=0,SUM($F30,$J30,$N30,$R30,$V30,$Z30,$AD30)=0)</formula>
    </cfRule>
  </conditionalFormatting>
  <conditionalFormatting sqref="B29:AD29">
    <cfRule type="expression" priority="6" dxfId="0" stopIfTrue="1">
      <formula>AND(SSize3=0,SUM($F29,$J29,$N29,$R29,$V29,$Z29,$AD29)=0)</formula>
    </cfRule>
  </conditionalFormatting>
  <conditionalFormatting sqref="B28:AD28">
    <cfRule type="expression" priority="7" dxfId="0" stopIfTrue="1">
      <formula>AND(SSize2=0,SUM($F28,$J28,$N28,$R28,$V28,$Z28,$AD28)=0)</formula>
    </cfRule>
  </conditionalFormatting>
  <conditionalFormatting sqref="B27:AD27">
    <cfRule type="expression" priority="8" dxfId="0" stopIfTrue="1">
      <formula>AND(SSize1=0,SUM($F27,$J27,$N27,$R27,$V27,$Z27,$AD27)=0)</formula>
    </cfRule>
  </conditionalFormatting>
  <conditionalFormatting sqref="B35:AD35">
    <cfRule type="expression" priority="9" dxfId="0" stopIfTrue="1">
      <formula>AND(SSize9=0,SUM($F35,$J35,$N35,$R35,$V35,$Z35,$AD35)=0)</formula>
    </cfRule>
  </conditionalFormatting>
  <conditionalFormatting sqref="B36:AD36">
    <cfRule type="expression" priority="10" dxfId="0" stopIfTrue="1">
      <formula>AND(SSize10=0,SUM($F36,$J36,$N36,$R36,$V36,$Z36,$AD36)=0)</formula>
    </cfRule>
  </conditionalFormatting>
  <conditionalFormatting sqref="AE41 U39 AI41 E38:E39 B39:D39 AN41:AS41 AE39 O39:P39 Z38:Z39 J38:J39 D37 AF39:AF41">
    <cfRule type="expression" priority="11" dxfId="0" stopIfTrue="1">
      <formula>(SUM(SSize9,MixDes9,JMFDes9)=0)</formula>
    </cfRule>
  </conditionalFormatting>
  <conditionalFormatting sqref="B37">
    <cfRule type="expression" priority="12" dxfId="0" stopIfTrue="1">
      <formula>(SUM(SSize8,MixDes8,JMFDes8)=0)</formula>
    </cfRule>
  </conditionalFormatting>
  <conditionalFormatting sqref="AG41:AH41 E37 AE26:AF37 C37 AG38:AG39 O37:AD37 G39:H39 M40:M41 AK26:AM36 K39:L39 S39:T39 W39:X39 Q39 AH26:AH36 AJ41:AM41 AC41 F37:F39 I37:I39 G37:H37 M37:N39 J37:L37 R38:R39 V38:V39 Y38:Y40 AC38:AD39 AA39:AB39">
    <cfRule type="expression" priority="13" dxfId="0" stopIfTrue="1">
      <formula>(SUM(SSize1,MixDes1,JMFDes1)=0)</formula>
    </cfRule>
  </conditionalFormatting>
  <dataValidations count="10">
    <dataValidation type="textLength" operator="lessThan" allowBlank="1" showInputMessage="1" showErrorMessage="1" errorTitle="Text Length" error="Please limit the text length to 200 characters." sqref="AE44:AF45 B44:U45">
      <formula1>201</formula1>
    </dataValidation>
    <dataValidation type="custom" allowBlank="1" showInputMessage="1" showErrorMessage="1" sqref="F36 AD36 Z36 V36 R36 N36 J36">
      <formula1>SSize9&lt;&gt;0</formula1>
    </dataValidation>
    <dataValidation type="custom" allowBlank="1" showInputMessage="1" showErrorMessage="1" sqref="Z34:Z35 AD34:AD35 V34:V35 R34:R35 N34:N35 J34:J35 F34:F35">
      <formula1>SSize8&lt;&gt;0</formula1>
    </dataValidation>
    <dataValidation type="custom" allowBlank="1" showInputMessage="1" showErrorMessage="1" sqref="F33 AD33 Z33 V33 R33 N33 J33">
      <formula1>SSize7&lt;&gt;0</formula1>
    </dataValidation>
    <dataValidation type="custom" allowBlank="1" showInputMessage="1" showErrorMessage="1" sqref="F32 AD32 Z32 V32 R32 N32 J32">
      <formula1>SSize6&lt;&gt;0</formula1>
    </dataValidation>
    <dataValidation type="custom" allowBlank="1" showInputMessage="1" showErrorMessage="1" sqref="F31 AD31 Z31 V31 R31 N31 J31">
      <formula1>SSize5&lt;&gt;0</formula1>
    </dataValidation>
    <dataValidation type="custom" allowBlank="1" showInputMessage="1" showErrorMessage="1" sqref="F30 AD30 Z30 V30 R30 N30 J30">
      <formula1>SSize4&lt;&gt;0</formula1>
    </dataValidation>
    <dataValidation type="custom" allowBlank="1" showInputMessage="1" showErrorMessage="1" sqref="F29 AD29 Z29 V29 R29 N29 J29">
      <formula1>SSize3&lt;&gt;0</formula1>
    </dataValidation>
    <dataValidation type="custom" allowBlank="1" showInputMessage="1" showErrorMessage="1" sqref="F28 AD28 Z28 V28 R28 N28 J28">
      <formula1>SSize2&lt;&gt;0</formula1>
    </dataValidation>
    <dataValidation type="custom" allowBlank="1" showInputMessage="1" showErrorMessage="1" sqref="F27 AD27 Z27 V27 R27 N27 J27">
      <formula1>SSize1&lt;&gt;0</formula1>
    </dataValidation>
  </dataValidations>
  <printOptions/>
  <pageMargins left="0.25" right="0.25" top="0.32" bottom="0.4" header="0.17" footer="0.23"/>
  <pageSetup fitToHeight="1" fitToWidth="1" horizontalDpi="600" verticalDpi="600" orientation="landscape" scale="91" r:id="rId1"/>
</worksheet>
</file>

<file path=xl/worksheets/sheet6.xml><?xml version="1.0" encoding="utf-8"?>
<worksheet xmlns="http://schemas.openxmlformats.org/spreadsheetml/2006/main" xmlns:r="http://schemas.openxmlformats.org/officeDocument/2006/relationships">
  <sheetPr codeName="Sheet1">
    <pageSetUpPr fitToPage="1"/>
  </sheetPr>
  <dimension ref="A1:AV79"/>
  <sheetViews>
    <sheetView showGridLines="0" workbookViewId="0" topLeftCell="A1">
      <selection activeCell="E20" sqref="E20:F20"/>
    </sheetView>
  </sheetViews>
  <sheetFormatPr defaultColWidth="9.140625" defaultRowHeight="15" customHeight="1"/>
  <cols>
    <col min="1" max="1" width="1.28515625" style="20" customWidth="1"/>
    <col min="2" max="2" width="8.7109375" style="10" customWidth="1"/>
    <col min="3" max="6" width="8.00390625" style="10" customWidth="1"/>
    <col min="7" max="7" width="8.140625" style="10" customWidth="1"/>
    <col min="8" max="8" width="8.00390625" style="10" customWidth="1"/>
    <col min="9" max="9" width="8.8515625" style="10" customWidth="1"/>
    <col min="10" max="13" width="8.00390625" style="10" customWidth="1"/>
    <col min="14" max="20" width="7.7109375" style="10" hidden="1" customWidth="1"/>
    <col min="21" max="16384" width="7.7109375" style="10" customWidth="1"/>
  </cols>
  <sheetData>
    <row r="1" spans="1:47" s="5" customFormat="1" ht="15" customHeight="1">
      <c r="A1" s="18"/>
      <c r="B1" s="170" t="s">
        <v>0</v>
      </c>
      <c r="C1" s="2"/>
      <c r="D1" s="2"/>
      <c r="E1" s="2"/>
      <c r="F1" s="2"/>
      <c r="G1" s="3"/>
      <c r="H1" s="3"/>
      <c r="I1" s="3"/>
      <c r="J1" s="3"/>
      <c r="K1" s="3"/>
      <c r="L1" s="3"/>
      <c r="M1" s="3"/>
      <c r="N1"/>
      <c r="O1"/>
      <c r="P1"/>
      <c r="Q1"/>
      <c r="R1"/>
      <c r="S1"/>
      <c r="T1"/>
      <c r="U1"/>
      <c r="V1"/>
      <c r="W1"/>
      <c r="X1"/>
      <c r="Y1" s="18"/>
      <c r="Z1" s="18"/>
      <c r="AA1" s="137"/>
      <c r="AB1" s="88"/>
      <c r="AC1" s="18"/>
      <c r="AD1" s="18"/>
      <c r="AE1" s="18"/>
      <c r="AF1" s="18"/>
      <c r="AG1" s="18"/>
      <c r="AH1" s="18"/>
      <c r="AI1" s="18"/>
      <c r="AJ1" s="18"/>
      <c r="AK1" s="18"/>
      <c r="AL1" s="18"/>
      <c r="AM1" s="39"/>
      <c r="AN1" s="39"/>
      <c r="AO1" s="88"/>
      <c r="AP1" s="88"/>
      <c r="AQ1" s="88"/>
      <c r="AR1" s="88"/>
      <c r="AS1" s="88"/>
      <c r="AU1" s="6"/>
    </row>
    <row r="2" spans="1:47" s="5" customFormat="1" ht="15" customHeight="1">
      <c r="A2" s="18"/>
      <c r="B2" s="2">
        <f>IF(location="","",location)</f>
      </c>
      <c r="C2" s="2"/>
      <c r="D2" s="2"/>
      <c r="E2" s="2"/>
      <c r="F2" s="2"/>
      <c r="G2" s="3"/>
      <c r="H2" s="3"/>
      <c r="I2" s="3"/>
      <c r="J2" s="3"/>
      <c r="K2" s="3"/>
      <c r="L2" s="3"/>
      <c r="M2" s="3"/>
      <c r="N2"/>
      <c r="O2"/>
      <c r="P2"/>
      <c r="Q2"/>
      <c r="R2"/>
      <c r="S2"/>
      <c r="T2"/>
      <c r="U2"/>
      <c r="V2"/>
      <c r="W2"/>
      <c r="X2"/>
      <c r="Y2" s="19"/>
      <c r="Z2" s="18"/>
      <c r="AA2" s="137"/>
      <c r="AB2" s="88"/>
      <c r="AC2" s="18"/>
      <c r="AD2" s="4"/>
      <c r="AE2" s="4"/>
      <c r="AF2" s="4"/>
      <c r="AG2" s="4"/>
      <c r="AH2" s="4"/>
      <c r="AI2" s="4"/>
      <c r="AJ2" s="4"/>
      <c r="AK2" s="4"/>
      <c r="AL2" s="4"/>
      <c r="AM2" s="4"/>
      <c r="AN2" s="4"/>
      <c r="AO2" s="90"/>
      <c r="AP2" s="90"/>
      <c r="AQ2" s="6"/>
      <c r="AR2" s="6"/>
      <c r="AS2" s="6"/>
      <c r="AT2" s="6"/>
      <c r="AU2" s="91"/>
    </row>
    <row r="3" spans="1:48" s="5" customFormat="1" ht="5.25" customHeight="1">
      <c r="A3" s="19"/>
      <c r="B3" s="8"/>
      <c r="C3" s="8"/>
      <c r="D3" s="8"/>
      <c r="E3" s="8"/>
      <c r="F3" s="8"/>
      <c r="G3" s="3"/>
      <c r="H3" s="3"/>
      <c r="I3" s="3"/>
      <c r="J3" s="3"/>
      <c r="K3" s="3"/>
      <c r="L3" s="3"/>
      <c r="M3" s="3"/>
      <c r="N3"/>
      <c r="O3"/>
      <c r="P3"/>
      <c r="Q3"/>
      <c r="R3"/>
      <c r="S3"/>
      <c r="T3"/>
      <c r="U3"/>
      <c r="V3"/>
      <c r="W3"/>
      <c r="X3"/>
      <c r="Y3" s="19"/>
      <c r="Z3" s="19"/>
      <c r="AA3" s="137"/>
      <c r="AB3" s="19"/>
      <c r="AC3" s="19"/>
      <c r="AD3" s="3"/>
      <c r="AE3" s="3"/>
      <c r="AF3" s="3"/>
      <c r="AG3" s="3"/>
      <c r="AH3" s="3"/>
      <c r="AI3" s="3"/>
      <c r="AJ3" s="3"/>
      <c r="AK3" s="3"/>
      <c r="AL3" s="3"/>
      <c r="AM3" s="3"/>
      <c r="AN3" s="3"/>
      <c r="AO3" s="92"/>
      <c r="AP3" s="92"/>
      <c r="AQ3" s="6"/>
      <c r="AR3" s="6"/>
      <c r="AS3" s="6"/>
      <c r="AT3" s="6"/>
      <c r="AU3" s="91"/>
      <c r="AV3" s="7"/>
    </row>
    <row r="4" spans="1:47" s="5" customFormat="1" ht="14.25" customHeight="1">
      <c r="A4" s="18"/>
      <c r="B4" s="9" t="s">
        <v>156</v>
      </c>
      <c r="C4" s="9"/>
      <c r="D4" s="9"/>
      <c r="E4" s="9"/>
      <c r="F4" s="9"/>
      <c r="G4" s="3"/>
      <c r="H4" s="3"/>
      <c r="I4" s="3"/>
      <c r="J4" s="3"/>
      <c r="K4" s="4"/>
      <c r="L4" s="4"/>
      <c r="M4" s="4"/>
      <c r="N4"/>
      <c r="O4"/>
      <c r="P4"/>
      <c r="Q4"/>
      <c r="R4"/>
      <c r="S4"/>
      <c r="T4"/>
      <c r="U4"/>
      <c r="V4"/>
      <c r="W4"/>
      <c r="X4"/>
      <c r="Y4" s="18"/>
      <c r="Z4" s="18"/>
      <c r="AA4" s="137"/>
      <c r="AB4" s="93"/>
      <c r="AC4" s="18"/>
      <c r="AD4" s="18"/>
      <c r="AE4" s="18"/>
      <c r="AF4" s="18"/>
      <c r="AG4" s="18"/>
      <c r="AH4" s="18"/>
      <c r="AI4" s="39"/>
      <c r="AJ4" s="39"/>
      <c r="AK4" s="88"/>
      <c r="AL4" s="88"/>
      <c r="AM4" s="89"/>
      <c r="AN4" s="89"/>
      <c r="AO4" s="88"/>
      <c r="AP4" s="88"/>
      <c r="AR4" s="6"/>
      <c r="AS4" s="6"/>
      <c r="AT4" s="6"/>
      <c r="AU4" s="6"/>
    </row>
    <row r="5" spans="1:45" s="5" customFormat="1" ht="10.5" customHeight="1">
      <c r="A5" s="18"/>
      <c r="G5" s="1"/>
      <c r="H5" s="1"/>
      <c r="I5" s="1"/>
      <c r="J5" s="1"/>
      <c r="K5" s="1"/>
      <c r="L5" s="1"/>
      <c r="M5" s="86" t="str">
        <f>"File Version: "&amp;TEXT(MID(sn,SEARCH("::",sn,1)+2,20),"mm/dd/yy hh:mm:ss")</f>
        <v>File Version: 05/10/07 09:30:41</v>
      </c>
      <c r="N5"/>
      <c r="O5"/>
      <c r="P5"/>
      <c r="Q5"/>
      <c r="R5"/>
      <c r="S5"/>
      <c r="T5"/>
      <c r="U5"/>
      <c r="V5"/>
      <c r="W5"/>
      <c r="X5"/>
      <c r="Y5"/>
      <c r="Z5"/>
      <c r="AA5"/>
      <c r="AB5"/>
      <c r="AC5"/>
      <c r="AD5"/>
      <c r="AE5"/>
      <c r="AF5"/>
      <c r="AI5" s="6"/>
      <c r="AJ5" s="6"/>
      <c r="AK5" s="7"/>
      <c r="AL5" s="7"/>
      <c r="AM5" s="6"/>
      <c r="AN5" s="6"/>
      <c r="AO5" s="6"/>
      <c r="AP5" s="6"/>
      <c r="AQ5" s="6"/>
      <c r="AR5" s="6"/>
      <c r="AS5" s="6"/>
    </row>
    <row r="6" spans="1:44" s="5" customFormat="1" ht="15" customHeight="1">
      <c r="A6" s="18"/>
      <c r="B6" s="401" t="s">
        <v>46</v>
      </c>
      <c r="C6" s="402"/>
      <c r="D6" s="403"/>
      <c r="E6" s="636" t="str">
        <f>IF(sampleid="","",sampleid)</f>
        <v>TTI_Hoban+Turner_SMA</v>
      </c>
      <c r="F6" s="636"/>
      <c r="G6" s="636"/>
      <c r="H6" s="502" t="s">
        <v>111</v>
      </c>
      <c r="I6" s="503"/>
      <c r="J6" s="504"/>
      <c r="K6" s="499" t="str">
        <f>IF(sampleddate="","",sampleddate)</f>
        <v>11/18/2010</v>
      </c>
      <c r="L6" s="500"/>
      <c r="M6" s="501"/>
      <c r="N6"/>
      <c r="O6"/>
      <c r="P6"/>
      <c r="Q6"/>
      <c r="R6"/>
      <c r="S6"/>
      <c r="T6"/>
      <c r="U6"/>
      <c r="V6"/>
      <c r="W6"/>
      <c r="X6"/>
      <c r="Y6"/>
      <c r="Z6"/>
      <c r="AA6"/>
      <c r="AB6"/>
      <c r="AC6"/>
      <c r="AD6"/>
      <c r="AE6"/>
      <c r="AL6" s="6"/>
      <c r="AM6" s="6"/>
      <c r="AN6" s="6"/>
      <c r="AO6" s="6"/>
      <c r="AP6" s="6"/>
      <c r="AQ6" s="6"/>
      <c r="AR6" s="6"/>
    </row>
    <row r="7" spans="1:44" s="5" customFormat="1" ht="15" customHeight="1">
      <c r="A7" s="39"/>
      <c r="B7" s="401" t="s">
        <v>47</v>
      </c>
      <c r="C7" s="402"/>
      <c r="D7" s="403"/>
      <c r="E7" s="636">
        <f>IF(testnumber="","",testnumber)</f>
      </c>
      <c r="F7" s="636"/>
      <c r="G7" s="636"/>
      <c r="H7" s="502" t="s">
        <v>48</v>
      </c>
      <c r="I7" s="503"/>
      <c r="J7" s="504"/>
      <c r="K7" s="499">
        <f>IF(lettingdate="","",lettingdate)</f>
      </c>
      <c r="L7" s="500"/>
      <c r="M7" s="501"/>
      <c r="N7"/>
      <c r="O7"/>
      <c r="P7"/>
      <c r="Q7"/>
      <c r="R7"/>
      <c r="S7"/>
      <c r="T7"/>
      <c r="U7"/>
      <c r="V7"/>
      <c r="W7"/>
      <c r="X7"/>
      <c r="AL7" s="6"/>
      <c r="AM7" s="6"/>
      <c r="AN7" s="6"/>
      <c r="AO7" s="6"/>
      <c r="AP7" s="6"/>
      <c r="AQ7" s="6"/>
      <c r="AR7" s="6"/>
    </row>
    <row r="8" spans="1:44" s="5" customFormat="1" ht="15" customHeight="1">
      <c r="A8" s="39"/>
      <c r="B8" s="401" t="s">
        <v>417</v>
      </c>
      <c r="C8" s="402"/>
      <c r="D8" s="403"/>
      <c r="E8" s="636">
        <f>IF(status="","",status)</f>
      </c>
      <c r="F8" s="636"/>
      <c r="G8" s="636"/>
      <c r="H8" s="502" t="s">
        <v>49</v>
      </c>
      <c r="I8" s="503"/>
      <c r="J8" s="504"/>
      <c r="K8" s="499">
        <f>IF(ccsj="","",ccsj)</f>
      </c>
      <c r="L8" s="500"/>
      <c r="M8" s="501"/>
      <c r="N8"/>
      <c r="O8"/>
      <c r="P8"/>
      <c r="Q8"/>
      <c r="R8"/>
      <c r="S8"/>
      <c r="T8"/>
      <c r="U8"/>
      <c r="V8"/>
      <c r="W8"/>
      <c r="X8"/>
      <c r="AL8" s="6"/>
      <c r="AM8" s="6"/>
      <c r="AN8" s="6"/>
      <c r="AO8" s="6"/>
      <c r="AP8" s="6"/>
      <c r="AQ8" s="6"/>
      <c r="AR8" s="6"/>
    </row>
    <row r="9" spans="1:29" s="5" customFormat="1" ht="15" customHeight="1">
      <c r="A9" s="39"/>
      <c r="B9" s="401" t="s">
        <v>50</v>
      </c>
      <c r="C9" s="402"/>
      <c r="D9" s="403"/>
      <c r="E9" s="636">
        <f>IF(county="","",county)</f>
      </c>
      <c r="F9" s="636"/>
      <c r="G9" s="636"/>
      <c r="H9" s="502" t="s">
        <v>51</v>
      </c>
      <c r="I9" s="503"/>
      <c r="J9" s="504"/>
      <c r="K9" s="514" t="str">
        <f>+IF(specyear="","",specyear)</f>
        <v>2004</v>
      </c>
      <c r="L9" s="515"/>
      <c r="M9" s="516"/>
      <c r="N9"/>
      <c r="O9"/>
      <c r="P9"/>
      <c r="Q9"/>
      <c r="R9"/>
      <c r="S9"/>
      <c r="T9"/>
      <c r="U9"/>
      <c r="V9"/>
      <c r="W9"/>
      <c r="X9"/>
      <c r="Y9" s="10"/>
      <c r="Z9" s="10"/>
      <c r="AA9" s="10"/>
      <c r="AB9" s="10"/>
      <c r="AC9" s="10"/>
    </row>
    <row r="10" spans="1:24" s="5" customFormat="1" ht="15" customHeight="1">
      <c r="A10" s="39"/>
      <c r="B10" s="401" t="s">
        <v>52</v>
      </c>
      <c r="C10" s="402"/>
      <c r="D10" s="403"/>
      <c r="E10" s="636" t="str">
        <f>IF(sampledby="","",sampledby)</f>
        <v>Xiaodi </v>
      </c>
      <c r="F10" s="636"/>
      <c r="G10" s="636"/>
      <c r="H10" s="401" t="s">
        <v>53</v>
      </c>
      <c r="I10" s="402"/>
      <c r="J10" s="403"/>
      <c r="K10" s="499">
        <f>IF(specitem="","",specitem)</f>
      </c>
      <c r="L10" s="500"/>
      <c r="M10" s="501"/>
      <c r="N10"/>
      <c r="O10"/>
      <c r="P10"/>
      <c r="Q10"/>
      <c r="R10"/>
      <c r="S10"/>
      <c r="T10"/>
      <c r="U10"/>
      <c r="V10"/>
      <c r="W10"/>
      <c r="X10"/>
    </row>
    <row r="11" spans="1:13" ht="15" customHeight="1">
      <c r="A11" s="39"/>
      <c r="B11" s="401" t="s">
        <v>54</v>
      </c>
      <c r="C11" s="402"/>
      <c r="D11" s="403"/>
      <c r="E11" s="636" t="str">
        <f>IF(samplelocation="","",samplelocation)</f>
        <v>TTI</v>
      </c>
      <c r="F11" s="636"/>
      <c r="G11" s="636"/>
      <c r="H11" s="502" t="s">
        <v>55</v>
      </c>
      <c r="I11" s="503"/>
      <c r="J11" s="504"/>
      <c r="K11" s="508">
        <f>IF(specialprovision="","",specialprovision)</f>
      </c>
      <c r="L11" s="509"/>
      <c r="M11" s="510"/>
    </row>
    <row r="12" spans="1:13" ht="15" customHeight="1">
      <c r="A12" s="39"/>
      <c r="B12" s="401" t="s">
        <v>418</v>
      </c>
      <c r="C12" s="402"/>
      <c r="D12" s="403"/>
      <c r="E12" s="636">
        <f>IF(material="","",material)</f>
      </c>
      <c r="F12" s="636"/>
      <c r="G12" s="636"/>
      <c r="H12" s="401" t="s">
        <v>56</v>
      </c>
      <c r="I12" s="402"/>
      <c r="J12" s="403"/>
      <c r="K12" s="508" t="str">
        <f>IF(Grade="","",Grade)</f>
        <v>Other</v>
      </c>
      <c r="L12" s="509"/>
      <c r="M12" s="510"/>
    </row>
    <row r="13" spans="1:13" ht="15" customHeight="1">
      <c r="A13" s="39"/>
      <c r="B13" s="401" t="s">
        <v>416</v>
      </c>
      <c r="C13" s="402"/>
      <c r="D13" s="403"/>
      <c r="E13" s="537">
        <f>IF(matl_nm="","",matl_nm)</f>
      </c>
      <c r="F13" s="538"/>
      <c r="G13" s="538"/>
      <c r="H13" s="538"/>
      <c r="I13" s="538"/>
      <c r="J13" s="538"/>
      <c r="K13" s="538"/>
      <c r="L13" s="538"/>
      <c r="M13" s="539"/>
    </row>
    <row r="14" spans="1:13" ht="15" customHeight="1">
      <c r="A14" s="39"/>
      <c r="B14" s="401" t="s">
        <v>57</v>
      </c>
      <c r="C14" s="402"/>
      <c r="D14" s="403"/>
      <c r="E14" s="496">
        <f>IF(producer="","",producer)</f>
      </c>
      <c r="F14" s="497"/>
      <c r="G14" s="497"/>
      <c r="H14" s="497"/>
      <c r="I14" s="497"/>
      <c r="J14" s="497"/>
      <c r="K14" s="497"/>
      <c r="L14" s="497"/>
      <c r="M14" s="498"/>
    </row>
    <row r="15" spans="1:13" ht="15" customHeight="1">
      <c r="A15" s="39"/>
      <c r="B15" s="401" t="s">
        <v>58</v>
      </c>
      <c r="C15" s="402"/>
      <c r="D15" s="403"/>
      <c r="E15" s="636">
        <f>IF(areaengineer="","",areaengineer)</f>
      </c>
      <c r="F15" s="636"/>
      <c r="G15" s="636"/>
      <c r="H15" s="395" t="s">
        <v>59</v>
      </c>
      <c r="I15" s="395"/>
      <c r="J15" s="395"/>
      <c r="K15" s="505">
        <f>IF(projectmanager="","",projectmanager)</f>
      </c>
      <c r="L15" s="506"/>
      <c r="M15" s="507"/>
    </row>
    <row r="16" spans="1:13" ht="6" customHeight="1">
      <c r="A16" s="39"/>
      <c r="B16" s="11"/>
      <c r="C16" s="11"/>
      <c r="D16" s="11"/>
      <c r="E16" s="11"/>
      <c r="F16" s="12"/>
      <c r="G16" s="12"/>
      <c r="H16" s="12"/>
      <c r="I16" s="12"/>
      <c r="J16" s="12"/>
      <c r="K16" s="12"/>
      <c r="L16" s="12"/>
      <c r="M16" s="12"/>
    </row>
    <row r="17" spans="1:25" ht="15" customHeight="1">
      <c r="A17" s="39"/>
      <c r="B17" s="401" t="s">
        <v>1</v>
      </c>
      <c r="C17" s="402"/>
      <c r="D17" s="403"/>
      <c r="E17" s="144">
        <f>IF(courselift="","",courselift)</f>
      </c>
      <c r="F17" s="369" t="s">
        <v>2</v>
      </c>
      <c r="G17" s="370"/>
      <c r="H17" s="484">
        <f>IF(station="","",station)</f>
      </c>
      <c r="I17" s="485"/>
      <c r="J17" s="369" t="s">
        <v>3</v>
      </c>
      <c r="K17" s="370"/>
      <c r="L17" s="484">
        <f>IF(distfromcl="","",distfromcl)</f>
      </c>
      <c r="M17" s="485"/>
      <c r="U17" s="603" t="s">
        <v>393</v>
      </c>
      <c r="V17" s="604"/>
      <c r="W17" s="604"/>
      <c r="X17" s="459">
        <f>IF(condesignnum="","",condesignnum)</f>
      </c>
      <c r="Y17" s="460"/>
    </row>
    <row r="18" spans="9:22" ht="15" customHeight="1">
      <c r="I18" s="241"/>
      <c r="J18" s="241"/>
      <c r="K18" s="241"/>
      <c r="L18" s="241"/>
      <c r="M18" s="241"/>
      <c r="N18" s="241"/>
      <c r="O18" s="241"/>
      <c r="P18" s="241"/>
      <c r="Q18" s="241"/>
      <c r="R18" s="241"/>
      <c r="S18" s="242"/>
      <c r="T18" s="241"/>
      <c r="U18" s="241"/>
      <c r="V18" s="241"/>
    </row>
    <row r="19" spans="1:43" s="5" customFormat="1" ht="15" customHeight="1">
      <c r="A19" s="39"/>
      <c r="B19" s="743" t="s">
        <v>144</v>
      </c>
      <c r="C19" s="436"/>
      <c r="D19" s="437"/>
      <c r="E19" s="766">
        <v>96.5</v>
      </c>
      <c r="F19" s="767"/>
      <c r="G19" s="224" t="s">
        <v>43</v>
      </c>
      <c r="I19" s="760" t="s">
        <v>262</v>
      </c>
      <c r="J19" s="761"/>
      <c r="K19" s="265">
        <f>percentfiber</f>
        <v>0</v>
      </c>
      <c r="L19" s="260" t="s">
        <v>43</v>
      </c>
      <c r="M19" s="299"/>
      <c r="N19" s="244"/>
      <c r="O19" s="244"/>
      <c r="P19" s="244"/>
      <c r="Q19" s="244"/>
      <c r="R19" s="244"/>
      <c r="S19" s="245"/>
      <c r="T19" s="300"/>
      <c r="U19" s="301"/>
      <c r="V19" s="302"/>
      <c r="W19" s="301"/>
      <c r="X19" s="301"/>
      <c r="Y19" s="301"/>
      <c r="Z19" s="301"/>
      <c r="AC19" s="15"/>
      <c r="AD19" s="15"/>
      <c r="AE19" s="15"/>
      <c r="AF19" s="15"/>
      <c r="AG19" s="15"/>
      <c r="AH19" s="15"/>
      <c r="AI19" s="15"/>
      <c r="AJ19" s="15"/>
      <c r="AK19" s="15"/>
      <c r="AL19" s="15"/>
      <c r="AM19" s="15"/>
      <c r="AN19" s="15"/>
      <c r="AO19" s="15"/>
      <c r="AP19" s="15"/>
      <c r="AQ19" s="15"/>
    </row>
    <row r="20" spans="1:43" s="5" customFormat="1" ht="15" customHeight="1">
      <c r="A20" s="39"/>
      <c r="B20" s="759" t="s">
        <v>261</v>
      </c>
      <c r="C20" s="744"/>
      <c r="D20" s="745"/>
      <c r="E20" s="764" t="s">
        <v>432</v>
      </c>
      <c r="F20" s="765"/>
      <c r="G20" s="14"/>
      <c r="I20" s="762" t="s">
        <v>273</v>
      </c>
      <c r="J20" s="763"/>
      <c r="K20" s="261">
        <f>percentrubber</f>
        <v>0</v>
      </c>
      <c r="L20" s="262" t="s">
        <v>43</v>
      </c>
      <c r="M20" s="243"/>
      <c r="N20" s="246"/>
      <c r="O20" s="246"/>
      <c r="P20" s="246"/>
      <c r="Q20" s="246"/>
      <c r="R20" s="246"/>
      <c r="S20" s="246"/>
      <c r="T20" s="243"/>
      <c r="V20" s="243"/>
      <c r="W20" s="651" t="s">
        <v>260</v>
      </c>
      <c r="X20" s="651"/>
      <c r="Y20" s="651"/>
      <c r="Z20" s="651"/>
      <c r="AA20" s="651"/>
      <c r="AB20" s="651"/>
      <c r="AC20" s="211"/>
      <c r="AD20" s="211"/>
      <c r="AE20" s="211"/>
      <c r="AF20" s="15"/>
      <c r="AG20" s="15"/>
      <c r="AH20" s="15"/>
      <c r="AI20" s="15"/>
      <c r="AJ20" s="15"/>
      <c r="AK20" s="15"/>
      <c r="AL20" s="15"/>
      <c r="AM20" s="15"/>
      <c r="AN20" s="15"/>
      <c r="AO20" s="15"/>
      <c r="AP20" s="15"/>
      <c r="AQ20" s="15"/>
    </row>
    <row r="21" spans="1:43" s="5" customFormat="1" ht="15" customHeight="1">
      <c r="A21" s="39"/>
      <c r="B21" s="222"/>
      <c r="C21" s="226"/>
      <c r="D21" s="226"/>
      <c r="E21" s="228"/>
      <c r="F21" s="227"/>
      <c r="G21" s="14"/>
      <c r="I21" s="243"/>
      <c r="J21" s="243"/>
      <c r="K21" s="246"/>
      <c r="L21" s="247"/>
      <c r="M21" s="248"/>
      <c r="N21" s="249"/>
      <c r="O21" s="249"/>
      <c r="P21" s="249"/>
      <c r="Q21" s="249"/>
      <c r="R21" s="249"/>
      <c r="S21" s="249"/>
      <c r="T21" s="250"/>
      <c r="U21" s="249"/>
      <c r="V21" s="251"/>
      <c r="W21" s="735" t="s">
        <v>249</v>
      </c>
      <c r="X21" s="736"/>
      <c r="Y21" s="674" t="s">
        <v>250</v>
      </c>
      <c r="Z21" s="746"/>
      <c r="AA21" s="746"/>
      <c r="AB21" s="675"/>
      <c r="AC21" s="211"/>
      <c r="AD21" s="211"/>
      <c r="AE21" s="211"/>
      <c r="AF21" s="15"/>
      <c r="AG21" s="15"/>
      <c r="AH21" s="15"/>
      <c r="AI21" s="15"/>
      <c r="AJ21" s="15"/>
      <c r="AK21" s="15"/>
      <c r="AL21" s="15"/>
      <c r="AM21" s="15"/>
      <c r="AN21" s="15"/>
      <c r="AO21" s="15"/>
      <c r="AP21" s="15"/>
      <c r="AQ21" s="15"/>
    </row>
    <row r="22" spans="1:43" s="5" customFormat="1" ht="15" customHeight="1">
      <c r="A22" s="39"/>
      <c r="B22" s="729" t="s">
        <v>66</v>
      </c>
      <c r="C22" s="730"/>
      <c r="D22" s="672" t="s">
        <v>164</v>
      </c>
      <c r="E22" s="519"/>
      <c r="F22" s="672" t="s">
        <v>167</v>
      </c>
      <c r="G22" s="519"/>
      <c r="H22" s="672" t="s">
        <v>163</v>
      </c>
      <c r="I22" s="519"/>
      <c r="J22" s="672" t="s">
        <v>162</v>
      </c>
      <c r="K22" s="519"/>
      <c r="L22" s="672" t="s">
        <v>67</v>
      </c>
      <c r="M22" s="519"/>
      <c r="N22" s="174"/>
      <c r="O22" s="174"/>
      <c r="P22" s="174"/>
      <c r="Q22" s="176"/>
      <c r="R22" s="176"/>
      <c r="S22" s="733" t="s">
        <v>165</v>
      </c>
      <c r="T22" s="733" t="s">
        <v>162</v>
      </c>
      <c r="U22" s="705" t="s">
        <v>339</v>
      </c>
      <c r="V22" s="706"/>
      <c r="W22" s="737"/>
      <c r="X22" s="736"/>
      <c r="Y22" s="672" t="s">
        <v>251</v>
      </c>
      <c r="Z22" s="519"/>
      <c r="AA22" s="672" t="s">
        <v>252</v>
      </c>
      <c r="AB22" s="519"/>
      <c r="AC22" s="720"/>
      <c r="AD22" s="721"/>
      <c r="AE22" s="722"/>
      <c r="AF22" s="15"/>
      <c r="AG22" s="15"/>
      <c r="AH22" s="15"/>
      <c r="AI22" s="15"/>
      <c r="AJ22" s="15"/>
      <c r="AK22" s="15"/>
      <c r="AL22" s="15"/>
      <c r="AM22" s="15"/>
      <c r="AN22" s="15"/>
      <c r="AO22" s="15"/>
      <c r="AP22" s="15"/>
      <c r="AQ22" s="15"/>
    </row>
    <row r="23" spans="1:43" s="5" customFormat="1" ht="29.25" customHeight="1">
      <c r="A23" s="39"/>
      <c r="B23" s="731"/>
      <c r="C23" s="732"/>
      <c r="D23" s="699"/>
      <c r="E23" s="700"/>
      <c r="F23" s="699"/>
      <c r="G23" s="700"/>
      <c r="H23" s="699"/>
      <c r="I23" s="700"/>
      <c r="J23" s="699"/>
      <c r="K23" s="700"/>
      <c r="L23" s="699"/>
      <c r="M23" s="700"/>
      <c r="N23" s="175"/>
      <c r="O23" s="175"/>
      <c r="P23" s="175"/>
      <c r="Q23" s="177"/>
      <c r="R23" s="177"/>
      <c r="S23" s="734"/>
      <c r="T23" s="734"/>
      <c r="U23" s="707"/>
      <c r="V23" s="708"/>
      <c r="W23" s="738"/>
      <c r="X23" s="739"/>
      <c r="Y23" s="699"/>
      <c r="Z23" s="700"/>
      <c r="AA23" s="699"/>
      <c r="AB23" s="700"/>
      <c r="AC23" s="721"/>
      <c r="AD23" s="721"/>
      <c r="AE23" s="722"/>
      <c r="AF23" s="15"/>
      <c r="AG23" s="15"/>
      <c r="AH23" s="15"/>
      <c r="AI23" s="15"/>
      <c r="AJ23" s="15"/>
      <c r="AK23" s="15"/>
      <c r="AL23" s="15"/>
      <c r="AM23" s="15"/>
      <c r="AN23" s="15"/>
      <c r="AO23" s="15"/>
      <c r="AP23" s="15"/>
      <c r="AQ23" s="15"/>
    </row>
    <row r="24" spans="1:43" s="5" customFormat="1" ht="15" customHeight="1">
      <c r="A24" s="39"/>
      <c r="B24" s="684">
        <v>6</v>
      </c>
      <c r="C24" s="685"/>
      <c r="D24" s="682">
        <v>2.2657</v>
      </c>
      <c r="E24" s="683"/>
      <c r="F24" s="682">
        <v>2.3406</v>
      </c>
      <c r="G24" s="683"/>
      <c r="H24" s="664">
        <f>IF(F24=0,0,(100-B24)/((100/F24)-(B24/SGAsph)))</f>
        <v>2.5530590842017253</v>
      </c>
      <c r="I24" s="665"/>
      <c r="J24" s="664">
        <f>IF(OR(B24=0,B24=""),0,(100/(((100-B24)/EffSG)+(B24/SGAsph))))</f>
        <v>2.3410159208401287</v>
      </c>
      <c r="K24" s="507"/>
      <c r="L24" s="697">
        <f>IF(ISERROR(100*(D24/J24)),"",100*(D24/J24))</f>
        <v>96.78276767920913</v>
      </c>
      <c r="M24" s="698"/>
      <c r="N24" s="82">
        <f>IF(L24&gt;=TargDen,1,0)</f>
        <v>1</v>
      </c>
      <c r="O24" s="82">
        <f>IF(L24&lt;TargDen,1,0)</f>
        <v>0</v>
      </c>
      <c r="P24" s="82">
        <f>IF(AND(N24=1,O23=1),1,0)</f>
        <v>0</v>
      </c>
      <c r="Q24" s="82">
        <f>IF(P24=1,B24-((L24-TargDen)/(L24-L23)*(B24-B23)),0)</f>
        <v>0</v>
      </c>
      <c r="R24" s="82">
        <f>IF(P24=1,U24-((L24-TargDen)/(L24-L23)*(U24-U23)),0)</f>
        <v>0</v>
      </c>
      <c r="S24" s="171">
        <f>IF($P24=1,FORECAST(TargDen,F23:F24,$L23:$L24),"")</f>
      </c>
      <c r="T24" s="171">
        <f>IF($P24=1,FORECAST(TargDen,J23:J24,$L23:$L24),"")</f>
      </c>
      <c r="U24" s="670">
        <f>IF(OR(B24=0,B24=""),0,(100-D24*100/J24+D24*B24/SGAsph))</f>
        <v>16.59735043102709</v>
      </c>
      <c r="V24" s="671"/>
      <c r="W24" s="714"/>
      <c r="X24" s="715"/>
      <c r="Y24" s="714"/>
      <c r="Z24" s="715"/>
      <c r="AA24" s="714"/>
      <c r="AB24" s="715"/>
      <c r="AC24" s="723"/>
      <c r="AD24" s="724"/>
      <c r="AE24" s="725"/>
      <c r="AF24" s="15"/>
      <c r="AG24" s="15"/>
      <c r="AH24" s="15"/>
      <c r="AI24" s="15"/>
      <c r="AJ24" s="15"/>
      <c r="AK24" s="15"/>
      <c r="AL24" s="15"/>
      <c r="AM24" s="15"/>
      <c r="AN24" s="15"/>
      <c r="AO24" s="15"/>
      <c r="AP24" s="15"/>
      <c r="AQ24" s="15"/>
    </row>
    <row r="25" spans="1:43" s="5" customFormat="1" ht="15" customHeight="1">
      <c r="A25" s="39"/>
      <c r="B25" s="684">
        <v>6.5</v>
      </c>
      <c r="C25" s="685"/>
      <c r="D25" s="682">
        <v>2.2859</v>
      </c>
      <c r="E25" s="683"/>
      <c r="F25" s="682">
        <v>2.3265</v>
      </c>
      <c r="G25" s="683"/>
      <c r="H25" s="664">
        <f>IF(F25=0,0,(100-B25)/((100/F25)-(B25/SGAsph)))</f>
        <v>2.5556654052632033</v>
      </c>
      <c r="I25" s="665"/>
      <c r="J25" s="664">
        <f>IF(OR(B25=0,B25=""),0,(100/(((100-B25)/EffSG)+(B25/SGAsph))))</f>
        <v>2.3248882510731756</v>
      </c>
      <c r="K25" s="507"/>
      <c r="L25" s="697">
        <f>IF(ISERROR(100*(D25/J25)),"",100*(D25/J25))</f>
        <v>98.32300537218602</v>
      </c>
      <c r="M25" s="698"/>
      <c r="N25" s="82">
        <f>IF(L25&gt;=TargDen,1,0)</f>
        <v>1</v>
      </c>
      <c r="O25" s="82">
        <f>IF(L25&lt;TargDen,1,0)</f>
        <v>0</v>
      </c>
      <c r="P25" s="82">
        <f>IF(AND(N25=1,O24=1),1,0)</f>
        <v>0</v>
      </c>
      <c r="Q25" s="82">
        <f>IF(P25=1,B25-((L25-TargDen)/(L25-L24)*(B25-B24)),0)</f>
        <v>0</v>
      </c>
      <c r="R25" s="82">
        <f>IF(P25=1,U25-((L25-TargDen)/(L25-L24)*(U25-U24)),0)</f>
        <v>0</v>
      </c>
      <c r="S25" s="171">
        <f>IF($P25=1,FORECAST(TargDen,F24:F25,$L24:$L25),"")</f>
      </c>
      <c r="T25" s="171">
        <f>IF($P25=1,FORECAST(TargDen,J24:J25,$L24:$L25),"")</f>
      </c>
      <c r="U25" s="670">
        <f>IF(OR(B25=0,B25=""),0,(100-D25*100/J25+D25*B25/SGAsph))</f>
        <v>16.301354864034465</v>
      </c>
      <c r="V25" s="671"/>
      <c r="W25" s="716"/>
      <c r="X25" s="717"/>
      <c r="Y25" s="716"/>
      <c r="Z25" s="717"/>
      <c r="AA25" s="716"/>
      <c r="AB25" s="717"/>
      <c r="AC25" s="726"/>
      <c r="AD25" s="727"/>
      <c r="AE25" s="728"/>
      <c r="AF25" s="15"/>
      <c r="AG25" s="15"/>
      <c r="AH25" s="15"/>
      <c r="AI25" s="15"/>
      <c r="AJ25" s="15"/>
      <c r="AK25" s="15"/>
      <c r="AL25" s="15"/>
      <c r="AM25" s="15"/>
      <c r="AN25" s="15"/>
      <c r="AO25" s="15"/>
      <c r="AP25" s="15"/>
      <c r="AQ25" s="15"/>
    </row>
    <row r="26" spans="1:43" s="5" customFormat="1" ht="15" customHeight="1">
      <c r="A26" s="39"/>
      <c r="B26" s="684">
        <v>7</v>
      </c>
      <c r="C26" s="685"/>
      <c r="D26" s="682">
        <v>2.2805</v>
      </c>
      <c r="E26" s="683"/>
      <c r="F26" s="682">
        <v>2.3078</v>
      </c>
      <c r="G26" s="683"/>
      <c r="H26" s="664">
        <f>IF(F26=0,0,(100-B26)/((100/F26)-(B26/SGAsph)))</f>
        <v>2.552032132800595</v>
      </c>
      <c r="I26" s="665"/>
      <c r="J26" s="664">
        <f>IF(OR(B26=0,B26=""),0,(100/(((100-B26)/EffSG)+(B26/SGAsph))))</f>
        <v>2.308981273616313</v>
      </c>
      <c r="K26" s="507"/>
      <c r="L26" s="697">
        <f>IF(ISERROR(100*(D26/J26)),"",100*(D26/J26))</f>
        <v>98.76650045014415</v>
      </c>
      <c r="M26" s="698"/>
      <c r="N26" s="82">
        <f>IF(L26&gt;=TargDen,1,0)</f>
        <v>1</v>
      </c>
      <c r="O26" s="82">
        <f>IF(L26&lt;TargDen,1,0)</f>
        <v>0</v>
      </c>
      <c r="P26" s="82">
        <f>IF(AND(N26=1,O25=1),1,0)</f>
        <v>0</v>
      </c>
      <c r="Q26" s="82">
        <f>IF(P26=1,B26-((L26-TargDen)/(L26-L25)*(B26-B25)),0)</f>
        <v>0</v>
      </c>
      <c r="R26" s="82">
        <f>IF(P26=1,U26-((L26-TargDen)/(L26-L25)*(U26-U25)),0)</f>
        <v>0</v>
      </c>
      <c r="S26" s="171">
        <f>IF($P26=1,FORECAST(TargDen,F25:F26,$L25:$L26),"")</f>
      </c>
      <c r="T26" s="171">
        <f>IF($P26=1,FORECAST(TargDen,J25:J26,$L25:$L26),"")</f>
      </c>
      <c r="U26" s="670">
        <f>IF(OR(B26=0,B26=""),0,(100-D26*100/J26+D26*B26/SGAsph))</f>
        <v>16.945605849068436</v>
      </c>
      <c r="V26" s="671"/>
      <c r="W26" s="716"/>
      <c r="X26" s="717"/>
      <c r="Y26" s="716"/>
      <c r="Z26" s="717"/>
      <c r="AA26" s="716"/>
      <c r="AB26" s="717"/>
      <c r="AC26" s="726"/>
      <c r="AD26" s="727"/>
      <c r="AE26" s="728"/>
      <c r="AF26" s="15"/>
      <c r="AG26" s="15"/>
      <c r="AH26" s="15"/>
      <c r="AI26" s="15"/>
      <c r="AJ26" s="15"/>
      <c r="AK26" s="15"/>
      <c r="AL26" s="15"/>
      <c r="AM26" s="15"/>
      <c r="AN26" s="15"/>
      <c r="AO26" s="15"/>
      <c r="AP26" s="15"/>
      <c r="AQ26" s="15"/>
    </row>
    <row r="27" spans="1:43" s="5" customFormat="1" ht="15" customHeight="1">
      <c r="A27" s="39"/>
      <c r="B27" s="684"/>
      <c r="C27" s="685"/>
      <c r="D27" s="682"/>
      <c r="E27" s="683"/>
      <c r="F27" s="682"/>
      <c r="G27" s="683"/>
      <c r="H27" s="664">
        <f>IF(F27=0,0,(100-B27)/((100/F27)-(B27/SGAsph)))</f>
        <v>0</v>
      </c>
      <c r="I27" s="665"/>
      <c r="J27" s="664">
        <f>IF(OR(B27=0,B27=""),0,(100/(((100-B27)/EffSG)+(B27/SGAsph))))</f>
        <v>0</v>
      </c>
      <c r="K27" s="507"/>
      <c r="L27" s="697">
        <f>IF(ISERROR(100*(D27/J27)),"",100*(D27/J27))</f>
      </c>
      <c r="M27" s="698"/>
      <c r="N27" s="82">
        <f>IF(L27&gt;=TargDen,1,0)</f>
        <v>1</v>
      </c>
      <c r="O27" s="82">
        <f>IF(L27&lt;TargDen,1,0)</f>
        <v>0</v>
      </c>
      <c r="P27" s="82">
        <f>IF(AND(N27=1,O26=1),1,0)</f>
        <v>0</v>
      </c>
      <c r="Q27" s="82">
        <f>IF(P27=1,B27-((L27-TargDen)/(L27-L26)*(B27-B26)),0)</f>
        <v>0</v>
      </c>
      <c r="R27" s="82">
        <f>IF(P27=1,U27-((L27-TargDen)/(L27-L26)*(U27-U26)),0)</f>
        <v>0</v>
      </c>
      <c r="S27" s="171">
        <f>IF($P27=1,FORECAST(TargDen,F26:F27,$L26:$L27),"")</f>
      </c>
      <c r="T27" s="171">
        <f>IF($P27=1,FORECAST(TargDen,J26:J27,$L26:$L27),"")</f>
      </c>
      <c r="U27" s="670">
        <f>IF(OR(B27=0,B27=""),0,(100-D27*100/J27+D27*B27/SGAsph))</f>
        <v>0</v>
      </c>
      <c r="V27" s="671"/>
      <c r="W27" s="716"/>
      <c r="X27" s="717"/>
      <c r="Y27" s="716"/>
      <c r="Z27" s="717"/>
      <c r="AA27" s="716"/>
      <c r="AB27" s="717"/>
      <c r="AC27" s="726"/>
      <c r="AD27" s="727"/>
      <c r="AE27" s="728"/>
      <c r="AF27" s="15"/>
      <c r="AG27" s="15"/>
      <c r="AH27" s="15"/>
      <c r="AI27" s="15"/>
      <c r="AJ27" s="15"/>
      <c r="AK27" s="15"/>
      <c r="AL27" s="15"/>
      <c r="AM27" s="15"/>
      <c r="AN27" s="15"/>
      <c r="AO27" s="15"/>
      <c r="AP27" s="15"/>
      <c r="AQ27" s="15"/>
    </row>
    <row r="28" spans="1:43" s="5" customFormat="1" ht="15" customHeight="1">
      <c r="A28" s="39"/>
      <c r="B28" s="684"/>
      <c r="C28" s="685"/>
      <c r="D28" s="682"/>
      <c r="E28" s="683"/>
      <c r="F28" s="682"/>
      <c r="G28" s="683"/>
      <c r="H28" s="664">
        <f>IF(F28=0,0,(100-B28)/((100/F28)-(B28/SGAsph)))</f>
        <v>0</v>
      </c>
      <c r="I28" s="665"/>
      <c r="J28" s="664">
        <f>IF(OR(B28=0,B28=""),0,(100/(((100-B28)/EffSG)+(B28/SGAsph))))</f>
        <v>0</v>
      </c>
      <c r="K28" s="507"/>
      <c r="L28" s="697">
        <f>IF(ISERROR(100*(D28/J28)),"",100*(D28/J28))</f>
      </c>
      <c r="M28" s="698"/>
      <c r="N28" s="82">
        <f>IF(L28&gt;=TargDen,1,0)</f>
        <v>1</v>
      </c>
      <c r="O28" s="82">
        <f>IF(L28&lt;TargDen,1,0)</f>
        <v>0</v>
      </c>
      <c r="P28" s="82">
        <f>IF(AND(N28=1,O27=1),1,0)</f>
        <v>0</v>
      </c>
      <c r="Q28" s="82">
        <f>IF(P28=1,B28-((L28-TargDen)/(L28-L27)*(B28-B27)),0)</f>
        <v>0</v>
      </c>
      <c r="R28" s="82">
        <f>IF(P28=1,U28-((L28-TargDen)/(L28-L27)*(U28-U27)),0)</f>
        <v>0</v>
      </c>
      <c r="S28" s="171">
        <f>IF($P28=1,FORECAST(TargDen,F27:F28,$L27:$L28),"")</f>
      </c>
      <c r="T28" s="171">
        <f>IF($P28=1,FORECAST(TargDen,J27:J28,$L27:$L28),"")</f>
      </c>
      <c r="U28" s="670">
        <f>IF(OR(B28=0,B28=""),0,(100-D28*100/J28+D28*B28/SGAsph))</f>
        <v>0</v>
      </c>
      <c r="V28" s="671"/>
      <c r="W28" s="718"/>
      <c r="X28" s="719"/>
      <c r="Y28" s="718"/>
      <c r="Z28" s="719"/>
      <c r="AA28" s="718"/>
      <c r="AB28" s="719"/>
      <c r="AC28" s="711"/>
      <c r="AD28" s="712"/>
      <c r="AE28" s="713"/>
      <c r="AF28" s="15"/>
      <c r="AG28" s="15"/>
      <c r="AH28" s="15"/>
      <c r="AI28" s="15"/>
      <c r="AJ28" s="15"/>
      <c r="AK28" s="15"/>
      <c r="AL28" s="15"/>
      <c r="AM28" s="15"/>
      <c r="AN28" s="15"/>
      <c r="AO28" s="15"/>
      <c r="AP28" s="15"/>
      <c r="AQ28" s="15"/>
    </row>
    <row r="29" spans="1:28" s="5" customFormat="1" ht="15" customHeight="1" hidden="1">
      <c r="A29" s="39"/>
      <c r="B29" s="225" t="s">
        <v>263</v>
      </c>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row>
    <row r="30" spans="1:37" s="5" customFormat="1" ht="15" customHeight="1" hidden="1">
      <c r="A30" s="39"/>
      <c r="B30" s="729" t="s">
        <v>66</v>
      </c>
      <c r="C30" s="730"/>
      <c r="D30" s="672" t="s">
        <v>167</v>
      </c>
      <c r="E30" s="673"/>
      <c r="F30" s="672" t="s">
        <v>163</v>
      </c>
      <c r="G30" s="673"/>
      <c r="H30" s="672" t="s">
        <v>162</v>
      </c>
      <c r="I30" s="673"/>
      <c r="J30" s="705" t="str">
        <f>IF(LEFT(Grade,8)="ITEM3001","Film Thickness (microns)","VMA (Percent)")</f>
        <v>VMA (Percent)</v>
      </c>
      <c r="K30" s="706"/>
      <c r="AG30"/>
      <c r="AH30"/>
      <c r="AI30"/>
      <c r="AJ30"/>
      <c r="AK30"/>
    </row>
    <row r="31" spans="1:37" s="5" customFormat="1" ht="22.5" customHeight="1" hidden="1">
      <c r="A31" s="39"/>
      <c r="B31" s="731"/>
      <c r="C31" s="732"/>
      <c r="D31" s="674"/>
      <c r="E31" s="675"/>
      <c r="F31" s="674"/>
      <c r="G31" s="675"/>
      <c r="H31" s="674"/>
      <c r="I31" s="675"/>
      <c r="J31" s="707"/>
      <c r="K31" s="708"/>
      <c r="AG31"/>
      <c r="AH31"/>
      <c r="AI31"/>
      <c r="AJ31"/>
      <c r="AK31"/>
    </row>
    <row r="32" spans="1:37" s="5" customFormat="1" ht="15" customHeight="1" hidden="1">
      <c r="A32" s="39"/>
      <c r="B32" s="668">
        <f>IF(B34="","",B34-1)</f>
      </c>
      <c r="C32" s="669"/>
      <c r="D32" s="666">
        <f>IF(B32="","",100/(((100-B32)/$F$32)+(B32/'Combined Gradation'!$S$41)))</f>
      </c>
      <c r="E32" s="667"/>
      <c r="F32" s="676">
        <f>IF(D34=0,0,(100-B34)/((100/D34)-(B34/SGAsph)))</f>
        <v>0</v>
      </c>
      <c r="G32" s="677"/>
      <c r="H32" s="664">
        <f>IF(OR(B32=0,B32=""),0,(100/(((100-B32)/EffSG)+(B32/SGAsph))))</f>
        <v>0</v>
      </c>
      <c r="I32" s="665"/>
      <c r="J32" s="670">
        <f>IF(OR(Gsb="",filmac3="",filmgr3=""),"",IF(LEFT(Grade,8)="ITEM3001",film1,0))</f>
      </c>
      <c r="K32" s="671"/>
      <c r="AG32"/>
      <c r="AH32"/>
      <c r="AI32"/>
      <c r="AJ32"/>
      <c r="AK32"/>
    </row>
    <row r="33" spans="1:37" s="5" customFormat="1" ht="15" customHeight="1" hidden="1">
      <c r="A33" s="39"/>
      <c r="B33" s="668">
        <f>IF(B34="","",B34-0.5)</f>
      </c>
      <c r="C33" s="669"/>
      <c r="D33" s="666">
        <f>IF(B33="","",100/(((100-B33)/$F$32)+(B33/'Combined Gradation'!$S$41)))</f>
      </c>
      <c r="E33" s="667"/>
      <c r="F33" s="678"/>
      <c r="G33" s="679"/>
      <c r="H33" s="664">
        <f>IF(OR(B33=0,B33=""),0,(100/(((100-B33)/EffSG)+(B33/SGAsph))))</f>
        <v>0</v>
      </c>
      <c r="I33" s="665"/>
      <c r="J33" s="670">
        <f>IF(OR(Gsb="",filmac3="",filmgr3=""),"",IF(LEFT(Grade,8)="ITEM3001",film2,0))</f>
      </c>
      <c r="K33" s="671"/>
      <c r="AG33"/>
      <c r="AH33"/>
      <c r="AI33"/>
      <c r="AJ33"/>
      <c r="AK33"/>
    </row>
    <row r="34" spans="1:37" s="5" customFormat="1" ht="15" customHeight="1" hidden="1">
      <c r="A34" s="39"/>
      <c r="B34" s="684"/>
      <c r="C34" s="685"/>
      <c r="D34" s="682"/>
      <c r="E34" s="683"/>
      <c r="F34" s="678"/>
      <c r="G34" s="679"/>
      <c r="H34" s="664">
        <f>IF(OR(B34=0,B34=""),0,(100/(((100-B34)/EffSG)+(B34/SGAsph))))</f>
        <v>0</v>
      </c>
      <c r="I34" s="665"/>
      <c r="J34" s="670">
        <f>IF(OR(Gsb="",filmac3="",filmgr3=""),"",IF(LEFT(Grade,8)="ITEM3001",film3,0))</f>
      </c>
      <c r="K34" s="671"/>
      <c r="AG34"/>
      <c r="AH34"/>
      <c r="AI34"/>
      <c r="AJ34"/>
      <c r="AK34"/>
    </row>
    <row r="35" spans="1:37" s="5" customFormat="1" ht="15" customHeight="1" hidden="1">
      <c r="A35" s="39"/>
      <c r="B35" s="668">
        <f>IF(B34="","",B34+0.5)</f>
      </c>
      <c r="C35" s="669"/>
      <c r="D35" s="666">
        <f>IF(B35="","",100/(((100-B35)/$F$32)+(B35/'Combined Gradation'!$S$41)))</f>
      </c>
      <c r="E35" s="667"/>
      <c r="F35" s="678"/>
      <c r="G35" s="679"/>
      <c r="H35" s="664">
        <f>IF(OR(B35=0,B35=""),0,(100/(((100-B35)/EffSG)+(B35/SGAsph))))</f>
        <v>0</v>
      </c>
      <c r="I35" s="665"/>
      <c r="J35" s="670">
        <f>IF(OR(Gsb="",filmac3="",filmgr3=""),"",IF(LEFT(Grade,8)="ITEM3001",film4,0))</f>
      </c>
      <c r="K35" s="671"/>
      <c r="AG35"/>
      <c r="AH35"/>
      <c r="AI35"/>
      <c r="AJ35"/>
      <c r="AK35"/>
    </row>
    <row r="36" spans="1:37" s="5" customFormat="1" ht="15" customHeight="1" hidden="1">
      <c r="A36" s="39"/>
      <c r="B36" s="668">
        <f>IF(B34="","",B34+1)</f>
      </c>
      <c r="C36" s="669"/>
      <c r="D36" s="666">
        <f>IF(B36="","",100/(((100-B36)/$F$32)+(B36/'Combined Gradation'!$S$41)))</f>
      </c>
      <c r="E36" s="667"/>
      <c r="F36" s="680"/>
      <c r="G36" s="681"/>
      <c r="H36" s="664">
        <f>IF(OR(B36=0,B36=""),0,(100/(((100-B36)/EffSG)+(B36/SGAsph))))</f>
        <v>0</v>
      </c>
      <c r="I36" s="665"/>
      <c r="J36" s="670">
        <f>IF(OR(Gsb="",filmac3="",filmgr3=""),"",IF(LEFT(Grade,8)="ITEM3001",film5,0))</f>
      </c>
      <c r="K36" s="671"/>
      <c r="AG36"/>
      <c r="AH36"/>
      <c r="AI36"/>
      <c r="AJ36"/>
      <c r="AK36"/>
    </row>
    <row r="37" spans="1:37" s="5" customFormat="1" ht="15" customHeight="1" hidden="1">
      <c r="A37" s="39"/>
      <c r="B37" s="311"/>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row>
    <row r="38" spans="1:37" s="5" customFormat="1" ht="15" customHeight="1" hidden="1">
      <c r="A38" s="39"/>
      <c r="B38" s="742" t="s">
        <v>341</v>
      </c>
      <c r="C38" s="742"/>
      <c r="D38" s="742"/>
      <c r="E38" s="742"/>
      <c r="F38" s="312">
        <f>IF(OR(Gsb="",filmac3="",filmgr3=""),"",9)</f>
      </c>
      <c r="G38" s="742" t="s">
        <v>324</v>
      </c>
      <c r="H38" s="742"/>
      <c r="I38" s="742"/>
      <c r="J38" s="326">
        <f>IF(OR(Gsb="",filmac3="",filmgr3=""),"",(9*SUM('Film Thickness'!I22:J31)*SGAsph*(100+Pba)+1000*Pba)/(9*SUM('Film Thickness'!I22:J31)*SGAsph*(1+Pba/100)+1000+10*Pba))</f>
      </c>
      <c r="K38" s="704" t="s">
        <v>342</v>
      </c>
      <c r="L38" s="704"/>
      <c r="M38" s="704"/>
      <c r="N38" s="704"/>
      <c r="O38" s="704"/>
      <c r="P38" s="704"/>
      <c r="Q38" s="704"/>
      <c r="R38" s="704"/>
      <c r="S38" s="704"/>
      <c r="T38" s="704"/>
      <c r="U38" s="704"/>
      <c r="V38" s="327">
        <f>IF(OR(Gsb="",filmac3="",filmgr3=""),"",11)</f>
      </c>
      <c r="W38" s="778" t="s">
        <v>343</v>
      </c>
      <c r="X38" s="779"/>
      <c r="Y38" s="779"/>
      <c r="Z38" s="780"/>
      <c r="AA38" s="313">
        <f>IF(OR(Gsb="",filmac3="",filmgr3=""),"",(11*SUM('Film Thickness'!I22:J31)*SGAsph*(100+Pba)+1000*Pba)/(11*SUM('Film Thickness'!I22:J31)*SGAsph*(1+Pba/100)+1000+10*Pba))</f>
      </c>
      <c r="AB38" s="15"/>
      <c r="AC38" s="15"/>
      <c r="AD38" s="15"/>
      <c r="AE38" s="15"/>
      <c r="AF38" s="15"/>
      <c r="AG38" s="15"/>
      <c r="AH38" s="15"/>
      <c r="AI38" s="15"/>
      <c r="AJ38" s="15"/>
      <c r="AK38" s="15"/>
    </row>
    <row r="39" spans="1:30" s="5" customFormat="1" ht="21" customHeight="1" hidden="1">
      <c r="A39" s="39"/>
      <c r="B39" s="660" t="s">
        <v>66</v>
      </c>
      <c r="C39" s="660"/>
      <c r="D39" s="660" t="s">
        <v>387</v>
      </c>
      <c r="E39" s="660"/>
      <c r="F39" s="660" t="s">
        <v>388</v>
      </c>
      <c r="G39" s="660"/>
      <c r="H39" s="660" t="s">
        <v>386</v>
      </c>
      <c r="I39" s="660"/>
      <c r="J39" s="661" t="s">
        <v>395</v>
      </c>
      <c r="K39" s="662"/>
      <c r="L39" s="662"/>
      <c r="M39" s="662"/>
      <c r="N39" s="662"/>
      <c r="O39" s="662"/>
      <c r="P39" s="662"/>
      <c r="Q39" s="662"/>
      <c r="R39" s="662"/>
      <c r="S39" s="662"/>
      <c r="T39" s="662"/>
      <c r="U39" s="662"/>
      <c r="V39" s="662"/>
      <c r="W39"/>
      <c r="X39"/>
      <c r="Y39"/>
      <c r="Z39"/>
      <c r="AA39"/>
      <c r="AB39"/>
      <c r="AC39"/>
      <c r="AD39"/>
    </row>
    <row r="40" spans="1:30" s="5" customFormat="1" ht="21" customHeight="1" hidden="1">
      <c r="A40" s="39"/>
      <c r="B40" s="660"/>
      <c r="C40" s="660"/>
      <c r="D40" s="660"/>
      <c r="E40" s="660"/>
      <c r="F40" s="660"/>
      <c r="G40" s="660"/>
      <c r="H40" s="660"/>
      <c r="I40" s="660"/>
      <c r="J40" s="663"/>
      <c r="K40" s="662"/>
      <c r="L40" s="662"/>
      <c r="M40" s="662"/>
      <c r="N40" s="662"/>
      <c r="O40" s="662"/>
      <c r="P40" s="662"/>
      <c r="Q40" s="662"/>
      <c r="R40" s="662"/>
      <c r="S40" s="662"/>
      <c r="T40" s="662"/>
      <c r="U40" s="662"/>
      <c r="V40" s="662"/>
      <c r="W40"/>
      <c r="X40"/>
      <c r="Y40"/>
      <c r="Z40"/>
      <c r="AA40"/>
      <c r="AB40"/>
      <c r="AC40"/>
      <c r="AD40"/>
    </row>
    <row r="41" spans="1:30" s="5" customFormat="1" ht="15" customHeight="1" hidden="1">
      <c r="A41" s="39"/>
      <c r="B41" s="653"/>
      <c r="C41" s="653"/>
      <c r="D41" s="655"/>
      <c r="E41" s="655"/>
      <c r="F41" s="656">
        <f>IF(OR(D41=0,D42=0),0,(100-B41)/((100/(AVERAGE(D41:E42)))-(B41/SGAsph)))</f>
        <v>0</v>
      </c>
      <c r="G41" s="657"/>
      <c r="H41" s="650">
        <f>((100*AVERAGE(F41:G46))/(100-B41+((AVERAGE(F41:G46)*B41)/SGAsph)))</f>
        <v>0</v>
      </c>
      <c r="I41" s="650"/>
      <c r="J41" s="663"/>
      <c r="K41" s="662"/>
      <c r="L41" s="662"/>
      <c r="M41" s="662"/>
      <c r="N41" s="662"/>
      <c r="O41" s="662"/>
      <c r="P41" s="662"/>
      <c r="Q41" s="662"/>
      <c r="R41" s="662"/>
      <c r="S41" s="662"/>
      <c r="T41" s="662"/>
      <c r="U41" s="662"/>
      <c r="V41" s="662"/>
      <c r="W41"/>
      <c r="X41"/>
      <c r="Y41"/>
      <c r="Z41"/>
      <c r="AA41"/>
      <c r="AB41"/>
      <c r="AC41"/>
      <c r="AD41"/>
    </row>
    <row r="42" spans="1:30" s="5" customFormat="1" ht="15" customHeight="1" hidden="1">
      <c r="A42" s="39"/>
      <c r="B42" s="653"/>
      <c r="C42" s="653"/>
      <c r="D42" s="655"/>
      <c r="E42" s="655"/>
      <c r="F42" s="658"/>
      <c r="G42" s="659"/>
      <c r="H42" s="650"/>
      <c r="I42" s="650"/>
      <c r="J42" s="663"/>
      <c r="K42" s="662"/>
      <c r="L42" s="662"/>
      <c r="M42" s="662"/>
      <c r="N42" s="662"/>
      <c r="O42" s="662"/>
      <c r="P42" s="662"/>
      <c r="Q42" s="662"/>
      <c r="R42" s="662"/>
      <c r="S42" s="662"/>
      <c r="T42" s="662"/>
      <c r="U42" s="662"/>
      <c r="V42" s="662"/>
      <c r="W42"/>
      <c r="X42"/>
      <c r="Y42"/>
      <c r="Z42"/>
      <c r="AA42"/>
      <c r="AB42"/>
      <c r="AC42"/>
      <c r="AD42"/>
    </row>
    <row r="43" spans="1:30" s="5" customFormat="1" ht="15" customHeight="1" hidden="1">
      <c r="A43" s="39"/>
      <c r="B43" s="653"/>
      <c r="C43" s="653"/>
      <c r="D43" s="655"/>
      <c r="E43" s="655"/>
      <c r="F43" s="656">
        <f>IF(OR(D43=0,D44=0),0,(100-B43)/((100/(AVERAGE(D43:E44)))-(B43/SGAsph)))</f>
        <v>0</v>
      </c>
      <c r="G43" s="657"/>
      <c r="H43" s="656">
        <f>((100*AVERAGE(F41:G46))/(100-B43+((AVERAGE(F41:G46)*B43)/SGAsph)))</f>
        <v>0</v>
      </c>
      <c r="I43" s="657"/>
      <c r="J43" s="663"/>
      <c r="K43" s="662"/>
      <c r="L43" s="662"/>
      <c r="M43" s="662"/>
      <c r="N43" s="662"/>
      <c r="O43" s="662"/>
      <c r="P43" s="662"/>
      <c r="Q43" s="662"/>
      <c r="R43" s="662"/>
      <c r="S43" s="662"/>
      <c r="T43" s="662"/>
      <c r="U43" s="662"/>
      <c r="V43" s="662"/>
      <c r="W43"/>
      <c r="X43"/>
      <c r="Y43"/>
      <c r="Z43"/>
      <c r="AA43"/>
      <c r="AB43"/>
      <c r="AC43"/>
      <c r="AD43"/>
    </row>
    <row r="44" spans="1:30" s="5" customFormat="1" ht="15" customHeight="1" hidden="1">
      <c r="A44" s="39"/>
      <c r="B44" s="653"/>
      <c r="C44" s="653"/>
      <c r="D44" s="655"/>
      <c r="E44" s="655"/>
      <c r="F44" s="658"/>
      <c r="G44" s="659"/>
      <c r="H44" s="658"/>
      <c r="I44" s="659"/>
      <c r="J44" s="663"/>
      <c r="K44" s="662"/>
      <c r="L44" s="662"/>
      <c r="M44" s="662"/>
      <c r="N44" s="662"/>
      <c r="O44" s="662"/>
      <c r="P44" s="662"/>
      <c r="Q44" s="662"/>
      <c r="R44" s="662"/>
      <c r="S44" s="662"/>
      <c r="T44" s="662"/>
      <c r="U44" s="662"/>
      <c r="V44" s="662"/>
      <c r="W44"/>
      <c r="X44"/>
      <c r="Y44"/>
      <c r="Z44"/>
      <c r="AA44"/>
      <c r="AB44"/>
      <c r="AC44"/>
      <c r="AD44"/>
    </row>
    <row r="45" spans="1:30" s="5" customFormat="1" ht="15" customHeight="1" hidden="1">
      <c r="A45" s="39"/>
      <c r="B45" s="653"/>
      <c r="C45" s="653"/>
      <c r="D45" s="655"/>
      <c r="E45" s="655"/>
      <c r="F45" s="656">
        <f>IF(OR(D45=0,D46=0),0,(100-B45)/((100/(AVERAGE(D45:E46)))-(B45/SGAsph)))</f>
        <v>0</v>
      </c>
      <c r="G45" s="657"/>
      <c r="H45" s="656">
        <f>((100*AVERAGE(F41:G46))/(100-B45+((AVERAGE(F41:G46)*B45)/SGAsph)))</f>
        <v>0</v>
      </c>
      <c r="I45" s="657"/>
      <c r="J45" s="663"/>
      <c r="K45" s="662"/>
      <c r="L45" s="662"/>
      <c r="M45" s="662"/>
      <c r="N45" s="662"/>
      <c r="O45" s="662"/>
      <c r="P45" s="662"/>
      <c r="Q45" s="662"/>
      <c r="R45" s="662"/>
      <c r="S45" s="662"/>
      <c r="T45" s="662"/>
      <c r="U45" s="662"/>
      <c r="V45" s="662"/>
      <c r="W45"/>
      <c r="X45"/>
      <c r="Y45"/>
      <c r="Z45"/>
      <c r="AA45"/>
      <c r="AB45"/>
      <c r="AC45"/>
      <c r="AD45"/>
    </row>
    <row r="46" spans="1:30" s="5" customFormat="1" ht="15" customHeight="1" hidden="1">
      <c r="A46" s="39"/>
      <c r="B46" s="653"/>
      <c r="C46" s="653"/>
      <c r="D46" s="655"/>
      <c r="E46" s="655"/>
      <c r="F46" s="658"/>
      <c r="G46" s="659"/>
      <c r="H46" s="658"/>
      <c r="I46" s="659"/>
      <c r="J46" s="663"/>
      <c r="K46" s="662"/>
      <c r="L46" s="662"/>
      <c r="M46" s="662"/>
      <c r="N46" s="662"/>
      <c r="O46" s="662"/>
      <c r="P46" s="662"/>
      <c r="Q46" s="662"/>
      <c r="R46" s="662"/>
      <c r="S46" s="662"/>
      <c r="T46" s="662"/>
      <c r="U46" s="662"/>
      <c r="V46" s="662"/>
      <c r="W46"/>
      <c r="X46"/>
      <c r="Y46"/>
      <c r="Z46"/>
      <c r="AA46"/>
      <c r="AB46"/>
      <c r="AC46"/>
      <c r="AD46"/>
    </row>
    <row r="47" spans="1:30" s="5" customFormat="1" ht="15" customHeight="1" hidden="1">
      <c r="A47" s="39"/>
      <c r="B47"/>
      <c r="C47"/>
      <c r="D47"/>
      <c r="E47"/>
      <c r="F47"/>
      <c r="G47"/>
      <c r="H47"/>
      <c r="I47"/>
      <c r="J47"/>
      <c r="K47"/>
      <c r="L47"/>
      <c r="M47"/>
      <c r="N47"/>
      <c r="O47"/>
      <c r="P47"/>
      <c r="Q47"/>
      <c r="R47"/>
      <c r="S47"/>
      <c r="T47"/>
      <c r="Y47"/>
      <c r="Z47"/>
      <c r="AA47"/>
      <c r="AB47"/>
      <c r="AC47"/>
      <c r="AD47"/>
    </row>
    <row r="48" spans="1:25" s="5" customFormat="1" ht="28.5" customHeight="1" hidden="1">
      <c r="A48" s="39"/>
      <c r="B48" s="660" t="s">
        <v>66</v>
      </c>
      <c r="C48" s="660"/>
      <c r="D48" s="660" t="s">
        <v>383</v>
      </c>
      <c r="E48" s="660"/>
      <c r="F48" s="660" t="s">
        <v>384</v>
      </c>
      <c r="G48" s="660"/>
      <c r="H48" s="660" t="s">
        <v>385</v>
      </c>
      <c r="I48" s="660"/>
      <c r="J48" s="660" t="s">
        <v>386</v>
      </c>
      <c r="K48" s="660"/>
      <c r="L48" s="660" t="s">
        <v>109</v>
      </c>
      <c r="M48" s="660"/>
      <c r="N48" s="325"/>
      <c r="O48" s="325"/>
      <c r="P48" s="325"/>
      <c r="Q48" s="325"/>
      <c r="R48"/>
      <c r="S48" s="643" t="s">
        <v>167</v>
      </c>
      <c r="T48" s="643"/>
      <c r="U48" s="660" t="s">
        <v>389</v>
      </c>
      <c r="V48" s="660"/>
      <c r="W48" s="663" t="s">
        <v>396</v>
      </c>
      <c r="X48" s="789"/>
      <c r="Y48" s="789"/>
    </row>
    <row r="49" spans="1:25" s="5" customFormat="1" ht="28.5" customHeight="1" hidden="1">
      <c r="A49" s="39"/>
      <c r="B49" s="660"/>
      <c r="C49" s="660"/>
      <c r="D49" s="660"/>
      <c r="E49" s="660"/>
      <c r="F49" s="660"/>
      <c r="G49" s="660"/>
      <c r="H49" s="660"/>
      <c r="I49" s="660"/>
      <c r="J49" s="660"/>
      <c r="K49" s="660"/>
      <c r="L49" s="660"/>
      <c r="M49" s="660"/>
      <c r="N49" s="325"/>
      <c r="O49" s="325"/>
      <c r="P49" s="325"/>
      <c r="Q49" s="325"/>
      <c r="R49"/>
      <c r="S49" s="644"/>
      <c r="T49" s="644"/>
      <c r="U49" s="660"/>
      <c r="V49" s="660"/>
      <c r="W49" s="663"/>
      <c r="X49" s="789"/>
      <c r="Y49" s="789"/>
    </row>
    <row r="50" spans="1:38" s="5" customFormat="1" ht="15" customHeight="1" hidden="1">
      <c r="A50" s="39"/>
      <c r="B50" s="653"/>
      <c r="C50" s="653"/>
      <c r="D50" s="654"/>
      <c r="E50" s="654"/>
      <c r="F50" s="654"/>
      <c r="G50" s="654"/>
      <c r="H50" s="653"/>
      <c r="I50" s="653"/>
      <c r="J50" s="639">
        <f>IF(B50="","",((100*EffSG)/(100-B50+((EffSG*B50)/SGAsph))))</f>
      </c>
      <c r="K50" s="640"/>
      <c r="L50" s="650">
        <f>IF(OR(H50="",F50="",D50=""),"",H50/(3.14159*F50^2/4*D50/(0.393700787401575)^3))</f>
      </c>
      <c r="M50" s="650"/>
      <c r="N50" s="652">
        <f>IF(U50&gt;=TargDen,1,0)</f>
        <v>1</v>
      </c>
      <c r="O50" s="645">
        <f>IF(U50&lt;TargDen,1,0)</f>
        <v>0</v>
      </c>
      <c r="P50" s="645">
        <f>IF(AND(N50=1,O48=1),1,0)</f>
        <v>0</v>
      </c>
      <c r="Q50" s="645">
        <f>IF(P50=1,B50-((U50-TargDen)/(U50-U48)*(B50-B48)),0)</f>
        <v>0</v>
      </c>
      <c r="R50" s="645"/>
      <c r="S50" s="645">
        <f>IF($P50=1,FORECAST(TargDen,J48:K51,$U48:$V51),"")</f>
      </c>
      <c r="T50" s="645"/>
      <c r="U50" s="646">
        <f>IF(OR(L50="",L51="",J50=""),"",AVERAGE(L50:M51)/J50*100)</f>
      </c>
      <c r="V50" s="647"/>
      <c r="W50" s="663"/>
      <c r="X50" s="789"/>
      <c r="Y50" s="789"/>
      <c r="AI50"/>
      <c r="AJ50"/>
      <c r="AK50"/>
      <c r="AL50"/>
    </row>
    <row r="51" spans="1:38" s="5" customFormat="1" ht="15" customHeight="1" hidden="1">
      <c r="A51" s="39">
        <v>4</v>
      </c>
      <c r="B51" s="653"/>
      <c r="C51" s="653"/>
      <c r="D51" s="654"/>
      <c r="E51" s="654"/>
      <c r="F51" s="654"/>
      <c r="G51" s="654"/>
      <c r="H51" s="653"/>
      <c r="I51" s="653"/>
      <c r="J51" s="641"/>
      <c r="K51" s="642"/>
      <c r="L51" s="650">
        <f aca="true" t="shared" si="0" ref="L51:L59">IF(OR(H51="",F51="",D51=""),"",H51/(3.14159*F51^2/4*D51/(0.393700787401575)^3))</f>
      </c>
      <c r="M51" s="650"/>
      <c r="N51" s="652"/>
      <c r="O51" s="645"/>
      <c r="P51" s="645"/>
      <c r="Q51" s="645"/>
      <c r="R51" s="645"/>
      <c r="S51" s="645"/>
      <c r="T51" s="645"/>
      <c r="U51" s="648"/>
      <c r="V51" s="649"/>
      <c r="W51" s="663"/>
      <c r="X51" s="789"/>
      <c r="Y51" s="789"/>
      <c r="AI51"/>
      <c r="AJ51"/>
      <c r="AK51"/>
      <c r="AL51"/>
    </row>
    <row r="52" spans="1:38" s="5" customFormat="1" ht="15" customHeight="1" hidden="1">
      <c r="A52" s="39"/>
      <c r="B52" s="653"/>
      <c r="C52" s="653"/>
      <c r="D52" s="654"/>
      <c r="E52" s="654"/>
      <c r="F52" s="654"/>
      <c r="G52" s="654"/>
      <c r="H52" s="653"/>
      <c r="I52" s="653"/>
      <c r="J52" s="639">
        <f>IF(B52="","",((100*EffSG)/(100-B52+((EffSG*B52)/SGAsph))))</f>
      </c>
      <c r="K52" s="640"/>
      <c r="L52" s="650">
        <f t="shared" si="0"/>
      </c>
      <c r="M52" s="650"/>
      <c r="N52" s="652">
        <f>IF(U52&gt;=TargDen,1,0)</f>
        <v>1</v>
      </c>
      <c r="O52" s="645">
        <f>IF(U52&lt;TargDen,1,0)</f>
        <v>0</v>
      </c>
      <c r="P52" s="645">
        <f>IF(AND(N52=1,O50=1),1,0)</f>
        <v>0</v>
      </c>
      <c r="Q52" s="645">
        <f>IF(P52=1,B52-((U52-TargDen)/(U52-U50)*(B52-B50)),0)</f>
        <v>0</v>
      </c>
      <c r="R52" s="645"/>
      <c r="S52" s="645">
        <f>IF($P52=1,FORECAST(TargDen,J50:K53,$U50:$V53),"")</f>
      </c>
      <c r="T52" s="645"/>
      <c r="U52" s="646">
        <f>IF(OR(L52="",L53="",J52=""),"",AVERAGE(L52:M53)/J52*100)</f>
      </c>
      <c r="V52" s="647"/>
      <c r="W52" s="663"/>
      <c r="X52" s="789"/>
      <c r="Y52" s="789"/>
      <c r="AI52"/>
      <c r="AJ52"/>
      <c r="AK52"/>
      <c r="AL52"/>
    </row>
    <row r="53" spans="1:38" s="5" customFormat="1" ht="15" customHeight="1" hidden="1">
      <c r="A53" s="39"/>
      <c r="B53" s="653"/>
      <c r="C53" s="653"/>
      <c r="D53" s="654"/>
      <c r="E53" s="654"/>
      <c r="F53" s="654"/>
      <c r="G53" s="654"/>
      <c r="H53" s="653"/>
      <c r="I53" s="653"/>
      <c r="J53" s="641"/>
      <c r="K53" s="642"/>
      <c r="L53" s="650">
        <f t="shared" si="0"/>
      </c>
      <c r="M53" s="650"/>
      <c r="N53" s="652"/>
      <c r="O53" s="645"/>
      <c r="P53" s="645"/>
      <c r="Q53" s="645"/>
      <c r="R53" s="645"/>
      <c r="S53" s="645"/>
      <c r="T53" s="645"/>
      <c r="U53" s="648"/>
      <c r="V53" s="649"/>
      <c r="W53" s="663"/>
      <c r="X53" s="789"/>
      <c r="Y53" s="789"/>
      <c r="AI53"/>
      <c r="AJ53"/>
      <c r="AK53"/>
      <c r="AL53"/>
    </row>
    <row r="54" spans="1:38" s="5" customFormat="1" ht="15" customHeight="1" hidden="1">
      <c r="A54" s="39"/>
      <c r="B54" s="653"/>
      <c r="C54" s="653"/>
      <c r="D54" s="654"/>
      <c r="E54" s="654"/>
      <c r="F54" s="654"/>
      <c r="G54" s="654"/>
      <c r="H54" s="653"/>
      <c r="I54" s="653"/>
      <c r="J54" s="639">
        <f>IF(B54="","",((100*EffSG)/(100-B54+((EffSG*B54)/SGAsph))))</f>
      </c>
      <c r="K54" s="640"/>
      <c r="L54" s="650">
        <f t="shared" si="0"/>
      </c>
      <c r="M54" s="650"/>
      <c r="N54" s="652">
        <f>IF(U54&gt;=TargDen,1,0)</f>
        <v>1</v>
      </c>
      <c r="O54" s="645">
        <f>IF(U54&lt;TargDen,1,0)</f>
        <v>0</v>
      </c>
      <c r="P54" s="645">
        <f>IF(AND(N54=1,O52=1),1,0)</f>
        <v>0</v>
      </c>
      <c r="Q54" s="645">
        <f>IF(P54=1,B54-((U54-TargDen)/(U54-U52)*(B54-B52)),0)</f>
        <v>0</v>
      </c>
      <c r="R54" s="645"/>
      <c r="S54" s="645">
        <f>IF($P54=1,FORECAST(TargDen,J52:K55,$U52:$V55),"")</f>
      </c>
      <c r="T54" s="645"/>
      <c r="U54" s="646">
        <f>IF(OR(L54="",L55="",J54=""),"",AVERAGE(L54:M55)/J54*100)</f>
      </c>
      <c r="V54" s="647"/>
      <c r="W54" s="663"/>
      <c r="X54" s="789"/>
      <c r="Y54" s="789"/>
      <c r="AI54"/>
      <c r="AJ54"/>
      <c r="AK54"/>
      <c r="AL54"/>
    </row>
    <row r="55" spans="1:38" s="5" customFormat="1" ht="15" customHeight="1" hidden="1">
      <c r="A55" s="39"/>
      <c r="B55" s="653"/>
      <c r="C55" s="653"/>
      <c r="D55" s="654"/>
      <c r="E55" s="654"/>
      <c r="F55" s="654"/>
      <c r="G55" s="654"/>
      <c r="H55" s="653"/>
      <c r="I55" s="653"/>
      <c r="J55" s="641"/>
      <c r="K55" s="642"/>
      <c r="L55" s="650">
        <f t="shared" si="0"/>
      </c>
      <c r="M55" s="650"/>
      <c r="N55" s="652"/>
      <c r="O55" s="645"/>
      <c r="P55" s="645"/>
      <c r="Q55" s="645"/>
      <c r="R55" s="645"/>
      <c r="S55" s="645"/>
      <c r="T55" s="645"/>
      <c r="U55" s="648"/>
      <c r="V55" s="649"/>
      <c r="W55" s="663"/>
      <c r="X55" s="789"/>
      <c r="Y55" s="789"/>
      <c r="AI55"/>
      <c r="AJ55"/>
      <c r="AK55"/>
      <c r="AL55"/>
    </row>
    <row r="56" spans="1:38" s="5" customFormat="1" ht="15" customHeight="1" hidden="1">
      <c r="A56" s="39"/>
      <c r="B56" s="653"/>
      <c r="C56" s="653"/>
      <c r="D56" s="654"/>
      <c r="E56" s="654"/>
      <c r="F56" s="654"/>
      <c r="G56" s="654"/>
      <c r="H56" s="653"/>
      <c r="I56" s="653"/>
      <c r="J56" s="639">
        <f>IF(B56="","",((100*EffSG)/(100-B56+((EffSG*B56)/SGAsph))))</f>
      </c>
      <c r="K56" s="640"/>
      <c r="L56" s="650">
        <f t="shared" si="0"/>
      </c>
      <c r="M56" s="650"/>
      <c r="N56" s="652">
        <f>IF(U56&gt;=TargDen,1,0)</f>
        <v>1</v>
      </c>
      <c r="O56" s="645">
        <f>IF(U56&lt;TargDen,1,0)</f>
        <v>0</v>
      </c>
      <c r="P56" s="645">
        <f>IF(AND(N56=1,O54=1),1,0)</f>
        <v>0</v>
      </c>
      <c r="Q56" s="645">
        <f>IF(P56=1,B56-((U56-TargDen)/(U56-U54)*(B56-B54)),0)</f>
        <v>0</v>
      </c>
      <c r="R56" s="645"/>
      <c r="S56" s="645">
        <f>IF($P56=1,FORECAST(TargDen,J54:K57,$U54:$V57),"")</f>
      </c>
      <c r="T56" s="645"/>
      <c r="U56" s="646">
        <f>IF(OR(L56="",L57="",J56=""),"",AVERAGE(L56:M57)/J56*100)</f>
      </c>
      <c r="V56" s="647"/>
      <c r="W56" s="663"/>
      <c r="X56" s="789"/>
      <c r="Y56" s="789"/>
      <c r="AI56"/>
      <c r="AJ56"/>
      <c r="AK56"/>
      <c r="AL56"/>
    </row>
    <row r="57" spans="1:38" s="5" customFormat="1" ht="15" customHeight="1" hidden="1">
      <c r="A57" s="39"/>
      <c r="B57" s="653"/>
      <c r="C57" s="653"/>
      <c r="D57" s="654"/>
      <c r="E57" s="654"/>
      <c r="F57" s="654"/>
      <c r="G57" s="654"/>
      <c r="H57" s="653"/>
      <c r="I57" s="653"/>
      <c r="J57" s="641"/>
      <c r="K57" s="642"/>
      <c r="L57" s="650">
        <f t="shared" si="0"/>
      </c>
      <c r="M57" s="650"/>
      <c r="N57" s="652"/>
      <c r="O57" s="645"/>
      <c r="P57" s="645"/>
      <c r="Q57" s="645"/>
      <c r="R57" s="645"/>
      <c r="S57" s="645"/>
      <c r="T57" s="645"/>
      <c r="U57" s="648"/>
      <c r="V57" s="649"/>
      <c r="W57" s="663"/>
      <c r="X57" s="789"/>
      <c r="Y57" s="789"/>
      <c r="AI57"/>
      <c r="AJ57"/>
      <c r="AK57"/>
      <c r="AL57"/>
    </row>
    <row r="58" spans="1:38" s="5" customFormat="1" ht="15" customHeight="1" hidden="1">
      <c r="A58" s="39"/>
      <c r="B58" s="653"/>
      <c r="C58" s="653"/>
      <c r="D58" s="654"/>
      <c r="E58" s="654"/>
      <c r="F58" s="654"/>
      <c r="G58" s="654"/>
      <c r="H58" s="653"/>
      <c r="I58" s="653"/>
      <c r="J58" s="639">
        <f>IF(B58="","",((100*EffSG)/(100-B58+((EffSG*B58)/SGAsph))))</f>
      </c>
      <c r="K58" s="640"/>
      <c r="L58" s="650">
        <f t="shared" si="0"/>
      </c>
      <c r="M58" s="650"/>
      <c r="N58" s="652">
        <f>IF(U58&gt;=TargDen,1,0)</f>
        <v>1</v>
      </c>
      <c r="O58" s="645">
        <f>IF(U58&lt;TargDen,1,0)</f>
        <v>0</v>
      </c>
      <c r="P58" s="645">
        <f>IF(AND(N58=1,O56=1),1,0)</f>
        <v>0</v>
      </c>
      <c r="Q58" s="645">
        <f>IF(P58=1,B58-((U58-TargDen)/(U58-U56)*(B58-B56)),0)</f>
        <v>0</v>
      </c>
      <c r="R58" s="645"/>
      <c r="S58" s="645">
        <f>IF($P58=1,FORECAST(TargDen,J56:K59,$U56:$V59),"")</f>
      </c>
      <c r="T58" s="645"/>
      <c r="U58" s="646">
        <f>IF(OR(L58="",L59="",J58=""),"",AVERAGE(L58:M59)/J58*100)</f>
      </c>
      <c r="V58" s="647"/>
      <c r="W58" s="663"/>
      <c r="X58" s="789"/>
      <c r="Y58" s="789"/>
      <c r="AI58"/>
      <c r="AJ58"/>
      <c r="AK58"/>
      <c r="AL58"/>
    </row>
    <row r="59" spans="1:38" s="5" customFormat="1" ht="15" customHeight="1" hidden="1">
      <c r="A59" s="39"/>
      <c r="B59" s="653"/>
      <c r="C59" s="653"/>
      <c r="D59" s="654"/>
      <c r="E59" s="654"/>
      <c r="F59" s="654"/>
      <c r="G59" s="654"/>
      <c r="H59" s="653"/>
      <c r="I59" s="653"/>
      <c r="J59" s="641"/>
      <c r="K59" s="642"/>
      <c r="L59" s="650">
        <f t="shared" si="0"/>
      </c>
      <c r="M59" s="650"/>
      <c r="N59" s="652"/>
      <c r="O59" s="645"/>
      <c r="P59" s="645"/>
      <c r="Q59" s="645"/>
      <c r="R59" s="645"/>
      <c r="S59" s="645"/>
      <c r="T59" s="645"/>
      <c r="U59" s="648"/>
      <c r="V59" s="649"/>
      <c r="W59" s="663"/>
      <c r="X59" s="789"/>
      <c r="Y59" s="789"/>
      <c r="AI59"/>
      <c r="AJ59"/>
      <c r="AK59"/>
      <c r="AL59"/>
    </row>
    <row r="60" spans="1:37" s="5" customFormat="1" ht="15" customHeight="1">
      <c r="A60" s="39"/>
      <c r="B60" s="22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row>
    <row r="61" spans="1:43" s="5" customFormat="1" ht="15" customHeight="1">
      <c r="A61" s="39"/>
      <c r="B61" s="743" t="s">
        <v>141</v>
      </c>
      <c r="C61" s="744"/>
      <c r="D61" s="744"/>
      <c r="E61" s="745"/>
      <c r="F61" s="695">
        <f>IF(LEFT(Grade,8)="ITEM3001",F32,IF(LEFT(Grade,7)="ITEM342",SUM(F41:G46)/COUNTIF(F41:G46,"&gt;0"),IF(ISERROR(SUM(H24:I28)/(IF(OR(H24=0,H24=""),0,1)+IF(OR(H25=0,H25=""),0,1)+IF(OR(H26=0,H26=""),0,1)+IF(OR(H27=0,H27=""),0,1)+IF(OR(H28=0,H28=""),0,1))),"",SUM(H24:I28)/(IF(OR(H24=0,H24=""),0,1)+IF(OR(H25=0,H25=""),0,1)+IF(OR(H26=0,H26=""),0,1)+IF(OR(H27=0,H27=""),0,1)+IF(OR(H28=0,H28=""),0,1)))))</f>
        <v>2.5535855407551744</v>
      </c>
      <c r="G61" s="696"/>
      <c r="H61" s="15"/>
      <c r="I61" s="686" t="s">
        <v>266</v>
      </c>
      <c r="J61" s="687"/>
      <c r="K61" s="687"/>
      <c r="L61" s="688"/>
      <c r="M61" s="266"/>
      <c r="N61" s="233"/>
      <c r="O61" s="233"/>
      <c r="P61" s="233"/>
      <c r="Q61" s="234"/>
      <c r="R61" s="234"/>
      <c r="S61" s="234"/>
      <c r="T61" s="235"/>
      <c r="U61" s="237"/>
      <c r="V61" s="709" t="s">
        <v>268</v>
      </c>
      <c r="W61" s="710"/>
      <c r="X61" s="710"/>
      <c r="Y61" s="710"/>
      <c r="Z61" s="710"/>
      <c r="AA61" s="460"/>
      <c r="AC61" s="15"/>
      <c r="AD61" s="15"/>
      <c r="AE61" s="15"/>
      <c r="AF61" s="15"/>
      <c r="AG61" s="15"/>
      <c r="AH61" s="15"/>
      <c r="AI61" s="15"/>
      <c r="AJ61" s="15"/>
      <c r="AK61" s="15"/>
      <c r="AL61" s="15"/>
      <c r="AM61" s="15"/>
      <c r="AN61" s="15"/>
      <c r="AO61" s="15"/>
      <c r="AP61" s="15"/>
      <c r="AQ61" s="15"/>
    </row>
    <row r="62" spans="1:43" s="5" customFormat="1" ht="13.5" thickBot="1">
      <c r="A62" s="39"/>
      <c r="B62" s="229"/>
      <c r="C62" s="230"/>
      <c r="D62" s="230"/>
      <c r="E62" s="230"/>
      <c r="F62" s="231"/>
      <c r="G62" s="232"/>
      <c r="H62" s="15"/>
      <c r="U62" s="238"/>
      <c r="V62" s="785" t="s">
        <v>270</v>
      </c>
      <c r="W62" s="702"/>
      <c r="X62" s="239" t="s">
        <v>271</v>
      </c>
      <c r="Y62" s="239" t="s">
        <v>272</v>
      </c>
      <c r="Z62" s="785" t="s">
        <v>281</v>
      </c>
      <c r="AA62" s="788"/>
      <c r="AB62" s="15"/>
      <c r="AC62" s="15"/>
      <c r="AD62" s="15"/>
      <c r="AE62" s="15"/>
      <c r="AF62" s="15"/>
      <c r="AG62" s="15"/>
      <c r="AH62" s="15"/>
      <c r="AI62" s="15"/>
      <c r="AJ62" s="15"/>
      <c r="AK62" s="15"/>
      <c r="AL62" s="15"/>
      <c r="AM62" s="15"/>
      <c r="AN62" s="15"/>
      <c r="AO62" s="15"/>
      <c r="AP62" s="15"/>
      <c r="AQ62" s="15"/>
    </row>
    <row r="63" spans="1:43" s="5" customFormat="1" ht="15" customHeight="1" thickBot="1" thickTop="1">
      <c r="A63" s="39"/>
      <c r="B63" s="754" t="s">
        <v>325</v>
      </c>
      <c r="C63" s="755"/>
      <c r="D63" s="755"/>
      <c r="E63" s="756"/>
      <c r="F63" s="740" t="str">
        <f>IF(LEFT(Grade,7)="ITEM342",IF(ISERROR(IF((Q50&lt;&gt;0),Q50,IF((Q52&lt;&gt;0),Q52,IF((Q54&lt;&gt;0),Q54,IF((Q56&lt;&gt;0),Q56,IF((Q58&lt;&gt;0),Q58,"Error")))))),"",IF((Q50&lt;&gt;0),Q50,IF((Q52&lt;&gt;0),Q52,IF((Q54&lt;&gt;0),Q54,IF((Q56&lt;&gt;0),Q56,IF((Q58&lt;&gt;0),Q58,"Error")))))),IF(ISERROR(IF((Q24&lt;&gt;0),Q24,IF((Q25&lt;&gt;0),Q25,IF((Q26&lt;&gt;0),Q26,IF((Q27&lt;&gt;0),Q27,IF((Q28&lt;&gt;0),Q28,"Error")))))),"",IF((Q24&lt;&gt;0),Q24,IF((Q25&lt;&gt;0),Q25,IF((Q26&lt;&gt;0),Q26,IF((Q27&lt;&gt;0),Q27,IF((Q28&lt;&gt;0),Q28,"Error")))))))</f>
        <v>Error</v>
      </c>
      <c r="G63" s="741"/>
      <c r="I63" s="310"/>
      <c r="J63" s="310"/>
      <c r="K63" s="703" t="s">
        <v>269</v>
      </c>
      <c r="L63" s="703"/>
      <c r="M63" s="267"/>
      <c r="N63" s="223"/>
      <c r="O63" s="223"/>
      <c r="P63" s="223"/>
      <c r="Q63" s="223"/>
      <c r="R63" s="223"/>
      <c r="S63" s="223"/>
      <c r="T63" s="236"/>
      <c r="U63" s="67"/>
      <c r="V63" s="785" t="s">
        <v>110</v>
      </c>
      <c r="W63" s="785"/>
      <c r="X63" s="263"/>
      <c r="Y63" s="263"/>
      <c r="Z63" s="786"/>
      <c r="AA63" s="787"/>
      <c r="AB63" s="15"/>
      <c r="AC63" s="15"/>
      <c r="AD63" s="15"/>
      <c r="AE63" s="15"/>
      <c r="AF63" s="15"/>
      <c r="AG63" s="15"/>
      <c r="AH63" s="15"/>
      <c r="AI63" s="15"/>
      <c r="AJ63" s="15"/>
      <c r="AK63" s="15"/>
      <c r="AL63" s="15"/>
      <c r="AM63" s="15"/>
      <c r="AN63" s="15"/>
      <c r="AO63" s="15"/>
      <c r="AP63" s="15"/>
      <c r="AQ63" s="15"/>
    </row>
    <row r="64" spans="1:43" s="5" customFormat="1" ht="15" customHeight="1" thickTop="1">
      <c r="A64" s="39"/>
      <c r="B64" s="757" t="s">
        <v>332</v>
      </c>
      <c r="C64" s="758"/>
      <c r="D64" s="758"/>
      <c r="E64" s="758"/>
      <c r="F64" s="693">
        <f>IF(LEFT(Grade,7)="ITEM342",IF(ISERROR(MAX(R50:R59)),"",MAX(R50:R59)),IF(ISERROR(MAX(R24:R28)),"",MAX(R24:R28)))</f>
        <v>0</v>
      </c>
      <c r="G64" s="694"/>
      <c r="H64" s="15"/>
      <c r="I64" s="75"/>
      <c r="J64" s="701" t="s">
        <v>274</v>
      </c>
      <c r="K64" s="702"/>
      <c r="L64" s="702"/>
      <c r="M64" s="267"/>
      <c r="N64" s="75"/>
      <c r="O64" s="75"/>
      <c r="P64" s="75"/>
      <c r="Q64" s="75"/>
      <c r="R64" s="75"/>
      <c r="S64" s="76"/>
      <c r="T64" s="76"/>
      <c r="U64" s="76"/>
      <c r="V64" s="785" t="s">
        <v>109</v>
      </c>
      <c r="W64" s="702"/>
      <c r="X64" s="264"/>
      <c r="Y64" s="264"/>
      <c r="Z64" s="783"/>
      <c r="AA64" s="784"/>
      <c r="AB64" s="15"/>
      <c r="AC64" s="15"/>
      <c r="AD64" s="15"/>
      <c r="AE64" s="15"/>
      <c r="AF64" s="15"/>
      <c r="AG64" s="15"/>
      <c r="AH64" s="15"/>
      <c r="AI64" s="15"/>
      <c r="AJ64" s="15"/>
      <c r="AK64" s="15"/>
      <c r="AL64" s="15"/>
      <c r="AM64" s="15"/>
      <c r="AN64" s="15"/>
      <c r="AO64" s="15"/>
      <c r="AP64" s="15"/>
      <c r="AQ64" s="15"/>
    </row>
    <row r="65" spans="1:43" s="5" customFormat="1" ht="15" customHeight="1">
      <c r="A65" s="39"/>
      <c r="B65" s="690" t="s">
        <v>361</v>
      </c>
      <c r="C65" s="691"/>
      <c r="D65" s="691"/>
      <c r="E65" s="692"/>
      <c r="F65" s="689">
        <f>+IF(F63="Error","",((F64-4)/F64)*100)</f>
      </c>
      <c r="G65" s="689"/>
      <c r="H65" s="310"/>
      <c r="I65" s="305"/>
      <c r="V65" s="651" t="s">
        <v>280</v>
      </c>
      <c r="W65" s="702"/>
      <c r="X65" s="259"/>
      <c r="Y65" s="259"/>
      <c r="Z65" s="768">
        <f>+IF(AND(X63="",Y63=""),"",IF(version="1",((((AVERAGE(X67,Y67)/AVERAGE(X65,Y65))*(AVERAGE(X64,Y64)))/F69)*100),((((AVERAGE(X67,Y67)/AVERAGE(X65,Y65))*(AVERAGE(X64,Y64)))/AVERAGE(X63:Y63))*100)))</f>
      </c>
      <c r="AA65" s="769"/>
      <c r="AB65" s="15"/>
      <c r="AC65" s="15"/>
      <c r="AD65" s="15"/>
      <c r="AE65" s="15"/>
      <c r="AF65" s="15"/>
      <c r="AG65" s="15"/>
      <c r="AH65" s="15"/>
      <c r="AI65" s="15"/>
      <c r="AJ65" s="15"/>
      <c r="AK65" s="15"/>
      <c r="AL65" s="15"/>
      <c r="AM65" s="15"/>
      <c r="AN65" s="15"/>
      <c r="AO65" s="15"/>
      <c r="AP65" s="15"/>
      <c r="AQ65" s="15"/>
    </row>
    <row r="66" spans="1:43" s="5" customFormat="1" ht="15" customHeight="1">
      <c r="A66" s="39"/>
      <c r="B66" s="751" t="s">
        <v>68</v>
      </c>
      <c r="C66" s="752"/>
      <c r="D66" s="752"/>
      <c r="E66" s="752"/>
      <c r="F66" s="752"/>
      <c r="G66" s="753"/>
      <c r="H66" s="15"/>
      <c r="I66" s="393" t="s">
        <v>267</v>
      </c>
      <c r="J66" s="359"/>
      <c r="K66" s="359"/>
      <c r="L66" s="359"/>
      <c r="M66" s="360"/>
      <c r="V66" s="651" t="s">
        <v>279</v>
      </c>
      <c r="W66" s="702"/>
      <c r="X66" s="257"/>
      <c r="Y66" s="258"/>
      <c r="Z66" s="697">
        <f>+IF(X65="","",IF(version="1",((((AVERAGE(X67,Y67)/AVERAGE(X66,Y66))*(AVERAGE(X64,Y64)))/F69)*100),((((AVERAGE(X67,Y67)/AVERAGE(X66,Y66))*(AVERAGE(X64,Y64)))/AVERAGE(X63:Y63))*100)))</f>
      </c>
      <c r="AA66" s="770"/>
      <c r="AB66" s="15"/>
      <c r="AC66" s="15"/>
      <c r="AD66" s="15"/>
      <c r="AE66" s="15"/>
      <c r="AF66" s="15"/>
      <c r="AG66" s="15"/>
      <c r="AH66" s="15"/>
      <c r="AI66" s="15"/>
      <c r="AJ66" s="15"/>
      <c r="AK66" s="15"/>
      <c r="AL66" s="15"/>
      <c r="AM66" s="15"/>
      <c r="AN66" s="15"/>
      <c r="AO66" s="15"/>
      <c r="AP66" s="15"/>
      <c r="AQ66" s="15"/>
    </row>
    <row r="67" spans="1:43" s="5" customFormat="1" ht="15" customHeight="1">
      <c r="A67" s="39"/>
      <c r="B67" s="747" t="s">
        <v>142</v>
      </c>
      <c r="C67" s="748"/>
      <c r="D67" s="748"/>
      <c r="E67" s="748"/>
      <c r="F67" s="749">
        <f>IF(ISERROR((TargDen/100)*((100/(((100-F63)/EffSG)+(F63/SGAsph))))),"",(TargDen/100)*((100/(((100-F63)/EffSG)+(F63/SGAsph)))))</f>
      </c>
      <c r="G67" s="750"/>
      <c r="H67" s="15"/>
      <c r="N67" s="15"/>
      <c r="O67" s="15"/>
      <c r="P67" s="15"/>
      <c r="Q67" s="15"/>
      <c r="R67" s="15"/>
      <c r="S67" s="15"/>
      <c r="T67" s="15"/>
      <c r="U67" s="15"/>
      <c r="V67" s="651" t="s">
        <v>278</v>
      </c>
      <c r="W67" s="702"/>
      <c r="X67" s="257"/>
      <c r="Y67" s="257"/>
      <c r="Z67" s="781">
        <f>+IF(X66="","",IF(version="1",(AVERAGE(X64:Y64)/F69)*100,(AVERAGE(X64:Y64)/AVERAGE(X63:Y63))*100))</f>
      </c>
      <c r="AA67" s="782"/>
      <c r="AB67" s="15"/>
      <c r="AC67" s="15"/>
      <c r="AD67" s="15"/>
      <c r="AE67" s="15"/>
      <c r="AF67" s="15"/>
      <c r="AG67" s="15"/>
      <c r="AH67" s="15"/>
      <c r="AI67" s="15"/>
      <c r="AJ67" s="15"/>
      <c r="AK67" s="15"/>
      <c r="AL67" s="15"/>
      <c r="AM67" s="15"/>
      <c r="AN67" s="15"/>
      <c r="AO67" s="15"/>
      <c r="AP67" s="15"/>
      <c r="AQ67" s="15"/>
    </row>
    <row r="68" spans="1:43" s="5" customFormat="1" ht="15" customHeight="1">
      <c r="A68" s="39"/>
      <c r="B68" s="747" t="s">
        <v>143</v>
      </c>
      <c r="C68" s="748"/>
      <c r="D68" s="748"/>
      <c r="E68" s="748"/>
      <c r="F68" s="749">
        <f>IF(LEFT(Grade,7)="ITEM342",IF(ISERROR(LARGE(S50:S59,1)),"",LARGE(S50:S59,1)),IF(ISERROR(LARGE(S24:S28,1)),"",LARGE(S24:S28,1)))</f>
      </c>
      <c r="G68" s="750"/>
      <c r="H68" s="15"/>
      <c r="I68" s="335" t="s">
        <v>275</v>
      </c>
      <c r="J68" s="253"/>
      <c r="K68" s="651" t="s">
        <v>403</v>
      </c>
      <c r="L68" s="651"/>
      <c r="M68" s="274">
        <f>IF(ISERROR((CoarseBSG*62.4-DRunit)/(CoarseBSG*62.4)*100),"",(CoarseBSG*62.4-DRunit)/(CoarseBSG*62.4)*100)</f>
      </c>
      <c r="N68" s="15"/>
      <c r="O68" s="15"/>
      <c r="P68" s="15"/>
      <c r="Q68" s="15"/>
      <c r="R68" s="15"/>
      <c r="S68" s="15"/>
      <c r="T68" s="15"/>
      <c r="U68" s="15"/>
      <c r="V68" s="15"/>
      <c r="W68" s="15"/>
      <c r="X68" s="316"/>
      <c r="Y68" s="15"/>
      <c r="Z68" s="15"/>
      <c r="AA68" s="15"/>
      <c r="AB68" s="15"/>
      <c r="AC68" s="15"/>
      <c r="AD68" s="15"/>
      <c r="AE68" s="15"/>
      <c r="AF68" s="15"/>
      <c r="AG68" s="15"/>
      <c r="AH68" s="15"/>
      <c r="AI68" s="15"/>
      <c r="AJ68" s="15"/>
      <c r="AK68" s="15"/>
      <c r="AL68" s="15"/>
      <c r="AM68" s="15"/>
      <c r="AN68" s="15"/>
      <c r="AO68" s="15"/>
      <c r="AP68" s="15"/>
      <c r="AQ68" s="15"/>
    </row>
    <row r="69" spans="1:43" s="5" customFormat="1" ht="15" customHeight="1">
      <c r="A69" s="39"/>
      <c r="B69" s="747" t="s">
        <v>166</v>
      </c>
      <c r="C69" s="748"/>
      <c r="D69" s="748"/>
      <c r="E69" s="748"/>
      <c r="F69" s="749">
        <f>IF(LEFT(Grade,7)="ITEM342",IF(ISERROR(LARGE(T50:T59,1)),"",LARGE(T50:T59,1)),IF(ISERROR(LARGE(T24:T28,1)),"",LARGE(T24:T28,1)))</f>
      </c>
      <c r="G69" s="750"/>
      <c r="H69" s="15"/>
      <c r="I69" s="335" t="s">
        <v>276</v>
      </c>
      <c r="J69" s="253"/>
      <c r="K69" s="651" t="s">
        <v>404</v>
      </c>
      <c r="L69" s="651"/>
      <c r="M69" s="274">
        <f ca="1">IF(ISERROR(100-(resval111/CoarseBSG)*(INDIRECT("'Combined Gradation'!AA"&amp;INDEX(INDIRECT(Grade),1,10)+29))),"",100-(resval111/CoarseBSG)*(INDIRECT("'Combined Gradation'!AA"&amp;INDEX(INDIRECT(Grade),1,10)+29)))</f>
      </c>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row>
    <row r="70" spans="1:42" s="5" customFormat="1" ht="15" customHeight="1">
      <c r="A70" s="39"/>
      <c r="B70" s="771" t="s">
        <v>340</v>
      </c>
      <c r="C70" s="772"/>
      <c r="D70" s="772"/>
      <c r="E70" s="773"/>
      <c r="F70" s="774">
        <f>IF(F63="Error","",VLOOKUP(0.075,DUST,16,FALSE)/F63)</f>
      </c>
      <c r="G70" s="775"/>
      <c r="H70" s="306">
        <f>+'Combined Gradation'!S35</f>
        <v>13.36</v>
      </c>
      <c r="I70" s="776">
        <f>IF(OR(version="1",version="2"),IF(J69&gt;J68,"STONE-ON-STONE CONTACT                  NOT ACHIEVED",""),IF(M69&gt;M68,"STONE-ON-STONE CONTACT                     NOT ACHIEVED",""))</f>
      </c>
      <c r="J70" s="777"/>
      <c r="K70" s="777"/>
      <c r="L70" s="777"/>
      <c r="M70" s="777"/>
      <c r="N70" s="15"/>
      <c r="O70" s="15"/>
      <c r="P70" s="15"/>
      <c r="Q70" s="15"/>
      <c r="R70" s="15"/>
      <c r="S70" s="15"/>
      <c r="T70" s="15"/>
      <c r="Y70" s="15"/>
      <c r="Z70" s="15"/>
      <c r="AA70" s="15"/>
      <c r="AB70" s="15"/>
      <c r="AC70" s="15"/>
      <c r="AD70" s="15"/>
      <c r="AE70" s="15"/>
      <c r="AF70" s="15"/>
      <c r="AG70" s="15"/>
      <c r="AH70" s="15"/>
      <c r="AI70" s="15"/>
      <c r="AJ70" s="15"/>
      <c r="AK70" s="15"/>
      <c r="AL70" s="15"/>
      <c r="AM70" s="15"/>
      <c r="AN70" s="15"/>
      <c r="AO70" s="15"/>
      <c r="AP70" s="15"/>
    </row>
    <row r="71" spans="1:25" ht="12.75" customHeight="1">
      <c r="A71" s="18"/>
      <c r="B71" s="16" t="s">
        <v>5</v>
      </c>
      <c r="C71" s="1"/>
      <c r="D71" s="1"/>
      <c r="E71" s="17">
        <f ca="1">NOW()</f>
        <v>40499.63441539352</v>
      </c>
      <c r="F71" s="307">
        <f>IF(F70="","",IF(LEFT(Grade,7)="ITEM344",IF(OR(F70&lt;0.6,F70&gt;1.6),"Not within 0.6-1.6 limits",""),IF(LEFT(Grade,8)="ITEM3001",IF(OR(F70&lt;9,F70&gt;11),"Not within 9-11 limits",""))))</f>
      </c>
      <c r="G71" s="153"/>
      <c r="H71" s="1"/>
      <c r="I71" s="777"/>
      <c r="J71" s="777"/>
      <c r="K71" s="777"/>
      <c r="L71" s="777"/>
      <c r="M71" s="777"/>
      <c r="N71" s="1"/>
      <c r="O71" s="1"/>
      <c r="P71" s="1"/>
      <c r="Q71" s="1"/>
      <c r="R71" s="1"/>
      <c r="S71" s="1"/>
      <c r="T71" s="1"/>
      <c r="Y71" s="1"/>
    </row>
    <row r="72" spans="1:13" ht="15" customHeight="1">
      <c r="A72" s="18"/>
      <c r="B72" s="428"/>
      <c r="C72" s="429"/>
      <c r="D72" s="429"/>
      <c r="E72" s="429"/>
      <c r="F72" s="429"/>
      <c r="G72" s="429"/>
      <c r="H72" s="429"/>
      <c r="I72" s="429"/>
      <c r="J72" s="429"/>
      <c r="K72" s="429"/>
      <c r="L72" s="429"/>
      <c r="M72" s="430"/>
    </row>
    <row r="73" spans="1:13" ht="15" customHeight="1">
      <c r="A73" s="18"/>
      <c r="B73" s="431"/>
      <c r="C73" s="432"/>
      <c r="D73" s="432"/>
      <c r="E73" s="432"/>
      <c r="F73" s="432"/>
      <c r="G73" s="432"/>
      <c r="H73" s="432"/>
      <c r="I73" s="432"/>
      <c r="J73" s="432"/>
      <c r="K73" s="432"/>
      <c r="L73" s="432"/>
      <c r="M73" s="433"/>
    </row>
    <row r="74" ht="3" customHeight="1"/>
    <row r="75" ht="12.75" customHeight="1"/>
    <row r="76" ht="15" customHeight="1"/>
    <row r="77" ht="12.75" customHeight="1"/>
    <row r="78" ht="15" customHeight="1"/>
    <row r="79" ht="12.75" customHeight="1">
      <c r="J79" s="298"/>
    </row>
    <row r="80" ht="15" customHeight="1"/>
    <row r="81" ht="15" customHeight="1"/>
    <row r="82" ht="15" customHeight="1"/>
  </sheetData>
  <sheetProtection password="DE07" sheet="1" formatCells="0" formatColumns="0" formatRows="0"/>
  <mergeCells count="295">
    <mergeCell ref="B13:D13"/>
    <mergeCell ref="E13:M13"/>
    <mergeCell ref="W48:Y59"/>
    <mergeCell ref="T50:T51"/>
    <mergeCell ref="T52:T53"/>
    <mergeCell ref="T54:T55"/>
    <mergeCell ref="T56:T57"/>
    <mergeCell ref="T58:T59"/>
    <mergeCell ref="U56:V57"/>
    <mergeCell ref="U58:V59"/>
    <mergeCell ref="U52:V53"/>
    <mergeCell ref="W38:Z38"/>
    <mergeCell ref="Z67:AA67"/>
    <mergeCell ref="Z64:AA64"/>
    <mergeCell ref="V62:W62"/>
    <mergeCell ref="V64:W64"/>
    <mergeCell ref="V65:W65"/>
    <mergeCell ref="V63:W63"/>
    <mergeCell ref="Z63:AA63"/>
    <mergeCell ref="Z62:AA62"/>
    <mergeCell ref="Z65:AA65"/>
    <mergeCell ref="Z66:AA66"/>
    <mergeCell ref="B70:E70"/>
    <mergeCell ref="F70:G70"/>
    <mergeCell ref="V66:W66"/>
    <mergeCell ref="V67:W67"/>
    <mergeCell ref="I70:M71"/>
    <mergeCell ref="I66:M66"/>
    <mergeCell ref="K69:L69"/>
    <mergeCell ref="W20:AB20"/>
    <mergeCell ref="B20:D20"/>
    <mergeCell ref="I19:J19"/>
    <mergeCell ref="I20:J20"/>
    <mergeCell ref="E20:F20"/>
    <mergeCell ref="B19:D19"/>
    <mergeCell ref="E19:F19"/>
    <mergeCell ref="Y21:AB21"/>
    <mergeCell ref="B68:E68"/>
    <mergeCell ref="F68:G68"/>
    <mergeCell ref="B69:E69"/>
    <mergeCell ref="F69:G69"/>
    <mergeCell ref="F67:G67"/>
    <mergeCell ref="B66:G66"/>
    <mergeCell ref="B67:E67"/>
    <mergeCell ref="B63:E63"/>
    <mergeCell ref="B64:E64"/>
    <mergeCell ref="F28:G28"/>
    <mergeCell ref="F27:G27"/>
    <mergeCell ref="F63:G63"/>
    <mergeCell ref="B30:C31"/>
    <mergeCell ref="B38:E38"/>
    <mergeCell ref="G38:I38"/>
    <mergeCell ref="B28:C28"/>
    <mergeCell ref="D27:E27"/>
    <mergeCell ref="D28:E28"/>
    <mergeCell ref="B61:E61"/>
    <mergeCell ref="S22:S23"/>
    <mergeCell ref="T22:T23"/>
    <mergeCell ref="W21:X23"/>
    <mergeCell ref="D26:E26"/>
    <mergeCell ref="F26:G26"/>
    <mergeCell ref="J25:K25"/>
    <mergeCell ref="J22:K23"/>
    <mergeCell ref="L26:M26"/>
    <mergeCell ref="L25:M25"/>
    <mergeCell ref="U22:V23"/>
    <mergeCell ref="B22:C23"/>
    <mergeCell ref="F22:G23"/>
    <mergeCell ref="H22:I23"/>
    <mergeCell ref="D22:E23"/>
    <mergeCell ref="W24:X28"/>
    <mergeCell ref="Y22:Z23"/>
    <mergeCell ref="U28:V28"/>
    <mergeCell ref="U25:V25"/>
    <mergeCell ref="U26:V26"/>
    <mergeCell ref="U27:V27"/>
    <mergeCell ref="Y24:Z28"/>
    <mergeCell ref="U24:V24"/>
    <mergeCell ref="AC28:AE28"/>
    <mergeCell ref="AA24:AB28"/>
    <mergeCell ref="AA22:AB23"/>
    <mergeCell ref="AC22:AE23"/>
    <mergeCell ref="AC24:AE24"/>
    <mergeCell ref="AC25:AE25"/>
    <mergeCell ref="AC26:AE26"/>
    <mergeCell ref="AC27:AE27"/>
    <mergeCell ref="B24:C24"/>
    <mergeCell ref="D24:E24"/>
    <mergeCell ref="F24:G24"/>
    <mergeCell ref="L24:M24"/>
    <mergeCell ref="J24:K24"/>
    <mergeCell ref="H24:I24"/>
    <mergeCell ref="B25:C25"/>
    <mergeCell ref="B26:C26"/>
    <mergeCell ref="B27:C27"/>
    <mergeCell ref="H26:I26"/>
    <mergeCell ref="D25:E25"/>
    <mergeCell ref="F25:G25"/>
    <mergeCell ref="H25:I25"/>
    <mergeCell ref="H27:I27"/>
    <mergeCell ref="V61:AA61"/>
    <mergeCell ref="B10:D10"/>
    <mergeCell ref="B11:D11"/>
    <mergeCell ref="B12:D12"/>
    <mergeCell ref="F17:G17"/>
    <mergeCell ref="H10:J10"/>
    <mergeCell ref="H11:J11"/>
    <mergeCell ref="H12:J12"/>
    <mergeCell ref="B17:D17"/>
    <mergeCell ref="L27:M27"/>
    <mergeCell ref="B6:D6"/>
    <mergeCell ref="B7:D7"/>
    <mergeCell ref="B8:D8"/>
    <mergeCell ref="B9:D9"/>
    <mergeCell ref="E6:G6"/>
    <mergeCell ref="E7:G7"/>
    <mergeCell ref="E8:G8"/>
    <mergeCell ref="E9:G9"/>
    <mergeCell ref="B14:D14"/>
    <mergeCell ref="B15:D15"/>
    <mergeCell ref="H6:J6"/>
    <mergeCell ref="H7:J7"/>
    <mergeCell ref="H8:J8"/>
    <mergeCell ref="H9:J9"/>
    <mergeCell ref="E10:G10"/>
    <mergeCell ref="E11:G11"/>
    <mergeCell ref="E12:G12"/>
    <mergeCell ref="E15:G15"/>
    <mergeCell ref="K10:M10"/>
    <mergeCell ref="K11:M11"/>
    <mergeCell ref="K12:M12"/>
    <mergeCell ref="K6:M6"/>
    <mergeCell ref="K7:M7"/>
    <mergeCell ref="K8:M8"/>
    <mergeCell ref="K9:M9"/>
    <mergeCell ref="E14:M14"/>
    <mergeCell ref="J17:K17"/>
    <mergeCell ref="L17:M17"/>
    <mergeCell ref="H15:J15"/>
    <mergeCell ref="H17:I17"/>
    <mergeCell ref="K15:M15"/>
    <mergeCell ref="J28:K28"/>
    <mergeCell ref="J26:K26"/>
    <mergeCell ref="J27:K27"/>
    <mergeCell ref="H28:I28"/>
    <mergeCell ref="L28:M28"/>
    <mergeCell ref="L22:M23"/>
    <mergeCell ref="J64:L64"/>
    <mergeCell ref="K63:L63"/>
    <mergeCell ref="K38:U38"/>
    <mergeCell ref="S52:S53"/>
    <mergeCell ref="J30:K31"/>
    <mergeCell ref="J33:K33"/>
    <mergeCell ref="J36:K36"/>
    <mergeCell ref="J35:K35"/>
    <mergeCell ref="B72:M73"/>
    <mergeCell ref="I61:L61"/>
    <mergeCell ref="S54:S55"/>
    <mergeCell ref="F65:G65"/>
    <mergeCell ref="B65:E65"/>
    <mergeCell ref="F64:G64"/>
    <mergeCell ref="F61:G61"/>
    <mergeCell ref="S58:S59"/>
    <mergeCell ref="B54:C55"/>
    <mergeCell ref="D54:E54"/>
    <mergeCell ref="B32:C32"/>
    <mergeCell ref="D32:E32"/>
    <mergeCell ref="D34:E34"/>
    <mergeCell ref="B33:C33"/>
    <mergeCell ref="B34:C34"/>
    <mergeCell ref="J34:K34"/>
    <mergeCell ref="D30:E31"/>
    <mergeCell ref="F30:G31"/>
    <mergeCell ref="H30:I31"/>
    <mergeCell ref="H32:I32"/>
    <mergeCell ref="J32:K32"/>
    <mergeCell ref="D33:E33"/>
    <mergeCell ref="F32:G36"/>
    <mergeCell ref="H35:I35"/>
    <mergeCell ref="H33:I33"/>
    <mergeCell ref="B36:C36"/>
    <mergeCell ref="D36:E36"/>
    <mergeCell ref="H36:I36"/>
    <mergeCell ref="B35:C35"/>
    <mergeCell ref="H34:I34"/>
    <mergeCell ref="D35:E35"/>
    <mergeCell ref="B41:C42"/>
    <mergeCell ref="H39:I40"/>
    <mergeCell ref="D39:E40"/>
    <mergeCell ref="D41:E41"/>
    <mergeCell ref="F39:G40"/>
    <mergeCell ref="D42:E42"/>
    <mergeCell ref="H41:I42"/>
    <mergeCell ref="F41:G42"/>
    <mergeCell ref="B39:C40"/>
    <mergeCell ref="H43:I44"/>
    <mergeCell ref="J39:V46"/>
    <mergeCell ref="J48:K49"/>
    <mergeCell ref="B45:C46"/>
    <mergeCell ref="D44:E44"/>
    <mergeCell ref="F43:G44"/>
    <mergeCell ref="D43:E43"/>
    <mergeCell ref="B43:C44"/>
    <mergeCell ref="L48:M49"/>
    <mergeCell ref="B48:C49"/>
    <mergeCell ref="F48:G49"/>
    <mergeCell ref="R50:R51"/>
    <mergeCell ref="U48:V49"/>
    <mergeCell ref="D48:E49"/>
    <mergeCell ref="H48:I49"/>
    <mergeCell ref="D51:E51"/>
    <mergeCell ref="F51:G51"/>
    <mergeCell ref="H51:I51"/>
    <mergeCell ref="B50:C51"/>
    <mergeCell ref="D46:E46"/>
    <mergeCell ref="F45:G46"/>
    <mergeCell ref="D45:E45"/>
    <mergeCell ref="H45:I46"/>
    <mergeCell ref="D50:E50"/>
    <mergeCell ref="F50:G50"/>
    <mergeCell ref="H50:I50"/>
    <mergeCell ref="B52:C53"/>
    <mergeCell ref="D52:E52"/>
    <mergeCell ref="F52:G52"/>
    <mergeCell ref="H52:I52"/>
    <mergeCell ref="D53:E53"/>
    <mergeCell ref="F53:G53"/>
    <mergeCell ref="H53:I53"/>
    <mergeCell ref="F54:G54"/>
    <mergeCell ref="H54:I54"/>
    <mergeCell ref="D55:E55"/>
    <mergeCell ref="F55:G55"/>
    <mergeCell ref="H55:I55"/>
    <mergeCell ref="B56:C57"/>
    <mergeCell ref="D56:E56"/>
    <mergeCell ref="F56:G56"/>
    <mergeCell ref="H56:I56"/>
    <mergeCell ref="D57:E57"/>
    <mergeCell ref="F57:G57"/>
    <mergeCell ref="H57:I57"/>
    <mergeCell ref="B58:C59"/>
    <mergeCell ref="D58:E58"/>
    <mergeCell ref="F58:G58"/>
    <mergeCell ref="H58:I58"/>
    <mergeCell ref="D59:E59"/>
    <mergeCell ref="F59:G59"/>
    <mergeCell ref="H59:I59"/>
    <mergeCell ref="N50:N51"/>
    <mergeCell ref="P54:P55"/>
    <mergeCell ref="O50:O51"/>
    <mergeCell ref="P50:P51"/>
    <mergeCell ref="O52:O53"/>
    <mergeCell ref="N52:N53"/>
    <mergeCell ref="Q50:Q51"/>
    <mergeCell ref="U54:V55"/>
    <mergeCell ref="L55:M55"/>
    <mergeCell ref="Q52:Q53"/>
    <mergeCell ref="R52:R53"/>
    <mergeCell ref="R54:R55"/>
    <mergeCell ref="Q54:Q55"/>
    <mergeCell ref="N54:N55"/>
    <mergeCell ref="O54:O55"/>
    <mergeCell ref="P52:P53"/>
    <mergeCell ref="L57:M57"/>
    <mergeCell ref="L58:M58"/>
    <mergeCell ref="L56:M56"/>
    <mergeCell ref="L53:M53"/>
    <mergeCell ref="L54:M54"/>
    <mergeCell ref="J58:K59"/>
    <mergeCell ref="R58:R59"/>
    <mergeCell ref="N58:N59"/>
    <mergeCell ref="O58:O59"/>
    <mergeCell ref="P58:P59"/>
    <mergeCell ref="Q58:Q59"/>
    <mergeCell ref="L59:M59"/>
    <mergeCell ref="S56:S57"/>
    <mergeCell ref="R56:R57"/>
    <mergeCell ref="L52:M52"/>
    <mergeCell ref="K68:L68"/>
    <mergeCell ref="J54:K55"/>
    <mergeCell ref="J56:K57"/>
    <mergeCell ref="Q56:Q57"/>
    <mergeCell ref="O56:O57"/>
    <mergeCell ref="P56:P57"/>
    <mergeCell ref="N56:N57"/>
    <mergeCell ref="X17:Y17"/>
    <mergeCell ref="U17:W17"/>
    <mergeCell ref="J50:K51"/>
    <mergeCell ref="J52:K53"/>
    <mergeCell ref="S48:S49"/>
    <mergeCell ref="T48:T49"/>
    <mergeCell ref="S50:S51"/>
    <mergeCell ref="U50:V51"/>
    <mergeCell ref="L51:M51"/>
    <mergeCell ref="L50:M50"/>
  </mergeCells>
  <conditionalFormatting sqref="I67:M67 I70:M71">
    <cfRule type="expression" priority="1" dxfId="15" stopIfTrue="1">
      <formula>(AND(LEFT(Grade,7)&lt;&gt;"ITEM344",LEFT(Grade,7)&lt;&gt;"ITEM346"))</formula>
    </cfRule>
  </conditionalFormatting>
  <conditionalFormatting sqref="AB66 AB63:AB64">
    <cfRule type="expression" priority="2" dxfId="15" stopIfTrue="1">
      <formula>(LEFT(Grade,7)&lt;&gt;"ITEM344")</formula>
    </cfRule>
  </conditionalFormatting>
  <conditionalFormatting sqref="I20:J20 L20">
    <cfRule type="expression" priority="3" dxfId="15" stopIfTrue="1">
      <formula>(AND(LEFT(Grade,15)&lt;&gt;"ITEM342_PFC_A_R",LEFT(Grade,12)&lt;&gt;"ITEM346_SMAR"))</formula>
    </cfRule>
  </conditionalFormatting>
  <conditionalFormatting sqref="L21">
    <cfRule type="expression" priority="4" dxfId="16" stopIfTrue="1">
      <formula>(AND(LEFT(Grade,15)&lt;&gt;"ITEM342_PFC_A_R",LEFT(Grade,12)&lt;&gt;"ITEM346_SMAR"))</formula>
    </cfRule>
  </conditionalFormatting>
  <conditionalFormatting sqref="K62:M62">
    <cfRule type="expression" priority="5" dxfId="1" stopIfTrue="1">
      <formula>(AND(LEFT(Grade,7)&lt;&gt;"ITEM342",LEFT(Grade,7)&lt;&gt;"ITEM346"))</formula>
    </cfRule>
  </conditionalFormatting>
  <conditionalFormatting sqref="I64">
    <cfRule type="expression" priority="6" dxfId="15" stopIfTrue="1">
      <formula>(LEFT(Grade,7)&lt;&gt;"ITEM342")</formula>
    </cfRule>
  </conditionalFormatting>
  <conditionalFormatting sqref="G71">
    <cfRule type="expression" priority="7" dxfId="16" stopIfTrue="1">
      <formula>(LEFT(Grade,7)&lt;&gt;"ITEM344")</formula>
    </cfRule>
  </conditionalFormatting>
  <conditionalFormatting sqref="H70">
    <cfRule type="expression" priority="8" dxfId="3" stopIfTrue="1">
      <formula>(LEFT(Grade,7)&lt;&gt;"ITEM344")</formula>
    </cfRule>
  </conditionalFormatting>
  <conditionalFormatting sqref="K20">
    <cfRule type="expression" priority="9" dxfId="15" stopIfTrue="1">
      <formula>(AND(LEFT(Grade,15)&lt;&gt;"ITEM342_PFC_A_R",LEFT(Grade,12)&lt;&gt;"ITEM346_SMAR"))</formula>
    </cfRule>
    <cfRule type="cellIs" priority="10" dxfId="13" operator="lessThan" stopIfTrue="1">
      <formula>14.99999999</formula>
    </cfRule>
  </conditionalFormatting>
  <conditionalFormatting sqref="I19:L19">
    <cfRule type="expression" priority="11" dxfId="17" stopIfTrue="1">
      <formula>OR(AND(MID(Grade,9,3)="PFC",MID(Grade,13,3)&lt;&gt;"A_R"),AND(MID(Grade,9,4)="SMA_"))</formula>
    </cfRule>
  </conditionalFormatting>
  <conditionalFormatting sqref="K63:M63">
    <cfRule type="expression" priority="12" dxfId="15" stopIfTrue="1">
      <formula>(AND(LEFT(Grade,7)&lt;&gt;"ITEM342",LEFT(Grade,7)&lt;&gt;"ITEM346",LEFT(Grade,8)&lt;&gt;"ITEM3001"))</formula>
    </cfRule>
  </conditionalFormatting>
  <conditionalFormatting sqref="J64:M64">
    <cfRule type="expression" priority="13" dxfId="15" stopIfTrue="1">
      <formula>AND((LEFT(Grade,7)&lt;&gt;"ITEM342"),(LEFT(Grade,8)&lt;&gt;"ITEM3001"))</formula>
    </cfRule>
  </conditionalFormatting>
  <conditionalFormatting sqref="I63:J63">
    <cfRule type="expression" priority="14" dxfId="8" stopIfTrue="1">
      <formula>AND(optAC&gt;=INDEX(INDIRECT(Grade),1,10),optAC&lt;=INDEX(INDIRECT(Grade),1,11))</formula>
    </cfRule>
  </conditionalFormatting>
  <conditionalFormatting sqref="F71">
    <cfRule type="expression" priority="15" dxfId="18" stopIfTrue="1">
      <formula>OR(AND(LEFT(Grade,7)="ITEM344",filmthick&lt;0.6),AND(LEFT(Grade,7)="ITEM3001",filmthick&gt;1.6))</formula>
    </cfRule>
    <cfRule type="expression" priority="16" dxfId="2" stopIfTrue="1">
      <formula>OR(AND(LEFT(Grade,8)="ITEM3001",filmthick&lt;9),AND(LEFT(Grade,8)="ITEM3001",filmthick&gt;11))</formula>
    </cfRule>
  </conditionalFormatting>
  <conditionalFormatting sqref="B29">
    <cfRule type="expression" priority="17" dxfId="19" stopIfTrue="1">
      <formula>(AND(LEFT(Grade,15)&lt;&gt;"ITEM342_PFC_A_R",LEFT(Grade,12)&lt;&gt;"ITEM346_SMAR"))</formula>
    </cfRule>
  </conditionalFormatting>
  <conditionalFormatting sqref="B19:G19">
    <cfRule type="expression" priority="18" dxfId="20" stopIfTrue="1">
      <formula>LEFT(Grade,8)="ITEM3001"</formula>
    </cfRule>
  </conditionalFormatting>
  <conditionalFormatting sqref="B70:E70 B65:E65">
    <cfRule type="expression" priority="19" dxfId="21" stopIfTrue="1">
      <formula>(LEFT(Grade,7)="ITEM344")</formula>
    </cfRule>
  </conditionalFormatting>
  <conditionalFormatting sqref="F70:G70">
    <cfRule type="expression" priority="20" dxfId="22" stopIfTrue="1">
      <formula>OR(AND(LEFT(Grade,7)="ITEM344",filmthick&lt;0.6),AND(LEFT(Grade,7)="ITEM344",filmthick&gt;1.6))</formula>
    </cfRule>
    <cfRule type="expression" priority="21" dxfId="23" stopIfTrue="1">
      <formula>(LEFT(Grade,7)="ITEM344")</formula>
    </cfRule>
  </conditionalFormatting>
  <conditionalFormatting sqref="B63:G63">
    <cfRule type="expression" priority="22" dxfId="7" stopIfTrue="1">
      <formula>LEFT(Grade,8)="ITEM3001"</formula>
    </cfRule>
  </conditionalFormatting>
  <conditionalFormatting sqref="V65:Y67 V63:Y63">
    <cfRule type="expression" priority="23" dxfId="7" stopIfTrue="1">
      <formula>(LEFT(Grade,7)&lt;&gt;"ITEM344")</formula>
    </cfRule>
  </conditionalFormatting>
  <conditionalFormatting sqref="Z67:AA67">
    <cfRule type="expression" priority="24" dxfId="7" stopIfTrue="1">
      <formula>(LEFT(Grade,7)&lt;&gt;"ITEM344")</formula>
    </cfRule>
    <cfRule type="cellIs" priority="25" dxfId="13" operator="greaterThan" stopIfTrue="1">
      <formula>97.999999999</formula>
    </cfRule>
  </conditionalFormatting>
  <conditionalFormatting sqref="Z66:AA66">
    <cfRule type="expression" priority="26" dxfId="24" stopIfTrue="1">
      <formula>(LEFT(Grade,7)&lt;&gt;"ITEM344")</formula>
    </cfRule>
    <cfRule type="cellIs" priority="27" dxfId="25" operator="notBetween" stopIfTrue="1">
      <formula>$E$19-1</formula>
      <formula>$E$19+1</formula>
    </cfRule>
  </conditionalFormatting>
  <conditionalFormatting sqref="Z65:AA65">
    <cfRule type="expression" priority="28" dxfId="7" stopIfTrue="1">
      <formula>(LEFT(Grade,7)&lt;&gt;"ITEM344")</formula>
    </cfRule>
    <cfRule type="cellIs" priority="29" dxfId="13" operator="greaterThan" stopIfTrue="1">
      <formula>88.9999999999999</formula>
    </cfRule>
  </conditionalFormatting>
  <conditionalFormatting sqref="F65:G65">
    <cfRule type="expression" priority="30" dxfId="14" stopIfTrue="1">
      <formula>LEFT(Grade,7)="ITEM344"</formula>
    </cfRule>
  </conditionalFormatting>
  <conditionalFormatting sqref="B66:G66">
    <cfRule type="expression" priority="31" dxfId="26" stopIfTrue="1">
      <formula>(LEFT(Grade,8)&lt;&gt;"ITEM3001")</formula>
    </cfRule>
  </conditionalFormatting>
  <conditionalFormatting sqref="B67:G68">
    <cfRule type="expression" priority="32" dxfId="14" stopIfTrue="1">
      <formula>LEFT(Grade,8)&lt;&gt;"ITEM3001"</formula>
    </cfRule>
  </conditionalFormatting>
  <conditionalFormatting sqref="V61:AA62 V64:Y64">
    <cfRule type="expression" priority="33" dxfId="7" stopIfTrue="1">
      <formula>LEFT(Grade,7)&lt;&gt;"ITEM344"</formula>
    </cfRule>
  </conditionalFormatting>
  <conditionalFormatting sqref="Z63:AA63">
    <cfRule type="expression" priority="34" dxfId="27" stopIfTrue="1">
      <formula>(LEFT(Grade,7)&lt;&gt;"ITEM344")</formula>
    </cfRule>
  </conditionalFormatting>
  <conditionalFormatting sqref="Z64:AA64">
    <cfRule type="expression" priority="35" dxfId="27" stopIfTrue="1">
      <formula>LEFT(Grade,7)&lt;&gt;"ITEM344"</formula>
    </cfRule>
  </conditionalFormatting>
  <conditionalFormatting sqref="W20:AB20">
    <cfRule type="expression" priority="36" dxfId="20" stopIfTrue="1">
      <formula>OR(LEFT(Grade,8)="ITEM3001",LEFT(Grade,7)="ITEM342")</formula>
    </cfRule>
  </conditionalFormatting>
  <conditionalFormatting sqref="B64:G64">
    <cfRule type="expression" priority="37" dxfId="7" stopIfTrue="1">
      <formula>OR(LEFT(Grade,8)="ITEM3001",LEFT(Grade,7)="ITEM342")</formula>
    </cfRule>
  </conditionalFormatting>
  <conditionalFormatting sqref="B69:G69">
    <cfRule type="expression" priority="38" dxfId="14" stopIfTrue="1">
      <formula>AND(LEFT(Grade,8)&lt;&gt;"ITEM3001",LEFT(Grade,7)&lt;&gt;"ITEM342")</formula>
    </cfRule>
  </conditionalFormatting>
  <conditionalFormatting sqref="I66:M66">
    <cfRule type="expression" priority="39" dxfId="20" stopIfTrue="1">
      <formula>(AND(LEFT(Grade,7)&lt;&gt;"ITEM344",LEFT(Grade,7)&lt;&gt;"ITEM346"))</formula>
    </cfRule>
  </conditionalFormatting>
  <conditionalFormatting sqref="I68:J69">
    <cfRule type="expression" priority="40" dxfId="15" stopIfTrue="1">
      <formula>version&lt;&gt;"1"</formula>
    </cfRule>
    <cfRule type="expression" priority="41" dxfId="28" stopIfTrue="1">
      <formula>(AND(LEFT(Grade,7)&lt;&gt;"ITEM344",LEFT(Grade,7)&lt;&gt;"ITEM346"))</formula>
    </cfRule>
  </conditionalFormatting>
  <conditionalFormatting sqref="K68:M69">
    <cfRule type="expression" priority="42" dxfId="15" stopIfTrue="1">
      <formula>version&lt;&gt;"3"</formula>
    </cfRule>
    <cfRule type="expression" priority="43" dxfId="20" stopIfTrue="1">
      <formula>(AND(LEFT(Grade,7)&lt;&gt;"ITEM344",LEFT(Grade,7)&lt;&gt;"ITEM346"))</formula>
    </cfRule>
  </conditionalFormatting>
  <dataValidations count="1">
    <dataValidation type="textLength" operator="lessThan" allowBlank="1" showInputMessage="1" showErrorMessage="1" errorTitle="Text Length" error="Please limit the text length to 200 characters." sqref="B72:M73">
      <formula1>201</formula1>
    </dataValidation>
  </dataValidations>
  <printOptions/>
  <pageMargins left="0.33" right="0.24" top="0.35" bottom="0.49" header="0.18" footer="0.27"/>
  <pageSetup fitToHeight="1" fitToWidth="1" horizontalDpi="600" verticalDpi="600" orientation="landscape" scale="73" r:id="rId1"/>
</worksheet>
</file>

<file path=xl/worksheets/sheet7.xml><?xml version="1.0" encoding="utf-8"?>
<worksheet xmlns="http://schemas.openxmlformats.org/spreadsheetml/2006/main" xmlns:r="http://schemas.openxmlformats.org/officeDocument/2006/relationships">
  <sheetPr codeName="Sheet10"/>
  <dimension ref="A1:O45"/>
  <sheetViews>
    <sheetView workbookViewId="0" topLeftCell="A19">
      <selection activeCell="B12" sqref="B12:D12"/>
    </sheetView>
  </sheetViews>
  <sheetFormatPr defaultColWidth="9.140625" defaultRowHeight="12.75"/>
  <cols>
    <col min="1" max="1" width="1.28515625" style="286" customWidth="1"/>
    <col min="2" max="13" width="8.00390625" style="286" customWidth="1"/>
    <col min="14" max="16" width="9.140625" style="286" customWidth="1"/>
    <col min="17" max="17" width="9.57421875" style="286" bestFit="1" customWidth="1"/>
    <col min="18" max="16384" width="9.140625" style="286" customWidth="1"/>
  </cols>
  <sheetData>
    <row r="1" spans="2:13" ht="15.75">
      <c r="B1" s="817" t="s">
        <v>0</v>
      </c>
      <c r="C1" s="817"/>
      <c r="D1" s="817"/>
      <c r="E1" s="817"/>
      <c r="F1" s="817"/>
      <c r="G1" s="817"/>
      <c r="H1" s="817"/>
      <c r="I1" s="817"/>
      <c r="J1" s="817"/>
      <c r="K1" s="817"/>
      <c r="L1" s="817"/>
      <c r="M1" s="817"/>
    </row>
    <row r="2" ht="12.75">
      <c r="B2" s="286" t="s">
        <v>161</v>
      </c>
    </row>
    <row r="3" spans="2:13" ht="3.75" customHeight="1">
      <c r="B3" s="817" t="s">
        <v>156</v>
      </c>
      <c r="C3" s="817"/>
      <c r="D3" s="817"/>
      <c r="E3" s="817"/>
      <c r="F3" s="817"/>
      <c r="G3" s="817"/>
      <c r="H3" s="817"/>
      <c r="I3" s="817"/>
      <c r="J3" s="817"/>
      <c r="K3" s="817"/>
      <c r="L3" s="817"/>
      <c r="M3" s="817"/>
    </row>
    <row r="4" spans="2:13" ht="12.75">
      <c r="B4" s="817"/>
      <c r="C4" s="817"/>
      <c r="D4" s="817"/>
      <c r="E4" s="817"/>
      <c r="F4" s="817"/>
      <c r="G4" s="817"/>
      <c r="H4" s="817"/>
      <c r="I4" s="817"/>
      <c r="J4" s="817"/>
      <c r="K4" s="817"/>
      <c r="L4" s="817"/>
      <c r="M4" s="817"/>
    </row>
    <row r="5" spans="2:13" ht="10.5" customHeight="1">
      <c r="B5" s="287"/>
      <c r="C5" s="287"/>
      <c r="D5" s="287"/>
      <c r="E5" s="287"/>
      <c r="F5" s="287"/>
      <c r="G5" s="287"/>
      <c r="H5" s="287"/>
      <c r="I5" s="287"/>
      <c r="J5" s="287"/>
      <c r="K5" s="287"/>
      <c r="L5" s="287"/>
      <c r="M5" s="287"/>
    </row>
    <row r="6" spans="1:14" ht="12.75">
      <c r="A6" s="289"/>
      <c r="B6" s="815" t="s">
        <v>46</v>
      </c>
      <c r="C6" s="815"/>
      <c r="D6" s="815"/>
      <c r="E6" s="814" t="str">
        <f>IF(sampleid="","",sampleid)</f>
        <v>TTI_Hoban+Turner_SMA</v>
      </c>
      <c r="F6" s="814"/>
      <c r="G6" s="814"/>
      <c r="H6" s="815" t="s">
        <v>111</v>
      </c>
      <c r="I6" s="815"/>
      <c r="J6" s="815"/>
      <c r="K6" s="814" t="str">
        <f>IF(sampleddate="","",sampleddate)</f>
        <v>11/18/2010</v>
      </c>
      <c r="L6" s="814"/>
      <c r="M6" s="814"/>
      <c r="N6" s="294"/>
    </row>
    <row r="7" spans="1:14" ht="12.75">
      <c r="A7" s="289"/>
      <c r="B7" s="815" t="s">
        <v>47</v>
      </c>
      <c r="C7" s="815"/>
      <c r="D7" s="815"/>
      <c r="E7" s="814">
        <f>IF(testnumber="","",testnumber)</f>
      </c>
      <c r="F7" s="814"/>
      <c r="G7" s="814"/>
      <c r="H7" s="815" t="s">
        <v>48</v>
      </c>
      <c r="I7" s="815"/>
      <c r="J7" s="815"/>
      <c r="K7" s="814">
        <f>IF(lettingdate="","",lettingdate)</f>
      </c>
      <c r="L7" s="814"/>
      <c r="M7" s="814"/>
      <c r="N7" s="294"/>
    </row>
    <row r="8" spans="1:14" ht="12.75">
      <c r="A8" s="289"/>
      <c r="B8" s="815" t="s">
        <v>417</v>
      </c>
      <c r="C8" s="815"/>
      <c r="D8" s="815"/>
      <c r="E8" s="814">
        <f>IF(status="","",status)</f>
      </c>
      <c r="F8" s="814"/>
      <c r="G8" s="814"/>
      <c r="H8" s="815" t="s">
        <v>49</v>
      </c>
      <c r="I8" s="815"/>
      <c r="J8" s="815"/>
      <c r="K8" s="814">
        <f>IF(ccsj="","",ccsj)</f>
      </c>
      <c r="L8" s="814"/>
      <c r="M8" s="814"/>
      <c r="N8" s="294"/>
    </row>
    <row r="9" spans="1:14" ht="12.75">
      <c r="A9" s="289"/>
      <c r="B9" s="815" t="s">
        <v>50</v>
      </c>
      <c r="C9" s="815"/>
      <c r="D9" s="815"/>
      <c r="E9" s="814">
        <f>IF(county="","",county)</f>
      </c>
      <c r="F9" s="814"/>
      <c r="G9" s="814"/>
      <c r="H9" s="815" t="s">
        <v>51</v>
      </c>
      <c r="I9" s="815"/>
      <c r="J9" s="815"/>
      <c r="K9" s="814" t="str">
        <f>+IF(specyear="","",specyear)</f>
        <v>2004</v>
      </c>
      <c r="L9" s="814"/>
      <c r="M9" s="814"/>
      <c r="N9" s="294"/>
    </row>
    <row r="10" spans="1:14" ht="12.75">
      <c r="A10" s="289"/>
      <c r="B10" s="815" t="s">
        <v>52</v>
      </c>
      <c r="C10" s="815"/>
      <c r="D10" s="815"/>
      <c r="E10" s="814" t="str">
        <f>IF(sampledby="","",sampledby)</f>
        <v>Xiaodi </v>
      </c>
      <c r="F10" s="814"/>
      <c r="G10" s="814"/>
      <c r="H10" s="815" t="s">
        <v>53</v>
      </c>
      <c r="I10" s="815"/>
      <c r="J10" s="815"/>
      <c r="K10" s="814">
        <f>IF(specitem="","",specitem)</f>
      </c>
      <c r="L10" s="814"/>
      <c r="M10" s="814"/>
      <c r="N10" s="294"/>
    </row>
    <row r="11" spans="1:14" ht="12.75">
      <c r="A11" s="289"/>
      <c r="B11" s="815" t="s">
        <v>54</v>
      </c>
      <c r="C11" s="815"/>
      <c r="D11" s="815"/>
      <c r="E11" s="814" t="str">
        <f>IF(samplelocation="","",samplelocation)</f>
        <v>TTI</v>
      </c>
      <c r="F11" s="814"/>
      <c r="G11" s="814"/>
      <c r="H11" s="815" t="s">
        <v>55</v>
      </c>
      <c r="I11" s="815"/>
      <c r="J11" s="815"/>
      <c r="K11" s="814">
        <f>IF(specialprovision="","",specialprovision)</f>
      </c>
      <c r="L11" s="814"/>
      <c r="M11" s="814"/>
      <c r="N11" s="294"/>
    </row>
    <row r="12" spans="1:14" ht="12.75">
      <c r="A12" s="289"/>
      <c r="B12" s="815" t="s">
        <v>418</v>
      </c>
      <c r="C12" s="815"/>
      <c r="D12" s="815"/>
      <c r="E12" s="814">
        <f>IF(material="","",material)</f>
      </c>
      <c r="F12" s="814"/>
      <c r="G12" s="814"/>
      <c r="H12" s="815" t="s">
        <v>56</v>
      </c>
      <c r="I12" s="815"/>
      <c r="J12" s="815"/>
      <c r="K12" s="814" t="str">
        <f>IF(Grade="","",Grade)</f>
        <v>Other</v>
      </c>
      <c r="L12" s="814"/>
      <c r="M12" s="814"/>
      <c r="N12" s="294"/>
    </row>
    <row r="13" spans="1:14" ht="12.75">
      <c r="A13" s="289"/>
      <c r="B13" s="815" t="s">
        <v>416</v>
      </c>
      <c r="C13" s="815"/>
      <c r="D13" s="815"/>
      <c r="E13" s="816">
        <f>IF(matl_nm="","",matl_nm)</f>
      </c>
      <c r="F13" s="816"/>
      <c r="G13" s="816"/>
      <c r="H13" s="816"/>
      <c r="I13" s="816"/>
      <c r="J13" s="816"/>
      <c r="K13" s="816"/>
      <c r="L13" s="816"/>
      <c r="M13" s="816"/>
      <c r="N13" s="294"/>
    </row>
    <row r="14" spans="1:14" ht="12.75">
      <c r="A14" s="289"/>
      <c r="B14" s="815" t="s">
        <v>57</v>
      </c>
      <c r="C14" s="815"/>
      <c r="D14" s="815"/>
      <c r="E14" s="801">
        <f>IF(producer="","",producer)</f>
      </c>
      <c r="F14" s="801"/>
      <c r="G14" s="801"/>
      <c r="H14" s="801"/>
      <c r="I14" s="801"/>
      <c r="J14" s="801"/>
      <c r="K14" s="801"/>
      <c r="L14" s="801"/>
      <c r="M14" s="801"/>
      <c r="N14" s="294"/>
    </row>
    <row r="15" spans="1:14" ht="12.75">
      <c r="A15" s="289"/>
      <c r="B15" s="815" t="s">
        <v>58</v>
      </c>
      <c r="C15" s="815"/>
      <c r="D15" s="815"/>
      <c r="E15" s="808">
        <f>IF(areaengineer="","",areaengineer)</f>
      </c>
      <c r="F15" s="810"/>
      <c r="G15" s="809"/>
      <c r="H15" s="801" t="s">
        <v>59</v>
      </c>
      <c r="I15" s="801"/>
      <c r="J15" s="801"/>
      <c r="K15" s="808">
        <f>IF(projectmanager="","",projectmanager)</f>
      </c>
      <c r="L15" s="810"/>
      <c r="M15" s="809"/>
      <c r="N15" s="294"/>
    </row>
    <row r="16" spans="1:14" ht="6" customHeight="1">
      <c r="A16"/>
      <c r="B16" s="288"/>
      <c r="C16" s="288"/>
      <c r="D16" s="288"/>
      <c r="E16" s="288"/>
      <c r="F16" s="288"/>
      <c r="G16" s="288"/>
      <c r="H16" s="288"/>
      <c r="I16" s="288"/>
      <c r="J16" s="288"/>
      <c r="K16" s="288"/>
      <c r="L16" s="288"/>
      <c r="M16" s="288"/>
      <c r="N16" s="290"/>
    </row>
    <row r="17" spans="1:14" ht="12.75">
      <c r="A17" s="289"/>
      <c r="B17" s="811" t="s">
        <v>1</v>
      </c>
      <c r="C17" s="812"/>
      <c r="D17" s="813"/>
      <c r="E17" s="285">
        <f>IF(courselift="","",courselift)</f>
      </c>
      <c r="F17" s="811" t="s">
        <v>2</v>
      </c>
      <c r="G17" s="813"/>
      <c r="H17" s="808">
        <f>IF(station="","",station)</f>
      </c>
      <c r="I17" s="809"/>
      <c r="J17" s="811" t="s">
        <v>3</v>
      </c>
      <c r="K17" s="813"/>
      <c r="L17" s="808">
        <f>IF(distfromcl="","",distfromcl)</f>
      </c>
      <c r="M17" s="809"/>
      <c r="N17"/>
    </row>
    <row r="18" spans="1:13" ht="12.75">
      <c r="A18"/>
      <c r="B18" s="292"/>
      <c r="C18" s="292"/>
      <c r="D18" s="292"/>
      <c r="E18" s="292"/>
      <c r="F18" s="292"/>
      <c r="G18" s="292"/>
      <c r="H18" s="292"/>
      <c r="I18" s="292"/>
      <c r="J18" s="292"/>
      <c r="K18" s="292"/>
      <c r="L18" s="292"/>
      <c r="M18" s="293"/>
    </row>
    <row r="19" spans="2:13" ht="12.75">
      <c r="B19"/>
      <c r="C19" s="287"/>
      <c r="D19" s="287"/>
      <c r="E19" s="287"/>
      <c r="F19" s="287"/>
      <c r="G19" s="287"/>
      <c r="H19" s="287"/>
      <c r="I19" s="287"/>
      <c r="J19" s="287"/>
      <c r="K19" s="287"/>
      <c r="L19" s="287"/>
      <c r="M19"/>
    </row>
    <row r="20" spans="2:13" ht="12.75">
      <c r="B20" s="291"/>
      <c r="C20" s="799" t="s">
        <v>4</v>
      </c>
      <c r="D20" s="799"/>
      <c r="E20" s="799" t="s">
        <v>318</v>
      </c>
      <c r="F20" s="799"/>
      <c r="G20" s="799" t="s">
        <v>319</v>
      </c>
      <c r="H20" s="799"/>
      <c r="I20" s="799" t="s">
        <v>320</v>
      </c>
      <c r="J20" s="799"/>
      <c r="K20" s="799" t="s">
        <v>323</v>
      </c>
      <c r="L20" s="799"/>
      <c r="M20" s="294"/>
    </row>
    <row r="21" spans="2:13" ht="12.75">
      <c r="B21" s="291"/>
      <c r="C21" s="799"/>
      <c r="D21" s="799"/>
      <c r="E21" s="799"/>
      <c r="F21" s="799"/>
      <c r="G21" s="799"/>
      <c r="H21" s="799"/>
      <c r="I21" s="799"/>
      <c r="J21" s="799"/>
      <c r="K21" s="799"/>
      <c r="L21" s="799"/>
      <c r="M21" s="294"/>
    </row>
    <row r="22" spans="2:13" ht="12.75">
      <c r="B22" s="291"/>
      <c r="C22" s="801" t="str">
        <f ca="1">IF(ISERROR(INDEX(INDIRECT(Grade),1,IF(specyear="2004",2,3))),"",INDEX(INDIRECT(Grade),1,IF(specyear="2004",2,3)))</f>
        <v>3/8"</v>
      </c>
      <c r="D22" s="801"/>
      <c r="E22" s="801">
        <f>IF(C22="","",INDEX(DUST,1,16))</f>
        <v>99.69999999999999</v>
      </c>
      <c r="F22" s="801"/>
      <c r="G22" s="801" t="e">
        <f ca="1">INDEX(INDIRECT(Grade),1,14)</f>
        <v>#REF!</v>
      </c>
      <c r="H22" s="801"/>
      <c r="I22" s="798" t="str">
        <f>IF(ISERROR(G22*E22/100),"-",G22*E22/100)</f>
        <v>-</v>
      </c>
      <c r="J22" s="798"/>
      <c r="K22" s="802">
        <f>IF(ISERROR((EffSG-Gsb)/(Gsb*EffSG)*SGAsph*100),"",((EffSG-Gsb)/(Gsb*EffSG))*SGAsph*100)</f>
      </c>
      <c r="L22" s="803"/>
      <c r="M22" s="294"/>
    </row>
    <row r="23" spans="2:13" ht="12.75">
      <c r="B23" s="291"/>
      <c r="C23" s="801" t="str">
        <f ca="1">IF(ISERROR(INDEX(INDIRECT(Grade),2,IF(specyear="2004",2,3))),"",INDEX(INDIRECT(Grade),2,IF(specyear="2004",2,3)))</f>
        <v>No. 4</v>
      </c>
      <c r="D23" s="801"/>
      <c r="E23" s="801">
        <f>IF(C23="","",INDEX(DUST,2,16))</f>
        <v>53.38</v>
      </c>
      <c r="F23" s="801"/>
      <c r="G23" s="801" t="e">
        <f ca="1">INDEX(INDIRECT(Grade),2,14)</f>
        <v>#REF!</v>
      </c>
      <c r="H23" s="801"/>
      <c r="I23" s="798" t="str">
        <f aca="true" t="shared" si="0" ref="I23:I31">IF(ISERROR(G23*E23/100),"-",G23*E23/100)</f>
        <v>-</v>
      </c>
      <c r="J23" s="798"/>
      <c r="K23" s="804"/>
      <c r="L23" s="805"/>
      <c r="M23" s="294"/>
    </row>
    <row r="24" spans="2:13" ht="12.75">
      <c r="B24" s="291"/>
      <c r="C24" s="801" t="str">
        <f ca="1">IF(ISERROR(INDEX(INDIRECT(Grade),3,IF(specyear="2004",2,3))),"",INDEX(INDIRECT(Grade),3,IF(specyear="2004",2,3)))</f>
        <v>No. 8</v>
      </c>
      <c r="D24" s="801"/>
      <c r="E24" s="801">
        <f>IF(C24="","",INDEX(DUST,3,16))</f>
        <v>34.2</v>
      </c>
      <c r="F24" s="801"/>
      <c r="G24" s="801" t="e">
        <f ca="1">INDEX(INDIRECT(Grade),3,14)</f>
        <v>#REF!</v>
      </c>
      <c r="H24" s="801"/>
      <c r="I24" s="798" t="str">
        <f t="shared" si="0"/>
        <v>-</v>
      </c>
      <c r="J24" s="798"/>
      <c r="K24" s="804"/>
      <c r="L24" s="805"/>
      <c r="M24" s="294"/>
    </row>
    <row r="25" spans="2:13" ht="12.75">
      <c r="B25" s="291"/>
      <c r="C25" s="801" t="str">
        <f ca="1">IF(ISERROR(INDEX(INDIRECT(Grade),4,IF(specyear="2004",2,3))),"",INDEX(INDIRECT(Grade),4,IF(specyear="2004",2,3)))</f>
        <v>No. 16</v>
      </c>
      <c r="D25" s="801"/>
      <c r="E25" s="801">
        <f>IF(C25="","",INDEX(DUST,4,16))</f>
        <v>22.700000000000003</v>
      </c>
      <c r="F25" s="801"/>
      <c r="G25" s="801" t="e">
        <f ca="1">INDEX(INDIRECT(Grade),4,14)</f>
        <v>#REF!</v>
      </c>
      <c r="H25" s="801"/>
      <c r="I25" s="798" t="str">
        <f t="shared" si="0"/>
        <v>-</v>
      </c>
      <c r="J25" s="798"/>
      <c r="K25" s="804"/>
      <c r="L25" s="805"/>
      <c r="M25" s="294"/>
    </row>
    <row r="26" spans="2:13" ht="12.75">
      <c r="B26" s="291"/>
      <c r="C26" s="801" t="str">
        <f ca="1">IF(ISERROR(INDEX(INDIRECT(Grade),5,IF(specyear="2004",2,3))),"",INDEX(INDIRECT(Grade),5,IF(specyear="2004",2,3)))</f>
        <v>No. 30</v>
      </c>
      <c r="D26" s="801"/>
      <c r="E26" s="801">
        <f>IF(C26="","",INDEX(DUST,5,16))</f>
        <v>17.34</v>
      </c>
      <c r="F26" s="801"/>
      <c r="G26" s="801" t="e">
        <f ca="1">INDEX(INDIRECT(Grade),5,14)</f>
        <v>#REF!</v>
      </c>
      <c r="H26" s="801"/>
      <c r="I26" s="798" t="str">
        <f t="shared" si="0"/>
        <v>-</v>
      </c>
      <c r="J26" s="798"/>
      <c r="K26" s="804"/>
      <c r="L26" s="805"/>
      <c r="M26" s="294"/>
    </row>
    <row r="27" spans="2:13" ht="12.75">
      <c r="B27" s="291"/>
      <c r="C27" s="801" t="str">
        <f ca="1">IF(ISERROR(INDEX(INDIRECT(Grade),6,IF(specyear="2004",2,3))),"",INDEX(INDIRECT(Grade),6,IF(specyear="2004",2,3)))</f>
        <v>No. 50</v>
      </c>
      <c r="D27" s="801"/>
      <c r="E27" s="801">
        <f>IF(C27="","",INDEX(DUST,6,16))</f>
        <v>13.36</v>
      </c>
      <c r="F27" s="801"/>
      <c r="G27" s="801" t="e">
        <f ca="1">INDEX(INDIRECT(Grade),6,14)</f>
        <v>#REF!</v>
      </c>
      <c r="H27" s="801"/>
      <c r="I27" s="798" t="str">
        <f t="shared" si="0"/>
        <v>-</v>
      </c>
      <c r="J27" s="798"/>
      <c r="K27" s="804"/>
      <c r="L27" s="805"/>
      <c r="M27" s="294"/>
    </row>
    <row r="28" spans="2:13" ht="12.75">
      <c r="B28" s="291"/>
      <c r="C28" s="801" t="str">
        <f ca="1">IF(ISERROR(INDEX(INDIRECT(Grade),7,IF(specyear="2004",2,3))),"",INDEX(INDIRECT(Grade),7,IF(specyear="2004",2,3)))</f>
        <v>No. 200</v>
      </c>
      <c r="D28" s="801"/>
      <c r="E28" s="801">
        <f>IF(C28="","",INDEX(DUST,7,16))</f>
        <v>7.62</v>
      </c>
      <c r="F28" s="801"/>
      <c r="G28" s="801" t="e">
        <f ca="1">INDEX(INDIRECT(Grade),7,14)</f>
        <v>#REF!</v>
      </c>
      <c r="H28" s="801"/>
      <c r="I28" s="798" t="str">
        <f t="shared" si="0"/>
        <v>-</v>
      </c>
      <c r="J28" s="798"/>
      <c r="K28" s="804"/>
      <c r="L28" s="805"/>
      <c r="M28" s="294"/>
    </row>
    <row r="29" spans="2:14" ht="12.75">
      <c r="B29" s="291"/>
      <c r="C29" s="801">
        <f ca="1">IF(ISERROR(INDEX(INDIRECT(Grade),8,IF(specyear="2004",2,3))),"",INDEX(INDIRECT(Grade),8,IF(specyear="2004",2,3)))</f>
        <v>0</v>
      </c>
      <c r="D29" s="801"/>
      <c r="E29" s="801">
        <f>IF(C29="","",INDEX(DUST,8,16))</f>
        <v>0</v>
      </c>
      <c r="F29" s="801"/>
      <c r="G29" s="801" t="e">
        <f ca="1">INDEX(INDIRECT(Grade),8,14)</f>
        <v>#REF!</v>
      </c>
      <c r="H29" s="801"/>
      <c r="I29" s="798" t="str">
        <f t="shared" si="0"/>
        <v>-</v>
      </c>
      <c r="J29" s="798"/>
      <c r="K29" s="804"/>
      <c r="L29" s="805"/>
      <c r="M29" s="294"/>
      <c r="N29" s="303"/>
    </row>
    <row r="30" spans="2:14" ht="12.75">
      <c r="B30" s="291"/>
      <c r="C30" s="801">
        <f ca="1">IF(ISERROR(INDEX(INDIRECT(Grade),9,IF(specyear="2004",2,3))),"",INDEX(INDIRECT(Grade),9,IF(specyear="2004",2,3)))</f>
        <v>0</v>
      </c>
      <c r="D30" s="801"/>
      <c r="E30" s="801">
        <f>IF(C30="","",INDEX(DUST,9,16))</f>
        <v>0</v>
      </c>
      <c r="F30" s="801"/>
      <c r="G30" s="801">
        <f ca="1">IF(ISERROR(INDEX(INDIRECT(Grade),9,14)),"",INDEX(INDIRECT(Grade),9,14))</f>
      </c>
      <c r="H30" s="801"/>
      <c r="I30" s="798" t="str">
        <f t="shared" si="0"/>
        <v>-</v>
      </c>
      <c r="J30" s="798"/>
      <c r="K30" s="804"/>
      <c r="L30" s="805"/>
      <c r="M30" s="294"/>
      <c r="N30" s="303"/>
    </row>
    <row r="31" spans="2:13" ht="12.75">
      <c r="B31" s="291"/>
      <c r="C31" s="801">
        <f ca="1">IF(ISERROR(INDEX(INDIRECT(Grade),10,IF(specyear="2004",2,3))),"",INDEX(INDIRECT(Grade),10,IF(specyear="2004",2,3)))</f>
        <v>0</v>
      </c>
      <c r="D31" s="801"/>
      <c r="E31" s="801">
        <f>IF(C31="","",INDEX(DUST,10,16))</f>
        <v>0</v>
      </c>
      <c r="F31" s="801"/>
      <c r="G31" s="801">
        <f ca="1">IF(ISERROR(INDEX(INDIRECT(Grade),10,14)),"",INDEX(INDIRECT(Grade),10,14))</f>
      </c>
      <c r="H31" s="801"/>
      <c r="I31" s="798" t="str">
        <f t="shared" si="0"/>
        <v>-</v>
      </c>
      <c r="J31" s="798"/>
      <c r="K31" s="806"/>
      <c r="L31" s="807"/>
      <c r="M31" s="294"/>
    </row>
    <row r="32" spans="2:13" ht="12.75">
      <c r="B32"/>
      <c r="C32" s="295"/>
      <c r="D32" s="295"/>
      <c r="E32" s="295"/>
      <c r="F32" s="295"/>
      <c r="G32" s="295"/>
      <c r="H32" s="295"/>
      <c r="I32" s="295"/>
      <c r="J32" s="292"/>
      <c r="K32" s="292"/>
      <c r="L32" s="292"/>
      <c r="M32"/>
    </row>
    <row r="33" spans="2:10" ht="20.25" customHeight="1">
      <c r="B33" s="290"/>
      <c r="C33" s="799" t="s">
        <v>66</v>
      </c>
      <c r="D33" s="799"/>
      <c r="E33" s="794" t="s">
        <v>167</v>
      </c>
      <c r="F33" s="795"/>
      <c r="G33" s="486" t="s">
        <v>321</v>
      </c>
      <c r="H33" s="487"/>
      <c r="I33" s="454" t="s">
        <v>322</v>
      </c>
      <c r="J33" s="454"/>
    </row>
    <row r="34" spans="2:10" ht="20.25" customHeight="1">
      <c r="B34" s="290"/>
      <c r="C34" s="799"/>
      <c r="D34" s="799"/>
      <c r="E34" s="796"/>
      <c r="F34" s="797"/>
      <c r="G34" s="488"/>
      <c r="H34" s="489"/>
      <c r="I34" s="454"/>
      <c r="J34" s="454"/>
    </row>
    <row r="35" spans="2:15" ht="12.75">
      <c r="B35" s="290"/>
      <c r="C35" s="788">
        <f>filmac1</f>
      </c>
      <c r="D35" s="788"/>
      <c r="E35" s="792">
        <f>filmgr1</f>
      </c>
      <c r="F35" s="793"/>
      <c r="G35" s="790">
        <f>IF(C35="","",C35-((Pba*(100-C35))/100))</f>
      </c>
      <c r="H35" s="791"/>
      <c r="I35" s="798">
        <f>IF(G35="","",1000000*((G35/100)/(1-(G35/100))/(SUM(I$22:I$31)*SGAsph*1000)))</f>
      </c>
      <c r="J35" s="798"/>
      <c r="O35" s="304"/>
    </row>
    <row r="36" spans="2:10" ht="12.75">
      <c r="B36" s="290"/>
      <c r="C36" s="788">
        <f>filmac2</f>
      </c>
      <c r="D36" s="788"/>
      <c r="E36" s="792">
        <f>filmgr2</f>
      </c>
      <c r="F36" s="793"/>
      <c r="G36" s="790">
        <f>IF(C36="","",C36-((Pba*(100-C36))/100))</f>
      </c>
      <c r="H36" s="791"/>
      <c r="I36" s="798">
        <f>IF(G36="","",1000000*((G36/100)/(1-(G36/100))/(SUM(I$22:I$31)*SGAsph*1000)))</f>
      </c>
      <c r="J36" s="798"/>
    </row>
    <row r="37" spans="2:10" ht="12.75">
      <c r="B37" s="290"/>
      <c r="C37" s="788">
        <f>IF(filmac3="","",filmac3)</f>
      </c>
      <c r="D37" s="788"/>
      <c r="E37" s="792">
        <f>IF(filmgr3="","",filmgr3)</f>
      </c>
      <c r="F37" s="793"/>
      <c r="G37" s="790">
        <f>IF(C37="","",C37-((Pba*(100-C37))/100))</f>
      </c>
      <c r="H37" s="791"/>
      <c r="I37" s="798">
        <f>IF(G37="","",1000000*((G37/100)/(1-(G37/100))/(SUM(I$22:I$31)*SGAsph*1000)))</f>
      </c>
      <c r="J37" s="798"/>
    </row>
    <row r="38" spans="2:10" ht="12.75">
      <c r="B38" s="290"/>
      <c r="C38" s="788">
        <f>filmac4</f>
      </c>
      <c r="D38" s="788"/>
      <c r="E38" s="792">
        <f>filmgr4</f>
      </c>
      <c r="F38" s="793"/>
      <c r="G38" s="790">
        <f>IF(C38="","",C38-((Pba*(100-C38))/100))</f>
      </c>
      <c r="H38" s="791"/>
      <c r="I38" s="798">
        <f>IF(G38="","",1000000*((G38/100)/(1-(G38/100))/(SUM(I$22:I$31)*SGAsph*1000)))</f>
      </c>
      <c r="J38" s="798"/>
    </row>
    <row r="39" spans="2:10" ht="12.75">
      <c r="B39" s="290"/>
      <c r="C39" s="788">
        <f>filmac5</f>
      </c>
      <c r="D39" s="788"/>
      <c r="E39" s="792">
        <f>filmgr5</f>
      </c>
      <c r="F39" s="793"/>
      <c r="G39" s="790">
        <f>IF(C39="","",C39-((Pba*(100-C39))/100))</f>
      </c>
      <c r="H39" s="791"/>
      <c r="I39" s="798">
        <f>IF(G39="","",1000000*((G39/100)/(1-(G39/100))/(SUM(I$22:I$31)*SGAsph*1000)))</f>
      </c>
      <c r="J39" s="798"/>
    </row>
    <row r="40" spans="3:9" ht="12.75">
      <c r="C40" s="296"/>
      <c r="D40" s="296"/>
      <c r="E40" s="296"/>
      <c r="F40" s="297"/>
      <c r="G40" s="297"/>
      <c r="H40" s="297"/>
      <c r="I40" s="297"/>
    </row>
    <row r="41" spans="2:13" ht="27.75" customHeight="1">
      <c r="B41" s="799" t="s">
        <v>333</v>
      </c>
      <c r="C41" s="799"/>
      <c r="D41" s="799" t="s">
        <v>334</v>
      </c>
      <c r="E41" s="799"/>
      <c r="F41" s="799" t="s">
        <v>336</v>
      </c>
      <c r="G41" s="799"/>
      <c r="H41" s="799" t="s">
        <v>335</v>
      </c>
      <c r="I41" s="799"/>
      <c r="J41" s="799" t="s">
        <v>337</v>
      </c>
      <c r="K41" s="799"/>
      <c r="L41" s="799" t="s">
        <v>338</v>
      </c>
      <c r="M41" s="799"/>
    </row>
    <row r="42" spans="2:13" ht="27.75" customHeight="1">
      <c r="B42" s="799"/>
      <c r="C42" s="799"/>
      <c r="D42" s="799"/>
      <c r="E42" s="799"/>
      <c r="F42" s="799"/>
      <c r="G42" s="799"/>
      <c r="H42" s="799"/>
      <c r="I42" s="799"/>
      <c r="J42" s="799"/>
      <c r="K42" s="799"/>
      <c r="L42" s="799"/>
      <c r="M42" s="799"/>
    </row>
    <row r="43" spans="2:13" ht="12.75">
      <c r="B43" s="800">
        <f>IF(OR(Gsb="",filmac3="",filmgr3=""),"",(9*SUM('Film Thickness'!I22:J31)*SGAsph*(100+Pba)+1000*Pba)/(9*SUM('Film Thickness'!I22:J31)*SGAsph*(1+Pba/100)+1000+10*Pba))</f>
      </c>
      <c r="C43" s="800"/>
      <c r="D43" s="800">
        <f>IF(OR(Gsb="",filmac3="",filmgr3=""),"",B43-(Pba*(100-B43)/100))</f>
      </c>
      <c r="E43" s="800"/>
      <c r="F43" s="800">
        <f>IF(OR(Gsb="",filmac3="",filmgr3=""),"",1000000*((D43/100)/(1-(D43/100))/(SUM(I$22:J$31)*SGAsph*1000)))</f>
      </c>
      <c r="G43" s="800"/>
      <c r="H43" s="800">
        <f>IF(OR(Gsb="",filmac3="",filmgr3=""),"",(11*SUM('Film Thickness'!I22:J31)*SGAsph*(100+Pba)+1000*Pba)/(11*SUM('Film Thickness'!I22:J31)*SGAsph*(1+Pba/100)+1000+10*Pba))</f>
      </c>
      <c r="I43" s="800"/>
      <c r="J43" s="800">
        <f>IF(OR(Gsb="",filmac3="",filmgr3=""),"",H43-(Pba*(100-H43)/100))</f>
      </c>
      <c r="K43" s="800"/>
      <c r="L43" s="800">
        <f>IF(OR(Gsb="",filmac3="",filmgr3=""),"",1000000*((J43/100)/(1-(J43/100))/(SUM(I$22:J$31)*SGAsph*1000)))</f>
      </c>
      <c r="M43" s="800"/>
    </row>
    <row r="44" spans="2:13" ht="12.75">
      <c r="B44" s="800"/>
      <c r="C44" s="800"/>
      <c r="D44" s="800"/>
      <c r="E44" s="800"/>
      <c r="F44" s="800"/>
      <c r="G44" s="800"/>
      <c r="H44" s="800"/>
      <c r="I44" s="800"/>
      <c r="J44" s="800"/>
      <c r="K44" s="800"/>
      <c r="L44" s="800"/>
      <c r="M44" s="800"/>
    </row>
    <row r="45" spans="5:10" ht="12.75">
      <c r="E45" s="296"/>
      <c r="F45" s="296"/>
      <c r="G45" s="296"/>
      <c r="H45" s="296"/>
      <c r="I45" s="296"/>
      <c r="J45" s="296"/>
    </row>
  </sheetData>
  <sheetProtection password="DE07" sheet="1" formatCells="0" formatColumns="0" formatRows="0"/>
  <mergeCells count="125">
    <mergeCell ref="E39:F39"/>
    <mergeCell ref="F43:G44"/>
    <mergeCell ref="D41:E42"/>
    <mergeCell ref="D43:E44"/>
    <mergeCell ref="F41:G42"/>
    <mergeCell ref="C37:D37"/>
    <mergeCell ref="C38:D38"/>
    <mergeCell ref="C39:D39"/>
    <mergeCell ref="B43:C44"/>
    <mergeCell ref="B41:C42"/>
    <mergeCell ref="B1:M1"/>
    <mergeCell ref="B3:M4"/>
    <mergeCell ref="B6:D6"/>
    <mergeCell ref="B7:D7"/>
    <mergeCell ref="E6:G6"/>
    <mergeCell ref="E7:G7"/>
    <mergeCell ref="E10:G10"/>
    <mergeCell ref="E11:G11"/>
    <mergeCell ref="E12:G12"/>
    <mergeCell ref="B8:D8"/>
    <mergeCell ref="B9:D9"/>
    <mergeCell ref="B10:D10"/>
    <mergeCell ref="B11:D11"/>
    <mergeCell ref="E8:G8"/>
    <mergeCell ref="E9:G9"/>
    <mergeCell ref="H12:J12"/>
    <mergeCell ref="B12:D12"/>
    <mergeCell ref="B14:D14"/>
    <mergeCell ref="B15:D15"/>
    <mergeCell ref="B13:D13"/>
    <mergeCell ref="E13:M13"/>
    <mergeCell ref="K15:M15"/>
    <mergeCell ref="H15:J15"/>
    <mergeCell ref="H8:J8"/>
    <mergeCell ref="H9:J9"/>
    <mergeCell ref="H10:J10"/>
    <mergeCell ref="H11:J11"/>
    <mergeCell ref="K8:M8"/>
    <mergeCell ref="K7:M7"/>
    <mergeCell ref="K6:M6"/>
    <mergeCell ref="E14:M14"/>
    <mergeCell ref="K12:M12"/>
    <mergeCell ref="K11:M11"/>
    <mergeCell ref="K10:M10"/>
    <mergeCell ref="K9:M9"/>
    <mergeCell ref="H6:J6"/>
    <mergeCell ref="H7:J7"/>
    <mergeCell ref="B17:D17"/>
    <mergeCell ref="F17:G17"/>
    <mergeCell ref="J17:K17"/>
    <mergeCell ref="H17:I17"/>
    <mergeCell ref="L17:M17"/>
    <mergeCell ref="E15:G15"/>
    <mergeCell ref="C31:D31"/>
    <mergeCell ref="C20:D21"/>
    <mergeCell ref="E20:F21"/>
    <mergeCell ref="G20:H21"/>
    <mergeCell ref="E23:F23"/>
    <mergeCell ref="G23:H23"/>
    <mergeCell ref="E24:F24"/>
    <mergeCell ref="G24:H24"/>
    <mergeCell ref="C28:D28"/>
    <mergeCell ref="I26:J26"/>
    <mergeCell ref="E27:F27"/>
    <mergeCell ref="G27:H27"/>
    <mergeCell ref="I27:J27"/>
    <mergeCell ref="G28:H28"/>
    <mergeCell ref="I28:J28"/>
    <mergeCell ref="E26:F26"/>
    <mergeCell ref="G26:H26"/>
    <mergeCell ref="E28:F28"/>
    <mergeCell ref="E25:F25"/>
    <mergeCell ref="G25:H25"/>
    <mergeCell ref="K22:L31"/>
    <mergeCell ref="I20:J21"/>
    <mergeCell ref="I22:J22"/>
    <mergeCell ref="I23:J23"/>
    <mergeCell ref="I24:J24"/>
    <mergeCell ref="I25:J25"/>
    <mergeCell ref="K20:L21"/>
    <mergeCell ref="I31:J31"/>
    <mergeCell ref="I35:J35"/>
    <mergeCell ref="I36:J36"/>
    <mergeCell ref="G33:H34"/>
    <mergeCell ref="C29:D29"/>
    <mergeCell ref="C30:D30"/>
    <mergeCell ref="C33:D34"/>
    <mergeCell ref="C35:D35"/>
    <mergeCell ref="C36:D36"/>
    <mergeCell ref="E31:F31"/>
    <mergeCell ref="G31:H31"/>
    <mergeCell ref="I37:J37"/>
    <mergeCell ref="C22:D22"/>
    <mergeCell ref="C23:D23"/>
    <mergeCell ref="C24:D24"/>
    <mergeCell ref="C25:D25"/>
    <mergeCell ref="C26:D26"/>
    <mergeCell ref="C27:D27"/>
    <mergeCell ref="E22:F22"/>
    <mergeCell ref="G22:H22"/>
    <mergeCell ref="I33:J34"/>
    <mergeCell ref="E29:F29"/>
    <mergeCell ref="G29:H29"/>
    <mergeCell ref="I29:J29"/>
    <mergeCell ref="E30:F30"/>
    <mergeCell ref="G30:H30"/>
    <mergeCell ref="I30:J30"/>
    <mergeCell ref="L41:M42"/>
    <mergeCell ref="H43:I44"/>
    <mergeCell ref="J43:K44"/>
    <mergeCell ref="L43:M44"/>
    <mergeCell ref="H41:I42"/>
    <mergeCell ref="J41:K42"/>
    <mergeCell ref="I38:J38"/>
    <mergeCell ref="I39:J39"/>
    <mergeCell ref="G38:H38"/>
    <mergeCell ref="G39:H39"/>
    <mergeCell ref="E33:F34"/>
    <mergeCell ref="E37:F37"/>
    <mergeCell ref="E36:F36"/>
    <mergeCell ref="E38:F38"/>
    <mergeCell ref="G37:H37"/>
    <mergeCell ref="G35:H35"/>
    <mergeCell ref="G36:H36"/>
    <mergeCell ref="E35:F35"/>
  </mergeCells>
  <conditionalFormatting sqref="L43:M44 F43:G44">
    <cfRule type="cellIs" priority="1" dxfId="2" operator="notBetween" stopIfTrue="1">
      <formula>9</formula>
      <formula>11</formula>
    </cfRule>
  </conditionalFormatting>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9"/>
  <dimension ref="A1:C67"/>
  <sheetViews>
    <sheetView workbookViewId="0" topLeftCell="A46">
      <selection activeCell="C68" sqref="C68"/>
    </sheetView>
  </sheetViews>
  <sheetFormatPr defaultColWidth="9.140625" defaultRowHeight="12.75"/>
  <cols>
    <col min="1" max="1" width="10.140625" style="0" bestFit="1" customWidth="1"/>
    <col min="2" max="2" width="119.00390625" style="0" customWidth="1"/>
    <col min="3" max="3" width="13.28125" style="0" customWidth="1"/>
  </cols>
  <sheetData>
    <row r="1" spans="1:3" ht="12.75">
      <c r="A1" s="268" t="s">
        <v>282</v>
      </c>
      <c r="B1" s="269" t="s">
        <v>283</v>
      </c>
      <c r="C1" s="268" t="s">
        <v>284</v>
      </c>
    </row>
    <row r="2" spans="1:3" ht="12.75">
      <c r="A2" s="821">
        <v>38553</v>
      </c>
      <c r="B2" s="270" t="s">
        <v>327</v>
      </c>
      <c r="C2" s="823" t="s">
        <v>294</v>
      </c>
    </row>
    <row r="3" spans="1:3" ht="12.75">
      <c r="A3" s="822"/>
      <c r="B3" s="270" t="s">
        <v>328</v>
      </c>
      <c r="C3" s="824"/>
    </row>
    <row r="4" spans="1:3" ht="12.75">
      <c r="A4" s="822"/>
      <c r="B4" s="270" t="s">
        <v>329</v>
      </c>
      <c r="C4" s="824"/>
    </row>
    <row r="5" spans="1:3" ht="25.5">
      <c r="A5" s="822"/>
      <c r="B5" s="270" t="s">
        <v>330</v>
      </c>
      <c r="C5" s="824"/>
    </row>
    <row r="6" spans="1:3" ht="25.5">
      <c r="A6" s="822"/>
      <c r="B6" s="270" t="s">
        <v>286</v>
      </c>
      <c r="C6" s="824"/>
    </row>
    <row r="7" spans="1:3" ht="12.75">
      <c r="A7" s="822"/>
      <c r="B7" s="270" t="s">
        <v>285</v>
      </c>
      <c r="C7" s="824"/>
    </row>
    <row r="8" spans="1:3" ht="12.75">
      <c r="A8" s="822"/>
      <c r="B8" s="270" t="s">
        <v>287</v>
      </c>
      <c r="C8" s="824"/>
    </row>
    <row r="9" spans="1:3" ht="25.5">
      <c r="A9" s="822"/>
      <c r="B9" s="270" t="s">
        <v>288</v>
      </c>
      <c r="C9" s="824"/>
    </row>
    <row r="10" spans="1:3" ht="12.75">
      <c r="A10" s="822"/>
      <c r="B10" s="270" t="s">
        <v>289</v>
      </c>
      <c r="C10" s="824"/>
    </row>
    <row r="11" spans="1:3" ht="25.5">
      <c r="A11" s="822"/>
      <c r="B11" s="270" t="s">
        <v>290</v>
      </c>
      <c r="C11" s="824"/>
    </row>
    <row r="12" spans="1:3" ht="12.75">
      <c r="A12" s="822"/>
      <c r="B12" s="270" t="s">
        <v>291</v>
      </c>
      <c r="C12" s="824"/>
    </row>
    <row r="13" spans="1:3" ht="12.75">
      <c r="A13" s="822"/>
      <c r="B13" s="270" t="s">
        <v>292</v>
      </c>
      <c r="C13" s="824"/>
    </row>
    <row r="14" spans="1:3" ht="12.75">
      <c r="A14" s="822"/>
      <c r="B14" s="270" t="s">
        <v>293</v>
      </c>
      <c r="C14" s="824"/>
    </row>
    <row r="15" spans="1:3" ht="12.75">
      <c r="A15" s="822"/>
      <c r="B15" s="270" t="s">
        <v>331</v>
      </c>
      <c r="C15" s="824"/>
    </row>
    <row r="16" ht="12.75">
      <c r="B16" s="270"/>
    </row>
    <row r="17" spans="2:3" ht="12.75">
      <c r="B17" s="272" t="s">
        <v>296</v>
      </c>
      <c r="C17" s="820" t="s">
        <v>294</v>
      </c>
    </row>
    <row r="18" spans="1:3" ht="12.75">
      <c r="A18" s="825">
        <v>38580</v>
      </c>
      <c r="B18" s="314" t="s">
        <v>299</v>
      </c>
      <c r="C18" s="820"/>
    </row>
    <row r="19" spans="1:3" ht="12.75">
      <c r="A19" s="820"/>
      <c r="B19" s="314" t="s">
        <v>297</v>
      </c>
      <c r="C19" s="820"/>
    </row>
    <row r="20" spans="1:3" ht="12.75">
      <c r="A20" s="820"/>
      <c r="B20" s="271"/>
      <c r="C20" s="820"/>
    </row>
    <row r="21" spans="1:3" ht="12.75">
      <c r="A21" s="820"/>
      <c r="B21" s="272" t="s">
        <v>295</v>
      </c>
      <c r="C21" s="820"/>
    </row>
    <row r="22" spans="1:3" ht="12.75">
      <c r="A22" s="820"/>
      <c r="B22" s="314" t="s">
        <v>298</v>
      </c>
      <c r="C22" s="820"/>
    </row>
    <row r="23" spans="1:3" ht="25.5">
      <c r="A23" s="820"/>
      <c r="B23" s="314" t="s">
        <v>344</v>
      </c>
      <c r="C23" s="820"/>
    </row>
    <row r="24" spans="1:3" ht="12.75">
      <c r="A24" s="820"/>
      <c r="B24" s="314" t="s">
        <v>345</v>
      </c>
      <c r="C24" s="820"/>
    </row>
    <row r="25" spans="1:3" ht="12.75">
      <c r="A25" s="820"/>
      <c r="B25" s="314" t="s">
        <v>346</v>
      </c>
      <c r="C25" s="820"/>
    </row>
    <row r="26" spans="1:3" ht="12.75">
      <c r="A26" s="820"/>
      <c r="B26" s="314" t="s">
        <v>347</v>
      </c>
      <c r="C26" s="820"/>
    </row>
    <row r="27" spans="1:3" ht="12.75">
      <c r="A27" s="820"/>
      <c r="B27" s="314" t="s">
        <v>303</v>
      </c>
      <c r="C27" s="820"/>
    </row>
    <row r="28" spans="1:3" ht="12.75">
      <c r="A28" s="820"/>
      <c r="B28" s="315" t="s">
        <v>300</v>
      </c>
      <c r="C28" s="820"/>
    </row>
    <row r="29" spans="1:3" ht="12.75">
      <c r="A29" s="820"/>
      <c r="B29" s="314" t="s">
        <v>301</v>
      </c>
      <c r="C29" s="820"/>
    </row>
    <row r="30" spans="1:3" ht="12.75">
      <c r="A30" s="820"/>
      <c r="B30" s="314" t="s">
        <v>302</v>
      </c>
      <c r="C30" s="820"/>
    </row>
    <row r="31" spans="1:3" ht="12.75">
      <c r="A31" s="820"/>
      <c r="B31" s="314" t="s">
        <v>348</v>
      </c>
      <c r="C31" s="820"/>
    </row>
    <row r="32" spans="1:3" ht="12.75">
      <c r="A32" s="820"/>
      <c r="B32" s="272" t="s">
        <v>315</v>
      </c>
      <c r="C32" s="820"/>
    </row>
    <row r="33" spans="1:3" ht="25.5">
      <c r="A33" s="820"/>
      <c r="B33" s="314" t="s">
        <v>316</v>
      </c>
      <c r="C33" s="820"/>
    </row>
    <row r="34" spans="1:3" ht="12.75">
      <c r="A34" s="319">
        <v>38616</v>
      </c>
      <c r="B34" s="271" t="s">
        <v>353</v>
      </c>
      <c r="C34" s="320" t="s">
        <v>354</v>
      </c>
    </row>
    <row r="35" spans="1:3" ht="12.75">
      <c r="A35" s="322">
        <v>38622</v>
      </c>
      <c r="B35" s="270" t="s">
        <v>360</v>
      </c>
      <c r="C35" s="320" t="s">
        <v>354</v>
      </c>
    </row>
    <row r="36" spans="1:3" ht="38.25">
      <c r="A36" s="322">
        <v>38762</v>
      </c>
      <c r="B36" s="270" t="s">
        <v>378</v>
      </c>
      <c r="C36" t="s">
        <v>294</v>
      </c>
    </row>
    <row r="37" spans="1:3" ht="51">
      <c r="A37" s="322">
        <v>38763</v>
      </c>
      <c r="B37" s="270" t="s">
        <v>379</v>
      </c>
      <c r="C37" t="s">
        <v>294</v>
      </c>
    </row>
    <row r="38" spans="1:3" ht="25.5">
      <c r="A38" s="322">
        <v>38789</v>
      </c>
      <c r="B38" s="270" t="s">
        <v>380</v>
      </c>
      <c r="C38" t="s">
        <v>294</v>
      </c>
    </row>
    <row r="39" spans="1:3" ht="12.75">
      <c r="A39" s="322">
        <v>38790</v>
      </c>
      <c r="B39" s="270" t="s">
        <v>381</v>
      </c>
      <c r="C39" t="s">
        <v>354</v>
      </c>
    </row>
    <row r="40" spans="1:3" ht="12.75">
      <c r="A40" s="10"/>
      <c r="B40" s="272" t="s">
        <v>358</v>
      </c>
      <c r="C40" s="820" t="s">
        <v>354</v>
      </c>
    </row>
    <row r="41" spans="1:3" ht="12.75">
      <c r="A41" s="322">
        <v>38622</v>
      </c>
      <c r="B41" s="270" t="s">
        <v>359</v>
      </c>
      <c r="C41" s="820"/>
    </row>
    <row r="42" spans="1:3" ht="12.75">
      <c r="A42" s="10"/>
      <c r="B42" s="321" t="s">
        <v>368</v>
      </c>
      <c r="C42" s="820"/>
    </row>
    <row r="43" spans="1:3" ht="12.75">
      <c r="A43" s="825">
        <v>38622</v>
      </c>
      <c r="B43" t="s">
        <v>369</v>
      </c>
      <c r="C43" s="820"/>
    </row>
    <row r="44" spans="1:3" ht="12.75">
      <c r="A44" s="825"/>
      <c r="B44" s="270" t="s">
        <v>370</v>
      </c>
      <c r="C44" s="820"/>
    </row>
    <row r="45" spans="1:3" ht="12.75">
      <c r="A45" s="825"/>
      <c r="B45" s="270" t="s">
        <v>371</v>
      </c>
      <c r="C45" s="820"/>
    </row>
    <row r="47" spans="1:3" ht="12.75">
      <c r="A47" s="818">
        <v>38848</v>
      </c>
      <c r="B47" s="270" t="s">
        <v>391</v>
      </c>
      <c r="C47" s="819" t="s">
        <v>294</v>
      </c>
    </row>
    <row r="48" spans="1:3" ht="12.75">
      <c r="A48" s="819"/>
      <c r="B48" s="270" t="s">
        <v>390</v>
      </c>
      <c r="C48" s="819"/>
    </row>
    <row r="49" spans="1:3" ht="12.75">
      <c r="A49" s="819"/>
      <c r="B49" s="270" t="s">
        <v>392</v>
      </c>
      <c r="C49" s="819"/>
    </row>
    <row r="50" ht="12.75">
      <c r="B50" s="272" t="s">
        <v>296</v>
      </c>
    </row>
    <row r="51" spans="1:3" ht="12.75">
      <c r="A51" s="319">
        <v>38867</v>
      </c>
      <c r="B51" s="270" t="s">
        <v>394</v>
      </c>
      <c r="C51" t="s">
        <v>294</v>
      </c>
    </row>
    <row r="52" ht="12.75">
      <c r="B52" s="272" t="s">
        <v>295</v>
      </c>
    </row>
    <row r="53" spans="1:3" ht="25.5">
      <c r="A53" s="818">
        <v>38951</v>
      </c>
      <c r="B53" s="270" t="s">
        <v>397</v>
      </c>
      <c r="C53" s="819" t="s">
        <v>294</v>
      </c>
    </row>
    <row r="54" spans="1:3" ht="25.5">
      <c r="A54" s="818"/>
      <c r="B54" s="329" t="s">
        <v>398</v>
      </c>
      <c r="C54" s="819"/>
    </row>
    <row r="55" spans="1:3" ht="12.75">
      <c r="A55" s="818"/>
      <c r="B55" s="329" t="s">
        <v>399</v>
      </c>
      <c r="C55" s="819"/>
    </row>
    <row r="56" ht="12.75">
      <c r="B56" s="272" t="s">
        <v>315</v>
      </c>
    </row>
    <row r="57" spans="1:3" ht="12.75">
      <c r="A57" s="818">
        <v>39020</v>
      </c>
      <c r="B57" s="329" t="s">
        <v>400</v>
      </c>
      <c r="C57" s="819" t="s">
        <v>294</v>
      </c>
    </row>
    <row r="58" spans="1:3" ht="25.5">
      <c r="A58" s="818"/>
      <c r="B58" s="329" t="s">
        <v>408</v>
      </c>
      <c r="C58" s="819"/>
    </row>
    <row r="59" spans="1:3" ht="12.75">
      <c r="A59" s="818"/>
      <c r="B59" s="272" t="s">
        <v>296</v>
      </c>
      <c r="C59" s="819"/>
    </row>
    <row r="60" spans="1:3" ht="12.75">
      <c r="A60" s="818"/>
      <c r="B60" s="329" t="s">
        <v>409</v>
      </c>
      <c r="C60" s="819"/>
    </row>
    <row r="61" spans="1:3" ht="12.75">
      <c r="A61" s="818"/>
      <c r="B61" s="329" t="s">
        <v>410</v>
      </c>
      <c r="C61" s="819"/>
    </row>
    <row r="62" spans="1:3" ht="12.75">
      <c r="A62" s="818"/>
      <c r="B62" s="272" t="s">
        <v>406</v>
      </c>
      <c r="C62" s="819"/>
    </row>
    <row r="63" spans="1:3" ht="12.75">
      <c r="A63" s="818"/>
      <c r="B63" s="329" t="s">
        <v>407</v>
      </c>
      <c r="C63" s="819"/>
    </row>
    <row r="64" spans="1:3" ht="12.75">
      <c r="A64" s="818"/>
      <c r="B64" s="272" t="s">
        <v>295</v>
      </c>
      <c r="C64" s="819"/>
    </row>
    <row r="65" spans="1:3" ht="12.75">
      <c r="A65" s="818"/>
      <c r="B65" s="329" t="s">
        <v>411</v>
      </c>
      <c r="C65" s="819"/>
    </row>
    <row r="66" ht="12.75">
      <c r="B66" s="272" t="s">
        <v>412</v>
      </c>
    </row>
    <row r="67" spans="1:3" ht="12.75">
      <c r="A67" s="319">
        <v>39053</v>
      </c>
      <c r="B67" s="329" t="s">
        <v>413</v>
      </c>
      <c r="C67" t="s">
        <v>294</v>
      </c>
    </row>
  </sheetData>
  <sheetProtection password="DE07" sheet="1" formatCells="0" formatColumns="0" formatRows="0"/>
  <mergeCells count="12">
    <mergeCell ref="C40:C45"/>
    <mergeCell ref="A2:A15"/>
    <mergeCell ref="C2:C15"/>
    <mergeCell ref="A18:A33"/>
    <mergeCell ref="C17:C33"/>
    <mergeCell ref="A43:A45"/>
    <mergeCell ref="A57:A65"/>
    <mergeCell ref="C57:C65"/>
    <mergeCell ref="A47:A49"/>
    <mergeCell ref="C47:C49"/>
    <mergeCell ref="C53:C55"/>
    <mergeCell ref="A53:A55"/>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3"/>
  <dimension ref="A2:L55"/>
  <sheetViews>
    <sheetView showGridLines="0" showRowColHeaders="0" showZeros="0" showOutlineSymbols="0" workbookViewId="0" topLeftCell="A1">
      <selection activeCell="AN1" sqref="AN1"/>
    </sheetView>
  </sheetViews>
  <sheetFormatPr defaultColWidth="9.140625" defaultRowHeight="12.75"/>
  <cols>
    <col min="1" max="1" width="3.421875" style="0" customWidth="1"/>
    <col min="14" max="16384" width="0" style="0" hidden="1" customWidth="1"/>
  </cols>
  <sheetData>
    <row r="2" ht="15.75">
      <c r="B2" s="48"/>
    </row>
    <row r="3" ht="15">
      <c r="B3" s="46" t="s">
        <v>40</v>
      </c>
    </row>
    <row r="4" spans="2:12" ht="15" customHeight="1">
      <c r="B4" s="828" t="s">
        <v>382</v>
      </c>
      <c r="C4" s="828"/>
      <c r="D4" s="828"/>
      <c r="E4" s="828"/>
      <c r="F4" s="828"/>
      <c r="G4" s="828"/>
      <c r="H4" s="828"/>
      <c r="I4" s="828"/>
      <c r="J4" s="828"/>
      <c r="K4" s="828"/>
      <c r="L4" s="828"/>
    </row>
    <row r="5" spans="2:12" ht="15" customHeight="1">
      <c r="B5" s="828"/>
      <c r="C5" s="828"/>
      <c r="D5" s="828"/>
      <c r="E5" s="828"/>
      <c r="F5" s="828"/>
      <c r="G5" s="828"/>
      <c r="H5" s="828"/>
      <c r="I5" s="828"/>
      <c r="J5" s="828"/>
      <c r="K5" s="828"/>
      <c r="L5" s="828"/>
    </row>
    <row r="6" spans="2:12" ht="15" customHeight="1">
      <c r="B6" s="828"/>
      <c r="C6" s="828"/>
      <c r="D6" s="828"/>
      <c r="E6" s="828"/>
      <c r="F6" s="828"/>
      <c r="G6" s="828"/>
      <c r="H6" s="828"/>
      <c r="I6" s="828"/>
      <c r="J6" s="828"/>
      <c r="K6" s="828"/>
      <c r="L6" s="828"/>
    </row>
    <row r="7" spans="2:12" ht="15" customHeight="1">
      <c r="B7" s="828"/>
      <c r="C7" s="828"/>
      <c r="D7" s="828"/>
      <c r="E7" s="828"/>
      <c r="F7" s="828"/>
      <c r="G7" s="828"/>
      <c r="H7" s="828"/>
      <c r="I7" s="828"/>
      <c r="J7" s="828"/>
      <c r="K7" s="828"/>
      <c r="L7" s="828"/>
    </row>
    <row r="8" ht="6" customHeight="1"/>
    <row r="9" spans="1:12" ht="26.25">
      <c r="A9" s="45" t="s">
        <v>39</v>
      </c>
      <c r="B9" s="829" t="s">
        <v>102</v>
      </c>
      <c r="C9" s="827"/>
      <c r="D9" s="827"/>
      <c r="E9" s="827"/>
      <c r="F9" s="827"/>
      <c r="G9" s="827"/>
      <c r="H9" s="827"/>
      <c r="I9" s="827"/>
      <c r="J9" s="827"/>
      <c r="K9" s="827"/>
      <c r="L9" s="827"/>
    </row>
    <row r="10" spans="2:12" ht="12.75">
      <c r="B10" s="827"/>
      <c r="C10" s="827"/>
      <c r="D10" s="827"/>
      <c r="E10" s="827"/>
      <c r="F10" s="827"/>
      <c r="G10" s="827"/>
      <c r="H10" s="827"/>
      <c r="I10" s="827"/>
      <c r="J10" s="827"/>
      <c r="K10" s="827"/>
      <c r="L10" s="827"/>
    </row>
    <row r="11" spans="2:12" ht="12.75">
      <c r="B11" s="827"/>
      <c r="C11" s="827"/>
      <c r="D11" s="827"/>
      <c r="E11" s="827"/>
      <c r="F11" s="827"/>
      <c r="G11" s="827"/>
      <c r="H11" s="827"/>
      <c r="I11" s="827"/>
      <c r="J11" s="827"/>
      <c r="K11" s="827"/>
      <c r="L11" s="827"/>
    </row>
    <row r="12" spans="2:12" ht="12.75">
      <c r="B12" s="827"/>
      <c r="C12" s="827"/>
      <c r="D12" s="827"/>
      <c r="E12" s="827"/>
      <c r="F12" s="827"/>
      <c r="G12" s="827"/>
      <c r="H12" s="827"/>
      <c r="I12" s="827"/>
      <c r="J12" s="827"/>
      <c r="K12" s="827"/>
      <c r="L12" s="827"/>
    </row>
    <row r="13" spans="2:12" ht="12.75">
      <c r="B13" s="49" t="s">
        <v>42</v>
      </c>
      <c r="C13" s="826" t="s">
        <v>253</v>
      </c>
      <c r="D13" s="830"/>
      <c r="E13" s="830"/>
      <c r="F13" s="830"/>
      <c r="G13" s="830"/>
      <c r="H13" s="830"/>
      <c r="I13" s="830"/>
      <c r="J13" s="830"/>
      <c r="K13" s="830"/>
      <c r="L13" s="830"/>
    </row>
    <row r="14" spans="3:12" ht="12.75">
      <c r="C14" s="830"/>
      <c r="D14" s="830"/>
      <c r="E14" s="830"/>
      <c r="F14" s="830"/>
      <c r="G14" s="830"/>
      <c r="H14" s="830"/>
      <c r="I14" s="830"/>
      <c r="J14" s="830"/>
      <c r="K14" s="830"/>
      <c r="L14" s="830"/>
    </row>
    <row r="15" spans="2:12" ht="12.75">
      <c r="B15" s="49" t="s">
        <v>42</v>
      </c>
      <c r="C15" s="826" t="s">
        <v>101</v>
      </c>
      <c r="D15" s="830"/>
      <c r="E15" s="830"/>
      <c r="F15" s="830"/>
      <c r="G15" s="830"/>
      <c r="H15" s="830"/>
      <c r="I15" s="830"/>
      <c r="J15" s="830"/>
      <c r="K15" s="830"/>
      <c r="L15" s="830"/>
    </row>
    <row r="16" spans="3:12" ht="12.75">
      <c r="C16" s="830"/>
      <c r="D16" s="830"/>
      <c r="E16" s="830"/>
      <c r="F16" s="830"/>
      <c r="G16" s="830"/>
      <c r="H16" s="830"/>
      <c r="I16" s="830"/>
      <c r="J16" s="830"/>
      <c r="K16" s="830"/>
      <c r="L16" s="830"/>
    </row>
    <row r="17" spans="3:12" ht="12.75">
      <c r="C17" s="830"/>
      <c r="D17" s="830"/>
      <c r="E17" s="830"/>
      <c r="F17" s="830"/>
      <c r="G17" s="830"/>
      <c r="H17" s="830"/>
      <c r="I17" s="830"/>
      <c r="J17" s="830"/>
      <c r="K17" s="830"/>
      <c r="L17" s="830"/>
    </row>
    <row r="18" spans="2:12" ht="12.75" customHeight="1">
      <c r="B18" s="49"/>
      <c r="C18" s="255" t="s">
        <v>254</v>
      </c>
      <c r="D18" s="255"/>
      <c r="E18" s="255"/>
      <c r="F18" s="255"/>
      <c r="G18" s="255"/>
      <c r="H18" s="255"/>
      <c r="I18" s="255"/>
      <c r="J18" s="255"/>
      <c r="K18" s="255"/>
      <c r="L18" s="255"/>
    </row>
    <row r="19" spans="3:12" ht="12.75">
      <c r="C19" s="826" t="s">
        <v>277</v>
      </c>
      <c r="D19" s="826"/>
      <c r="E19" s="826"/>
      <c r="F19" s="826"/>
      <c r="G19" s="826"/>
      <c r="H19" s="826"/>
      <c r="I19" s="826"/>
      <c r="J19" s="826"/>
      <c r="K19" s="826"/>
      <c r="L19" s="826"/>
    </row>
    <row r="20" spans="3:12" ht="12.75">
      <c r="C20" s="826"/>
      <c r="D20" s="826"/>
      <c r="E20" s="826"/>
      <c r="F20" s="826"/>
      <c r="G20" s="826"/>
      <c r="H20" s="826"/>
      <c r="I20" s="826"/>
      <c r="J20" s="826"/>
      <c r="K20" s="826"/>
      <c r="L20" s="826"/>
    </row>
    <row r="21" spans="3:12" ht="12.75">
      <c r="C21" s="826"/>
      <c r="D21" s="826"/>
      <c r="E21" s="826"/>
      <c r="F21" s="826"/>
      <c r="G21" s="826"/>
      <c r="H21" s="826"/>
      <c r="I21" s="826"/>
      <c r="J21" s="826"/>
      <c r="K21" s="826"/>
      <c r="L21" s="826"/>
    </row>
    <row r="22" spans="2:12" ht="12.75" customHeight="1">
      <c r="B22" s="49"/>
      <c r="C22" s="826"/>
      <c r="D22" s="826"/>
      <c r="E22" s="826"/>
      <c r="F22" s="826"/>
      <c r="G22" s="826"/>
      <c r="H22" s="826"/>
      <c r="I22" s="826"/>
      <c r="J22" s="826"/>
      <c r="K22" s="826"/>
      <c r="L22" s="826"/>
    </row>
    <row r="23" spans="3:12" ht="12.75">
      <c r="C23" s="826"/>
      <c r="D23" s="826"/>
      <c r="E23" s="826"/>
      <c r="F23" s="826"/>
      <c r="G23" s="826"/>
      <c r="H23" s="826"/>
      <c r="I23" s="826"/>
      <c r="J23" s="826"/>
      <c r="K23" s="826"/>
      <c r="L23" s="826"/>
    </row>
    <row r="24" spans="3:12" ht="12.75">
      <c r="C24" s="826"/>
      <c r="D24" s="826"/>
      <c r="E24" s="826"/>
      <c r="F24" s="826"/>
      <c r="G24" s="826"/>
      <c r="H24" s="826"/>
      <c r="I24" s="826"/>
      <c r="J24" s="826"/>
      <c r="K24" s="826"/>
      <c r="L24" s="826"/>
    </row>
    <row r="25" spans="3:12" ht="12.75">
      <c r="C25" s="826"/>
      <c r="D25" s="826"/>
      <c r="E25" s="826"/>
      <c r="F25" s="826"/>
      <c r="G25" s="826"/>
      <c r="H25" s="826"/>
      <c r="I25" s="826"/>
      <c r="J25" s="826"/>
      <c r="K25" s="826"/>
      <c r="L25" s="826"/>
    </row>
    <row r="26" spans="3:12" ht="6" customHeight="1">
      <c r="C26" s="50"/>
      <c r="D26" s="50"/>
      <c r="E26" s="50"/>
      <c r="F26" s="50"/>
      <c r="G26" s="50"/>
      <c r="H26" s="50"/>
      <c r="I26" s="50"/>
      <c r="J26" s="50"/>
      <c r="K26" s="50"/>
      <c r="L26" s="50"/>
    </row>
    <row r="27" spans="1:2" s="52" customFormat="1" ht="16.5" customHeight="1">
      <c r="A27" s="53" t="s">
        <v>39</v>
      </c>
      <c r="B27" s="51" t="s">
        <v>41</v>
      </c>
    </row>
    <row r="28" ht="6" customHeight="1"/>
    <row r="29" spans="1:12" ht="26.25" customHeight="1">
      <c r="A29" s="45"/>
      <c r="B29" s="254"/>
      <c r="C29" s="254"/>
      <c r="D29" s="254"/>
      <c r="E29" s="254"/>
      <c r="F29" s="254"/>
      <c r="G29" s="254"/>
      <c r="H29" s="254"/>
      <c r="I29" s="254"/>
      <c r="J29" s="254"/>
      <c r="K29" s="254"/>
      <c r="L29" s="254"/>
    </row>
    <row r="30" spans="2:12" ht="12.75" customHeight="1">
      <c r="B30" s="254"/>
      <c r="C30" s="254"/>
      <c r="D30" s="254"/>
      <c r="E30" s="254"/>
      <c r="F30" s="254"/>
      <c r="G30" s="254"/>
      <c r="H30" s="254"/>
      <c r="I30" s="254"/>
      <c r="J30" s="254"/>
      <c r="K30" s="254"/>
      <c r="L30" s="254"/>
    </row>
    <row r="31" spans="2:12" ht="12.75" customHeight="1">
      <c r="B31" s="254"/>
      <c r="C31" s="254"/>
      <c r="D31" s="254"/>
      <c r="E31" s="254"/>
      <c r="F31" s="254"/>
      <c r="G31" s="254"/>
      <c r="H31" s="254"/>
      <c r="I31" s="254"/>
      <c r="J31" s="254"/>
      <c r="K31" s="254"/>
      <c r="L31" s="254"/>
    </row>
    <row r="32" spans="2:12" ht="12.75" customHeight="1">
      <c r="B32" s="254"/>
      <c r="C32" s="254"/>
      <c r="D32" s="254"/>
      <c r="E32" s="254"/>
      <c r="F32" s="254"/>
      <c r="G32" s="254"/>
      <c r="H32" s="254"/>
      <c r="I32" s="254"/>
      <c r="J32" s="254"/>
      <c r="K32" s="254"/>
      <c r="L32" s="254"/>
    </row>
    <row r="33" spans="2:12" ht="12.75" customHeight="1">
      <c r="B33" s="254"/>
      <c r="C33" s="254"/>
      <c r="D33" s="254"/>
      <c r="E33" s="254"/>
      <c r="F33" s="254"/>
      <c r="G33" s="254"/>
      <c r="H33" s="254"/>
      <c r="I33" s="254"/>
      <c r="J33" s="254"/>
      <c r="K33" s="254"/>
      <c r="L33" s="254"/>
    </row>
    <row r="34" spans="2:12" ht="12.75" customHeight="1">
      <c r="B34" s="254"/>
      <c r="C34" s="254"/>
      <c r="D34" s="254"/>
      <c r="E34" s="254"/>
      <c r="F34" s="254"/>
      <c r="G34" s="254"/>
      <c r="H34" s="254"/>
      <c r="I34" s="254"/>
      <c r="J34" s="254"/>
      <c r="K34" s="254"/>
      <c r="L34" s="254"/>
    </row>
    <row r="35" spans="2:12" ht="12.75" customHeight="1">
      <c r="B35" s="254"/>
      <c r="C35" s="254"/>
      <c r="D35" s="254"/>
      <c r="E35" s="254"/>
      <c r="F35" s="254"/>
      <c r="G35" s="254"/>
      <c r="H35" s="254"/>
      <c r="I35" s="254"/>
      <c r="J35" s="254"/>
      <c r="K35" s="254"/>
      <c r="L35" s="254"/>
    </row>
    <row r="36" spans="2:12" ht="12.75" customHeight="1">
      <c r="B36" s="254"/>
      <c r="C36" s="254"/>
      <c r="D36" s="254"/>
      <c r="E36" s="254"/>
      <c r="F36" s="254"/>
      <c r="G36" s="254"/>
      <c r="H36" s="254"/>
      <c r="I36" s="254"/>
      <c r="J36" s="254"/>
      <c r="K36" s="254"/>
      <c r="L36" s="254"/>
    </row>
    <row r="37" spans="2:12" ht="12.75" customHeight="1">
      <c r="B37" s="254"/>
      <c r="C37" s="254"/>
      <c r="D37" s="254"/>
      <c r="E37" s="254"/>
      <c r="F37" s="254"/>
      <c r="G37" s="254"/>
      <c r="H37" s="254"/>
      <c r="I37" s="254"/>
      <c r="J37" s="254"/>
      <c r="K37" s="254"/>
      <c r="L37" s="254"/>
    </row>
    <row r="38" spans="2:12" ht="12.75" customHeight="1">
      <c r="B38" s="254"/>
      <c r="C38" s="254"/>
      <c r="D38" s="254"/>
      <c r="E38" s="254"/>
      <c r="F38" s="254"/>
      <c r="G38" s="254"/>
      <c r="H38" s="254"/>
      <c r="I38" s="254"/>
      <c r="J38" s="254"/>
      <c r="K38" s="254"/>
      <c r="L38" s="254"/>
    </row>
    <row r="39" spans="2:12" ht="12.75" customHeight="1">
      <c r="B39" s="254"/>
      <c r="C39" s="254"/>
      <c r="D39" s="254"/>
      <c r="E39" s="254"/>
      <c r="F39" s="254"/>
      <c r="G39" s="254"/>
      <c r="H39" s="254"/>
      <c r="I39" s="254"/>
      <c r="J39" s="254"/>
      <c r="K39" s="254"/>
      <c r="L39" s="254"/>
    </row>
    <row r="40" spans="2:12" ht="12.75" customHeight="1">
      <c r="B40" s="254"/>
      <c r="C40" s="254"/>
      <c r="D40" s="254"/>
      <c r="E40" s="254"/>
      <c r="F40" s="254"/>
      <c r="G40" s="254"/>
      <c r="H40" s="254"/>
      <c r="I40" s="254"/>
      <c r="J40" s="254"/>
      <c r="K40" s="254"/>
      <c r="L40" s="254"/>
    </row>
    <row r="41" ht="12.75">
      <c r="D41" s="49"/>
    </row>
    <row r="42" spans="1:12" ht="26.25" customHeight="1">
      <c r="A42" s="45"/>
      <c r="B42" s="827"/>
      <c r="C42" s="827"/>
      <c r="D42" s="827"/>
      <c r="E42" s="827"/>
      <c r="F42" s="827"/>
      <c r="G42" s="827"/>
      <c r="H42" s="827"/>
      <c r="I42" s="827"/>
      <c r="J42" s="827"/>
      <c r="K42" s="827"/>
      <c r="L42" s="827"/>
    </row>
    <row r="43" spans="2:12" ht="12.75" customHeight="1">
      <c r="B43" s="827"/>
      <c r="C43" s="827"/>
      <c r="D43" s="827"/>
      <c r="E43" s="827"/>
      <c r="F43" s="827"/>
      <c r="G43" s="827"/>
      <c r="H43" s="827"/>
      <c r="I43" s="827"/>
      <c r="J43" s="827"/>
      <c r="K43" s="827"/>
      <c r="L43" s="827"/>
    </row>
    <row r="44" spans="2:12" ht="12.75" customHeight="1">
      <c r="B44" s="827"/>
      <c r="C44" s="827"/>
      <c r="D44" s="827"/>
      <c r="E44" s="827"/>
      <c r="F44" s="827"/>
      <c r="G44" s="827"/>
      <c r="H44" s="827"/>
      <c r="I44" s="827"/>
      <c r="J44" s="827"/>
      <c r="K44" s="827"/>
      <c r="L44" s="827"/>
    </row>
    <row r="45" spans="2:12" ht="12.75" customHeight="1">
      <c r="B45" s="827"/>
      <c r="C45" s="827"/>
      <c r="D45" s="827"/>
      <c r="E45" s="827"/>
      <c r="F45" s="827"/>
      <c r="G45" s="827"/>
      <c r="H45" s="827"/>
      <c r="I45" s="827"/>
      <c r="J45" s="827"/>
      <c r="K45" s="827"/>
      <c r="L45" s="827"/>
    </row>
    <row r="46" spans="2:12" ht="12.75" customHeight="1">
      <c r="B46" s="827"/>
      <c r="C46" s="827"/>
      <c r="D46" s="827"/>
      <c r="E46" s="827"/>
      <c r="F46" s="827"/>
      <c r="G46" s="827"/>
      <c r="H46" s="827"/>
      <c r="I46" s="827"/>
      <c r="J46" s="827"/>
      <c r="K46" s="827"/>
      <c r="L46" s="827"/>
    </row>
    <row r="47" spans="2:12" ht="12.75" customHeight="1">
      <c r="B47" s="827"/>
      <c r="C47" s="827"/>
      <c r="D47" s="827"/>
      <c r="E47" s="827"/>
      <c r="F47" s="827"/>
      <c r="G47" s="827"/>
      <c r="H47" s="827"/>
      <c r="I47" s="827"/>
      <c r="J47" s="827"/>
      <c r="K47" s="827"/>
      <c r="L47" s="827"/>
    </row>
    <row r="48" spans="2:12" ht="12.75" customHeight="1">
      <c r="B48" s="827"/>
      <c r="C48" s="827"/>
      <c r="D48" s="827"/>
      <c r="E48" s="827"/>
      <c r="F48" s="827"/>
      <c r="G48" s="827"/>
      <c r="H48" s="827"/>
      <c r="I48" s="827"/>
      <c r="J48" s="827"/>
      <c r="K48" s="827"/>
      <c r="L48" s="827"/>
    </row>
    <row r="49" spans="2:12" ht="12.75" customHeight="1">
      <c r="B49" s="827"/>
      <c r="C49" s="827"/>
      <c r="D49" s="827"/>
      <c r="E49" s="827"/>
      <c r="F49" s="827"/>
      <c r="G49" s="827"/>
      <c r="H49" s="827"/>
      <c r="I49" s="827"/>
      <c r="J49" s="827"/>
      <c r="K49" s="827"/>
      <c r="L49" s="827"/>
    </row>
    <row r="50" spans="2:8" ht="15.75">
      <c r="B50" s="81"/>
      <c r="C50" s="42"/>
      <c r="D50" s="42"/>
      <c r="E50" s="43"/>
      <c r="F50" s="43"/>
      <c r="G50" s="43"/>
      <c r="H50" s="43"/>
    </row>
    <row r="51" spans="2:8" ht="15">
      <c r="B51" s="43"/>
      <c r="C51" s="42"/>
      <c r="D51" s="47"/>
      <c r="E51" s="43"/>
      <c r="F51" s="43"/>
      <c r="G51" s="43"/>
      <c r="H51" s="43"/>
    </row>
    <row r="52" spans="2:8" ht="15">
      <c r="B52" s="43"/>
      <c r="C52" s="42"/>
      <c r="D52" s="47"/>
      <c r="E52" s="43"/>
      <c r="F52" s="43"/>
      <c r="G52" s="43"/>
      <c r="H52" s="43"/>
    </row>
    <row r="53" spans="2:8" ht="15">
      <c r="B53" s="43"/>
      <c r="C53" s="42"/>
      <c r="D53" s="47"/>
      <c r="E53" s="43"/>
      <c r="F53" s="43"/>
      <c r="G53" s="43"/>
      <c r="H53" s="43"/>
    </row>
    <row r="54" spans="2:8" ht="15">
      <c r="B54" s="43"/>
      <c r="C54" s="42"/>
      <c r="D54" s="47"/>
      <c r="E54" s="43"/>
      <c r="F54" s="43"/>
      <c r="G54" s="43"/>
      <c r="H54" s="43"/>
    </row>
    <row r="55" spans="2:8" ht="15">
      <c r="B55" s="42"/>
      <c r="C55" s="42"/>
      <c r="D55" s="42"/>
      <c r="E55" s="44"/>
      <c r="F55" s="44"/>
      <c r="G55" s="44"/>
      <c r="H55" s="44"/>
    </row>
  </sheetData>
  <sheetProtection password="DE07" sheet="1" formatCells="0" formatColumns="0" formatRows="0" selectLockedCells="1" selectUnlockedCells="1"/>
  <mergeCells count="7">
    <mergeCell ref="C22:L25"/>
    <mergeCell ref="B42:L49"/>
    <mergeCell ref="C19:L21"/>
    <mergeCell ref="B4:L7"/>
    <mergeCell ref="B9:L12"/>
    <mergeCell ref="C13:L14"/>
    <mergeCell ref="C15:L17"/>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TxDOT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STEWART DEWITT</dc:creator>
  <cp:keywords/>
  <dc:description/>
  <cp:lastModifiedBy>x-hu</cp:lastModifiedBy>
  <cp:lastPrinted>2010-11-16T16:42:41Z</cp:lastPrinted>
  <dcterms:created xsi:type="dcterms:W3CDTF">2001-01-26T17:31:04Z</dcterms:created>
  <dcterms:modified xsi:type="dcterms:W3CDTF">2010-11-17T21:13:35Z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