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665" activeTab="0"/>
  </bookViews>
  <sheets>
    <sheet name="Service Contract Type Competime" sheetId="1" r:id="rId1"/>
    <sheet name="Service Contract Small Business" sheetId="2" r:id="rId2"/>
  </sheets>
  <definedNames/>
  <calcPr fullCalcOnLoad="1"/>
</workbook>
</file>

<file path=xl/sharedStrings.xml><?xml version="1.0" encoding="utf-8"?>
<sst xmlns="http://schemas.openxmlformats.org/spreadsheetml/2006/main" count="160" uniqueCount="58">
  <si>
    <t>R408</t>
  </si>
  <si>
    <t>PROGRAM MANAGEMENT/SUPPORT SERVICES</t>
  </si>
  <si>
    <t>R499</t>
  </si>
  <si>
    <t>OTHER PROFESSIONAL SERVICES</t>
  </si>
  <si>
    <t>S201</t>
  </si>
  <si>
    <t>CUSTODIAL JANITORIAL SERVICES</t>
  </si>
  <si>
    <t>C211</t>
  </si>
  <si>
    <t>A/E SVCS. (INCL LANDSCAPING INTERIO</t>
  </si>
  <si>
    <t>D313</t>
  </si>
  <si>
    <t>COMPUTER AIDED DESGN/MFG SVCS</t>
  </si>
  <si>
    <t>S112</t>
  </si>
  <si>
    <t>ELECTRIC SERVICES</t>
  </si>
  <si>
    <t>D399</t>
  </si>
  <si>
    <t>OTHER ADP &amp; TELECOMMUNICATIONS SVCS</t>
  </si>
  <si>
    <t>R425</t>
  </si>
  <si>
    <t>ENGINEERING AND TECHNICAL SERVICES</t>
  </si>
  <si>
    <t>D302</t>
  </si>
  <si>
    <t>ADP SYSTEMS DEVELOPMENT SERVICES</t>
  </si>
  <si>
    <t>D307</t>
  </si>
  <si>
    <t>AUTOMATED INFORMATION SYSTEM SVCS</t>
  </si>
  <si>
    <t>R707</t>
  </si>
  <si>
    <t>MGT SVCS/CONTRACT &amp; PROCUREMENT SUP</t>
  </si>
  <si>
    <t>D314</t>
  </si>
  <si>
    <t>ADP ACQUISITION SUP SVCS</t>
  </si>
  <si>
    <t>R409</t>
  </si>
  <si>
    <t>PROGRAM REVIEW/DEVELOPMENT SERVICES</t>
  </si>
  <si>
    <t>R414</t>
  </si>
  <si>
    <t>SYSTEMS ENGINEERING SERVICES</t>
  </si>
  <si>
    <t>D310</t>
  </si>
  <si>
    <t>ADP BACKUP AND SECURITY SERVICES</t>
  </si>
  <si>
    <t>B505</t>
  </si>
  <si>
    <t>COST BENEFIT ANALYSES</t>
  </si>
  <si>
    <t>R407</t>
  </si>
  <si>
    <t>PROGRAM EVALUATION SERVICES</t>
  </si>
  <si>
    <t>R413</t>
  </si>
  <si>
    <t>SPECIFICATIONS DEVELOPMENT SERVICES</t>
  </si>
  <si>
    <t>Special Interest Functions</t>
  </si>
  <si>
    <t xml:space="preserve"> Obligations</t>
  </si>
  <si>
    <t>% Total Obligations</t>
  </si>
  <si>
    <t>(as % of PSC Obligations)</t>
  </si>
  <si>
    <t>Biggest Percentage of Obligations</t>
  </si>
  <si>
    <t>R406</t>
  </si>
  <si>
    <t>POLICY REVIEW/DEVELOPMENT SERVICES</t>
  </si>
  <si>
    <t>R423</t>
  </si>
  <si>
    <t>R497</t>
  </si>
  <si>
    <t>PERSONAL SERVICES CONTRACTS</t>
  </si>
  <si>
    <t>INTELLIGENCE SERVICES</t>
  </si>
  <si>
    <t>Small Business Analysis</t>
  </si>
  <si>
    <t xml:space="preserve">Small Business </t>
  </si>
  <si>
    <t>SDB</t>
  </si>
  <si>
    <t>8(a) Program</t>
  </si>
  <si>
    <t>VOSB</t>
  </si>
  <si>
    <t>SDVOSB</t>
  </si>
  <si>
    <t>HUBZone</t>
  </si>
  <si>
    <t>WOSB</t>
  </si>
  <si>
    <t>See above</t>
  </si>
  <si>
    <t xml:space="preserve">Total Obligations FY2010: 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</si>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</sst>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4" fontId="0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9" fontId="0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164" fontId="19" fillId="0" borderId="0" xfId="46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0" fillId="32" borderId="0" xfId="0" applyNumberFormat="1" applyFont="1" applyFill="1" applyAlignment="1">
      <alignment horizontal="left"/>
    </xf>
    <xf numFmtId="164" fontId="0" fillId="32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C1">
      <selection activeCell="D3" sqref="D3"/>
    </sheetView>
  </sheetViews>
  <sheetFormatPr defaultColWidth="9.140625" defaultRowHeight="12.75"/>
  <cols>
    <col min="1" max="1" width="24.8515625" style="0" bestFit="1" customWidth="1"/>
    <col min="2" max="2" width="45.00390625" style="0" bestFit="1" customWidth="1"/>
    <col min="3" max="3" width="16.421875" style="0" bestFit="1" customWidth="1"/>
    <col min="4" max="4" width="18.7109375" style="0" bestFit="1" customWidth="1"/>
    <col min="5" max="5" width="16.421875" style="0" bestFit="1" customWidth="1"/>
    <col min="6" max="7" width="14.8515625" style="0" bestFit="1" customWidth="1"/>
    <col min="8" max="9" width="13.8515625" style="0" bestFit="1" customWidth="1"/>
    <col min="10" max="11" width="14.8515625" style="0" bestFit="1" customWidth="1"/>
  </cols>
  <sheetData>
    <row r="1" spans="4:8" ht="12.75">
      <c r="D1" s="13"/>
      <c r="E1" s="25"/>
      <c r="F1" s="25"/>
      <c r="G1" s="25"/>
      <c r="H1" s="25"/>
    </row>
    <row r="2" spans="2:11" ht="12.75">
      <c r="B2" s="12" t="s">
        <v>56</v>
      </c>
      <c r="D2" s="13"/>
      <c r="E2" s="25" t="s">
        <v>47</v>
      </c>
      <c r="F2" s="25"/>
      <c r="G2" s="25"/>
      <c r="H2" s="25"/>
      <c r="I2" s="25"/>
      <c r="J2" s="25"/>
      <c r="K2" s="25"/>
    </row>
    <row r="3" spans="2:11" ht="15">
      <c r="B3" s="24">
        <v>2370220989.2200003</v>
      </c>
      <c r="E3" s="25" t="s">
        <v>39</v>
      </c>
      <c r="F3" s="25"/>
      <c r="G3" s="25"/>
      <c r="H3" s="25"/>
      <c r="I3" s="25"/>
      <c r="J3" s="25"/>
      <c r="K3" s="25"/>
    </row>
    <row r="4" spans="3:11" ht="12.75">
      <c r="C4" s="6" t="s">
        <v>37</v>
      </c>
      <c r="D4" s="12" t="s">
        <v>38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</row>
    <row r="5" spans="1:11" ht="12.75">
      <c r="A5" s="26"/>
      <c r="B5" s="27"/>
      <c r="C5" s="7"/>
      <c r="D5" s="8"/>
      <c r="E5" s="8"/>
      <c r="F5" s="8"/>
      <c r="G5" s="8"/>
      <c r="H5" s="8"/>
      <c r="I5" s="8"/>
      <c r="J5" s="8"/>
      <c r="K5" s="8"/>
    </row>
    <row r="6" spans="1:8" ht="12.75">
      <c r="A6" s="14" t="s">
        <v>36</v>
      </c>
      <c r="B6" s="14"/>
      <c r="C6" s="6"/>
      <c r="D6" s="5"/>
      <c r="E6" s="5"/>
      <c r="F6" s="5"/>
      <c r="G6" s="5"/>
      <c r="H6" s="5"/>
    </row>
    <row r="7" spans="1:11" ht="12.75">
      <c r="A7" s="1" t="s">
        <v>30</v>
      </c>
      <c r="B7" s="2" t="s">
        <v>31</v>
      </c>
      <c r="C7" s="3">
        <v>591596</v>
      </c>
      <c r="D7" s="19">
        <f>C7/B3</f>
        <v>0.0002495952920384374</v>
      </c>
      <c r="E7" s="23">
        <f>0/C7</f>
        <v>0</v>
      </c>
      <c r="F7" s="23">
        <f>0/C7</f>
        <v>0</v>
      </c>
      <c r="G7" s="23">
        <f>0/C7</f>
        <v>0</v>
      </c>
      <c r="H7" s="23">
        <f>0/C7</f>
        <v>0</v>
      </c>
      <c r="I7" s="23">
        <f>0/C7</f>
        <v>0</v>
      </c>
      <c r="J7" s="23">
        <f>0/C7</f>
        <v>0</v>
      </c>
      <c r="K7" s="23">
        <f>0/C7</f>
        <v>0</v>
      </c>
    </row>
    <row r="8" spans="1:11" ht="12.75">
      <c r="A8" s="1" t="s">
        <v>16</v>
      </c>
      <c r="B8" s="2" t="s">
        <v>17</v>
      </c>
      <c r="C8" s="3">
        <v>43292197.12</v>
      </c>
      <c r="D8" s="19">
        <f>C8/B3</f>
        <v>0.018265046726401123</v>
      </c>
      <c r="E8" s="21">
        <f>11365555.8/C8</f>
        <v>0.26253127713745383</v>
      </c>
      <c r="F8" s="21">
        <f>1943401.45/C8</f>
        <v>0.04489034004472352</v>
      </c>
      <c r="G8" s="21">
        <f>830649.85/C8</f>
        <v>0.019187056912301152</v>
      </c>
      <c r="H8" s="21">
        <f>308400.45/C8</f>
        <v>0.0071236959663922</v>
      </c>
      <c r="I8" s="21">
        <f>152003.45/C8</f>
        <v>0.0035111050053354283</v>
      </c>
      <c r="J8" s="23">
        <f>0/C8</f>
        <v>0</v>
      </c>
      <c r="K8" s="22">
        <f>1973990.01/C8</f>
        <v>0.045596900626881376</v>
      </c>
    </row>
    <row r="9" spans="1:11" ht="12.75">
      <c r="A9" s="1" t="s">
        <v>18</v>
      </c>
      <c r="B9" s="2" t="s">
        <v>19</v>
      </c>
      <c r="C9" s="3">
        <v>7032360.41</v>
      </c>
      <c r="D9" s="20">
        <f>C9/B3</f>
        <v>0.0029669640265544317</v>
      </c>
      <c r="E9" s="21">
        <f>5258204.06/C9</f>
        <v>0.7477153833758073</v>
      </c>
      <c r="F9" s="21">
        <f>2591324.22/C9</f>
        <v>0.36848569597131897</v>
      </c>
      <c r="G9" s="23">
        <f>0/C9</f>
        <v>0</v>
      </c>
      <c r="H9" s="21">
        <f>77820/C9</f>
        <v>0.011065985737781605</v>
      </c>
      <c r="I9" s="21">
        <f>77820/C9</f>
        <v>0.011065985737781605</v>
      </c>
      <c r="J9" s="23">
        <f>0/C9</f>
        <v>0</v>
      </c>
      <c r="K9" s="22">
        <f>77820/C9</f>
        <v>0.011065985737781605</v>
      </c>
    </row>
    <row r="10" spans="1:11" ht="12.75">
      <c r="A10" s="1" t="s">
        <v>28</v>
      </c>
      <c r="B10" s="2" t="s">
        <v>29</v>
      </c>
      <c r="C10" s="3">
        <v>817113.35</v>
      </c>
      <c r="D10" s="20">
        <f>C10/B3</f>
        <v>0.0003447414201951263</v>
      </c>
      <c r="E10" s="21">
        <f>270880.43/C10</f>
        <v>0.3315090005566547</v>
      </c>
      <c r="F10" s="21">
        <f>52985.43/C10</f>
        <v>0.06484465098997587</v>
      </c>
      <c r="G10" s="21">
        <f>52985.43/C10</f>
        <v>0.06484465098997587</v>
      </c>
      <c r="H10" s="21">
        <f>156397/C10</f>
        <v>0.19140184161720036</v>
      </c>
      <c r="I10" s="23">
        <f>0/C10</f>
        <v>0</v>
      </c>
      <c r="J10" s="23">
        <f>0/C10</f>
        <v>0</v>
      </c>
      <c r="K10" s="23">
        <f>0/C10</f>
        <v>0</v>
      </c>
    </row>
    <row r="11" spans="1:11" ht="12.75">
      <c r="A11" s="1" t="s">
        <v>22</v>
      </c>
      <c r="B11" s="2" t="s">
        <v>23</v>
      </c>
      <c r="C11" s="3">
        <v>1463093.54</v>
      </c>
      <c r="D11" s="20">
        <f>C11/B3</f>
        <v>0.0006172814883735712</v>
      </c>
      <c r="E11" s="21">
        <f>598510.44/C11</f>
        <v>0.4090718902360815</v>
      </c>
      <c r="F11" s="23">
        <f>0/C11</f>
        <v>0</v>
      </c>
      <c r="G11" s="23">
        <f>0/C11</f>
        <v>0</v>
      </c>
      <c r="H11" s="21">
        <f>173847.84/C11</f>
        <v>0.1188220952708191</v>
      </c>
      <c r="I11" s="21">
        <f>173847.84/C11</f>
        <v>0.1188220952708191</v>
      </c>
      <c r="J11" s="23">
        <f>0/C11</f>
        <v>0</v>
      </c>
      <c r="K11" s="22">
        <f>229856/C11</f>
        <v>0.15710273725902718</v>
      </c>
    </row>
    <row r="12" spans="1:11" ht="12.75">
      <c r="A12" s="15" t="s">
        <v>41</v>
      </c>
      <c r="B12" s="15" t="s">
        <v>42</v>
      </c>
      <c r="C12" s="3">
        <v>0</v>
      </c>
      <c r="D12" s="20">
        <f>C12/B3</f>
        <v>0</v>
      </c>
      <c r="E12" s="18" t="s">
        <v>57</v>
      </c>
      <c r="F12" s="18" t="s">
        <v>57</v>
      </c>
      <c r="G12" s="18" t="s">
        <v>57</v>
      </c>
      <c r="H12" s="18" t="s">
        <v>57</v>
      </c>
      <c r="I12" s="18" t="s">
        <v>57</v>
      </c>
      <c r="J12" s="18" t="s">
        <v>57</v>
      </c>
      <c r="K12" s="18" t="s">
        <v>57</v>
      </c>
    </row>
    <row r="13" spans="1:11" ht="12.75">
      <c r="A13" s="1" t="s">
        <v>32</v>
      </c>
      <c r="B13" s="2" t="s">
        <v>33</v>
      </c>
      <c r="C13" s="3">
        <v>380711.7</v>
      </c>
      <c r="D13" s="20">
        <f>C13/B3</f>
        <v>0.0001606228709185829</v>
      </c>
      <c r="E13" s="21">
        <f>380711.7/C13</f>
        <v>1</v>
      </c>
      <c r="F13" s="21">
        <f>36067.7/C13</f>
        <v>0.09473756651030162</v>
      </c>
      <c r="G13" s="21">
        <f>36067.7/C13</f>
        <v>0.09473756651030162</v>
      </c>
      <c r="H13" s="23">
        <f>0/C13</f>
        <v>0</v>
      </c>
      <c r="I13" s="23">
        <f>0/C13</f>
        <v>0</v>
      </c>
      <c r="J13" s="23">
        <f>0/C13</f>
        <v>0</v>
      </c>
      <c r="K13" s="23">
        <f>0/C13</f>
        <v>0</v>
      </c>
    </row>
    <row r="14" spans="1:11" ht="12.75">
      <c r="A14" s="1" t="s">
        <v>0</v>
      </c>
      <c r="B14" s="2" t="s">
        <v>1</v>
      </c>
      <c r="C14" s="3">
        <v>761700669.63</v>
      </c>
      <c r="D14" s="20">
        <f>C14/B3</f>
        <v>0.32136272233445323</v>
      </c>
      <c r="E14" s="21">
        <f>743987945.89/C14</f>
        <v>0.9767458209684862</v>
      </c>
      <c r="F14" s="21">
        <f>5393488.26/C14</f>
        <v>0.0070808500964294994</v>
      </c>
      <c r="G14" s="21">
        <f>4067053.73/C14</f>
        <v>0.005339438301893042</v>
      </c>
      <c r="H14" s="21">
        <f>5337549.08/C14</f>
        <v>0.007007410250266344</v>
      </c>
      <c r="I14" s="21">
        <f>5112742.36/C14</f>
        <v>0.006712272371354933</v>
      </c>
      <c r="J14" s="21">
        <f>366600.8/C14</f>
        <v>0.00048129247434963946</v>
      </c>
      <c r="K14" s="22">
        <f>5587156.35/C14</f>
        <v>0.007335107572787076</v>
      </c>
    </row>
    <row r="15" spans="1:11" ht="12.75">
      <c r="A15" s="1" t="s">
        <v>24</v>
      </c>
      <c r="B15" s="2" t="s">
        <v>25</v>
      </c>
      <c r="C15" s="3">
        <v>1292841.2</v>
      </c>
      <c r="D15" s="20">
        <f>C15/B3</f>
        <v>0.0005454517557139059</v>
      </c>
      <c r="E15" s="21">
        <f>555250/C15</f>
        <v>0.4294804342559628</v>
      </c>
      <c r="F15" s="21">
        <f>555250/C15</f>
        <v>0.4294804342559628</v>
      </c>
      <c r="G15" s="21">
        <f>555250/C15</f>
        <v>0.4294804342559628</v>
      </c>
      <c r="H15" s="23">
        <f>0/C15</f>
        <v>0</v>
      </c>
      <c r="I15" s="23">
        <f>0/C15</f>
        <v>0</v>
      </c>
      <c r="J15" s="23">
        <f>0/C15</f>
        <v>0</v>
      </c>
      <c r="K15" s="23">
        <f>0/C15</f>
        <v>0</v>
      </c>
    </row>
    <row r="16" spans="1:11" ht="12.75">
      <c r="A16" s="1" t="s">
        <v>34</v>
      </c>
      <c r="B16" s="2" t="s">
        <v>35</v>
      </c>
      <c r="C16" s="3">
        <v>103484.51</v>
      </c>
      <c r="D16" s="20">
        <f>C16/B3</f>
        <v>4.36602791345861E-05</v>
      </c>
      <c r="E16" s="21">
        <f>103484.51/C16</f>
        <v>1</v>
      </c>
      <c r="F16" s="23">
        <f>0/C16</f>
        <v>0</v>
      </c>
      <c r="G16" s="23">
        <f>0/C16</f>
        <v>0</v>
      </c>
      <c r="H16" s="23">
        <f>0/C16</f>
        <v>0</v>
      </c>
      <c r="I16" s="23">
        <f>0/C16</f>
        <v>0</v>
      </c>
      <c r="J16" s="23">
        <f>0/C16</f>
        <v>0</v>
      </c>
      <c r="K16" s="23">
        <f>0/C16</f>
        <v>0</v>
      </c>
    </row>
    <row r="17" spans="1:11" ht="12.75">
      <c r="A17" s="1" t="s">
        <v>26</v>
      </c>
      <c r="B17" s="2" t="s">
        <v>27</v>
      </c>
      <c r="C17" s="3">
        <v>819128.01</v>
      </c>
      <c r="D17" s="20">
        <f>C17/B3</f>
        <v>0.0003455914084490329</v>
      </c>
      <c r="E17" s="21">
        <f>219562.84/C17</f>
        <v>0.26804460025729065</v>
      </c>
      <c r="F17" s="21">
        <f>141862.84/C17</f>
        <v>0.17318763156444864</v>
      </c>
      <c r="G17" s="21">
        <f>141862.84/C17</f>
        <v>0.17318763156444864</v>
      </c>
      <c r="H17" s="23">
        <f>0/C17</f>
        <v>0</v>
      </c>
      <c r="I17" s="23">
        <f>0/C17</f>
        <v>0</v>
      </c>
      <c r="J17" s="23">
        <f>0/C17</f>
        <v>0</v>
      </c>
      <c r="K17" s="23">
        <f>0/C17</f>
        <v>0</v>
      </c>
    </row>
    <row r="18" spans="1:11" ht="12.75">
      <c r="A18" s="15" t="s">
        <v>43</v>
      </c>
      <c r="B18" s="15" t="s">
        <v>46</v>
      </c>
      <c r="C18" s="3">
        <v>0</v>
      </c>
      <c r="D18" s="20">
        <f>C18/B3</f>
        <v>0</v>
      </c>
      <c r="E18" s="18" t="s">
        <v>57</v>
      </c>
      <c r="F18" s="18" t="s">
        <v>57</v>
      </c>
      <c r="G18" s="18" t="s">
        <v>57</v>
      </c>
      <c r="H18" s="18" t="s">
        <v>57</v>
      </c>
      <c r="I18" s="18" t="s">
        <v>57</v>
      </c>
      <c r="J18" s="18" t="s">
        <v>57</v>
      </c>
      <c r="K18" s="18" t="s">
        <v>57</v>
      </c>
    </row>
    <row r="19" spans="1:11" ht="12.75">
      <c r="A19" s="1" t="s">
        <v>14</v>
      </c>
      <c r="B19" s="2" t="s">
        <v>15</v>
      </c>
      <c r="C19" s="3">
        <v>77885686.97</v>
      </c>
      <c r="D19" s="20">
        <f>C19/B3</f>
        <v>0.03286009503933676</v>
      </c>
      <c r="E19" s="21">
        <f>9032431.6/C19</f>
        <v>0.1159703656909274</v>
      </c>
      <c r="F19" s="21">
        <f>884142.51/C19</f>
        <v>0.011351797029671882</v>
      </c>
      <c r="G19" s="21">
        <f>826797.51/C19</f>
        <v>0.010615525678273414</v>
      </c>
      <c r="H19" s="21">
        <f>1486178.5/C19</f>
        <v>0.019081535488958915</v>
      </c>
      <c r="I19" s="23">
        <f>0/C19</f>
        <v>0</v>
      </c>
      <c r="J19" s="21">
        <f>2123908.44/C19</f>
        <v>0.027269560334212458</v>
      </c>
      <c r="K19" s="22">
        <f>3783833.25/C19</f>
        <v>0.04858188195036986</v>
      </c>
    </row>
    <row r="20" spans="1:11" ht="12.75">
      <c r="A20" s="15" t="s">
        <v>44</v>
      </c>
      <c r="B20" s="15" t="s">
        <v>45</v>
      </c>
      <c r="C20" s="3">
        <v>0</v>
      </c>
      <c r="D20" s="20">
        <f>C20/B3</f>
        <v>0</v>
      </c>
      <c r="E20" s="18" t="s">
        <v>57</v>
      </c>
      <c r="F20" s="18" t="s">
        <v>57</v>
      </c>
      <c r="G20" s="18" t="s">
        <v>57</v>
      </c>
      <c r="H20" s="18" t="s">
        <v>57</v>
      </c>
      <c r="I20" s="18" t="s">
        <v>57</v>
      </c>
      <c r="J20" s="18" t="s">
        <v>57</v>
      </c>
      <c r="K20" s="18" t="s">
        <v>57</v>
      </c>
    </row>
    <row r="21" spans="1:11" ht="12.75">
      <c r="A21" s="1" t="s">
        <v>20</v>
      </c>
      <c r="B21" s="2" t="s">
        <v>21</v>
      </c>
      <c r="C21" s="3">
        <v>1589031.33</v>
      </c>
      <c r="D21" s="20">
        <f>C21/B3</f>
        <v>0.0006704148420029491</v>
      </c>
      <c r="E21" s="21">
        <f>1419653.33/C21</f>
        <v>0.8934080173233588</v>
      </c>
      <c r="F21" s="22">
        <f>707653.49/C21</f>
        <v>0.4453363987480347</v>
      </c>
      <c r="G21" s="22">
        <f>131942.4/C21</f>
        <v>0.08303322754498489</v>
      </c>
      <c r="H21" s="21">
        <f>163065.6/C21</f>
        <v>0.10261949964196111</v>
      </c>
      <c r="I21" s="21">
        <f>131942.4/C21</f>
        <v>0.08303322754498489</v>
      </c>
      <c r="J21" s="23">
        <f>0/C21</f>
        <v>0</v>
      </c>
      <c r="K21" s="22">
        <f>575666.4/C21</f>
        <v>0.36227504715089537</v>
      </c>
    </row>
    <row r="22" spans="1:11" ht="12.75">
      <c r="A22" s="9"/>
      <c r="B22" s="10"/>
      <c r="C22" s="11"/>
      <c r="D22" s="8"/>
      <c r="E22" s="8"/>
      <c r="F22" s="8"/>
      <c r="G22" s="8"/>
      <c r="H22" s="8"/>
      <c r="I22" s="8"/>
      <c r="J22" s="8"/>
      <c r="K22" s="8"/>
    </row>
    <row r="23" spans="1:8" ht="12.75">
      <c r="A23" s="28" t="s">
        <v>40</v>
      </c>
      <c r="B23" s="28"/>
      <c r="C23" s="4"/>
      <c r="D23" s="5"/>
      <c r="E23" s="5"/>
      <c r="F23" s="5"/>
      <c r="G23" s="5"/>
      <c r="H23" s="5"/>
    </row>
    <row r="24" spans="1:11" ht="12.75">
      <c r="A24" s="1" t="s">
        <v>0</v>
      </c>
      <c r="B24" s="2" t="s">
        <v>1</v>
      </c>
      <c r="C24" s="29" t="s">
        <v>55</v>
      </c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1" t="s">
        <v>2</v>
      </c>
      <c r="B25" s="2" t="s">
        <v>3</v>
      </c>
      <c r="C25" s="3">
        <v>306452146.79</v>
      </c>
      <c r="D25" s="20">
        <f>C25/B3</f>
        <v>0.12929264747201832</v>
      </c>
      <c r="E25" s="21">
        <f>126477508.3/C25</f>
        <v>0.4127153607008999</v>
      </c>
      <c r="F25" s="21">
        <f>51717720.14/C25</f>
        <v>0.16876279276137746</v>
      </c>
      <c r="G25" s="21">
        <f>22956314.32/C25</f>
        <v>0.07490994780249031</v>
      </c>
      <c r="H25" s="21">
        <f>8509152.9/C25</f>
        <v>0.027766661089279294</v>
      </c>
      <c r="I25" s="21">
        <f>2931096.13/C25</f>
        <v>0.009564612813786448</v>
      </c>
      <c r="J25" s="21">
        <f>6413277.72/C25</f>
        <v>0.020927501364168204</v>
      </c>
      <c r="K25" s="22">
        <f>49472853.21/C25</f>
        <v>0.16143745027800985</v>
      </c>
    </row>
    <row r="26" spans="1:11" ht="12.75">
      <c r="A26" s="1" t="s">
        <v>4</v>
      </c>
      <c r="B26" s="2" t="s">
        <v>5</v>
      </c>
      <c r="C26" s="3">
        <v>283844223.33</v>
      </c>
      <c r="D26" s="20">
        <f>C26/B3</f>
        <v>0.11975432865583066</v>
      </c>
      <c r="E26" s="21">
        <f>109704892.4/C26</f>
        <v>0.38649682953898296</v>
      </c>
      <c r="F26" s="21">
        <f>48337452.98/C26</f>
        <v>0.1702957080222218</v>
      </c>
      <c r="G26" s="21">
        <f>38486766.38/C26</f>
        <v>0.1355911560520114</v>
      </c>
      <c r="H26" s="21">
        <f>23825907.4/C26</f>
        <v>0.08394008206501273</v>
      </c>
      <c r="I26" s="21">
        <f>14938303.79/C26</f>
        <v>0.05262852847504522</v>
      </c>
      <c r="J26" s="21">
        <f>23122724.14/C26</f>
        <v>0.08146272581745412</v>
      </c>
      <c r="K26" s="22">
        <f>21550468.02/C26</f>
        <v>0.07592357444225743</v>
      </c>
    </row>
    <row r="27" spans="1:11" ht="12.75">
      <c r="A27" s="1" t="s">
        <v>6</v>
      </c>
      <c r="B27" s="2" t="s">
        <v>7</v>
      </c>
      <c r="C27" s="3">
        <v>256698499.67</v>
      </c>
      <c r="D27" s="20">
        <f>C27/B3</f>
        <v>0.10830150472782503</v>
      </c>
      <c r="E27" s="21">
        <f>68479695.01/C27</f>
        <v>0.2667709203522203</v>
      </c>
      <c r="F27" s="21">
        <f>12060080.21/C27</f>
        <v>0.046981498627782774</v>
      </c>
      <c r="G27" s="21">
        <f>4203634.06/C27</f>
        <v>0.01637576403993012</v>
      </c>
      <c r="H27" s="21">
        <f>1618088/C27</f>
        <v>0.006303457176727332</v>
      </c>
      <c r="I27" s="21">
        <f>1235652/C27</f>
        <v>0.004813631562274413</v>
      </c>
      <c r="J27" s="21">
        <f>1528222.87/C27</f>
        <v>0.005953376712230942</v>
      </c>
      <c r="K27" s="22">
        <f>11132191.42/C27</f>
        <v>0.043366795810302915</v>
      </c>
    </row>
    <row r="28" spans="1:11" ht="12.75">
      <c r="A28" s="1" t="s">
        <v>8</v>
      </c>
      <c r="B28" s="2" t="s">
        <v>9</v>
      </c>
      <c r="C28" s="3">
        <v>199767538.18</v>
      </c>
      <c r="D28" s="20">
        <f>C28/B3</f>
        <v>0.08428224165112137</v>
      </c>
      <c r="E28" s="21">
        <f>49407442.19/C28</f>
        <v>0.24732467867467814</v>
      </c>
      <c r="F28" s="21">
        <f>9426706.77/C28</f>
        <v>0.04718838133503998</v>
      </c>
      <c r="G28" s="21">
        <f>4917137.72/C28</f>
        <v>0.024614298022581756</v>
      </c>
      <c r="H28" s="21">
        <f>2072739.2/C28</f>
        <v>0.010375755835426895</v>
      </c>
      <c r="I28" s="23">
        <f>0/C28</f>
        <v>0</v>
      </c>
      <c r="J28" s="21">
        <f>1046990.49/C28</f>
        <v>0.005241044163324534</v>
      </c>
      <c r="K28" s="22">
        <f>2214191.84/C28</f>
        <v>0.011083842050478233</v>
      </c>
    </row>
    <row r="29" spans="1:11" ht="12.75">
      <c r="A29" s="1" t="s">
        <v>10</v>
      </c>
      <c r="B29" s="2" t="s">
        <v>11</v>
      </c>
      <c r="C29" s="3">
        <v>194201955.4</v>
      </c>
      <c r="D29" s="20">
        <f>C29/B3</f>
        <v>0.08193411343636299</v>
      </c>
      <c r="E29" s="21">
        <f>8424714.02/C29</f>
        <v>0.043381200784757906</v>
      </c>
      <c r="F29" s="23">
        <f>0/C29</f>
        <v>0</v>
      </c>
      <c r="G29" s="23">
        <f>0/C29</f>
        <v>0</v>
      </c>
      <c r="H29" s="21">
        <f>68706.49/C29</f>
        <v>0.000353788868183559</v>
      </c>
      <c r="I29" s="23">
        <f>0/C29</f>
        <v>0</v>
      </c>
      <c r="J29" s="21">
        <f>3123108/C29</f>
        <v>0.016081753623784573</v>
      </c>
      <c r="K29" s="22">
        <f>3366183/C29</f>
        <v>0.017333414553250166</v>
      </c>
    </row>
    <row r="30" spans="1:11" ht="12.75">
      <c r="A30" s="1" t="s">
        <v>12</v>
      </c>
      <c r="B30" s="2" t="s">
        <v>13</v>
      </c>
      <c r="C30" s="3">
        <v>176662151.9</v>
      </c>
      <c r="D30" s="20">
        <f>C30/B3</f>
        <v>0.07453404248105007</v>
      </c>
      <c r="E30" s="21">
        <f>35984948.9/C30</f>
        <v>0.20369359544748078</v>
      </c>
      <c r="F30" s="21">
        <f>14377519.89/C30</f>
        <v>0.08138426785460208</v>
      </c>
      <c r="G30" s="21">
        <f>2092231.38/C30</f>
        <v>0.011843121786404549</v>
      </c>
      <c r="H30" s="21">
        <f>4567792.23/C30</f>
        <v>0.025856088476639914</v>
      </c>
      <c r="I30" s="21">
        <f>2593634.95/C30</f>
        <v>0.014681327732655113</v>
      </c>
      <c r="J30" s="21">
        <f>27675/C30</f>
        <v>0.00015665494675772712</v>
      </c>
      <c r="K30" s="22">
        <f>7526199.8/C30</f>
        <v>0.04260221965517674</v>
      </c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6" spans="1:3" ht="12.75">
      <c r="A36" s="16"/>
      <c r="B36" s="16"/>
      <c r="C36" s="17"/>
    </row>
    <row r="37" spans="1:3" ht="12.75">
      <c r="A37" s="15"/>
      <c r="B37" s="15"/>
      <c r="C37" s="18"/>
    </row>
    <row r="38" spans="1:3" ht="12.75">
      <c r="A38" s="15"/>
      <c r="B38" s="15"/>
      <c r="C38" s="18"/>
    </row>
    <row r="39" spans="1:3" ht="12.75">
      <c r="A39" s="15"/>
      <c r="B39" s="15"/>
      <c r="C39" s="18"/>
    </row>
    <row r="40" spans="1:3" ht="12.75">
      <c r="A40" s="15"/>
      <c r="B40" s="15"/>
      <c r="C40" s="18"/>
    </row>
    <row r="41" spans="1:3" ht="12.75">
      <c r="A41" s="15"/>
      <c r="B41" s="15"/>
      <c r="C41" s="18"/>
    </row>
    <row r="42" spans="1:3" ht="12.75">
      <c r="A42" s="15"/>
      <c r="B42" s="15"/>
      <c r="C42" s="18"/>
    </row>
    <row r="43" spans="1:3" ht="12.75">
      <c r="A43" s="15"/>
      <c r="B43" s="15"/>
      <c r="C43" s="18"/>
    </row>
    <row r="44" spans="1:3" ht="12.75">
      <c r="A44" s="15"/>
      <c r="B44" s="15"/>
      <c r="C44" s="18"/>
    </row>
    <row r="45" spans="1:3" ht="12.75">
      <c r="A45" s="15"/>
      <c r="B45" s="15"/>
      <c r="C45" s="18"/>
    </row>
    <row r="46" spans="1:3" ht="12.75">
      <c r="A46" s="15"/>
      <c r="B46" s="15"/>
      <c r="C46" s="18"/>
    </row>
    <row r="47" spans="1:3" ht="12.75">
      <c r="A47" s="15"/>
      <c r="B47" s="15"/>
      <c r="C47" s="18"/>
    </row>
    <row r="48" spans="1:3" ht="12.75">
      <c r="A48" s="15"/>
      <c r="B48" s="15"/>
      <c r="C48" s="18"/>
    </row>
    <row r="49" spans="1:3" ht="12.75">
      <c r="A49" s="15"/>
      <c r="B49" s="15"/>
      <c r="C49" s="18"/>
    </row>
    <row r="50" spans="1:3" ht="12.75">
      <c r="A50" s="15"/>
      <c r="B50" s="15"/>
      <c r="C50" s="18"/>
    </row>
    <row r="51" spans="1:3" ht="12.75">
      <c r="A51" s="15"/>
      <c r="B51" s="15"/>
      <c r="C51" s="18"/>
    </row>
    <row r="52" spans="1:3" ht="12.75">
      <c r="A52" s="16"/>
      <c r="B52" s="16"/>
      <c r="C52" s="17"/>
    </row>
    <row r="53" spans="1:3" ht="12.75">
      <c r="A53" s="16"/>
      <c r="B53" s="16"/>
      <c r="C53" s="17"/>
    </row>
    <row r="54" spans="1:3" ht="12.75">
      <c r="A54" s="16"/>
      <c r="B54" s="16"/>
      <c r="C54" s="17"/>
    </row>
    <row r="55" spans="1:3" ht="12.75">
      <c r="A55" s="16"/>
      <c r="B55" s="16"/>
      <c r="C55" s="17"/>
    </row>
    <row r="56" spans="1:3" ht="12.75">
      <c r="A56" s="16"/>
      <c r="B56" s="16"/>
      <c r="C56" s="17"/>
    </row>
  </sheetData>
  <sheetProtection/>
  <mergeCells count="6">
    <mergeCell ref="E1:H1"/>
    <mergeCell ref="E2:K2"/>
    <mergeCell ref="E3:K3"/>
    <mergeCell ref="A5:B5"/>
    <mergeCell ref="A23:B23"/>
    <mergeCell ref="C24:K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Layout" workbookViewId="0" topLeftCell="A1">
      <selection activeCell="A17" sqref="A17"/>
    </sheetView>
  </sheetViews>
  <sheetFormatPr defaultColWidth="9.140625" defaultRowHeight="12.75"/>
  <cols>
    <col min="1" max="1" width="24.8515625" style="0" bestFit="1" customWidth="1"/>
    <col min="2" max="2" width="45.00390625" style="0" bestFit="1" customWidth="1"/>
    <col min="3" max="3" width="16.421875" style="0" bestFit="1" customWidth="1"/>
    <col min="4" max="4" width="18.7109375" style="0" bestFit="1" customWidth="1"/>
    <col min="5" max="5" width="16.421875" style="0" bestFit="1" customWidth="1"/>
    <col min="6" max="7" width="14.8515625" style="0" bestFit="1" customWidth="1"/>
    <col min="8" max="9" width="13.8515625" style="0" bestFit="1" customWidth="1"/>
    <col min="10" max="11" width="14.8515625" style="0" bestFit="1" customWidth="1"/>
  </cols>
  <sheetData>
    <row r="1" spans="4:8" ht="12.75">
      <c r="D1" s="13"/>
      <c r="E1" s="25"/>
      <c r="F1" s="25"/>
      <c r="G1" s="25"/>
      <c r="H1" s="25"/>
    </row>
    <row r="2" spans="2:11" ht="12.75">
      <c r="B2" s="12" t="s">
        <v>56</v>
      </c>
      <c r="D2" s="13"/>
      <c r="E2" s="25" t="s">
        <v>47</v>
      </c>
      <c r="F2" s="25"/>
      <c r="G2" s="25"/>
      <c r="H2" s="25"/>
      <c r="I2" s="25"/>
      <c r="J2" s="25"/>
      <c r="K2" s="25"/>
    </row>
    <row r="3" spans="2:11" ht="15">
      <c r="B3" s="24">
        <v>2370220989.2200003</v>
      </c>
      <c r="E3" s="25" t="s">
        <v>39</v>
      </c>
      <c r="F3" s="25"/>
      <c r="G3" s="25"/>
      <c r="H3" s="25"/>
      <c r="I3" s="25"/>
      <c r="J3" s="25"/>
      <c r="K3" s="25"/>
    </row>
    <row r="4" spans="3:11" ht="12.75">
      <c r="C4" s="6" t="s">
        <v>37</v>
      </c>
      <c r="D4" s="12" t="s">
        <v>38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</row>
    <row r="5" spans="1:11" ht="12.75">
      <c r="A5" s="26"/>
      <c r="B5" s="27"/>
      <c r="C5" s="7"/>
      <c r="D5" s="8"/>
      <c r="E5" s="8"/>
      <c r="F5" s="8"/>
      <c r="G5" s="8"/>
      <c r="H5" s="8"/>
      <c r="I5" s="8"/>
      <c r="J5" s="8"/>
      <c r="K5" s="8"/>
    </row>
    <row r="6" spans="1:8" ht="12.75">
      <c r="A6" s="14" t="s">
        <v>36</v>
      </c>
      <c r="B6" s="14"/>
      <c r="C6" s="6"/>
      <c r="D6" s="5"/>
      <c r="E6" s="5"/>
      <c r="F6" s="5"/>
      <c r="G6" s="5"/>
      <c r="H6" s="5"/>
    </row>
    <row r="7" spans="1:11" ht="12.75">
      <c r="A7" s="1" t="s">
        <v>30</v>
      </c>
      <c r="B7" s="2" t="s">
        <v>31</v>
      </c>
      <c r="C7" s="3">
        <v>591596</v>
      </c>
      <c r="D7" s="19">
        <f>C7/B3</f>
        <v>0.0002495952920384374</v>
      </c>
      <c r="E7" s="23">
        <f>0/C7</f>
        <v>0</v>
      </c>
      <c r="F7" s="23">
        <f>0/C7</f>
        <v>0</v>
      </c>
      <c r="G7" s="23">
        <f>0/C7</f>
        <v>0</v>
      </c>
      <c r="H7" s="23">
        <f>0/C7</f>
        <v>0</v>
      </c>
      <c r="I7" s="23">
        <f>0/C7</f>
        <v>0</v>
      </c>
      <c r="J7" s="23">
        <f>0/C7</f>
        <v>0</v>
      </c>
      <c r="K7" s="23">
        <f>0/C7</f>
        <v>0</v>
      </c>
    </row>
    <row r="8" spans="1:11" ht="12.75">
      <c r="A8" s="1" t="s">
        <v>16</v>
      </c>
      <c r="B8" s="2" t="s">
        <v>17</v>
      </c>
      <c r="C8" s="3">
        <v>43292197.12</v>
      </c>
      <c r="D8" s="19">
        <f>C8/B3</f>
        <v>0.018265046726401123</v>
      </c>
      <c r="E8" s="21">
        <f>11365555.8/C8</f>
        <v>0.26253127713745383</v>
      </c>
      <c r="F8" s="21">
        <f>1943401.45/C8</f>
        <v>0.04489034004472352</v>
      </c>
      <c r="G8" s="21">
        <f>830649.85/C8</f>
        <v>0.019187056912301152</v>
      </c>
      <c r="H8" s="21">
        <f>308400.45/C8</f>
        <v>0.0071236959663922</v>
      </c>
      <c r="I8" s="21">
        <f>152003.45/C8</f>
        <v>0.0035111050053354283</v>
      </c>
      <c r="J8" s="23">
        <f>0/C8</f>
        <v>0</v>
      </c>
      <c r="K8" s="22">
        <f>1973990.01/C8</f>
        <v>0.045596900626881376</v>
      </c>
    </row>
    <row r="9" spans="1:11" ht="12.75">
      <c r="A9" s="1" t="s">
        <v>18</v>
      </c>
      <c r="B9" s="2" t="s">
        <v>19</v>
      </c>
      <c r="C9" s="3">
        <v>7032360.41</v>
      </c>
      <c r="D9" s="20">
        <f>C9/B3</f>
        <v>0.0029669640265544317</v>
      </c>
      <c r="E9" s="21">
        <f>5258204.06/C9</f>
        <v>0.7477153833758073</v>
      </c>
      <c r="F9" s="21">
        <f>2591324.22/C9</f>
        <v>0.36848569597131897</v>
      </c>
      <c r="G9" s="23">
        <f>0/C9</f>
        <v>0</v>
      </c>
      <c r="H9" s="21">
        <f>77820/C9</f>
        <v>0.011065985737781605</v>
      </c>
      <c r="I9" s="21">
        <f>77820/C9</f>
        <v>0.011065985737781605</v>
      </c>
      <c r="J9" s="23">
        <f>0/C9</f>
        <v>0</v>
      </c>
      <c r="K9" s="22">
        <f>77820/C9</f>
        <v>0.011065985737781605</v>
      </c>
    </row>
    <row r="10" spans="1:11" ht="12.75">
      <c r="A10" s="1" t="s">
        <v>28</v>
      </c>
      <c r="B10" s="2" t="s">
        <v>29</v>
      </c>
      <c r="C10" s="3">
        <v>817113.35</v>
      </c>
      <c r="D10" s="20">
        <f>C10/B3</f>
        <v>0.0003447414201951263</v>
      </c>
      <c r="E10" s="21">
        <f>270880.43/C10</f>
        <v>0.3315090005566547</v>
      </c>
      <c r="F10" s="21">
        <f>52985.43/C10</f>
        <v>0.06484465098997587</v>
      </c>
      <c r="G10" s="21">
        <f>52985.43/C10</f>
        <v>0.06484465098997587</v>
      </c>
      <c r="H10" s="21">
        <f>156397/C10</f>
        <v>0.19140184161720036</v>
      </c>
      <c r="I10" s="23">
        <f>0/C10</f>
        <v>0</v>
      </c>
      <c r="J10" s="23">
        <f>0/C10</f>
        <v>0</v>
      </c>
      <c r="K10" s="23">
        <f>0/C10</f>
        <v>0</v>
      </c>
    </row>
    <row r="11" spans="1:11" ht="12.75">
      <c r="A11" s="1" t="s">
        <v>22</v>
      </c>
      <c r="B11" s="2" t="s">
        <v>23</v>
      </c>
      <c r="C11" s="3">
        <v>1463093.54</v>
      </c>
      <c r="D11" s="20">
        <f>C11/B3</f>
        <v>0.0006172814883735712</v>
      </c>
      <c r="E11" s="21">
        <f>598510.44/C11</f>
        <v>0.4090718902360815</v>
      </c>
      <c r="F11" s="23">
        <f>0/C11</f>
        <v>0</v>
      </c>
      <c r="G11" s="23">
        <f>0/C11</f>
        <v>0</v>
      </c>
      <c r="H11" s="21">
        <f>173847.84/C11</f>
        <v>0.1188220952708191</v>
      </c>
      <c r="I11" s="21">
        <f>173847.84/C11</f>
        <v>0.1188220952708191</v>
      </c>
      <c r="J11" s="23">
        <f>0/C11</f>
        <v>0</v>
      </c>
      <c r="K11" s="22">
        <f>229856/C11</f>
        <v>0.15710273725902718</v>
      </c>
    </row>
    <row r="12" spans="1:11" ht="12.75">
      <c r="A12" s="15" t="s">
        <v>41</v>
      </c>
      <c r="B12" s="15" t="s">
        <v>42</v>
      </c>
      <c r="C12" s="3">
        <v>0</v>
      </c>
      <c r="D12" s="20">
        <f>C12/B3</f>
        <v>0</v>
      </c>
      <c r="E12" s="18" t="s">
        <v>57</v>
      </c>
      <c r="F12" s="18" t="s">
        <v>57</v>
      </c>
      <c r="G12" s="18" t="s">
        <v>57</v>
      </c>
      <c r="H12" s="18" t="s">
        <v>57</v>
      </c>
      <c r="I12" s="18" t="s">
        <v>57</v>
      </c>
      <c r="J12" s="18" t="s">
        <v>57</v>
      </c>
      <c r="K12" s="18" t="s">
        <v>57</v>
      </c>
    </row>
    <row r="13" spans="1:11" ht="12.75">
      <c r="A13" s="1" t="s">
        <v>32</v>
      </c>
      <c r="B13" s="2" t="s">
        <v>33</v>
      </c>
      <c r="C13" s="3">
        <v>380711.7</v>
      </c>
      <c r="D13" s="20">
        <f>C13/B3</f>
        <v>0.0001606228709185829</v>
      </c>
      <c r="E13" s="21">
        <f>380711.7/C13</f>
        <v>1</v>
      </c>
      <c r="F13" s="21">
        <f>36067.7/C13</f>
        <v>0.09473756651030162</v>
      </c>
      <c r="G13" s="21">
        <f>36067.7/C13</f>
        <v>0.09473756651030162</v>
      </c>
      <c r="H13" s="23">
        <f>0/C13</f>
        <v>0</v>
      </c>
      <c r="I13" s="23">
        <f>0/C13</f>
        <v>0</v>
      </c>
      <c r="J13" s="23">
        <f>0/C13</f>
        <v>0</v>
      </c>
      <c r="K13" s="23">
        <f>0/C13</f>
        <v>0</v>
      </c>
    </row>
    <row r="14" spans="1:11" ht="12.75">
      <c r="A14" s="1" t="s">
        <v>0</v>
      </c>
      <c r="B14" s="2" t="s">
        <v>1</v>
      </c>
      <c r="C14" s="3">
        <v>761700669.63</v>
      </c>
      <c r="D14" s="20">
        <f>C14/B3</f>
        <v>0.32136272233445323</v>
      </c>
      <c r="E14" s="21">
        <f>743987945.89/C14</f>
        <v>0.9767458209684862</v>
      </c>
      <c r="F14" s="21">
        <f>5393488.26/C14</f>
        <v>0.0070808500964294994</v>
      </c>
      <c r="G14" s="21">
        <f>4067053.73/C14</f>
        <v>0.005339438301893042</v>
      </c>
      <c r="H14" s="21">
        <f>5337549.08/C14</f>
        <v>0.007007410250266344</v>
      </c>
      <c r="I14" s="21">
        <f>5112742.36/C14</f>
        <v>0.006712272371354933</v>
      </c>
      <c r="J14" s="21">
        <f>366600.8/C14</f>
        <v>0.00048129247434963946</v>
      </c>
      <c r="K14" s="22">
        <f>5587156.35/C14</f>
        <v>0.007335107572787076</v>
      </c>
    </row>
    <row r="15" spans="1:11" ht="12.75">
      <c r="A15" s="1" t="s">
        <v>24</v>
      </c>
      <c r="B15" s="2" t="s">
        <v>25</v>
      </c>
      <c r="C15" s="3">
        <v>1292841.2</v>
      </c>
      <c r="D15" s="20">
        <f>C15/B3</f>
        <v>0.0005454517557139059</v>
      </c>
      <c r="E15" s="21">
        <f>555250/C15</f>
        <v>0.4294804342559628</v>
      </c>
      <c r="F15" s="21">
        <f>555250/C15</f>
        <v>0.4294804342559628</v>
      </c>
      <c r="G15" s="21">
        <f>555250/C15</f>
        <v>0.4294804342559628</v>
      </c>
      <c r="H15" s="23">
        <f>0/C15</f>
        <v>0</v>
      </c>
      <c r="I15" s="23">
        <f>0/C15</f>
        <v>0</v>
      </c>
      <c r="J15" s="23">
        <f>0/C15</f>
        <v>0</v>
      </c>
      <c r="K15" s="23">
        <f>0/C15</f>
        <v>0</v>
      </c>
    </row>
    <row r="16" spans="1:11" ht="12.75">
      <c r="A16" s="1" t="s">
        <v>34</v>
      </c>
      <c r="B16" s="2" t="s">
        <v>35</v>
      </c>
      <c r="C16" s="3">
        <v>103484.51</v>
      </c>
      <c r="D16" s="20">
        <f>C16/B3</f>
        <v>4.36602791345861E-05</v>
      </c>
      <c r="E16" s="21">
        <f>103484.51/C16</f>
        <v>1</v>
      </c>
      <c r="F16" s="23">
        <f>0/C16</f>
        <v>0</v>
      </c>
      <c r="G16" s="23">
        <f>0/C16</f>
        <v>0</v>
      </c>
      <c r="H16" s="23">
        <f>0/C16</f>
        <v>0</v>
      </c>
      <c r="I16" s="23">
        <f>0/C16</f>
        <v>0</v>
      </c>
      <c r="J16" s="23">
        <f>0/C16</f>
        <v>0</v>
      </c>
      <c r="K16" s="23">
        <f>0/C16</f>
        <v>0</v>
      </c>
    </row>
    <row r="17" spans="1:11" ht="12.75">
      <c r="A17" s="1" t="s">
        <v>26</v>
      </c>
      <c r="B17" s="2" t="s">
        <v>27</v>
      </c>
      <c r="C17" s="3">
        <v>819128.01</v>
      </c>
      <c r="D17" s="20">
        <f>C17/B3</f>
        <v>0.0003455914084490329</v>
      </c>
      <c r="E17" s="21">
        <f>219562.84/C17</f>
        <v>0.26804460025729065</v>
      </c>
      <c r="F17" s="21">
        <f>141862.84/C17</f>
        <v>0.17318763156444864</v>
      </c>
      <c r="G17" s="21">
        <f>141862.84/C17</f>
        <v>0.17318763156444864</v>
      </c>
      <c r="H17" s="23">
        <f>0/C17</f>
        <v>0</v>
      </c>
      <c r="I17" s="23">
        <f>0/C17</f>
        <v>0</v>
      </c>
      <c r="J17" s="23">
        <f>0/C17</f>
        <v>0</v>
      </c>
      <c r="K17" s="23">
        <f>0/C17</f>
        <v>0</v>
      </c>
    </row>
    <row r="18" spans="1:11" ht="12.75">
      <c r="A18" s="15" t="s">
        <v>43</v>
      </c>
      <c r="B18" s="15" t="s">
        <v>46</v>
      </c>
      <c r="C18" s="3">
        <v>0</v>
      </c>
      <c r="D18" s="20">
        <f>C18/B3</f>
        <v>0</v>
      </c>
      <c r="E18" s="18" t="s">
        <v>57</v>
      </c>
      <c r="F18" s="18" t="s">
        <v>57</v>
      </c>
      <c r="G18" s="18" t="s">
        <v>57</v>
      </c>
      <c r="H18" s="18" t="s">
        <v>57</v>
      </c>
      <c r="I18" s="18" t="s">
        <v>57</v>
      </c>
      <c r="J18" s="18" t="s">
        <v>57</v>
      </c>
      <c r="K18" s="18" t="s">
        <v>57</v>
      </c>
    </row>
    <row r="19" spans="1:11" ht="12.75">
      <c r="A19" s="1" t="s">
        <v>14</v>
      </c>
      <c r="B19" s="2" t="s">
        <v>15</v>
      </c>
      <c r="C19" s="3">
        <v>77885686.97</v>
      </c>
      <c r="D19" s="20">
        <f>C19/B3</f>
        <v>0.03286009503933676</v>
      </c>
      <c r="E19" s="21">
        <f>9032431.6/C19</f>
        <v>0.1159703656909274</v>
      </c>
      <c r="F19" s="21">
        <f>884142.51/C19</f>
        <v>0.011351797029671882</v>
      </c>
      <c r="G19" s="21">
        <f>826797.51/C19</f>
        <v>0.010615525678273414</v>
      </c>
      <c r="H19" s="21">
        <f>1486178.5/C19</f>
        <v>0.019081535488958915</v>
      </c>
      <c r="I19" s="23">
        <f>0/C19</f>
        <v>0</v>
      </c>
      <c r="J19" s="21">
        <f>2123908.44/C19</f>
        <v>0.027269560334212458</v>
      </c>
      <c r="K19" s="22">
        <f>3783833.25/C19</f>
        <v>0.04858188195036986</v>
      </c>
    </row>
    <row r="20" spans="1:11" ht="12.75">
      <c r="A20" s="15" t="s">
        <v>44</v>
      </c>
      <c r="B20" s="15" t="s">
        <v>45</v>
      </c>
      <c r="C20" s="3">
        <v>0</v>
      </c>
      <c r="D20" s="20">
        <f>C20/B3</f>
        <v>0</v>
      </c>
      <c r="E20" s="18" t="s">
        <v>57</v>
      </c>
      <c r="F20" s="18" t="s">
        <v>57</v>
      </c>
      <c r="G20" s="18" t="s">
        <v>57</v>
      </c>
      <c r="H20" s="18" t="s">
        <v>57</v>
      </c>
      <c r="I20" s="18" t="s">
        <v>57</v>
      </c>
      <c r="J20" s="18" t="s">
        <v>57</v>
      </c>
      <c r="K20" s="18" t="s">
        <v>57</v>
      </c>
    </row>
    <row r="21" spans="1:11" ht="12.75">
      <c r="A21" s="1" t="s">
        <v>20</v>
      </c>
      <c r="B21" s="2" t="s">
        <v>21</v>
      </c>
      <c r="C21" s="3">
        <v>1589031.33</v>
      </c>
      <c r="D21" s="20">
        <f>C21/B3</f>
        <v>0.0006704148420029491</v>
      </c>
      <c r="E21" s="21">
        <f>1419653.33/C21</f>
        <v>0.8934080173233588</v>
      </c>
      <c r="F21" s="22">
        <f>707653.49/C21</f>
        <v>0.4453363987480347</v>
      </c>
      <c r="G21" s="22">
        <f>131942.4/C21</f>
        <v>0.08303322754498489</v>
      </c>
      <c r="H21" s="21">
        <f>163065.6/C21</f>
        <v>0.10261949964196111</v>
      </c>
      <c r="I21" s="21">
        <f>131942.4/C21</f>
        <v>0.08303322754498489</v>
      </c>
      <c r="J21" s="23">
        <f>0/C21</f>
        <v>0</v>
      </c>
      <c r="K21" s="22">
        <f>575666.4/C21</f>
        <v>0.36227504715089537</v>
      </c>
    </row>
    <row r="22" spans="1:11" ht="12.75">
      <c r="A22" s="9"/>
      <c r="B22" s="10"/>
      <c r="C22" s="11"/>
      <c r="D22" s="8"/>
      <c r="E22" s="8"/>
      <c r="F22" s="8"/>
      <c r="G22" s="8"/>
      <c r="H22" s="8"/>
      <c r="I22" s="8"/>
      <c r="J22" s="8"/>
      <c r="K22" s="8"/>
    </row>
    <row r="23" spans="1:8" ht="12.75">
      <c r="A23" s="28" t="s">
        <v>40</v>
      </c>
      <c r="B23" s="28"/>
      <c r="C23" s="4"/>
      <c r="D23" s="5"/>
      <c r="E23" s="5"/>
      <c r="F23" s="5"/>
      <c r="G23" s="5"/>
      <c r="H23" s="5"/>
    </row>
    <row r="24" spans="1:11" ht="12.75">
      <c r="A24" s="1" t="s">
        <v>0</v>
      </c>
      <c r="B24" s="2" t="s">
        <v>1</v>
      </c>
      <c r="C24" s="29" t="s">
        <v>55</v>
      </c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1" t="s">
        <v>2</v>
      </c>
      <c r="B25" s="2" t="s">
        <v>3</v>
      </c>
      <c r="C25" s="3">
        <v>306452146.79</v>
      </c>
      <c r="D25" s="20">
        <f>C25/B3</f>
        <v>0.12929264747201832</v>
      </c>
      <c r="E25" s="21">
        <f>126477508.3/C25</f>
        <v>0.4127153607008999</v>
      </c>
      <c r="F25" s="21">
        <f>51717720.14/C25</f>
        <v>0.16876279276137746</v>
      </c>
      <c r="G25" s="21">
        <f>22956314.32/C25</f>
        <v>0.07490994780249031</v>
      </c>
      <c r="H25" s="21">
        <f>8509152.9/C25</f>
        <v>0.027766661089279294</v>
      </c>
      <c r="I25" s="21">
        <f>2931096.13/C25</f>
        <v>0.009564612813786448</v>
      </c>
      <c r="J25" s="21">
        <f>6413277.72/C25</f>
        <v>0.020927501364168204</v>
      </c>
      <c r="K25" s="22">
        <f>49472853.21/C25</f>
        <v>0.16143745027800985</v>
      </c>
    </row>
    <row r="26" spans="1:11" ht="12.75">
      <c r="A26" s="1" t="s">
        <v>4</v>
      </c>
      <c r="B26" s="2" t="s">
        <v>5</v>
      </c>
      <c r="C26" s="3">
        <v>283844223.33</v>
      </c>
      <c r="D26" s="20">
        <f>C26/B3</f>
        <v>0.11975432865583066</v>
      </c>
      <c r="E26" s="21">
        <f>109704892.4/C26</f>
        <v>0.38649682953898296</v>
      </c>
      <c r="F26" s="21">
        <f>48337452.98/C26</f>
        <v>0.1702957080222218</v>
      </c>
      <c r="G26" s="21">
        <f>38486766.38/C26</f>
        <v>0.1355911560520114</v>
      </c>
      <c r="H26" s="21">
        <f>23825907.4/C26</f>
        <v>0.08394008206501273</v>
      </c>
      <c r="I26" s="21">
        <f>14938303.79/C26</f>
        <v>0.05262852847504522</v>
      </c>
      <c r="J26" s="21">
        <f>23122724.14/C26</f>
        <v>0.08146272581745412</v>
      </c>
      <c r="K26" s="22">
        <f>21550468.02/C26</f>
        <v>0.07592357444225743</v>
      </c>
    </row>
    <row r="27" spans="1:11" ht="12.75">
      <c r="A27" s="1" t="s">
        <v>6</v>
      </c>
      <c r="B27" s="2" t="s">
        <v>7</v>
      </c>
      <c r="C27" s="3">
        <v>256698499.67</v>
      </c>
      <c r="D27" s="20">
        <f>C27/B3</f>
        <v>0.10830150472782503</v>
      </c>
      <c r="E27" s="21">
        <f>68479695.01/C27</f>
        <v>0.2667709203522203</v>
      </c>
      <c r="F27" s="21">
        <f>12060080.21/C27</f>
        <v>0.046981498627782774</v>
      </c>
      <c r="G27" s="21">
        <f>4203634.06/C27</f>
        <v>0.01637576403993012</v>
      </c>
      <c r="H27" s="21">
        <f>1618088/C27</f>
        <v>0.006303457176727332</v>
      </c>
      <c r="I27" s="21">
        <f>1235652/C27</f>
        <v>0.004813631562274413</v>
      </c>
      <c r="J27" s="21">
        <f>1528222.87/C27</f>
        <v>0.005953376712230942</v>
      </c>
      <c r="K27" s="22">
        <f>11132191.42/C27</f>
        <v>0.043366795810302915</v>
      </c>
    </row>
    <row r="28" spans="1:11" ht="12.75">
      <c r="A28" s="1" t="s">
        <v>8</v>
      </c>
      <c r="B28" s="2" t="s">
        <v>9</v>
      </c>
      <c r="C28" s="3">
        <v>199767538.18</v>
      </c>
      <c r="D28" s="20">
        <f>C28/B3</f>
        <v>0.08428224165112137</v>
      </c>
      <c r="E28" s="21">
        <f>49407442.19/C28</f>
        <v>0.24732467867467814</v>
      </c>
      <c r="F28" s="21">
        <f>9426706.77/C28</f>
        <v>0.04718838133503998</v>
      </c>
      <c r="G28" s="21">
        <f>4917137.72/C28</f>
        <v>0.024614298022581756</v>
      </c>
      <c r="H28" s="21">
        <f>2072739.2/C28</f>
        <v>0.010375755835426895</v>
      </c>
      <c r="I28" s="23">
        <f>0/C28</f>
        <v>0</v>
      </c>
      <c r="J28" s="21">
        <f>1046990.49/C28</f>
        <v>0.005241044163324534</v>
      </c>
      <c r="K28" s="22">
        <f>2214191.84/C28</f>
        <v>0.011083842050478233</v>
      </c>
    </row>
    <row r="29" spans="1:11" ht="12.75">
      <c r="A29" s="1" t="s">
        <v>10</v>
      </c>
      <c r="B29" s="2" t="s">
        <v>11</v>
      </c>
      <c r="C29" s="3">
        <v>194201955.4</v>
      </c>
      <c r="D29" s="20">
        <f>C29/B3</f>
        <v>0.08193411343636299</v>
      </c>
      <c r="E29" s="21">
        <f>8424714.02/C29</f>
        <v>0.043381200784757906</v>
      </c>
      <c r="F29" s="23">
        <f>0/C29</f>
        <v>0</v>
      </c>
      <c r="G29" s="23">
        <f>0/C29</f>
        <v>0</v>
      </c>
      <c r="H29" s="21">
        <f>68706.49/C29</f>
        <v>0.000353788868183559</v>
      </c>
      <c r="I29" s="23">
        <f>0/C29</f>
        <v>0</v>
      </c>
      <c r="J29" s="21">
        <f>3123108/C29</f>
        <v>0.016081753623784573</v>
      </c>
      <c r="K29" s="22">
        <f>3366183/C29</f>
        <v>0.017333414553250166</v>
      </c>
    </row>
    <row r="30" spans="1:11" ht="12.75">
      <c r="A30" s="1" t="s">
        <v>12</v>
      </c>
      <c r="B30" s="2" t="s">
        <v>13</v>
      </c>
      <c r="C30" s="3">
        <v>176662151.9</v>
      </c>
      <c r="D30" s="20">
        <f>C30/B3</f>
        <v>0.07453404248105007</v>
      </c>
      <c r="E30" s="21">
        <f>35984948.9/C30</f>
        <v>0.20369359544748078</v>
      </c>
      <c r="F30" s="21">
        <f>14377519.89/C30</f>
        <v>0.08138426785460208</v>
      </c>
      <c r="G30" s="21">
        <f>2092231.38/C30</f>
        <v>0.011843121786404549</v>
      </c>
      <c r="H30" s="21">
        <f>4567792.23/C30</f>
        <v>0.025856088476639914</v>
      </c>
      <c r="I30" s="21">
        <f>2593634.95/C30</f>
        <v>0.014681327732655113</v>
      </c>
      <c r="J30" s="21">
        <f>27675/C30</f>
        <v>0.00015665494675772712</v>
      </c>
      <c r="K30" s="22">
        <f>7526199.8/C30</f>
        <v>0.04260221965517674</v>
      </c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"/>
    </row>
    <row r="36" spans="1:3" ht="12.75">
      <c r="A36" s="16"/>
      <c r="B36" s="16"/>
      <c r="C36" s="17"/>
    </row>
    <row r="37" spans="1:3" ht="12.75">
      <c r="A37" s="15"/>
      <c r="B37" s="15"/>
      <c r="C37" s="18"/>
    </row>
    <row r="38" spans="1:3" ht="12.75">
      <c r="A38" s="15"/>
      <c r="B38" s="15"/>
      <c r="C38" s="18"/>
    </row>
    <row r="39" spans="1:3" ht="12.75">
      <c r="A39" s="15"/>
      <c r="B39" s="15"/>
      <c r="C39" s="18"/>
    </row>
    <row r="40" spans="1:3" ht="12.75">
      <c r="A40" s="15"/>
      <c r="B40" s="15"/>
      <c r="C40" s="18"/>
    </row>
    <row r="41" spans="1:3" ht="12.75">
      <c r="A41" s="15"/>
      <c r="B41" s="15"/>
      <c r="C41" s="18"/>
    </row>
    <row r="42" spans="1:3" ht="12.75">
      <c r="A42" s="15"/>
      <c r="B42" s="15"/>
      <c r="C42" s="18"/>
    </row>
    <row r="43" spans="1:3" ht="12.75">
      <c r="A43" s="15"/>
      <c r="B43" s="15"/>
      <c r="C43" s="18"/>
    </row>
    <row r="44" spans="1:3" ht="12.75">
      <c r="A44" s="15"/>
      <c r="B44" s="15"/>
      <c r="C44" s="18"/>
    </row>
    <row r="45" spans="1:3" ht="12.75">
      <c r="A45" s="15"/>
      <c r="B45" s="15"/>
      <c r="C45" s="18"/>
    </row>
    <row r="46" spans="1:3" ht="12.75">
      <c r="A46" s="15"/>
      <c r="B46" s="15"/>
      <c r="C46" s="18"/>
    </row>
    <row r="47" spans="1:3" ht="12.75">
      <c r="A47" s="15"/>
      <c r="B47" s="15"/>
      <c r="C47" s="18"/>
    </row>
    <row r="48" spans="1:3" ht="12.75">
      <c r="A48" s="15"/>
      <c r="B48" s="15"/>
      <c r="C48" s="18"/>
    </row>
    <row r="49" spans="1:3" ht="12.75">
      <c r="A49" s="15"/>
      <c r="B49" s="15"/>
      <c r="C49" s="18"/>
    </row>
    <row r="50" spans="1:3" ht="12.75">
      <c r="A50" s="15"/>
      <c r="B50" s="15"/>
      <c r="C50" s="18"/>
    </row>
    <row r="51" spans="1:3" ht="12.75">
      <c r="A51" s="15"/>
      <c r="B51" s="15"/>
      <c r="C51" s="18"/>
    </row>
    <row r="52" spans="1:3" ht="12.75">
      <c r="A52" s="16"/>
      <c r="B52" s="16"/>
      <c r="C52" s="17"/>
    </row>
    <row r="53" spans="1:3" ht="12.75">
      <c r="A53" s="16"/>
      <c r="B53" s="16"/>
      <c r="C53" s="17"/>
    </row>
    <row r="54" spans="1:3" ht="12.75">
      <c r="A54" s="16"/>
      <c r="B54" s="16"/>
      <c r="C54" s="17"/>
    </row>
    <row r="55" spans="1:3" ht="12.75">
      <c r="A55" s="16"/>
      <c r="B55" s="16"/>
      <c r="C55" s="17"/>
    </row>
    <row r="56" spans="1:3" ht="12.75">
      <c r="A56" s="16"/>
      <c r="B56" s="16"/>
      <c r="C56" s="17"/>
    </row>
  </sheetData>
  <sheetProtection/>
  <mergeCells count="6">
    <mergeCell ref="E1:H1"/>
    <mergeCell ref="A5:B5"/>
    <mergeCell ref="A23:B23"/>
    <mergeCell ref="E2:K2"/>
    <mergeCell ref="E3:K3"/>
    <mergeCell ref="C24:K2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PaulFBoyle</cp:lastModifiedBy>
  <cp:lastPrinted>2011-01-28T15:40:35Z</cp:lastPrinted>
  <dcterms:created xsi:type="dcterms:W3CDTF">2011-01-04T15:16:59Z</dcterms:created>
  <dcterms:modified xsi:type="dcterms:W3CDTF">2011-01-28T16:04:30Z</dcterms:modified>
  <cp:category/>
  <cp:version/>
  <cp:contentType/>
  <cp:contentStatus/>
</cp:coreProperties>
</file>