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4755" activeTab="0"/>
  </bookViews>
  <sheets>
    <sheet name="Fitness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Registered User</author>
    <author>JMBaldueza1</author>
    <author>Jaime Baldueza</author>
  </authors>
  <commentList>
    <comment ref="F1" authorId="0">
      <text>
        <r>
          <rPr>
            <b/>
            <sz val="8"/>
            <rFont val="Tahoma"/>
            <family val="0"/>
          </rPr>
          <t>Registered User:</t>
        </r>
        <r>
          <rPr>
            <sz val="8"/>
            <rFont val="Tahoma"/>
            <family val="0"/>
          </rPr>
          <t xml:space="preserve">
Male/Female</t>
        </r>
      </text>
    </comment>
    <comment ref="F2" authorId="0">
      <text>
        <r>
          <rPr>
            <b/>
            <sz val="8"/>
            <rFont val="Tahoma"/>
            <family val="0"/>
          </rPr>
          <t>Registered User:</t>
        </r>
        <r>
          <rPr>
            <sz val="8"/>
            <rFont val="Tahoma"/>
            <family val="0"/>
          </rPr>
          <t xml:space="preserve">
Age</t>
        </r>
      </text>
    </comment>
    <comment ref="F3" authorId="0">
      <text>
        <r>
          <rPr>
            <b/>
            <sz val="8"/>
            <rFont val="Tahoma"/>
            <family val="0"/>
          </rPr>
          <t>Registered User:</t>
        </r>
        <r>
          <rPr>
            <sz val="8"/>
            <rFont val="Tahoma"/>
            <family val="0"/>
          </rPr>
          <t xml:space="preserve">
Height (Inches)</t>
        </r>
      </text>
    </comment>
    <comment ref="F4" authorId="0">
      <text>
        <r>
          <rPr>
            <b/>
            <sz val="8"/>
            <rFont val="Tahoma"/>
            <family val="0"/>
          </rPr>
          <t>Registered User:</t>
        </r>
        <r>
          <rPr>
            <sz val="8"/>
            <rFont val="Tahoma"/>
            <family val="0"/>
          </rPr>
          <t xml:space="preserve">
Weight (Pounds)</t>
        </r>
      </text>
    </comment>
    <comment ref="F7" authorId="1">
      <text>
        <r>
          <rPr>
            <b/>
            <sz val="8"/>
            <rFont val="Tahoma"/>
            <family val="0"/>
          </rPr>
          <t>JMBaldueza1:</t>
        </r>
        <r>
          <rPr>
            <sz val="8"/>
            <rFont val="Tahoma"/>
            <family val="0"/>
          </rPr>
          <t xml:space="preserve">
BMI Calculation</t>
        </r>
      </text>
    </comment>
    <comment ref="F8" authorId="1">
      <text>
        <r>
          <rPr>
            <b/>
            <sz val="8"/>
            <rFont val="Tahoma"/>
            <family val="0"/>
          </rPr>
          <t>JMBaldueza1:</t>
        </r>
        <r>
          <rPr>
            <sz val="8"/>
            <rFont val="Tahoma"/>
            <family val="0"/>
          </rPr>
          <t xml:space="preserve">
Weight at 27.5 BMI</t>
        </r>
      </text>
    </comment>
    <comment ref="F10" authorId="1">
      <text>
        <r>
          <rPr>
            <b/>
            <sz val="8"/>
            <rFont val="Tahoma"/>
            <family val="0"/>
          </rPr>
          <t>JMBaldueza1:</t>
        </r>
        <r>
          <rPr>
            <sz val="8"/>
            <rFont val="Tahoma"/>
            <family val="0"/>
          </rPr>
          <t xml:space="preserve">
BMI Factor</t>
        </r>
      </text>
    </comment>
    <comment ref="F11" authorId="2">
      <text>
        <r>
          <rPr>
            <b/>
            <sz val="11"/>
            <rFont val="Tahoma"/>
            <family val="0"/>
          </rPr>
          <t>Jaime Baldueza:</t>
        </r>
        <r>
          <rPr>
            <sz val="11"/>
            <rFont val="Tahoma"/>
            <family val="0"/>
          </rPr>
          <t xml:space="preserve">
Weight (kg)</t>
        </r>
      </text>
    </comment>
    <comment ref="F12" authorId="2">
      <text>
        <r>
          <rPr>
            <b/>
            <sz val="11"/>
            <rFont val="Tahoma"/>
            <family val="0"/>
          </rPr>
          <t>Jaime Baldueza:</t>
        </r>
        <r>
          <rPr>
            <sz val="11"/>
            <rFont val="Tahoma"/>
            <family val="0"/>
          </rPr>
          <t xml:space="preserve">
Height (cm)</t>
        </r>
      </text>
    </comment>
  </commentList>
</comments>
</file>

<file path=xl/sharedStrings.xml><?xml version="1.0" encoding="utf-8"?>
<sst xmlns="http://schemas.openxmlformats.org/spreadsheetml/2006/main" count="60" uniqueCount="40">
  <si>
    <t>Rank/Last Name:</t>
  </si>
  <si>
    <t>Height:</t>
  </si>
  <si>
    <t>Feet</t>
  </si>
  <si>
    <t>Inches</t>
  </si>
  <si>
    <t>Weight:</t>
  </si>
  <si>
    <t>Pounds</t>
  </si>
  <si>
    <t>Male/Female:</t>
  </si>
  <si>
    <t>Resting Metabolic Rate (RMR):</t>
  </si>
  <si>
    <t>BTM Qualification:</t>
  </si>
  <si>
    <t>Male</t>
  </si>
  <si>
    <t>Female</t>
  </si>
  <si>
    <t>RMR - the amount of calories you can consume in one day (without exercise) and maintain your current weight (NO weight gain or weight loss)</t>
  </si>
  <si>
    <t>to</t>
  </si>
  <si>
    <t>bpm</t>
  </si>
  <si>
    <t>Lightly Active:</t>
  </si>
  <si>
    <t>(Normal, everyday activities)</t>
  </si>
  <si>
    <t>Moderately Active:</t>
  </si>
  <si>
    <t>(Exercise 3 to 4 times a week)</t>
  </si>
  <si>
    <t>Very Active:</t>
  </si>
  <si>
    <t>(Exercise more than 4 times a week)</t>
  </si>
  <si>
    <t>Extremely Active:</t>
  </si>
  <si>
    <t>(Exercise 6 to 7 times a week)</t>
  </si>
  <si>
    <t>Calories per Day</t>
  </si>
  <si>
    <t>You are</t>
  </si>
  <si>
    <t>Your MAW.</t>
  </si>
  <si>
    <t>Excellent:</t>
  </si>
  <si>
    <t>Good:</t>
  </si>
  <si>
    <t>Fair:</t>
  </si>
  <si>
    <t>Men</t>
  </si>
  <si>
    <t>Women</t>
  </si>
  <si>
    <t>FITNESS ASSESSMENTS</t>
  </si>
  <si>
    <r>
      <t>Heart Rate (HR) Zone</t>
    </r>
    <r>
      <rPr>
        <sz val="10"/>
        <rFont val="Arial"/>
        <family val="0"/>
      </rPr>
      <t xml:space="preserve"> (65%-90% of Max HR)</t>
    </r>
  </si>
  <si>
    <r>
      <t xml:space="preserve">Birthday </t>
    </r>
    <r>
      <rPr>
        <sz val="8"/>
        <color indexed="9"/>
        <rFont val="Arial"/>
        <family val="2"/>
      </rPr>
      <t>(MM/DD/YYYY)</t>
    </r>
    <r>
      <rPr>
        <sz val="10"/>
        <color indexed="9"/>
        <rFont val="Arial"/>
        <family val="0"/>
      </rPr>
      <t>:</t>
    </r>
  </si>
  <si>
    <t>Sedentary:</t>
  </si>
  <si>
    <t>Endurance Athletes:</t>
  </si>
  <si>
    <t>Heavy Weight Training:</t>
  </si>
  <si>
    <t>Grams per Day</t>
  </si>
  <si>
    <r>
      <t>PROTEIN INTAKE</t>
    </r>
    <r>
      <rPr>
        <sz val="10"/>
        <rFont val="Arial"/>
        <family val="0"/>
      </rPr>
      <t xml:space="preserve"> (Proper amount of Protein needed, based on Fitness Lifestyle)</t>
    </r>
  </si>
  <si>
    <t>Current BMI:</t>
  </si>
  <si>
    <t>Max Allowable Weight (27.5 BMI):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</si>
</sst>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</numFmts>
  <fonts count="1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Times New Roman"/>
      <family val="1"/>
    </font>
    <font>
      <b/>
      <u val="single"/>
      <sz val="12"/>
      <name val="Arial"/>
      <family val="2"/>
    </font>
    <font>
      <b/>
      <sz val="14"/>
      <name val="Arial"/>
      <family val="2"/>
    </font>
    <font>
      <sz val="11"/>
      <name val="Tahoma"/>
      <family val="0"/>
    </font>
    <font>
      <b/>
      <sz val="11"/>
      <name val="Tahoma"/>
      <family val="0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1" fillId="3" borderId="2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5" xfId="0" applyFill="1" applyBorder="1" applyAlignment="1">
      <alignment horizontal="left"/>
    </xf>
    <xf numFmtId="0" fontId="0" fillId="6" borderId="2" xfId="0" applyFill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1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7" borderId="4" xfId="0" applyFill="1" applyBorder="1" applyAlignment="1">
      <alignment horizontal="right"/>
    </xf>
    <xf numFmtId="0" fontId="0" fillId="7" borderId="5" xfId="0" applyFill="1" applyBorder="1" applyAlignment="1">
      <alignment horizontal="center"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2" fillId="8" borderId="1" xfId="0" applyFont="1" applyFill="1" applyBorder="1" applyAlignment="1">
      <alignment horizontal="right"/>
    </xf>
    <xf numFmtId="0" fontId="0" fillId="8" borderId="4" xfId="0" applyFill="1" applyBorder="1" applyAlignment="1">
      <alignment horizontal="right"/>
    </xf>
    <xf numFmtId="0" fontId="0" fillId="9" borderId="0" xfId="0" applyFill="1" applyAlignment="1">
      <alignment horizontal="right"/>
    </xf>
    <xf numFmtId="0" fontId="0" fillId="9" borderId="0" xfId="0" applyFill="1" applyAlignment="1">
      <alignment horizontal="center"/>
    </xf>
    <xf numFmtId="0" fontId="0" fillId="9" borderId="0" xfId="0" applyFill="1" applyAlignment="1">
      <alignment/>
    </xf>
    <xf numFmtId="0" fontId="12" fillId="5" borderId="11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right"/>
    </xf>
    <xf numFmtId="0" fontId="12" fillId="4" borderId="7" xfId="0" applyFont="1" applyFill="1" applyBorder="1" applyAlignment="1">
      <alignment horizontal="left"/>
    </xf>
    <xf numFmtId="1" fontId="10" fillId="10" borderId="12" xfId="0" applyNumberFormat="1" applyFont="1" applyFill="1" applyBorder="1" applyAlignment="1" applyProtection="1">
      <alignment horizontal="center"/>
      <protection locked="0"/>
    </xf>
    <xf numFmtId="0" fontId="10" fillId="10" borderId="13" xfId="0" applyFont="1" applyFill="1" applyBorder="1" applyAlignment="1" applyProtection="1">
      <alignment horizontal="center"/>
      <protection locked="0"/>
    </xf>
    <xf numFmtId="0" fontId="0" fillId="11" borderId="14" xfId="0" applyFill="1" applyBorder="1" applyAlignment="1">
      <alignment horizontal="right"/>
    </xf>
    <xf numFmtId="165" fontId="5" fillId="11" borderId="15" xfId="0" applyNumberFormat="1" applyFont="1" applyFill="1" applyBorder="1" applyAlignment="1">
      <alignment horizontal="center"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8" xfId="0" applyFill="1" applyBorder="1" applyAlignment="1">
      <alignment horizontal="right"/>
    </xf>
    <xf numFmtId="165" fontId="5" fillId="11" borderId="19" xfId="0" applyNumberFormat="1" applyFont="1" applyFill="1" applyBorder="1" applyAlignment="1">
      <alignment horizontal="center"/>
    </xf>
    <xf numFmtId="0" fontId="0" fillId="11" borderId="20" xfId="0" applyFill="1" applyBorder="1" applyAlignment="1">
      <alignment/>
    </xf>
    <xf numFmtId="0" fontId="0" fillId="11" borderId="21" xfId="0" applyFill="1" applyBorder="1" applyAlignment="1">
      <alignment/>
    </xf>
    <xf numFmtId="0" fontId="0" fillId="11" borderId="22" xfId="0" applyFill="1" applyBorder="1" applyAlignment="1">
      <alignment horizontal="right"/>
    </xf>
    <xf numFmtId="165" fontId="5" fillId="11" borderId="23" xfId="0" applyNumberFormat="1" applyFont="1" applyFill="1" applyBorder="1" applyAlignment="1">
      <alignment horizontal="center"/>
    </xf>
    <xf numFmtId="0" fontId="0" fillId="11" borderId="24" xfId="0" applyFill="1" applyBorder="1" applyAlignment="1">
      <alignment/>
    </xf>
    <xf numFmtId="0" fontId="0" fillId="11" borderId="25" xfId="0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" fontId="10" fillId="10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5" fontId="5" fillId="10" borderId="3" xfId="0" applyNumberFormat="1" applyFont="1" applyFill="1" applyBorder="1" applyAlignment="1">
      <alignment horizontal="center"/>
    </xf>
    <xf numFmtId="0" fontId="13" fillId="12" borderId="26" xfId="0" applyFont="1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4" fontId="10" fillId="10" borderId="15" xfId="0" applyNumberFormat="1" applyFont="1" applyFill="1" applyBorder="1" applyAlignment="1" applyProtection="1">
      <alignment horizontal="center"/>
      <protection locked="0"/>
    </xf>
    <xf numFmtId="14" fontId="10" fillId="10" borderId="29" xfId="0" applyNumberFormat="1" applyFont="1" applyFill="1" applyBorder="1" applyAlignment="1" applyProtection="1">
      <alignment horizontal="center"/>
      <protection locked="0"/>
    </xf>
    <xf numFmtId="0" fontId="11" fillId="10" borderId="30" xfId="0" applyFont="1" applyFill="1" applyBorder="1" applyAlignment="1" applyProtection="1">
      <alignment horizontal="left"/>
      <protection locked="0"/>
    </xf>
    <xf numFmtId="0" fontId="11" fillId="10" borderId="31" xfId="0" applyFont="1" applyFill="1" applyBorder="1" applyAlignment="1" applyProtection="1">
      <alignment horizontal="left"/>
      <protection locked="0"/>
    </xf>
    <xf numFmtId="0" fontId="11" fillId="10" borderId="32" xfId="0" applyFont="1" applyFill="1" applyBorder="1" applyAlignment="1" applyProtection="1">
      <alignment horizontal="left"/>
      <protection locked="0"/>
    </xf>
    <xf numFmtId="0" fontId="0" fillId="5" borderId="7" xfId="0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104775</xdr:rowOff>
    </xdr:from>
    <xdr:to>
      <xdr:col>0</xdr:col>
      <xdr:colOff>1438275</xdr:colOff>
      <xdr:row>32</xdr:row>
      <xdr:rowOff>57150</xdr:rowOff>
    </xdr:to>
    <xdr:sp>
      <xdr:nvSpPr>
        <xdr:cNvPr id="1" name="AutoShape 9"/>
        <xdr:cNvSpPr>
          <a:spLocks/>
        </xdr:cNvSpPr>
      </xdr:nvSpPr>
      <xdr:spPr>
        <a:xfrm>
          <a:off x="152400" y="6362700"/>
          <a:ext cx="128587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1.5 Mile Run</a:t>
          </a:r>
        </a:p>
      </xdr:txBody>
    </xdr:sp>
    <xdr:clientData/>
  </xdr:twoCellAnchor>
  <xdr:twoCellAnchor>
    <xdr:from>
      <xdr:col>0</xdr:col>
      <xdr:colOff>247650</xdr:colOff>
      <xdr:row>37</xdr:row>
      <xdr:rowOff>114300</xdr:rowOff>
    </xdr:from>
    <xdr:to>
      <xdr:col>0</xdr:col>
      <xdr:colOff>1181100</xdr:colOff>
      <xdr:row>38</xdr:row>
      <xdr:rowOff>104775</xdr:rowOff>
    </xdr:to>
    <xdr:sp>
      <xdr:nvSpPr>
        <xdr:cNvPr id="2" name="AutoShape 10"/>
        <xdr:cNvSpPr>
          <a:spLocks/>
        </xdr:cNvSpPr>
      </xdr:nvSpPr>
      <xdr:spPr>
        <a:xfrm>
          <a:off x="247650" y="7505700"/>
          <a:ext cx="93345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Push-Ups</a:t>
          </a:r>
        </a:p>
      </xdr:txBody>
    </xdr:sp>
    <xdr:clientData/>
  </xdr:twoCellAnchor>
  <xdr:twoCellAnchor>
    <xdr:from>
      <xdr:col>0</xdr:col>
      <xdr:colOff>295275</xdr:colOff>
      <xdr:row>43</xdr:row>
      <xdr:rowOff>104775</xdr:rowOff>
    </xdr:from>
    <xdr:to>
      <xdr:col>0</xdr:col>
      <xdr:colOff>1028700</xdr:colOff>
      <xdr:row>44</xdr:row>
      <xdr:rowOff>95250</xdr:rowOff>
    </xdr:to>
    <xdr:sp>
      <xdr:nvSpPr>
        <xdr:cNvPr id="3" name="AutoShape 11"/>
        <xdr:cNvSpPr>
          <a:spLocks/>
        </xdr:cNvSpPr>
      </xdr:nvSpPr>
      <xdr:spPr>
        <a:xfrm>
          <a:off x="295275" y="8629650"/>
          <a:ext cx="733425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Sit-Ups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B1" sqref="B1:E1"/>
    </sheetView>
  </sheetViews>
  <sheetFormatPr defaultColWidth="9.140625" defaultRowHeight="12.75"/>
  <cols>
    <col min="1" max="1" width="38.7109375" style="1" bestFit="1" customWidth="1"/>
    <col min="2" max="2" width="9.421875" style="4" bestFit="1" customWidth="1"/>
    <col min="4" max="4" width="12.28125" style="0" bestFit="1" customWidth="1"/>
    <col min="5" max="5" width="11.00390625" style="0" bestFit="1" customWidth="1"/>
    <col min="6" max="6" width="9.00390625" style="70" hidden="1" customWidth="1"/>
    <col min="7" max="7" width="12.421875" style="3" bestFit="1" customWidth="1"/>
  </cols>
  <sheetData>
    <row r="1" spans="1:6" ht="22.5">
      <c r="A1" s="5" t="s">
        <v>0</v>
      </c>
      <c r="B1" s="85"/>
      <c r="C1" s="86"/>
      <c r="D1" s="86"/>
      <c r="E1" s="87"/>
      <c r="F1" s="70">
        <f>IF(E2="","BLANK",IF(E2="MALE",1,0))</f>
        <v>1</v>
      </c>
    </row>
    <row r="2" spans="1:8" ht="15.75">
      <c r="A2" s="6" t="s">
        <v>32</v>
      </c>
      <c r="B2" s="83">
        <v>22250</v>
      </c>
      <c r="C2" s="84"/>
      <c r="D2" s="7" t="s">
        <v>6</v>
      </c>
      <c r="E2" s="54" t="s">
        <v>9</v>
      </c>
      <c r="F2" s="71">
        <f ca="1">IF(B2="",0,ROUNDDOWN(((TODAY())-B2)/365,0))</f>
        <v>48</v>
      </c>
      <c r="H2" s="2"/>
    </row>
    <row r="3" spans="1:6" ht="15.75">
      <c r="A3" s="6" t="s">
        <v>1</v>
      </c>
      <c r="B3" s="53">
        <v>6</v>
      </c>
      <c r="C3" s="7" t="s">
        <v>2</v>
      </c>
      <c r="D3" s="53">
        <v>0</v>
      </c>
      <c r="E3" s="8" t="s">
        <v>3</v>
      </c>
      <c r="F3" s="71">
        <f>IF(B3="","BLANK",ROUND(SUM(B3*12,D3),0))</f>
        <v>72</v>
      </c>
    </row>
    <row r="4" spans="1:6" ht="15.75">
      <c r="A4" s="6" t="s">
        <v>4</v>
      </c>
      <c r="B4" s="53">
        <v>185</v>
      </c>
      <c r="C4" s="7" t="s">
        <v>5</v>
      </c>
      <c r="D4" s="7"/>
      <c r="E4" s="8"/>
      <c r="F4" s="71">
        <f>IF(B4="","BLANK",ROUND(B4,0))</f>
        <v>185</v>
      </c>
    </row>
    <row r="5" spans="1:6" ht="12.75">
      <c r="A5" s="6"/>
      <c r="B5" s="9"/>
      <c r="C5" s="7"/>
      <c r="D5" s="7"/>
      <c r="E5" s="8"/>
      <c r="F5" s="70" t="s">
        <v>9</v>
      </c>
    </row>
    <row r="6" spans="1:6" ht="15.75">
      <c r="A6" s="6" t="s">
        <v>39</v>
      </c>
      <c r="B6" s="69">
        <f>IF(B3="","BLANK",(IF(F3=60,141,ROUNDDOWN(F8,0))))</f>
        <v>202</v>
      </c>
      <c r="C6" s="7"/>
      <c r="D6" s="67" t="s">
        <v>38</v>
      </c>
      <c r="E6" s="72">
        <f>IF(B4="","BLANK",ROUND(F7,1))</f>
        <v>25.1</v>
      </c>
      <c r="F6" s="70" t="s">
        <v>10</v>
      </c>
    </row>
    <row r="7" spans="1:6" ht="16.5" thickBot="1">
      <c r="A7" s="10" t="s">
        <v>23</v>
      </c>
      <c r="B7" s="11">
        <f>IF(B6="BLANK","BLANK",IF(B6&gt;=B4,(B6-B4),(B4-B6)))</f>
        <v>17</v>
      </c>
      <c r="C7" s="12" t="s">
        <v>5</v>
      </c>
      <c r="D7" s="11" t="str">
        <f>IF(B6="","BLANK",IF(B6&gt;=B4,"UNDER","OVER"))</f>
        <v>UNDER</v>
      </c>
      <c r="E7" s="13" t="s">
        <v>24</v>
      </c>
      <c r="F7" s="68">
        <f>IF($B$4="","BLANK",((F4*F10)/(F3*F3)))</f>
        <v>25.090253101269237</v>
      </c>
    </row>
    <row r="8" spans="1:6" ht="13.5" thickBot="1">
      <c r="A8" s="47"/>
      <c r="B8" s="48"/>
      <c r="C8" s="49"/>
      <c r="D8" s="49"/>
      <c r="E8" s="49"/>
      <c r="F8" s="70">
        <f>IF(B3="","BLANK",(27.5*F3*F3/F10))</f>
        <v>202.7679824299038</v>
      </c>
    </row>
    <row r="9" spans="1:5" ht="15.75">
      <c r="A9" s="18" t="s">
        <v>7</v>
      </c>
      <c r="B9" s="50">
        <f>ROUND(IF(F1=1,F13+5,F13-161),0)</f>
        <v>1747</v>
      </c>
      <c r="C9" s="24" t="s">
        <v>22</v>
      </c>
      <c r="D9" s="24"/>
      <c r="E9" s="25"/>
    </row>
    <row r="10" spans="1:6" ht="33.75" customHeight="1">
      <c r="A10" s="14" t="s">
        <v>11</v>
      </c>
      <c r="B10" s="26"/>
      <c r="C10" s="27"/>
      <c r="D10" s="27"/>
      <c r="E10" s="28"/>
      <c r="F10" s="70">
        <f>39.3700787*39.3700787/2.20462262</f>
        <v>703.069578794485</v>
      </c>
    </row>
    <row r="11" spans="1:6" ht="13.5" thickBot="1">
      <c r="A11" s="15"/>
      <c r="B11" s="29"/>
      <c r="C11" s="30"/>
      <c r="D11" s="30"/>
      <c r="E11" s="31"/>
      <c r="F11" s="70">
        <f>F4*0.45359237</f>
        <v>83.91458845000001</v>
      </c>
    </row>
    <row r="12" spans="1:6" ht="15.75">
      <c r="A12" s="16" t="s">
        <v>14</v>
      </c>
      <c r="B12" s="50">
        <f>IF(B9="BLANK","BLANK",ROUND((B9*1.3),0))</f>
        <v>2271</v>
      </c>
      <c r="C12" s="88" t="s">
        <v>22</v>
      </c>
      <c r="D12" s="88"/>
      <c r="E12" s="25"/>
      <c r="F12" s="70">
        <f>F3*2.54</f>
        <v>182.88</v>
      </c>
    </row>
    <row r="13" spans="1:6" ht="13.5" thickBot="1">
      <c r="A13" s="17" t="s">
        <v>15</v>
      </c>
      <c r="B13" s="29"/>
      <c r="C13" s="30"/>
      <c r="D13" s="30"/>
      <c r="E13" s="31"/>
      <c r="F13" s="70">
        <f>(10*F11)+(6.25*F12)-(5*F2)</f>
        <v>1742.1458845000002</v>
      </c>
    </row>
    <row r="14" spans="1:5" ht="15.75">
      <c r="A14" s="16" t="s">
        <v>16</v>
      </c>
      <c r="B14" s="50">
        <f>IF(B9="BLANK","BLANK",ROUND((B9*1.4),0))</f>
        <v>2446</v>
      </c>
      <c r="C14" s="88" t="s">
        <v>22</v>
      </c>
      <c r="D14" s="88"/>
      <c r="E14" s="25"/>
    </row>
    <row r="15" spans="1:5" ht="13.5" thickBot="1">
      <c r="A15" s="15" t="s">
        <v>17</v>
      </c>
      <c r="B15" s="29"/>
      <c r="C15" s="30"/>
      <c r="D15" s="30"/>
      <c r="E15" s="31"/>
    </row>
    <row r="16" spans="1:5" ht="15.75">
      <c r="A16" s="16" t="s">
        <v>18</v>
      </c>
      <c r="B16" s="50">
        <f>IF(B9="BLANK","BLANK",ROUND((B9*1.6),0))</f>
        <v>2795</v>
      </c>
      <c r="C16" s="88" t="s">
        <v>22</v>
      </c>
      <c r="D16" s="88"/>
      <c r="E16" s="25"/>
    </row>
    <row r="17" spans="1:5" ht="13.5" thickBot="1">
      <c r="A17" s="15" t="s">
        <v>19</v>
      </c>
      <c r="B17" s="29"/>
      <c r="C17" s="30"/>
      <c r="D17" s="30"/>
      <c r="E17" s="31"/>
    </row>
    <row r="18" spans="1:5" ht="15.75">
      <c r="A18" s="16" t="s">
        <v>20</v>
      </c>
      <c r="B18" s="50">
        <f>IF(B9="BLANK","BLANK",ROUND((B9*1.8),0))</f>
        <v>3145</v>
      </c>
      <c r="C18" s="88" t="s">
        <v>22</v>
      </c>
      <c r="D18" s="88"/>
      <c r="E18" s="25"/>
    </row>
    <row r="19" spans="1:5" ht="13.5" thickBot="1">
      <c r="A19" s="15" t="s">
        <v>21</v>
      </c>
      <c r="B19" s="29"/>
      <c r="C19" s="30"/>
      <c r="D19" s="32"/>
      <c r="E19" s="31"/>
    </row>
    <row r="20" spans="1:5" ht="13.5" thickBot="1">
      <c r="A20" s="47"/>
      <c r="B20" s="48"/>
      <c r="C20" s="49"/>
      <c r="D20" s="49"/>
      <c r="E20" s="49"/>
    </row>
    <row r="21" spans="1:5" ht="18.75" thickBot="1">
      <c r="A21" s="73" t="s">
        <v>37</v>
      </c>
      <c r="B21" s="74"/>
      <c r="C21" s="74"/>
      <c r="D21" s="74"/>
      <c r="E21" s="75"/>
    </row>
    <row r="22" spans="1:5" ht="16.5" thickTop="1">
      <c r="A22" s="63" t="s">
        <v>33</v>
      </c>
      <c r="B22" s="64">
        <f>IF($B$4=0,"BLANK",(($B$4/2.2)*0.8))</f>
        <v>67.27272727272727</v>
      </c>
      <c r="C22" s="65" t="s">
        <v>36</v>
      </c>
      <c r="D22" s="65"/>
      <c r="E22" s="66"/>
    </row>
    <row r="23" spans="1:5" ht="15.75">
      <c r="A23" s="55" t="s">
        <v>34</v>
      </c>
      <c r="B23" s="56">
        <f>IF($B$4=0,"BLANK",(($B$4/2.2)*1.4))</f>
        <v>117.7272727272727</v>
      </c>
      <c r="C23" s="57" t="s">
        <v>36</v>
      </c>
      <c r="D23" s="57"/>
      <c r="E23" s="58"/>
    </row>
    <row r="24" spans="1:5" ht="16.5" thickBot="1">
      <c r="A24" s="59" t="s">
        <v>35</v>
      </c>
      <c r="B24" s="60">
        <f>IF($B$4=0,"BLANK",(($B$4/2.2)*2))</f>
        <v>168.18181818181816</v>
      </c>
      <c r="C24" s="61" t="s">
        <v>36</v>
      </c>
      <c r="D24" s="61"/>
      <c r="E24" s="62"/>
    </row>
    <row r="25" spans="1:5" ht="13.5" thickBot="1">
      <c r="A25" s="47"/>
      <c r="B25" s="48"/>
      <c r="C25" s="49"/>
      <c r="D25" s="49"/>
      <c r="E25" s="49"/>
    </row>
    <row r="26" spans="1:5" ht="15.75">
      <c r="A26" s="45" t="s">
        <v>31</v>
      </c>
      <c r="B26" s="51">
        <f>IF(B2="","BLANK",ROUND((220-F2)*0.65,0))</f>
        <v>112</v>
      </c>
      <c r="C26" s="19" t="s">
        <v>12</v>
      </c>
      <c r="D26" s="52">
        <f>IF(B2="","BLANK",ROUND((220-F2)*0.9,0))</f>
        <v>155</v>
      </c>
      <c r="E26" s="20" t="s">
        <v>13</v>
      </c>
    </row>
    <row r="27" spans="1:5" ht="13.5" thickBot="1">
      <c r="A27" s="46"/>
      <c r="B27" s="23"/>
      <c r="C27" s="21"/>
      <c r="D27" s="21"/>
      <c r="E27" s="22"/>
    </row>
    <row r="28" spans="1:5" ht="13.5" thickBot="1">
      <c r="A28" s="47"/>
      <c r="B28" s="48"/>
      <c r="C28" s="49"/>
      <c r="D28" s="49"/>
      <c r="E28" s="49"/>
    </row>
    <row r="29" spans="1:5" ht="18.75" thickBot="1">
      <c r="A29" s="89" t="s">
        <v>30</v>
      </c>
      <c r="B29" s="90"/>
      <c r="C29" s="90"/>
      <c r="D29" s="90"/>
      <c r="E29" s="91"/>
    </row>
    <row r="30" spans="1:5" ht="12.75">
      <c r="A30" s="39"/>
      <c r="B30" s="79" t="s">
        <v>28</v>
      </c>
      <c r="C30" s="79"/>
      <c r="D30" s="79" t="s">
        <v>29</v>
      </c>
      <c r="E30" s="80"/>
    </row>
    <row r="31" spans="1:5" ht="15.75">
      <c r="A31" s="33" t="s">
        <v>25</v>
      </c>
      <c r="B31" s="82" t="str">
        <f>IF($F$2&gt;60,"11:21 - 13:25",IF($F$2&gt;50,"10:28 - 12:08",IF($F$2&gt;40,"9:48 - 11:09",IF($F$2&gt;30,"9:32 - 10:38",IF($F$2&gt;15,"9:11 - 10:08","BLANK")))))</f>
        <v>9:48 - 11:09</v>
      </c>
      <c r="C31" s="82"/>
      <c r="D31" s="77" t="str">
        <f>IF($F$2&gt;60,"14:29 - 16:46",IF($F$2&gt;50,"13:17 - 15:14",IF($F$2&gt;40,"11:36 - 13:38",IF($F$2&gt;30,"11:09 - 12:53",IF($F$2&gt;15,"10:21 - 11:56","BLANK")))))</f>
        <v>11:36 - 13:38</v>
      </c>
      <c r="E31" s="78"/>
    </row>
    <row r="32" spans="1:5" ht="15.75">
      <c r="A32" s="33" t="s">
        <v>26</v>
      </c>
      <c r="B32" s="82" t="str">
        <f>IF($F$2&gt;60,"13:26 - 15:20",IF($F$2&gt;50,"12:09 - 13:53",IF($F$2&gt;40,"11:10 - 12:25",IF($F$2&gt;30,"10:39 - 11:49",IF($F$2&gt;15,"10:09 - 11:27","BLANK")))))</f>
        <v>11:10 - 12:25</v>
      </c>
      <c r="C32" s="82"/>
      <c r="D32" s="77" t="str">
        <f>IF($F$2&gt;60,"16:47 - 18:52",IF($F$2&gt;50,"15:15 - 17:19",IF($F$2&gt;40,"13:39 - 15:17",IF($F$2&gt;30,"12:54 - 14:33",IF($F$2&gt;15,"11:52 - 13:25","BLANK")))))</f>
        <v>13:39 - 15:17</v>
      </c>
      <c r="E32" s="78"/>
    </row>
    <row r="33" spans="1:5" ht="15.75">
      <c r="A33" s="33" t="s">
        <v>27</v>
      </c>
      <c r="B33" s="82" t="str">
        <f>IF($F$2&gt;60,"15:21 - 17:19",IF($F$2&gt;50,"13:54 - 15:14",IF($F$2&gt;40,"12:26 - 13:50",IF($F$2&gt;30,"11:50 - 12:53",IF($F$2&gt;15,"11:28 - 12:29","BLANK")))))</f>
        <v>12:26 - 13:50</v>
      </c>
      <c r="C33" s="82"/>
      <c r="D33" s="77" t="str">
        <f>IF($F$2&gt;60,"18:53 - 20:55",IF($F$2&gt;50,"17:20 - 19:10",IF($F$2&gt;40,"15:18 - 17:11",IF($F$2&gt;30,"14:34 - 15:56",IF($F$2&gt;15,"13:26 - 15:05","BLANK")))))</f>
        <v>15:18 - 17:11</v>
      </c>
      <c r="E33" s="78"/>
    </row>
    <row r="34" spans="1:5" ht="15.75">
      <c r="A34" s="33" t="s">
        <v>8</v>
      </c>
      <c r="B34" s="82" t="str">
        <f>IF($F$2&gt;60,"16:43",IF($F$2&gt;50,"15:26",IF($F$2&gt;40,"14:29",IF($F$2&gt;30,"13:36",IF($F$2&gt;15,"12:51","BLANK")))))</f>
        <v>14:29</v>
      </c>
      <c r="C34" s="82"/>
      <c r="D34" s="77" t="str">
        <f>IF($F$2&gt;60,"18:44",IF($F$2&gt;50,"17:55",IF($F$2&gt;40,"16:58",IF($F$2&gt;30,"15:57",IF($F$2&gt;15,"15:26","BLANK")))))</f>
        <v>16:58</v>
      </c>
      <c r="E34" s="78"/>
    </row>
    <row r="35" spans="1:5" ht="13.5" thickBot="1">
      <c r="A35" s="35"/>
      <c r="B35" s="36"/>
      <c r="C35" s="37"/>
      <c r="D35" s="37"/>
      <c r="E35" s="38"/>
    </row>
    <row r="36" spans="1:5" ht="12.75">
      <c r="A36" s="40"/>
      <c r="B36" s="76" t="s">
        <v>28</v>
      </c>
      <c r="C36" s="76"/>
      <c r="D36" s="76" t="s">
        <v>29</v>
      </c>
      <c r="E36" s="81"/>
    </row>
    <row r="37" spans="1:5" ht="15.75">
      <c r="A37" s="34" t="s">
        <v>25</v>
      </c>
      <c r="B37" s="82" t="str">
        <f>IF($F$2&gt;60,"23 - 27",IF($F$2&gt;50,"25 - 38",IF($F$2&gt;40,"30 - 39",IF($F$2&gt;30,"39 - 51",IF($F$2&gt;15,"47 - 61","BLANK")))))</f>
        <v>30 - 39</v>
      </c>
      <c r="C37" s="82"/>
      <c r="D37" s="77" t="str">
        <f>IF($F$2&gt;60,"15 - 19",IF($F$2&gt;50,"21 - 27",IF($F$2&gt;40,"24 - 32",IF($F$2&gt;30,"31 - 38",IF($F$2&gt;15,"36 - 44","BLANK")))))</f>
        <v>24 - 32</v>
      </c>
      <c r="E37" s="78"/>
    </row>
    <row r="38" spans="1:5" ht="15.75">
      <c r="A38" s="34" t="s">
        <v>26</v>
      </c>
      <c r="B38" s="82" t="str">
        <f>IF($F$2&gt;60,"18 - 22",IF($F$2&gt;50,"19 - 24",IF($F$2&gt;40,"24 - 29",IF($F$2&gt;30,"30 - 38",IF($F$2&gt;15,"37 - 46","BLANK")))))</f>
        <v>24 - 29</v>
      </c>
      <c r="C38" s="82"/>
      <c r="D38" s="77" t="str">
        <f>IF($F$2&gt;60,"12 - 14",IF($F$2&gt;50,"17 - 20",IF($F$2&gt;40,"18 - 23",IF($F$2&gt;30,"24 - 30",IF($F$2&gt;15,"30 - 35","BLANK")))))</f>
        <v>18 - 23</v>
      </c>
      <c r="E38" s="78"/>
    </row>
    <row r="39" spans="1:5" ht="15.75">
      <c r="A39" s="34" t="s">
        <v>27</v>
      </c>
      <c r="B39" s="82" t="str">
        <f>IF($F$2&gt;60,"10 - 17",IF($F$2&gt;50,"13 - 18",IF($F$2&gt;40,"18 - 23",IF($F$2&gt;30,"24 - 29",IF($F$2&gt;15,"29 - 36","BLANK")))))</f>
        <v>18 - 23</v>
      </c>
      <c r="C39" s="82"/>
      <c r="D39" s="77" t="str">
        <f>IF($F$2&gt;60,"5 - 11",IF($F$2&gt;50,"12 - 16",IF($F$2&gt;40,"13 - 17",IF($F$2&gt;30,"19 - 23",IF($F$2&gt;15,"23 - 29","BLANK")))))</f>
        <v>13 - 17</v>
      </c>
      <c r="E39" s="78"/>
    </row>
    <row r="40" spans="1:5" ht="15.75">
      <c r="A40" s="34" t="s">
        <v>8</v>
      </c>
      <c r="B40" s="82" t="str">
        <f>IF($F$2&gt;60,"13",IF($F$2&gt;50,"15",IF($F$2&gt;40,"18",IF($F$2&gt;30,"24",IF($F$2&gt;15,"29","BLANK")))))</f>
        <v>18</v>
      </c>
      <c r="C40" s="82"/>
      <c r="D40" s="77" t="str">
        <f>IF($F$2&gt;60,"9",IF($F$2&gt;50,"11",IF($F$2&gt;40,"13",IF($F$2&gt;30,"19",IF($F$2&gt;15,"23","BLANK")))))</f>
        <v>13</v>
      </c>
      <c r="E40" s="78"/>
    </row>
    <row r="41" spans="1:5" ht="13.5" thickBot="1">
      <c r="A41" s="41"/>
      <c r="B41" s="42"/>
      <c r="C41" s="43"/>
      <c r="D41" s="43"/>
      <c r="E41" s="44"/>
    </row>
    <row r="42" spans="1:5" ht="12.75">
      <c r="A42" s="39"/>
      <c r="B42" s="79" t="s">
        <v>28</v>
      </c>
      <c r="C42" s="79"/>
      <c r="D42" s="79" t="s">
        <v>29</v>
      </c>
      <c r="E42" s="80"/>
    </row>
    <row r="43" spans="1:5" ht="15.75">
      <c r="A43" s="33" t="s">
        <v>25</v>
      </c>
      <c r="B43" s="82" t="str">
        <f>IF($F$2&gt;60,"30 - 38",IF($F$2&gt;50,"35 - 42",IF($F$2&gt;40,"39 - 46",IF($F$2&gt;30,"43 - 50",IF($F$2&gt;15,"47 - 54","BLANK")))))</f>
        <v>39 - 46</v>
      </c>
      <c r="C43" s="82"/>
      <c r="D43" s="77" t="str">
        <f>IF($F$2&gt;60,"17 - 27",IF($F$2&gt;50,"24 - 29",IF($F$2&gt;40,"29 - 37",IF($F$2&gt;30,"35 - 41",IF($F$2&gt;15,"44 - 50","BLANK")))))</f>
        <v>29 - 37</v>
      </c>
      <c r="E43" s="78"/>
    </row>
    <row r="44" spans="1:5" ht="15.75">
      <c r="A44" s="33" t="s">
        <v>26</v>
      </c>
      <c r="B44" s="82" t="str">
        <f>IF($F$2&gt;60,"22 - 29",IF($F$2&gt;50,"28 - 34",IF($F$2&gt;40,"34 - 38",IF($F$2&gt;30,"39 - 42",IF($F$2&gt;15,"42 - 46","BLANK")))))</f>
        <v>34 - 38</v>
      </c>
      <c r="C44" s="82"/>
      <c r="D44" s="77" t="str">
        <f>IF($F$2&gt;60,"11 - 16",IF($F$2&gt;50,"20 - 23",IF($F$2&gt;40,"24 - 28",IF($F$2&gt;30,"29 - 34",IF($F$2&gt;15,"38 - 43","BLANK")))))</f>
        <v>24 - 28</v>
      </c>
      <c r="E44" s="78"/>
    </row>
    <row r="45" spans="1:5" ht="15.75">
      <c r="A45" s="33" t="s">
        <v>27</v>
      </c>
      <c r="B45" s="82" t="str">
        <f>IF($F$2&gt;60,"19 - 21",IF($F$2&gt;50,"24 - 27",IF($F$2&gt;40,"29 - 33",IF($F$2&gt;30,"35 - 38",IF($F$2&gt;15,"38 - 41","BLANK")))))</f>
        <v>29 - 33</v>
      </c>
      <c r="C45" s="82"/>
      <c r="D45" s="77" t="str">
        <f>IF($F$2&gt;60,"6 - 10",IF($F$2&gt;50,"14 - 19",IF($F$2&gt;40,"20 - 23",IF($F$2&gt;30,"25 - 28",IF($F$2&gt;15,"32 - 37","BLANK")))))</f>
        <v>20 - 23</v>
      </c>
      <c r="E45" s="78"/>
    </row>
    <row r="46" spans="1:5" ht="15.75">
      <c r="A46" s="33" t="s">
        <v>8</v>
      </c>
      <c r="B46" s="82" t="str">
        <f>IF($F$2&gt;60,"22",IF($F$2&gt;50,"25",IF($F$2&gt;40,"29",IF($F$2&gt;30,"35",IF($F$2&gt;15,"38","BLANK")))))</f>
        <v>29</v>
      </c>
      <c r="C46" s="82"/>
      <c r="D46" s="77" t="str">
        <f>IF($F$2&gt;60,"15",IF($F$2&gt;50,"16",IF($F$2&gt;40,"20",IF($F$2&gt;30,"25",IF($F$2&gt;15,"32","BLANK")))))</f>
        <v>20</v>
      </c>
      <c r="E46" s="78"/>
    </row>
    <row r="47" spans="1:5" ht="13.5" thickBot="1">
      <c r="A47" s="35"/>
      <c r="B47" s="36"/>
      <c r="C47" s="37"/>
      <c r="D47" s="37"/>
      <c r="E47" s="38"/>
    </row>
    <row r="48" spans="1:5" ht="12.75">
      <c r="A48" s="47"/>
      <c r="B48" s="48"/>
      <c r="C48" s="49"/>
      <c r="D48" s="49"/>
      <c r="E48" s="49"/>
    </row>
  </sheetData>
  <sheetProtection sheet="1" objects="1" scenarios="1"/>
  <mergeCells count="38">
    <mergeCell ref="B31:C31"/>
    <mergeCell ref="B2:C2"/>
    <mergeCell ref="B1:E1"/>
    <mergeCell ref="C18:D18"/>
    <mergeCell ref="C16:D16"/>
    <mergeCell ref="C14:D14"/>
    <mergeCell ref="C12:D12"/>
    <mergeCell ref="B30:C30"/>
    <mergeCell ref="D30:E30"/>
    <mergeCell ref="A29:E29"/>
    <mergeCell ref="B40:C40"/>
    <mergeCell ref="B39:C39"/>
    <mergeCell ref="B38:C38"/>
    <mergeCell ref="B37:C37"/>
    <mergeCell ref="D33:E33"/>
    <mergeCell ref="D32:E32"/>
    <mergeCell ref="D31:E31"/>
    <mergeCell ref="B46:C46"/>
    <mergeCell ref="B45:C45"/>
    <mergeCell ref="B44:C44"/>
    <mergeCell ref="B43:C43"/>
    <mergeCell ref="B32:C32"/>
    <mergeCell ref="B33:C33"/>
    <mergeCell ref="B34:C34"/>
    <mergeCell ref="D38:E38"/>
    <mergeCell ref="D37:E37"/>
    <mergeCell ref="D34:E34"/>
    <mergeCell ref="D36:E36"/>
    <mergeCell ref="A21:E21"/>
    <mergeCell ref="B36:C36"/>
    <mergeCell ref="D46:E46"/>
    <mergeCell ref="D45:E45"/>
    <mergeCell ref="D44:E44"/>
    <mergeCell ref="D43:E43"/>
    <mergeCell ref="D42:E42"/>
    <mergeCell ref="B42:C42"/>
    <mergeCell ref="D40:E40"/>
    <mergeCell ref="D39:E39"/>
  </mergeCells>
  <dataValidations count="1">
    <dataValidation errorStyle="warning" type="list" allowBlank="1" showInputMessage="1" showErrorMessage="1" promptTitle="Male/Female" prompt="Please pick from pull-down menu." errorTitle="Male/Female" error="Please pick from pull-down menu!" sqref="E2">
      <formula1>$F$5:$F$6</formula1>
    </dataValidation>
  </dataValidations>
  <printOptions horizontalCentered="1" verticalCentered="1"/>
  <pageMargins left="0.5" right="0.5" top="0.5" bottom="0.5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Coast Guard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JMBaldueza1</dc:creator>
  <cp:keywords/>
  <dc:description/>
  <cp:lastModifiedBy>CWO2 Tim Merrell</cp:lastModifiedBy>
  <cp:lastPrinted>2008-10-10T16:00:43Z</cp:lastPrinted>
  <dcterms:created xsi:type="dcterms:W3CDTF">2008-03-03T18:30:58Z</dcterms:created>
  <dcterms:modified xsi:type="dcterms:W3CDTF">2009-02-24T13:21:04Z</dcterms:modified>
  <cp:category/>
  <cp:version/>
  <cp:contentType/>
  <cp:contentStatus/>
</cp:coreProperties>
</file>