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175" windowHeight="5430" activeTab="0"/>
  </bookViews>
  <sheets>
    <sheet name="1-6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'1-67'!$A$1:$Y$20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<sst xmlns="http://schemas.openxmlformats.org/spreadsheetml/2006/main" count="29" uniqueCount="18">
  <si>
    <t>Operations delayed (thousands)</t>
  </si>
  <si>
    <t>Weather</t>
  </si>
  <si>
    <t>Airport terminal volume</t>
  </si>
  <si>
    <t>Other</t>
  </si>
  <si>
    <t>National Airspace System equipment</t>
  </si>
  <si>
    <t>SOURCES</t>
  </si>
  <si>
    <t>Closed runways / taxiways</t>
  </si>
  <si>
    <t>Air Route Traffic Control Center volume</t>
  </si>
  <si>
    <t>Cause (percent)</t>
  </si>
  <si>
    <t>U</t>
  </si>
  <si>
    <r>
      <t xml:space="preserve">1987-97: U.S. Department of Transportation, Federal Aviation Administration, </t>
    </r>
    <r>
      <rPr>
        <i/>
        <sz val="9"/>
        <rFont val="Arial"/>
        <family val="2"/>
      </rPr>
      <t>Aviation Capacity Enhancement Plan</t>
    </r>
    <r>
      <rPr>
        <sz val="9"/>
        <rFont val="Arial"/>
        <family val="2"/>
      </rPr>
      <t xml:space="preserve"> (Washington, DC: Annual Issues). </t>
    </r>
  </si>
  <si>
    <r>
      <t xml:space="preserve">Beginning in 2008 the FAA started to combine </t>
    </r>
    <r>
      <rPr>
        <i/>
        <sz val="9"/>
        <rFont val="Arial"/>
        <family val="2"/>
      </rPr>
      <t>Air Route Traffic Control Center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volume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Airport Terminal volume</t>
    </r>
    <r>
      <rPr>
        <sz val="9"/>
        <rFont val="Arial"/>
        <family val="2"/>
      </rPr>
      <t xml:space="preserve"> and retroactively applied this change through the year 2000.</t>
    </r>
  </si>
  <si>
    <r>
      <t xml:space="preserve">As of 2008, the FAA reports </t>
    </r>
    <r>
      <rPr>
        <i/>
        <sz val="9"/>
        <rFont val="Arial"/>
        <family val="2"/>
      </rPr>
      <t>delays</t>
    </r>
    <r>
      <rPr>
        <sz val="9"/>
        <rFont val="Arial"/>
        <family val="2"/>
      </rPr>
      <t xml:space="preserve"> for aircraft that accumulate a </t>
    </r>
    <r>
      <rPr>
        <i/>
        <sz val="9"/>
        <rFont val="Arial"/>
        <family val="2"/>
      </rPr>
      <t xml:space="preserve">delay </t>
    </r>
    <r>
      <rPr>
        <sz val="9"/>
        <rFont val="Arial"/>
        <family val="2"/>
      </rPr>
      <t xml:space="preserve">of 15 minutes or more throughout the duration of the flight. Each holding segment is recorded as one </t>
    </r>
    <r>
      <rPr>
        <i/>
        <sz val="9"/>
        <rFont val="Arial"/>
        <family val="2"/>
      </rPr>
      <t>delay</t>
    </r>
    <r>
      <rPr>
        <sz val="9"/>
        <rFont val="Arial"/>
        <family val="2"/>
      </rPr>
      <t xml:space="preserve">. The Operations Network (OPSNET) Database </t>
    </r>
    <r>
      <rPr>
        <i/>
        <sz val="9"/>
        <rFont val="Arial"/>
        <family val="2"/>
      </rPr>
      <t xml:space="preserve">delay </t>
    </r>
    <r>
      <rPr>
        <sz val="9"/>
        <rFont val="Arial"/>
        <family val="2"/>
      </rPr>
      <t>data dating back to the year 2000 have been converted to be consistent with the new definitions.</t>
    </r>
  </si>
  <si>
    <r>
      <t xml:space="preserve">1998-99: U.S. Department of Transportation, Federal Aviation Administration, </t>
    </r>
    <r>
      <rPr>
        <i/>
        <sz val="9"/>
        <rFont val="Arial"/>
        <family val="2"/>
      </rPr>
      <t>Operations Network (OPSNET) Database</t>
    </r>
    <r>
      <rPr>
        <sz val="9"/>
        <rFont val="Arial"/>
        <family val="2"/>
      </rPr>
      <t xml:space="preserve">, available at http://www.faa.gov/apa/Delays/atDelays.htm as of Aug. 8, 2002. </t>
    </r>
  </si>
  <si>
    <t>Table 1-67:  FAA-Cited Causes of Departure and En Route Delays (After pushing back from the gate)</t>
  </si>
  <si>
    <t>NOTES</t>
  </si>
  <si>
    <r>
      <t xml:space="preserve">2000-11: Ibid., </t>
    </r>
    <r>
      <rPr>
        <i/>
        <sz val="9"/>
        <rFont val="Arial"/>
        <family val="2"/>
      </rPr>
      <t>Operations Network (OPSNET) Database</t>
    </r>
    <r>
      <rPr>
        <sz val="9"/>
        <rFont val="Arial"/>
        <family val="2"/>
      </rPr>
      <t>, available at http://www.apo.data.faa.gov/ as of Feb. 27, 2012.</t>
    </r>
  </si>
  <si>
    <r>
      <t>KEY:</t>
    </r>
    <r>
      <rPr>
        <sz val="9"/>
        <rFont val="Arial"/>
        <family val="2"/>
      </rPr>
      <t xml:space="preserve">  FAA = Federal Aviation Administration; U = data are unavailable.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</si>
</sst>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3" applyNumberFormat="0" applyFill="0">
      <alignment horizontal="right"/>
      <protection/>
    </xf>
    <xf numFmtId="165" fontId="5" fillId="0" borderId="3">
      <alignment horizontal="right" vertical="center"/>
      <protection/>
    </xf>
    <xf numFmtId="49" fontId="6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3">
      <alignment horizontal="left"/>
      <protection/>
    </xf>
    <xf numFmtId="0" fontId="9" fillId="0" borderId="7">
      <alignment horizontal="right" vertical="center"/>
      <protection/>
    </xf>
    <xf numFmtId="0" fontId="10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8" fillId="0" borderId="3">
      <alignment horizontal="left"/>
      <protection/>
    </xf>
    <xf numFmtId="0" fontId="8" fillId="30" borderId="0">
      <alignment horizontal="centerContinuous" wrapText="1"/>
      <protection/>
    </xf>
    <xf numFmtId="49" fontId="8" fillId="30" borderId="8">
      <alignment horizontal="left" vertical="center"/>
      <protection/>
    </xf>
    <xf numFmtId="0" fontId="8" fillId="30" borderId="0">
      <alignment horizontal="centerContinuous" vertical="center" wrapText="1"/>
      <protection/>
    </xf>
    <xf numFmtId="0" fontId="48" fillId="31" borderId="1" applyNumberFormat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51" fillId="27" borderId="11" applyNumberFormat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3">
      <alignment horizontal="left"/>
      <protection/>
    </xf>
    <xf numFmtId="164" fontId="5" fillId="0" borderId="0" applyNumberFormat="0">
      <alignment horizontal="right"/>
      <protection/>
    </xf>
    <xf numFmtId="0" fontId="9" fillId="34" borderId="0">
      <alignment horizontal="centerContinuous" vertical="center" wrapText="1"/>
      <protection/>
    </xf>
    <xf numFmtId="0" fontId="9" fillId="0" borderId="12">
      <alignment horizontal="left" vertical="center"/>
      <protection/>
    </xf>
    <xf numFmtId="0" fontId="11" fillId="0" borderId="0">
      <alignment horizontal="left" vertical="top"/>
      <protection/>
    </xf>
    <xf numFmtId="0" fontId="52" fillId="0" borderId="0" applyNumberFormat="0" applyFill="0" applyBorder="0" applyAlignment="0" applyProtection="0"/>
    <xf numFmtId="0" fontId="8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9" fontId="5" fillId="0" borderId="3">
      <alignment horizontal="left"/>
      <protection/>
    </xf>
    <xf numFmtId="0" fontId="9" fillId="0" borderId="7">
      <alignment horizontal="left"/>
      <protection/>
    </xf>
    <xf numFmtId="0" fontId="8" fillId="0" borderId="0">
      <alignment horizontal="left" vertical="center"/>
      <protection/>
    </xf>
    <xf numFmtId="49" fontId="7" fillId="0" borderId="3">
      <alignment horizontal="left"/>
      <protection/>
    </xf>
  </cellStyleXfs>
  <cellXfs count="45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4" fillId="0" borderId="0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 horizontal="right"/>
    </xf>
    <xf numFmtId="0" fontId="15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rner heading" xfId="45"/>
    <cellStyle name="Currency" xfId="46"/>
    <cellStyle name="Currency [0]" xfId="47"/>
    <cellStyle name="Data" xfId="48"/>
    <cellStyle name="Data no deci" xfId="49"/>
    <cellStyle name="Data Superscript" xfId="50"/>
    <cellStyle name="Data_1-1A-Regular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Top" xfId="63"/>
    <cellStyle name="Hed Top - SECTION" xfId="64"/>
    <cellStyle name="Hed Top_3-new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Reference" xfId="73"/>
    <cellStyle name="Row heading" xfId="74"/>
    <cellStyle name="Source Hed" xfId="75"/>
    <cellStyle name="Source Letter" xfId="76"/>
    <cellStyle name="Source Superscript" xfId="77"/>
    <cellStyle name="Source Text" xfId="78"/>
    <cellStyle name="State" xfId="79"/>
    <cellStyle name="Superscript" xfId="80"/>
    <cellStyle name="Table Data" xfId="81"/>
    <cellStyle name="Table Head Top" xfId="82"/>
    <cellStyle name="Table Hed Side" xfId="83"/>
    <cellStyle name="Table Title" xfId="84"/>
    <cellStyle name="Title" xfId="85"/>
    <cellStyle name="Title Text" xfId="86"/>
    <cellStyle name="Title Text 1" xfId="87"/>
    <cellStyle name="Title Text 2" xfId="88"/>
    <cellStyle name="Title-1" xfId="89"/>
    <cellStyle name="Title-2" xfId="90"/>
    <cellStyle name="Title-3" xfId="91"/>
    <cellStyle name="Total" xfId="92"/>
    <cellStyle name="Warning Text" xfId="93"/>
    <cellStyle name="Wrap" xfId="94"/>
    <cellStyle name="Wrap Bold" xfId="95"/>
    <cellStyle name="Wrap Title" xfId="96"/>
    <cellStyle name="Wrap_NTS99-~11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31.57421875" style="2" customWidth="1"/>
    <col min="2" max="26" width="7.7109375" style="2" customWidth="1"/>
    <col min="27" max="16384" width="9.140625" style="2" customWidth="1"/>
  </cols>
  <sheetData>
    <row r="1" spans="1:26" s="1" customFormat="1" ht="16.5" customHeight="1" thickBo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  <c r="Z1" s="34"/>
    </row>
    <row r="2" spans="1:26" s="15" customFormat="1" ht="16.5" customHeight="1">
      <c r="A2" s="14"/>
      <c r="B2" s="28">
        <v>1987</v>
      </c>
      <c r="C2" s="28">
        <v>1988</v>
      </c>
      <c r="D2" s="28">
        <v>1989</v>
      </c>
      <c r="E2" s="28">
        <v>1990</v>
      </c>
      <c r="F2" s="28">
        <v>1991</v>
      </c>
      <c r="G2" s="28">
        <v>1992</v>
      </c>
      <c r="H2" s="28">
        <v>1993</v>
      </c>
      <c r="I2" s="28">
        <v>1994</v>
      </c>
      <c r="J2" s="28">
        <v>1995</v>
      </c>
      <c r="K2" s="28">
        <v>1996</v>
      </c>
      <c r="L2" s="28">
        <v>1997</v>
      </c>
      <c r="M2" s="28">
        <v>1998</v>
      </c>
      <c r="N2" s="28">
        <v>1999</v>
      </c>
      <c r="O2" s="28">
        <v>2000</v>
      </c>
      <c r="P2" s="28">
        <v>2001</v>
      </c>
      <c r="Q2" s="28">
        <v>2002</v>
      </c>
      <c r="R2" s="28">
        <v>2003</v>
      </c>
      <c r="S2" s="28">
        <v>2004</v>
      </c>
      <c r="T2" s="28">
        <v>2005</v>
      </c>
      <c r="U2" s="28">
        <v>2006</v>
      </c>
      <c r="V2" s="28">
        <v>2007</v>
      </c>
      <c r="W2" s="28">
        <v>2008</v>
      </c>
      <c r="X2" s="28">
        <v>2009</v>
      </c>
      <c r="Y2" s="28">
        <v>2010</v>
      </c>
      <c r="Z2" s="28">
        <v>2011</v>
      </c>
    </row>
    <row r="3" spans="1:26" ht="16.5" customHeight="1">
      <c r="A3" s="13" t="s">
        <v>0</v>
      </c>
      <c r="B3" s="18">
        <v>356</v>
      </c>
      <c r="C3" s="18">
        <v>338</v>
      </c>
      <c r="D3" s="18">
        <v>394</v>
      </c>
      <c r="E3" s="19">
        <v>392.803</v>
      </c>
      <c r="F3" s="19">
        <v>298.322</v>
      </c>
      <c r="G3" s="19">
        <v>280.822</v>
      </c>
      <c r="H3" s="19">
        <v>275.751</v>
      </c>
      <c r="I3" s="19">
        <v>247.709</v>
      </c>
      <c r="J3" s="19">
        <v>236.802</v>
      </c>
      <c r="K3" s="19">
        <v>271.507</v>
      </c>
      <c r="L3" s="19">
        <v>245.259</v>
      </c>
      <c r="M3" s="19">
        <v>306.234</v>
      </c>
      <c r="N3" s="20">
        <v>374.116</v>
      </c>
      <c r="O3" s="20">
        <v>449.469</v>
      </c>
      <c r="P3" s="20">
        <v>347.286</v>
      </c>
      <c r="Q3" s="20">
        <v>284.942</v>
      </c>
      <c r="R3" s="20">
        <v>315.844</v>
      </c>
      <c r="S3" s="20">
        <v>453.892</v>
      </c>
      <c r="T3" s="20">
        <v>436.423</v>
      </c>
      <c r="U3" s="20">
        <v>490.513</v>
      </c>
      <c r="V3" s="20">
        <v>539.198</v>
      </c>
      <c r="W3" s="20">
        <v>553.343</v>
      </c>
      <c r="X3" s="20">
        <v>472.659</v>
      </c>
      <c r="Y3" s="20">
        <v>334.474</v>
      </c>
      <c r="Z3" s="20">
        <v>329.679</v>
      </c>
    </row>
    <row r="4" spans="1:21" ht="16.5" customHeight="1">
      <c r="A4" s="6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1"/>
      <c r="O4" s="21"/>
      <c r="P4" s="21"/>
      <c r="Q4" s="21"/>
      <c r="R4" s="21"/>
      <c r="S4" s="21"/>
      <c r="T4" s="21"/>
      <c r="U4" s="21"/>
    </row>
    <row r="5" spans="1:26" ht="16.5" customHeight="1">
      <c r="A5" s="4" t="s">
        <v>1</v>
      </c>
      <c r="B5" s="5">
        <v>67</v>
      </c>
      <c r="C5" s="5">
        <v>70</v>
      </c>
      <c r="D5" s="5">
        <v>57</v>
      </c>
      <c r="E5" s="16">
        <f>(219662/$E$3)/10</f>
        <v>55.92167065933815</v>
      </c>
      <c r="F5" s="16">
        <f>(194867/$F$3)/10</f>
        <v>65.32102895528992</v>
      </c>
      <c r="G5" s="16">
        <f>(182293/$G$3)/10</f>
        <v>64.91407368368576</v>
      </c>
      <c r="H5" s="16">
        <f>(197886/$H$3)/10</f>
        <v>71.7625684041037</v>
      </c>
      <c r="I5" s="16">
        <f>(184630/$I$3)/10</f>
        <v>74.53503909829679</v>
      </c>
      <c r="J5" s="16">
        <f>(171549/$J$3)/10</f>
        <v>72.44406719537842</v>
      </c>
      <c r="K5" s="16">
        <f>(200930/$K$3)/10</f>
        <v>74.0054584228031</v>
      </c>
      <c r="L5" s="16">
        <f>(166783/$L$3)/10</f>
        <v>68.00280519777053</v>
      </c>
      <c r="M5" s="16">
        <f>(227764/$M$3)/10</f>
        <v>74.37580412364402</v>
      </c>
      <c r="N5" s="16">
        <f>(257261/$N$3)/10</f>
        <v>68.76503544355226</v>
      </c>
      <c r="O5" s="16">
        <f>(308971/$O$3)/10</f>
        <v>68.74133699988208</v>
      </c>
      <c r="P5" s="16">
        <f>(249082/$P$3)/10</f>
        <v>71.72244202184943</v>
      </c>
      <c r="Q5" s="16">
        <f>(204425/$Q$3)/10</f>
        <v>71.74267043819444</v>
      </c>
      <c r="R5" s="16">
        <f>(228091/$R$3)/10</f>
        <v>72.21634731069769</v>
      </c>
      <c r="S5" s="16">
        <f>(318634/$S$3)/10</f>
        <v>70.20040009517683</v>
      </c>
      <c r="T5" s="16">
        <f>(299835/$T$3)/10</f>
        <v>68.70284105099869</v>
      </c>
      <c r="U5" s="16">
        <f>(322614/$U$3)/10</f>
        <v>65.77073390511566</v>
      </c>
      <c r="V5" s="16">
        <f>(351393/$V3)/10</f>
        <v>65.1695666526953</v>
      </c>
      <c r="W5" s="16">
        <f>(366036/W$3)/10</f>
        <v>66.14992870606478</v>
      </c>
      <c r="X5" s="16">
        <f>(309397/X$3)/10</f>
        <v>65.45881914868859</v>
      </c>
      <c r="Y5" s="16">
        <f>(233230/Y$3)/10</f>
        <v>69.73038263063796</v>
      </c>
      <c r="Z5" s="16">
        <f>(250799/Z$3)/10</f>
        <v>76.07369592846376</v>
      </c>
    </row>
    <row r="6" spans="1:26" ht="16.5" customHeight="1">
      <c r="A6" s="4" t="s">
        <v>2</v>
      </c>
      <c r="B6" s="5">
        <v>11</v>
      </c>
      <c r="C6" s="5">
        <v>9</v>
      </c>
      <c r="D6" s="5">
        <v>29</v>
      </c>
      <c r="E6" s="16">
        <f>(130379/$E$3)/10</f>
        <v>33.19195627324639</v>
      </c>
      <c r="F6" s="16">
        <f>(76252/$F$3)/10</f>
        <v>25.560300614771958</v>
      </c>
      <c r="G6" s="16">
        <f>(71453/$G$3)/10</f>
        <v>25.444231577298076</v>
      </c>
      <c r="H6" s="16">
        <f>(56821/$H$3)/10</f>
        <v>20.605908954092644</v>
      </c>
      <c r="I6" s="16">
        <f>(45134/$I$3)/10</f>
        <v>18.22057333403308</v>
      </c>
      <c r="J6" s="16">
        <f>(41325/$J$3)/10</f>
        <v>17.451288418172144</v>
      </c>
      <c r="K6" s="16">
        <f>(45470/$K$3)/10</f>
        <v>16.747266184665587</v>
      </c>
      <c r="L6" s="16">
        <f>(49688/$L$3)/10</f>
        <v>20.259399247326296</v>
      </c>
      <c r="M6" s="16">
        <f>(39231/$M$3)/10</f>
        <v>12.810791747487215</v>
      </c>
      <c r="N6" s="16">
        <f>(30164/$N$3)/10</f>
        <v>8.0627398988549</v>
      </c>
      <c r="O6" s="16">
        <f>(62946/$O$3)/10</f>
        <v>14.004525339901084</v>
      </c>
      <c r="P6" s="16">
        <f>(41632/$P$3)/10</f>
        <v>11.987814078310096</v>
      </c>
      <c r="Q6" s="16">
        <f>(39586/$Q$3)/10</f>
        <v>13.892651837917892</v>
      </c>
      <c r="R6" s="16">
        <f>(34053/$R$3)/10</f>
        <v>10.781588379073213</v>
      </c>
      <c r="S6" s="16">
        <f>(66087/$S$3)/10</f>
        <v>14.560071558873037</v>
      </c>
      <c r="T6" s="16">
        <f>(65787/$T$3)/10</f>
        <v>15.074136789307621</v>
      </c>
      <c r="U6" s="16">
        <f>(76465/$U$3)/10</f>
        <v>15.588781540958141</v>
      </c>
      <c r="V6" s="16">
        <f>(100229/$V3)/10</f>
        <v>18.588533340257197</v>
      </c>
      <c r="W6" s="16">
        <f>(109598/W$3)/10</f>
        <v>19.806521452336074</v>
      </c>
      <c r="X6" s="16">
        <f>(103654/X$3)/10</f>
        <v>21.929974886757684</v>
      </c>
      <c r="Y6" s="16">
        <f>(62814/Y$3)/10</f>
        <v>18.779935062217096</v>
      </c>
      <c r="Z6" s="16">
        <f>(51731/Z$3)/10</f>
        <v>15.691323984845866</v>
      </c>
    </row>
    <row r="7" spans="1:26" ht="16.5" customHeight="1">
      <c r="A7" s="4" t="s">
        <v>7</v>
      </c>
      <c r="B7" s="5">
        <v>13</v>
      </c>
      <c r="C7" s="5">
        <v>12</v>
      </c>
      <c r="D7" s="5">
        <v>8</v>
      </c>
      <c r="E7" s="16">
        <f>(8146/$E$3)/10</f>
        <v>2.073813081875648</v>
      </c>
      <c r="F7" s="16">
        <f>(3694/$F$3)/10</f>
        <v>1.2382593305220533</v>
      </c>
      <c r="G7" s="16">
        <f>(4802/$G$3)/10</f>
        <v>1.7099799873229304</v>
      </c>
      <c r="H7" s="16">
        <f>(2760/$H$3)/10</f>
        <v>1.0009029885657714</v>
      </c>
      <c r="I7" s="16">
        <f>(2608/$I$3)/10</f>
        <v>1.052848301838044</v>
      </c>
      <c r="J7" s="16">
        <f>(2396/$J$3)/10</f>
        <v>1.0118157785829511</v>
      </c>
      <c r="K7" s="16">
        <f>(4638/$K$3)/10</f>
        <v>1.7082432497136353</v>
      </c>
      <c r="L7" s="16">
        <f>(4727/$L$3)/10</f>
        <v>1.9273502705303376</v>
      </c>
      <c r="M7" s="16">
        <f>(5701/$M$3)/10</f>
        <v>1.861648282032694</v>
      </c>
      <c r="N7" s="16">
        <f>(14153/$N$3)/10</f>
        <v>3.783051246137562</v>
      </c>
      <c r="O7" s="27" t="s">
        <v>9</v>
      </c>
      <c r="P7" s="27" t="s">
        <v>9</v>
      </c>
      <c r="Q7" s="27" t="s">
        <v>9</v>
      </c>
      <c r="R7" s="27" t="s">
        <v>9</v>
      </c>
      <c r="S7" s="27" t="s">
        <v>9</v>
      </c>
      <c r="T7" s="27" t="s">
        <v>9</v>
      </c>
      <c r="U7" s="27" t="s">
        <v>9</v>
      </c>
      <c r="V7" s="27" t="s">
        <v>9</v>
      </c>
      <c r="W7" s="27" t="s">
        <v>9</v>
      </c>
      <c r="X7" s="27" t="s">
        <v>9</v>
      </c>
      <c r="Y7" s="27" t="s">
        <v>9</v>
      </c>
      <c r="Z7" s="27" t="s">
        <v>9</v>
      </c>
    </row>
    <row r="8" spans="1:26" ht="16.5" customHeight="1">
      <c r="A8" s="4" t="s">
        <v>6</v>
      </c>
      <c r="B8" s="5">
        <v>4</v>
      </c>
      <c r="C8" s="5">
        <v>5</v>
      </c>
      <c r="D8" s="5">
        <v>3</v>
      </c>
      <c r="E8" s="16">
        <f>(11950/$E$3)/10</f>
        <v>3.0422374574532274</v>
      </c>
      <c r="F8" s="16">
        <f>(10210/$F$3)/10</f>
        <v>3.422476384577738</v>
      </c>
      <c r="G8" s="16">
        <f>(8714/$G$3)/10</f>
        <v>3.1030332381366135</v>
      </c>
      <c r="H8" s="16">
        <f>(8034/$H$3)/10</f>
        <v>2.9134980471512346</v>
      </c>
      <c r="I8" s="16">
        <f>(5744/$I$3)/10</f>
        <v>2.3188499408580228</v>
      </c>
      <c r="J8" s="16">
        <f>(6686/$J$3)/10</f>
        <v>2.8234558829739616</v>
      </c>
      <c r="K8" s="16">
        <f>(7947/$K$3)/10</f>
        <v>2.926996357368318</v>
      </c>
      <c r="L8" s="16">
        <f>(8073/$L$3)/10</f>
        <v>3.29162232578621</v>
      </c>
      <c r="M8" s="16">
        <f>(8268/$M$3)/10</f>
        <v>2.699896157840083</v>
      </c>
      <c r="N8" s="16">
        <f>(17422/$N$3)/10</f>
        <v>4.6568444012017665</v>
      </c>
      <c r="O8" s="16">
        <f>(26565/$O$3)/10</f>
        <v>5.910307496178825</v>
      </c>
      <c r="P8" s="16">
        <f>(18112/$P$3)/10</f>
        <v>5.215298054053432</v>
      </c>
      <c r="Q8" s="16">
        <f>(12412/$Q$3)/10</f>
        <v>4.355974198257892</v>
      </c>
      <c r="R8" s="16">
        <f>(21010/$R$3)/10</f>
        <v>6.652018084877345</v>
      </c>
      <c r="S8" s="16">
        <f>(26904/$S$3)/10</f>
        <v>5.92740123201114</v>
      </c>
      <c r="T8" s="16">
        <f>(44456/$T$3)/10</f>
        <v>10.186447552030943</v>
      </c>
      <c r="U8" s="16">
        <f>(69675/$U$3)/10</f>
        <v>14.204516495995012</v>
      </c>
      <c r="V8" s="16">
        <f>63716/$V3/10</f>
        <v>11.816809409530451</v>
      </c>
      <c r="W8" s="16">
        <f>(52057/W$3)/10</f>
        <v>9.407727214404087</v>
      </c>
      <c r="X8" s="16">
        <f>(27485/X$3)/10</f>
        <v>5.814974431884297</v>
      </c>
      <c r="Y8" s="16">
        <f>(14824/Y$3)/10</f>
        <v>4.432033581085525</v>
      </c>
      <c r="Z8" s="16">
        <f>(9116/Z$3)/10</f>
        <v>2.7651139441699355</v>
      </c>
    </row>
    <row r="9" spans="1:26" ht="16.5" customHeight="1">
      <c r="A9" s="4" t="s">
        <v>4</v>
      </c>
      <c r="B9" s="5">
        <v>4</v>
      </c>
      <c r="C9" s="5">
        <v>3</v>
      </c>
      <c r="D9" s="5">
        <v>2</v>
      </c>
      <c r="E9" s="16">
        <f>(5249/$E$3)/10</f>
        <v>1.336293256416066</v>
      </c>
      <c r="F9" s="16">
        <f>(5726/$F$3)/10</f>
        <v>1.919402524788651</v>
      </c>
      <c r="G9" s="16">
        <f>(5178/$G$3)/10</f>
        <v>1.843872631061669</v>
      </c>
      <c r="H9" s="16">
        <f>(4708/$H$3)/10</f>
        <v>1.70733741672741</v>
      </c>
      <c r="I9" s="16">
        <f>(3987/$I$3)/10</f>
        <v>1.6095499154249542</v>
      </c>
      <c r="J9" s="16">
        <f>(6310/$J$3)/10</f>
        <v>2.664673440258106</v>
      </c>
      <c r="K9" s="16">
        <f>(5873/$K$3)/10</f>
        <v>2.163111816638245</v>
      </c>
      <c r="L9" s="16">
        <f>(6394/$L$3)/10</f>
        <v>2.6070399047537505</v>
      </c>
      <c r="M9" s="16">
        <f>(5962/$M$3)/10</f>
        <v>1.9468772246060204</v>
      </c>
      <c r="N9" s="16">
        <f>(7709/$N$3)/10</f>
        <v>2.06059083278983</v>
      </c>
      <c r="O9" s="16">
        <f>(9656/$O$3)/10</f>
        <v>2.1483127868662804</v>
      </c>
      <c r="P9" s="16">
        <f>(5684/$P$3)/10</f>
        <v>1.6366913725286938</v>
      </c>
      <c r="Q9" s="16">
        <f>(3192/$Q$3)/10</f>
        <v>1.1202279762197218</v>
      </c>
      <c r="R9" s="16">
        <f>(3226/$R$3)/10</f>
        <v>1.0213903066070593</v>
      </c>
      <c r="S9" s="16">
        <f>(4643/$S$3)/10</f>
        <v>1.0229305649802156</v>
      </c>
      <c r="T9" s="16">
        <f>(4016/$T$3)/10</f>
        <v>0.9202081466833782</v>
      </c>
      <c r="U9" s="16">
        <f>(5584/$U$3)/10</f>
        <v>1.1384000016309455</v>
      </c>
      <c r="V9" s="16">
        <f>(5360/$V3)/10</f>
        <v>0.99406896909855</v>
      </c>
      <c r="W9" s="16">
        <f>(5638/W$3)/10</f>
        <v>1.0188978626277012</v>
      </c>
      <c r="X9" s="16">
        <f>(2552/X$3)/10</f>
        <v>0.5399241313505085</v>
      </c>
      <c r="Y9" s="16">
        <f>(1557/Y$3)/10</f>
        <v>0.46550703492648154</v>
      </c>
      <c r="Z9" s="16">
        <f>(2119/Z$3)/10</f>
        <v>0.642746429102248</v>
      </c>
    </row>
    <row r="10" spans="1:26" ht="16.5" customHeight="1" thickBot="1">
      <c r="A10" s="7" t="s">
        <v>3</v>
      </c>
      <c r="B10" s="22">
        <v>1</v>
      </c>
      <c r="C10" s="22">
        <v>1</v>
      </c>
      <c r="D10" s="22">
        <v>1</v>
      </c>
      <c r="E10" s="17">
        <f>(17417/$E$3)/10</f>
        <v>4.434029271670532</v>
      </c>
      <c r="F10" s="17">
        <f>(7573/$F$3)/10</f>
        <v>2.538532190049678</v>
      </c>
      <c r="G10" s="17">
        <f>(8382/$G$3)/10</f>
        <v>2.9848088824949612</v>
      </c>
      <c r="H10" s="17">
        <f>(5542/$H$3)/10</f>
        <v>2.009784189359241</v>
      </c>
      <c r="I10" s="17">
        <f>(5606/$I$3)/10</f>
        <v>2.2631394095491078</v>
      </c>
      <c r="J10" s="17">
        <f>(8536/$J$3)/10</f>
        <v>3.60469928463442</v>
      </c>
      <c r="K10" s="17">
        <f>(6649/$K$3)/10</f>
        <v>2.4489239688111173</v>
      </c>
      <c r="L10" s="17">
        <f>(9594/$L$3)/10</f>
        <v>3.911783053832887</v>
      </c>
      <c r="M10" s="17">
        <f>(19308/$M$3)/10</f>
        <v>6.304982464389977</v>
      </c>
      <c r="N10" s="17">
        <f>(47407/$N$3)/10</f>
        <v>12.671738177463675</v>
      </c>
      <c r="O10" s="17">
        <f>(41331/$O$3)/10</f>
        <v>9.19551737717173</v>
      </c>
      <c r="P10" s="17">
        <f>(32776/$P$3)/10</f>
        <v>9.437754473258352</v>
      </c>
      <c r="Q10" s="17">
        <f>(25327/$Q$3)/10</f>
        <v>8.888475549410055</v>
      </c>
      <c r="R10" s="17">
        <f>(29464/$R$3)/10</f>
        <v>9.328655918744698</v>
      </c>
      <c r="S10" s="17">
        <f>(37624/$S$3)/10</f>
        <v>8.289196548958783</v>
      </c>
      <c r="T10" s="17">
        <f>(22329/$T$3)/10</f>
        <v>5.11636646097937</v>
      </c>
      <c r="U10" s="17">
        <f>(16175/$U$3)/10</f>
        <v>3.2975680563002405</v>
      </c>
      <c r="V10" s="17">
        <f>(18500/$V3)/10</f>
        <v>3.4310216284185033</v>
      </c>
      <c r="W10" s="17">
        <f>(20014/W$3)/10</f>
        <v>3.6169247645673663</v>
      </c>
      <c r="X10" s="17">
        <f>(29571/X$3)/10</f>
        <v>6.256307401318922</v>
      </c>
      <c r="Y10" s="17">
        <f>(22049/Y$3)/10</f>
        <v>6.592141691132943</v>
      </c>
      <c r="Z10" s="17">
        <f>(15914/Z$3)/10</f>
        <v>4.827119713418204</v>
      </c>
    </row>
    <row r="11" spans="1:19" s="26" customFormat="1" ht="12.75" customHeight="1">
      <c r="A11" s="35" t="s">
        <v>17</v>
      </c>
      <c r="B11" s="35"/>
      <c r="C11" s="35"/>
      <c r="D11" s="35"/>
      <c r="E11" s="35"/>
      <c r="F11" s="35"/>
      <c r="G11" s="35"/>
      <c r="H11" s="35"/>
      <c r="I11" s="29"/>
      <c r="J11" s="23"/>
      <c r="K11" s="23"/>
      <c r="L11" s="23"/>
      <c r="M11" s="23"/>
      <c r="N11" s="24"/>
      <c r="O11" s="25"/>
      <c r="P11" s="24"/>
      <c r="Q11" s="24"/>
      <c r="R11" s="24"/>
      <c r="S11" s="24"/>
    </row>
    <row r="12" spans="1:15" ht="12.75" customHeight="1">
      <c r="A12" s="43"/>
      <c r="B12" s="43"/>
      <c r="C12" s="43"/>
      <c r="D12" s="43"/>
      <c r="E12" s="43"/>
      <c r="F12" s="43"/>
      <c r="G12" s="43"/>
      <c r="H12" s="43"/>
      <c r="I12" s="8"/>
      <c r="J12" s="8"/>
      <c r="K12" s="8"/>
      <c r="L12" s="8"/>
      <c r="M12" s="8"/>
      <c r="N12" s="9"/>
      <c r="O12" s="3"/>
    </row>
    <row r="13" spans="1:15" ht="12.75" customHeight="1">
      <c r="A13" s="31" t="s">
        <v>15</v>
      </c>
      <c r="B13" s="31"/>
      <c r="C13" s="31"/>
      <c r="D13" s="31"/>
      <c r="E13" s="31"/>
      <c r="F13" s="31"/>
      <c r="G13" s="31"/>
      <c r="H13" s="31"/>
      <c r="I13" s="8"/>
      <c r="J13" s="8"/>
      <c r="K13" s="8"/>
      <c r="L13" s="8"/>
      <c r="M13" s="8"/>
      <c r="N13" s="9"/>
      <c r="O13" s="3"/>
    </row>
    <row r="14" spans="1:15" ht="51" customHeight="1">
      <c r="A14" s="40" t="s">
        <v>12</v>
      </c>
      <c r="B14" s="41"/>
      <c r="C14" s="41"/>
      <c r="D14" s="41"/>
      <c r="E14" s="41"/>
      <c r="F14" s="41"/>
      <c r="G14" s="41"/>
      <c r="H14" s="42"/>
      <c r="I14" s="8"/>
      <c r="J14" s="8"/>
      <c r="K14" s="8"/>
      <c r="L14" s="8"/>
      <c r="M14" s="8"/>
      <c r="N14" s="9"/>
      <c r="O14" s="3"/>
    </row>
    <row r="15" spans="1:15" ht="25.5" customHeight="1">
      <c r="A15" s="40" t="s">
        <v>11</v>
      </c>
      <c r="B15" s="41"/>
      <c r="C15" s="41"/>
      <c r="D15" s="41"/>
      <c r="E15" s="41"/>
      <c r="F15" s="41"/>
      <c r="G15" s="41"/>
      <c r="H15" s="41"/>
      <c r="I15" s="8"/>
      <c r="J15" s="8"/>
      <c r="K15" s="8"/>
      <c r="L15" s="8"/>
      <c r="M15" s="8"/>
      <c r="N15" s="9"/>
      <c r="O15" s="3"/>
    </row>
    <row r="16" spans="1:14" ht="12.75" customHeight="1">
      <c r="A16" s="44"/>
      <c r="B16" s="44"/>
      <c r="C16" s="44"/>
      <c r="D16" s="44"/>
      <c r="E16" s="44"/>
      <c r="F16" s="44"/>
      <c r="G16" s="44"/>
      <c r="H16" s="44"/>
      <c r="I16" s="11"/>
      <c r="J16" s="11"/>
      <c r="K16" s="11"/>
      <c r="L16" s="11"/>
      <c r="M16" s="10"/>
      <c r="N16" s="10"/>
    </row>
    <row r="17" spans="1:14" ht="12.75" customHeight="1">
      <c r="A17" s="31" t="s">
        <v>5</v>
      </c>
      <c r="B17" s="31"/>
      <c r="C17" s="31"/>
      <c r="D17" s="31"/>
      <c r="E17" s="31"/>
      <c r="F17" s="31"/>
      <c r="G17" s="31"/>
      <c r="H17" s="31"/>
      <c r="I17" s="11"/>
      <c r="J17" s="11"/>
      <c r="K17" s="11"/>
      <c r="L17" s="11"/>
      <c r="M17" s="10"/>
      <c r="N17" s="10"/>
    </row>
    <row r="18" spans="1:14" ht="25.5" customHeight="1">
      <c r="A18" s="37" t="s">
        <v>10</v>
      </c>
      <c r="B18" s="38"/>
      <c r="C18" s="38"/>
      <c r="D18" s="38"/>
      <c r="E18" s="38"/>
      <c r="F18" s="38"/>
      <c r="G18" s="38"/>
      <c r="H18" s="39"/>
      <c r="I18" s="12"/>
      <c r="J18" s="12"/>
      <c r="K18" s="12"/>
      <c r="L18" s="12"/>
      <c r="M18" s="12"/>
      <c r="N18" s="30"/>
    </row>
    <row r="19" spans="1:14" ht="25.5" customHeight="1">
      <c r="A19" s="36" t="s">
        <v>13</v>
      </c>
      <c r="B19" s="36"/>
      <c r="C19" s="36"/>
      <c r="D19" s="36"/>
      <c r="E19" s="36"/>
      <c r="F19" s="36"/>
      <c r="G19" s="36"/>
      <c r="H19" s="36"/>
      <c r="I19" s="10"/>
      <c r="J19" s="10"/>
      <c r="K19" s="10"/>
      <c r="L19" s="10"/>
      <c r="M19" s="10"/>
      <c r="N19" s="10"/>
    </row>
    <row r="20" spans="1:8" ht="25.5" customHeight="1">
      <c r="A20" s="36" t="s">
        <v>16</v>
      </c>
      <c r="B20" s="36"/>
      <c r="C20" s="36"/>
      <c r="D20" s="36"/>
      <c r="E20" s="36"/>
      <c r="F20" s="36"/>
      <c r="G20" s="36"/>
      <c r="H20" s="36"/>
    </row>
  </sheetData>
  <sheetProtection/>
  <mergeCells count="11">
    <mergeCell ref="A17:H17"/>
    <mergeCell ref="A1:Z1"/>
    <mergeCell ref="A11:H11"/>
    <mergeCell ref="A20:H20"/>
    <mergeCell ref="A19:H19"/>
    <mergeCell ref="A18:H18"/>
    <mergeCell ref="A14:H14"/>
    <mergeCell ref="A15:H15"/>
    <mergeCell ref="A12:H12"/>
    <mergeCell ref="A13:H13"/>
    <mergeCell ref="A16:H16"/>
  </mergeCells>
  <printOptions/>
  <pageMargins left="0.5" right="0.5" top="0.5" bottom="0.5" header="0.25" footer="0.2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2009-10-06T18:27:22Z</cp:lastPrinted>
  <dcterms:created xsi:type="dcterms:W3CDTF">1980-01-01T04:00:00Z</dcterms:created>
  <dcterms:modified xsi:type="dcterms:W3CDTF">2012-04-10T12:38:59Z</dcterms:modified>
  <cp:category/>
  <cp:version/>
  <cp:contentType/>
  <cp:contentStatus/>
</cp:coreProperties>
</file>