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ata" sheetId="1" r:id="rId1"/>
    <sheet name="Notes" sheetId="2" r:id="rId2"/>
    <sheet name="2006" sheetId="3" r:id="rId3"/>
  </sheets>
  <definedNames>
    <definedName name="_xlnm.Print_Area" localSheetId="2">'2006'!$B$4:$AL$55</definedName>
  </definedNames>
  <calcPr fullCalcOnLoad="1"/>
</workbook>
</file>

<file path=xl/sharedStrings.xml><?xml version="1.0" encoding="utf-8"?>
<sst xmlns="http://schemas.openxmlformats.org/spreadsheetml/2006/main" count="298" uniqueCount="84">
  <si>
    <t>Total</t>
  </si>
  <si>
    <t>In foster care</t>
  </si>
  <si>
    <t>Under 1 year</t>
  </si>
  <si>
    <t>Male</t>
  </si>
  <si>
    <t>Female</t>
  </si>
  <si>
    <t>AGE</t>
  </si>
  <si>
    <t>RACE</t>
  </si>
  <si>
    <t>SEX</t>
  </si>
  <si>
    <t>LENGTH OF STAY</t>
  </si>
  <si>
    <t>Exited foster care</t>
  </si>
  <si>
    <t>Characteristic</t>
  </si>
  <si>
    <t>Entered foster care</t>
  </si>
  <si>
    <t>Waiting to be adopted</t>
  </si>
  <si>
    <t>(NA)</t>
  </si>
  <si>
    <t>(X)</t>
  </si>
  <si>
    <t>[Data are for October 1 of prior year through September 30 of year shown]</t>
  </si>
  <si>
    <t>System Reports, annual.</t>
  </si>
  <si>
    <t>http://www.acf.hhs.gov/programs/cb/stats_research/index.htm#afcars</t>
  </si>
  <si>
    <t>INTERNET LINK</t>
  </si>
  <si>
    <t>FOOTNOTE</t>
  </si>
  <si>
    <t>&lt;nr&gt;&lt;endtab&gt;</t>
  </si>
  <si>
    <t>|</t>
  </si>
  <si>
    <t>NA Not available.</t>
  </si>
  <si>
    <t>X Not applicable.</t>
  </si>
  <si>
    <t>&lt;chgrow;bold&gt;Total</t>
  </si>
  <si>
    <t>$del</t>
  </si>
  <si>
    <t>$del  Characteristic</t>
  </si>
  <si>
    <t>[tbf]NA Not available.\n\n</t>
  </si>
  <si>
    <t>Adopted from foster care</t>
  </si>
  <si>
    <t>1 to 5 years</t>
  </si>
  <si>
    <t>6 to 10 years</t>
  </si>
  <si>
    <t>11 to 15 years</t>
  </si>
  <si>
    <t>SYMBOL</t>
  </si>
  <si>
    <t>Mean months</t>
  </si>
  <si>
    <t>Median months</t>
  </si>
  <si>
    <t>Two or more</t>
  </si>
  <si>
    <t>2005 \1</t>
  </si>
  <si>
    <t>16 to 20 years \2</t>
  </si>
  <si>
    <t>\1 Preliminary data.</t>
  </si>
  <si>
    <t>White \3</t>
  </si>
  <si>
    <t>Black \3</t>
  </si>
  <si>
    <t>Asian \3</t>
  </si>
  <si>
    <t>race. Data represent persons who selected this race group only and exclude persons reporting more than</t>
  </si>
  <si>
    <t>\4 Hispanic persons may be any race.</t>
  </si>
  <si>
    <t>Hispanic \4</t>
  </si>
  <si>
    <t>2004 \1</t>
  </si>
  <si>
    <t xml:space="preserve">&lt;nr&gt;\[Data are preliminary and cover the period from October 1 of prior year through September 30 of year shown\] </t>
  </si>
  <si>
    <t>Black \2</t>
  </si>
  <si>
    <t>Asian \2</t>
  </si>
  <si>
    <t>Hispanic \3</t>
  </si>
  <si>
    <t>\3 Hispanic persons may be any race.</t>
  </si>
  <si>
    <t>Reporting System Reports, annual. See also \&lt;http://www.acf.hhs.gov/programs/cb/stats_research/index.htm#afcars\&gt;.</t>
  </si>
  <si>
    <t>comments on race in the text for section 1.</t>
  </si>
  <si>
    <t>comments on race in text, Section 1.\n\n</t>
  </si>
  <si>
    <t>16 to 20 years \1</t>
  </si>
  <si>
    <t>[tbf]Source: U.S. Department of Health and Human Services, Administration for Children and Families, Adoption and Foster Care Analysis and</t>
  </si>
  <si>
    <t>Source: U.S. Department of Health and Human Services, Administration for Children and Families, Adoption and Foster Care Analysis and Reporting</t>
  </si>
  <si>
    <t>&lt;lp;6q&gt;AGE&lt;c&gt;</t>
  </si>
  <si>
    <t>&lt;nr&gt;&lt;lp;6q&gt;Under 1 year</t>
  </si>
  <si>
    <t>&lt;lp;6q&gt;RACE&lt;c&gt;</t>
  </si>
  <si>
    <t>&lt;nr&gt;&lt;lp;6q&gt;White \2</t>
  </si>
  <si>
    <t>&lt;lp;6q&gt;SEX&lt;c&gt;</t>
  </si>
  <si>
    <t>&lt;nr&gt;&lt;lp;6q&gt;Male</t>
  </si>
  <si>
    <t>&lt;Tr;2;1&gt;Characteristic&lt;c&gt;&lt;Tc;1;2&gt;In&lt;c&gt; foster care&lt;c&gt;&lt;Tc;1;2&gt;Entered&lt;c&gt; foster care&lt;c&gt;</t>
  </si>
  <si>
    <t>&lt;nr&gt;&lt;Tc;1;2&gt;Exited&lt;c&gt; foster care&lt;c&gt;&lt;Tc;1;2&gt;Waiting to be&lt;c&gt; adopted&lt;c&gt;&lt;Tc;1;2&gt;Adopted from&lt;c&gt; foster care&lt;c&gt;</t>
  </si>
  <si>
    <t>2006 \1</t>
  </si>
  <si>
    <t>&lt;chgrow;bold&gt;2000  2006  2000  2006  2000  2006  2000  2006  2000  2006</t>
  </si>
  <si>
    <t>|$proc$compose autorecur acsd statab08 p0365 $proc$</t>
  </si>
  <si>
    <t>|[45page]&lt;pn;4;365&gt;&lt;px;;2&gt;Social Insurance and Human Services&lt;pa&gt;</t>
  </si>
  <si>
    <t>&lt;Tr;;0&gt;&lt;med&gt;Table 560. &lt;bold&gt;&lt;ix&gt;Children in Foster Care and Awaiting Adoption: 2000 and 2006&lt;xix&gt;&lt;l&gt;&lt;lp;6q&gt;&lt;sz;6q&gt;&lt;ff;0&gt;&lt;tq;1&gt;</t>
  </si>
  <si>
    <t>&lt;begtab;tbspec2;1p&gt;&lt;setnc;11&gt;&lt;setwid;1;5.3p&gt;&lt;setrul;col;3;0.3q&gt;&lt;setrul;col;5;0.3q&gt;&lt;setrul;col;7;0.3q&gt;&lt;setrul;col;9;0.3q&gt;</t>
  </si>
  <si>
    <t>\1 For children waiting to be adopted, includes ages 16 to 17 years only.\n\n</t>
  </si>
  <si>
    <t>\2 For 2000-2002, 2005-2006, children waiting to be adopted includes ages 16 to 17 years only.</t>
  </si>
  <si>
    <t>\2 Beginning with the 2000 census, respondents could choose more than one</t>
  </si>
  <si>
    <t>one race. The census in prior years only allowed respondents to report one race group. See also</t>
  </si>
  <si>
    <r>
      <t xml:space="preserve">Table 561. </t>
    </r>
    <r>
      <rPr>
        <b/>
        <sz val="12"/>
        <rFont val="Courier New"/>
        <family val="3"/>
      </rPr>
      <t>Children in Foster Care and Awaiting Adoption: 2000 to 2006</t>
    </r>
  </si>
  <si>
    <t>For more information:</t>
  </si>
  <si>
    <t>Back to data</t>
  </si>
  <si>
    <t>HEADNOTE</t>
  </si>
  <si>
    <t>See notes</t>
  </si>
  <si>
    <t>2007 \1</t>
  </si>
  <si>
    <r>
      <t xml:space="preserve">Table 567. </t>
    </r>
    <r>
      <rPr>
        <b/>
        <sz val="12"/>
        <rFont val="Courier New"/>
        <family val="3"/>
      </rPr>
      <t>Children in Foster Care and Awaiting Adoption</t>
    </r>
  </si>
  <si>
    <t>\1 For children waiting to be adopted, includes ages 16 to 17 years only.</t>
  </si>
  <si>
    <t>comments on race in text, Section 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</si>
</sst>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 New"/>
      <family val="3"/>
    </font>
    <font>
      <u val="single"/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3" fillId="0" borderId="0" xfId="20" applyFont="1" applyAlignment="1">
      <alignment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4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f.hhs.gov/programs/cb/stats_research/index.htm#afcar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cf.hhs.gov/programs/cb/stats_research/index.htm#afca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2.7109375" style="1" customWidth="1"/>
    <col min="2" max="5" width="15.421875" style="1" customWidth="1"/>
    <col min="6" max="9" width="15.421875" style="4" customWidth="1"/>
    <col min="10" max="10" width="17.28125" style="1" customWidth="1"/>
    <col min="11" max="12" width="15.421875" style="1" customWidth="1"/>
    <col min="13" max="13" width="17.57421875" style="1" customWidth="1"/>
    <col min="14" max="17" width="15.421875" style="4" customWidth="1"/>
    <col min="18" max="21" width="14.421875" style="1" customWidth="1"/>
    <col min="22" max="24" width="14.421875" style="4" customWidth="1"/>
    <col min="25" max="25" width="19.140625" style="4" customWidth="1"/>
    <col min="26" max="26" width="16.00390625" style="1" customWidth="1"/>
    <col min="27" max="27" width="24.00390625" style="1" customWidth="1"/>
    <col min="28" max="28" width="24.140625" style="1" customWidth="1"/>
    <col min="29" max="29" width="12.57421875" style="1" customWidth="1"/>
    <col min="30" max="30" width="11.140625" style="4" customWidth="1"/>
    <col min="31" max="31" width="13.421875" style="4" customWidth="1"/>
    <col min="32" max="32" width="18.57421875" style="4" customWidth="1"/>
    <col min="33" max="33" width="14.421875" style="4" customWidth="1"/>
    <col min="34" max="39" width="14.421875" style="1" customWidth="1"/>
    <col min="40" max="40" width="14.7109375" style="1" customWidth="1"/>
    <col min="41" max="41" width="9.8515625" style="1" bestFit="1" customWidth="1"/>
    <col min="42" max="16384" width="9.140625" style="1" customWidth="1"/>
  </cols>
  <sheetData>
    <row r="1" ht="16.5">
      <c r="A1" s="1" t="s">
        <v>81</v>
      </c>
    </row>
    <row r="3" ht="15.75">
      <c r="A3" s="16" t="s">
        <v>79</v>
      </c>
    </row>
    <row r="4" spans="1:4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.75">
      <c r="A5" s="38" t="s">
        <v>10</v>
      </c>
      <c r="B5" s="46" t="s">
        <v>1</v>
      </c>
      <c r="C5" s="47"/>
      <c r="D5" s="47"/>
      <c r="E5" s="47"/>
      <c r="F5" s="47"/>
      <c r="G5" s="47"/>
      <c r="H5" s="47"/>
      <c r="I5" s="48"/>
      <c r="J5" s="47" t="s">
        <v>11</v>
      </c>
      <c r="K5" s="48"/>
      <c r="L5" s="48"/>
      <c r="M5" s="48"/>
      <c r="N5" s="48"/>
      <c r="O5" s="48"/>
      <c r="P5" s="48"/>
      <c r="Q5" s="56"/>
      <c r="R5" s="46" t="s">
        <v>9</v>
      </c>
      <c r="S5" s="47"/>
      <c r="T5" s="47"/>
      <c r="U5" s="47"/>
      <c r="V5" s="47"/>
      <c r="W5" s="47"/>
      <c r="X5" s="47"/>
      <c r="Y5" s="56"/>
      <c r="Z5" s="46" t="s">
        <v>12</v>
      </c>
      <c r="AA5" s="47"/>
      <c r="AB5" s="47"/>
      <c r="AC5" s="47"/>
      <c r="AD5" s="47"/>
      <c r="AE5" s="47"/>
      <c r="AF5" s="47"/>
      <c r="AG5" s="56"/>
      <c r="AH5" s="49" t="s">
        <v>28</v>
      </c>
      <c r="AI5" s="57"/>
      <c r="AJ5" s="57"/>
      <c r="AK5" s="57"/>
      <c r="AL5" s="57"/>
      <c r="AM5" s="57"/>
      <c r="AN5" s="57"/>
      <c r="AO5" s="58"/>
    </row>
    <row r="6" spans="1:41" ht="15.75">
      <c r="A6" s="39"/>
      <c r="B6" s="49"/>
      <c r="C6" s="50"/>
      <c r="D6" s="50"/>
      <c r="E6" s="51"/>
      <c r="F6" s="50"/>
      <c r="G6" s="50"/>
      <c r="H6" s="51"/>
      <c r="I6" s="52"/>
      <c r="J6" s="52"/>
      <c r="K6" s="52"/>
      <c r="L6" s="52"/>
      <c r="M6" s="52"/>
      <c r="N6" s="52"/>
      <c r="O6" s="52"/>
      <c r="P6" s="57"/>
      <c r="Q6" s="39"/>
      <c r="R6" s="49"/>
      <c r="S6" s="50"/>
      <c r="T6" s="50"/>
      <c r="U6" s="50"/>
      <c r="V6" s="50"/>
      <c r="W6" s="50"/>
      <c r="X6" s="51"/>
      <c r="Y6" s="39"/>
      <c r="Z6" s="49"/>
      <c r="AA6" s="51"/>
      <c r="AB6" s="51"/>
      <c r="AC6" s="51"/>
      <c r="AD6" s="51"/>
      <c r="AE6" s="51"/>
      <c r="AF6" s="51"/>
      <c r="AG6" s="39"/>
      <c r="AH6" s="59"/>
      <c r="AI6" s="57"/>
      <c r="AJ6" s="57"/>
      <c r="AK6" s="57"/>
      <c r="AL6" s="57"/>
      <c r="AM6" s="57"/>
      <c r="AN6" s="57"/>
      <c r="AO6" s="58"/>
    </row>
    <row r="7" spans="1:41" ht="15.75">
      <c r="A7" s="39"/>
      <c r="B7" s="53"/>
      <c r="C7" s="54"/>
      <c r="D7" s="54"/>
      <c r="E7" s="54"/>
      <c r="F7" s="54"/>
      <c r="G7" s="54"/>
      <c r="H7" s="54"/>
      <c r="I7" s="55"/>
      <c r="J7" s="55"/>
      <c r="K7" s="55"/>
      <c r="L7" s="55"/>
      <c r="M7" s="55"/>
      <c r="N7" s="55"/>
      <c r="O7" s="55"/>
      <c r="P7" s="55"/>
      <c r="Q7" s="40"/>
      <c r="R7" s="53"/>
      <c r="S7" s="54"/>
      <c r="T7" s="54"/>
      <c r="U7" s="54"/>
      <c r="V7" s="54"/>
      <c r="W7" s="54"/>
      <c r="X7" s="54"/>
      <c r="Y7" s="40"/>
      <c r="Z7" s="53"/>
      <c r="AA7" s="54"/>
      <c r="AB7" s="54"/>
      <c r="AC7" s="54"/>
      <c r="AD7" s="54"/>
      <c r="AE7" s="54"/>
      <c r="AF7" s="54"/>
      <c r="AG7" s="40"/>
      <c r="AH7" s="60"/>
      <c r="AI7" s="55"/>
      <c r="AJ7" s="55"/>
      <c r="AK7" s="55"/>
      <c r="AL7" s="55"/>
      <c r="AM7" s="55"/>
      <c r="AN7" s="55"/>
      <c r="AO7" s="61"/>
    </row>
    <row r="8" spans="1:41" ht="15.75">
      <c r="A8" s="39"/>
      <c r="B8" s="35">
        <v>2000</v>
      </c>
      <c r="C8" s="35">
        <v>2001</v>
      </c>
      <c r="D8" s="35">
        <v>2002</v>
      </c>
      <c r="E8" s="35">
        <v>2003</v>
      </c>
      <c r="F8" s="35" t="s">
        <v>45</v>
      </c>
      <c r="G8" s="35" t="s">
        <v>36</v>
      </c>
      <c r="H8" s="35" t="s">
        <v>65</v>
      </c>
      <c r="I8" s="43" t="s">
        <v>80</v>
      </c>
      <c r="J8" s="35">
        <v>2000</v>
      </c>
      <c r="K8" s="35">
        <v>2001</v>
      </c>
      <c r="L8" s="35">
        <v>2002</v>
      </c>
      <c r="M8" s="35">
        <v>2003</v>
      </c>
      <c r="N8" s="35" t="s">
        <v>45</v>
      </c>
      <c r="O8" s="35" t="s">
        <v>36</v>
      </c>
      <c r="P8" s="35" t="s">
        <v>65</v>
      </c>
      <c r="Q8" s="43" t="s">
        <v>80</v>
      </c>
      <c r="R8" s="35">
        <v>2000</v>
      </c>
      <c r="S8" s="35">
        <v>2001</v>
      </c>
      <c r="T8" s="35">
        <v>2002</v>
      </c>
      <c r="U8" s="35">
        <v>2003</v>
      </c>
      <c r="V8" s="35" t="s">
        <v>45</v>
      </c>
      <c r="W8" s="35" t="s">
        <v>36</v>
      </c>
      <c r="X8" s="35" t="s">
        <v>65</v>
      </c>
      <c r="Y8" s="43" t="s">
        <v>80</v>
      </c>
      <c r="Z8" s="42">
        <v>2000</v>
      </c>
      <c r="AA8" s="42">
        <v>2001</v>
      </c>
      <c r="AB8" s="42">
        <v>2002</v>
      </c>
      <c r="AC8" s="35">
        <v>2003</v>
      </c>
      <c r="AD8" s="35" t="s">
        <v>45</v>
      </c>
      <c r="AE8" s="35" t="s">
        <v>36</v>
      </c>
      <c r="AF8" s="35" t="s">
        <v>65</v>
      </c>
      <c r="AG8" s="43" t="s">
        <v>80</v>
      </c>
      <c r="AH8" s="42">
        <v>2000</v>
      </c>
      <c r="AI8" s="42">
        <v>2001</v>
      </c>
      <c r="AJ8" s="42">
        <v>2002</v>
      </c>
      <c r="AK8" s="42">
        <v>2003</v>
      </c>
      <c r="AL8" s="42" t="s">
        <v>45</v>
      </c>
      <c r="AM8" s="42" t="s">
        <v>36</v>
      </c>
      <c r="AN8" s="42" t="s">
        <v>65</v>
      </c>
      <c r="AO8" s="42" t="s">
        <v>80</v>
      </c>
    </row>
    <row r="9" spans="1:41" ht="15.75">
      <c r="A9" s="39"/>
      <c r="B9" s="41"/>
      <c r="C9" s="41"/>
      <c r="D9" s="41"/>
      <c r="E9" s="36"/>
      <c r="F9" s="36"/>
      <c r="G9" s="36"/>
      <c r="H9" s="36"/>
      <c r="I9" s="44"/>
      <c r="J9" s="41"/>
      <c r="K9" s="41"/>
      <c r="L9" s="41"/>
      <c r="M9" s="36"/>
      <c r="N9" s="36"/>
      <c r="O9" s="36"/>
      <c r="P9" s="36"/>
      <c r="Q9" s="44"/>
      <c r="R9" s="41"/>
      <c r="S9" s="41"/>
      <c r="T9" s="41"/>
      <c r="U9" s="36"/>
      <c r="V9" s="36"/>
      <c r="W9" s="36"/>
      <c r="X9" s="36"/>
      <c r="Y9" s="44"/>
      <c r="Z9" s="36"/>
      <c r="AA9" s="36"/>
      <c r="AB9" s="36"/>
      <c r="AC9" s="36"/>
      <c r="AD9" s="36"/>
      <c r="AE9" s="36"/>
      <c r="AF9" s="36"/>
      <c r="AG9" s="44"/>
      <c r="AH9" s="41"/>
      <c r="AI9" s="41"/>
      <c r="AJ9" s="41"/>
      <c r="AK9" s="41"/>
      <c r="AL9" s="36"/>
      <c r="AM9" s="36"/>
      <c r="AN9" s="36"/>
      <c r="AO9" s="36"/>
    </row>
    <row r="10" spans="1:41" ht="15.75">
      <c r="A10" s="40"/>
      <c r="B10" s="37"/>
      <c r="C10" s="37"/>
      <c r="D10" s="37"/>
      <c r="E10" s="37"/>
      <c r="F10" s="37"/>
      <c r="G10" s="37"/>
      <c r="H10" s="37"/>
      <c r="I10" s="45"/>
      <c r="J10" s="37"/>
      <c r="K10" s="37"/>
      <c r="L10" s="37"/>
      <c r="M10" s="37"/>
      <c r="N10" s="37"/>
      <c r="O10" s="37"/>
      <c r="P10" s="37"/>
      <c r="Q10" s="45"/>
      <c r="R10" s="37"/>
      <c r="S10" s="37"/>
      <c r="T10" s="37"/>
      <c r="U10" s="37"/>
      <c r="V10" s="37"/>
      <c r="W10" s="37"/>
      <c r="X10" s="37"/>
      <c r="Y10" s="45"/>
      <c r="Z10" s="37"/>
      <c r="AA10" s="37"/>
      <c r="AB10" s="37"/>
      <c r="AC10" s="37"/>
      <c r="AD10" s="37"/>
      <c r="AE10" s="37"/>
      <c r="AF10" s="37"/>
      <c r="AG10" s="45"/>
      <c r="AH10" s="37"/>
      <c r="AI10" s="37"/>
      <c r="AJ10" s="37"/>
      <c r="AK10" s="37"/>
      <c r="AL10" s="37"/>
      <c r="AM10" s="37"/>
      <c r="AN10" s="37"/>
      <c r="AO10" s="37"/>
    </row>
    <row r="11" spans="1:41" ht="15.75">
      <c r="A11" s="5" t="s">
        <v>0</v>
      </c>
      <c r="B11" s="8">
        <v>552000</v>
      </c>
      <c r="C11" s="8">
        <v>545000</v>
      </c>
      <c r="D11" s="8">
        <v>533000</v>
      </c>
      <c r="E11" s="8">
        <v>520000</v>
      </c>
      <c r="F11" s="11">
        <v>517000</v>
      </c>
      <c r="G11" s="11">
        <v>513000</v>
      </c>
      <c r="H11" s="11">
        <v>510000</v>
      </c>
      <c r="I11" s="25">
        <v>491000</v>
      </c>
      <c r="J11" s="8">
        <v>293000</v>
      </c>
      <c r="K11" s="8">
        <v>296000</v>
      </c>
      <c r="L11" s="8">
        <v>303000</v>
      </c>
      <c r="M11" s="8">
        <v>296000</v>
      </c>
      <c r="N11" s="11">
        <v>305000</v>
      </c>
      <c r="O11" s="11">
        <v>311000</v>
      </c>
      <c r="P11" s="11">
        <v>303000</v>
      </c>
      <c r="Q11" s="25">
        <v>293000</v>
      </c>
      <c r="R11" s="8">
        <v>272000</v>
      </c>
      <c r="S11" s="8">
        <v>269000</v>
      </c>
      <c r="T11" s="8">
        <v>282000</v>
      </c>
      <c r="U11" s="11">
        <v>282000</v>
      </c>
      <c r="V11" s="11">
        <v>283000</v>
      </c>
      <c r="W11" s="11">
        <v>287000</v>
      </c>
      <c r="X11" s="11">
        <v>289000</v>
      </c>
      <c r="Y11" s="25">
        <v>293000</v>
      </c>
      <c r="Z11" s="11">
        <v>131000</v>
      </c>
      <c r="AA11" s="11">
        <v>129000</v>
      </c>
      <c r="AB11" s="11">
        <v>124000</v>
      </c>
      <c r="AC11" s="11">
        <v>120000</v>
      </c>
      <c r="AD11" s="11">
        <v>118000</v>
      </c>
      <c r="AE11" s="11">
        <v>114000</v>
      </c>
      <c r="AF11" s="11">
        <v>129000</v>
      </c>
      <c r="AG11" s="25">
        <v>132000</v>
      </c>
      <c r="AH11" s="8">
        <v>51000</v>
      </c>
      <c r="AI11" s="8">
        <v>51000</v>
      </c>
      <c r="AJ11" s="8">
        <v>53000</v>
      </c>
      <c r="AK11" s="8">
        <v>50000</v>
      </c>
      <c r="AL11" s="8">
        <v>52000</v>
      </c>
      <c r="AM11" s="8">
        <v>51000</v>
      </c>
      <c r="AN11" s="8">
        <v>51000</v>
      </c>
      <c r="AO11" s="8">
        <v>52000</v>
      </c>
    </row>
    <row r="12" spans="1:39" ht="15.75">
      <c r="A12" s="6" t="s">
        <v>5</v>
      </c>
      <c r="B12" s="8"/>
      <c r="C12" s="8"/>
      <c r="D12" s="8"/>
      <c r="E12" s="8"/>
      <c r="F12" s="11"/>
      <c r="G12" s="11"/>
      <c r="I12" s="5"/>
      <c r="J12" s="8"/>
      <c r="K12" s="8"/>
      <c r="L12" s="8"/>
      <c r="M12" s="8"/>
      <c r="N12" s="11"/>
      <c r="O12" s="11"/>
      <c r="Q12" s="5"/>
      <c r="R12" s="8"/>
      <c r="S12" s="8"/>
      <c r="T12" s="8"/>
      <c r="U12" s="11"/>
      <c r="V12" s="11"/>
      <c r="W12" s="11"/>
      <c r="Y12" s="5"/>
      <c r="Z12" s="11"/>
      <c r="AA12" s="11"/>
      <c r="AB12" s="11"/>
      <c r="AC12" s="11"/>
      <c r="AD12" s="11"/>
      <c r="AE12" s="11"/>
      <c r="AF12" s="11"/>
      <c r="AG12" s="25"/>
      <c r="AH12" s="8"/>
      <c r="AI12" s="8"/>
      <c r="AJ12" s="8"/>
      <c r="AK12" s="8"/>
      <c r="AL12" s="8"/>
      <c r="AM12" s="8"/>
    </row>
    <row r="13" spans="1:41" ht="15.75">
      <c r="A13" s="5" t="s">
        <v>2</v>
      </c>
      <c r="B13" s="8">
        <v>22839</v>
      </c>
      <c r="C13" s="8">
        <v>23301</v>
      </c>
      <c r="D13" s="8">
        <v>24490</v>
      </c>
      <c r="E13" s="8">
        <v>25169</v>
      </c>
      <c r="F13" s="11">
        <v>26642</v>
      </c>
      <c r="G13" s="11">
        <v>29034</v>
      </c>
      <c r="H13" s="11">
        <v>30418</v>
      </c>
      <c r="I13" s="31">
        <v>29214</v>
      </c>
      <c r="J13" s="8">
        <v>37996</v>
      </c>
      <c r="K13" s="8">
        <v>38453</v>
      </c>
      <c r="L13" s="8">
        <v>40714</v>
      </c>
      <c r="M13" s="8">
        <v>41539</v>
      </c>
      <c r="N13" s="11">
        <v>43721</v>
      </c>
      <c r="O13" s="11">
        <v>46954</v>
      </c>
      <c r="P13" s="11">
        <v>47536</v>
      </c>
      <c r="Q13" s="31">
        <v>49353</v>
      </c>
      <c r="R13" s="8">
        <v>11025</v>
      </c>
      <c r="S13" s="8">
        <v>11555</v>
      </c>
      <c r="T13" s="8">
        <v>12159</v>
      </c>
      <c r="U13" s="11">
        <v>12660</v>
      </c>
      <c r="V13" s="11">
        <v>13413</v>
      </c>
      <c r="W13" s="11">
        <v>14081</v>
      </c>
      <c r="X13" s="11">
        <v>13948</v>
      </c>
      <c r="Y13" s="31">
        <v>14251</v>
      </c>
      <c r="Z13" s="11">
        <v>3957</v>
      </c>
      <c r="AA13" s="11">
        <v>4473</v>
      </c>
      <c r="AB13" s="11">
        <v>4193</v>
      </c>
      <c r="AC13" s="11">
        <v>3826</v>
      </c>
      <c r="AD13" s="11">
        <v>4207</v>
      </c>
      <c r="AE13" s="11">
        <v>4203</v>
      </c>
      <c r="AF13" s="11">
        <v>5102</v>
      </c>
      <c r="AG13" s="31">
        <v>5700</v>
      </c>
      <c r="AH13" s="8">
        <v>939</v>
      </c>
      <c r="AI13" s="8">
        <v>979</v>
      </c>
      <c r="AJ13" s="8">
        <v>1011</v>
      </c>
      <c r="AK13" s="8">
        <v>932</v>
      </c>
      <c r="AL13" s="1">
        <v>957</v>
      </c>
      <c r="AM13" s="8">
        <v>1108</v>
      </c>
      <c r="AN13" s="8">
        <v>1099</v>
      </c>
      <c r="AO13" s="28">
        <v>965</v>
      </c>
    </row>
    <row r="14" spans="1:41" ht="15.75">
      <c r="A14" s="5" t="s">
        <v>29</v>
      </c>
      <c r="B14" s="8">
        <v>134378</v>
      </c>
      <c r="C14" s="8">
        <v>131888</v>
      </c>
      <c r="D14" s="8">
        <v>129629</v>
      </c>
      <c r="E14" s="8">
        <v>129393</v>
      </c>
      <c r="F14" s="11">
        <v>131434</v>
      </c>
      <c r="G14" s="11">
        <v>135534</v>
      </c>
      <c r="H14" s="11">
        <v>139082</v>
      </c>
      <c r="I14" s="31">
        <v>138182</v>
      </c>
      <c r="J14" s="8">
        <v>72365</v>
      </c>
      <c r="K14" s="8">
        <v>74860</v>
      </c>
      <c r="L14" s="8">
        <v>78013</v>
      </c>
      <c r="M14" s="8">
        <v>78130</v>
      </c>
      <c r="N14" s="11">
        <v>81961</v>
      </c>
      <c r="O14" s="11">
        <v>85724</v>
      </c>
      <c r="P14" s="11">
        <v>84103</v>
      </c>
      <c r="Q14" s="31">
        <v>81589</v>
      </c>
      <c r="R14" s="8">
        <v>70667</v>
      </c>
      <c r="S14" s="8">
        <v>72301</v>
      </c>
      <c r="T14" s="8">
        <v>77383</v>
      </c>
      <c r="U14" s="11">
        <v>80053</v>
      </c>
      <c r="V14" s="11">
        <v>82696</v>
      </c>
      <c r="W14" s="11">
        <v>85198</v>
      </c>
      <c r="X14" s="11">
        <v>87865</v>
      </c>
      <c r="Y14" s="31">
        <v>91217</v>
      </c>
      <c r="Z14" s="11">
        <v>44126</v>
      </c>
      <c r="AA14" s="11">
        <v>42301</v>
      </c>
      <c r="AB14" s="11">
        <v>39927</v>
      </c>
      <c r="AC14" s="11">
        <v>38213</v>
      </c>
      <c r="AD14" s="11">
        <v>37990</v>
      </c>
      <c r="AE14" s="11">
        <v>38275</v>
      </c>
      <c r="AF14" s="11">
        <v>47108</v>
      </c>
      <c r="AG14" s="31">
        <v>49455</v>
      </c>
      <c r="AH14" s="8">
        <v>23135</v>
      </c>
      <c r="AI14" s="8">
        <v>23437</v>
      </c>
      <c r="AJ14" s="8">
        <v>24412</v>
      </c>
      <c r="AK14" s="8">
        <v>23587</v>
      </c>
      <c r="AL14" s="8">
        <v>25014</v>
      </c>
      <c r="AM14" s="8">
        <v>25762</v>
      </c>
      <c r="AN14" s="8">
        <v>26529</v>
      </c>
      <c r="AO14" s="28">
        <v>27748</v>
      </c>
    </row>
    <row r="15" spans="1:41" ht="15.75">
      <c r="A15" s="5" t="s">
        <v>30</v>
      </c>
      <c r="B15" s="8">
        <v>136003</v>
      </c>
      <c r="C15" s="8">
        <v>128189</v>
      </c>
      <c r="D15" s="8">
        <v>117394</v>
      </c>
      <c r="E15" s="8">
        <v>108233</v>
      </c>
      <c r="F15" s="11">
        <v>103562</v>
      </c>
      <c r="G15" s="11">
        <v>100788</v>
      </c>
      <c r="H15" s="11">
        <v>100580</v>
      </c>
      <c r="I15" s="31">
        <v>97319</v>
      </c>
      <c r="J15" s="8">
        <v>63346</v>
      </c>
      <c r="K15" s="8">
        <v>62864</v>
      </c>
      <c r="L15" s="8">
        <v>61893</v>
      </c>
      <c r="M15" s="8">
        <v>58717</v>
      </c>
      <c r="N15" s="11">
        <v>58994</v>
      </c>
      <c r="O15" s="11">
        <v>58832</v>
      </c>
      <c r="P15" s="11">
        <v>57673</v>
      </c>
      <c r="Q15" s="31">
        <v>54810</v>
      </c>
      <c r="R15" s="8">
        <v>63228</v>
      </c>
      <c r="S15" s="8">
        <v>60793</v>
      </c>
      <c r="T15" s="8">
        <v>61413</v>
      </c>
      <c r="U15" s="11">
        <v>59809</v>
      </c>
      <c r="V15" s="11">
        <v>59078</v>
      </c>
      <c r="W15" s="11">
        <v>57723</v>
      </c>
      <c r="X15" s="11">
        <v>58082</v>
      </c>
      <c r="Y15" s="31">
        <v>58898</v>
      </c>
      <c r="Z15" s="11">
        <v>44980</v>
      </c>
      <c r="AA15" s="11">
        <v>41641</v>
      </c>
      <c r="AB15" s="11">
        <v>37476</v>
      </c>
      <c r="AC15" s="11">
        <v>33414</v>
      </c>
      <c r="AD15" s="11">
        <v>31043</v>
      </c>
      <c r="AE15" s="11">
        <v>29359</v>
      </c>
      <c r="AF15" s="11">
        <v>33396</v>
      </c>
      <c r="AG15" s="31">
        <v>34396</v>
      </c>
      <c r="AH15" s="8">
        <v>17831</v>
      </c>
      <c r="AI15" s="8">
        <v>17105</v>
      </c>
      <c r="AJ15" s="8">
        <v>16925</v>
      </c>
      <c r="AK15" s="8">
        <v>15202</v>
      </c>
      <c r="AL15" s="8">
        <v>14905</v>
      </c>
      <c r="AM15" s="8">
        <v>14248</v>
      </c>
      <c r="AN15" s="8">
        <v>13871</v>
      </c>
      <c r="AO15" s="28">
        <v>13912</v>
      </c>
    </row>
    <row r="16" spans="1:41" ht="15.75">
      <c r="A16" s="5" t="s">
        <v>31</v>
      </c>
      <c r="B16" s="8">
        <v>160077</v>
      </c>
      <c r="C16" s="8">
        <v>160958</v>
      </c>
      <c r="D16" s="8">
        <v>158891</v>
      </c>
      <c r="E16" s="8">
        <v>154390</v>
      </c>
      <c r="F16" s="11">
        <v>150621</v>
      </c>
      <c r="G16" s="11">
        <v>142935</v>
      </c>
      <c r="H16" s="11">
        <v>135921</v>
      </c>
      <c r="I16" s="31">
        <v>125130</v>
      </c>
      <c r="J16" s="8">
        <v>86555</v>
      </c>
      <c r="K16" s="8">
        <v>86661</v>
      </c>
      <c r="L16" s="8">
        <v>87914</v>
      </c>
      <c r="M16" s="8">
        <v>85289</v>
      </c>
      <c r="N16" s="11">
        <v>86442</v>
      </c>
      <c r="O16" s="11">
        <v>84612</v>
      </c>
      <c r="P16" s="11">
        <v>78880</v>
      </c>
      <c r="Q16" s="31">
        <v>73165</v>
      </c>
      <c r="R16" s="8">
        <v>65550</v>
      </c>
      <c r="S16" s="8">
        <v>65205</v>
      </c>
      <c r="T16" s="8">
        <v>67770</v>
      </c>
      <c r="U16" s="11">
        <v>67109</v>
      </c>
      <c r="V16" s="11">
        <v>66146</v>
      </c>
      <c r="W16" s="11">
        <v>64587</v>
      </c>
      <c r="X16" s="11">
        <v>60851</v>
      </c>
      <c r="Y16" s="31">
        <v>58266</v>
      </c>
      <c r="Z16" s="11">
        <v>33143</v>
      </c>
      <c r="AA16" s="11">
        <v>35092</v>
      </c>
      <c r="AB16" s="11">
        <v>36056</v>
      </c>
      <c r="AC16" s="11">
        <v>35815</v>
      </c>
      <c r="AD16" s="11">
        <v>34302</v>
      </c>
      <c r="AE16" s="11">
        <v>33282</v>
      </c>
      <c r="AF16" s="11">
        <v>33698</v>
      </c>
      <c r="AG16" s="31">
        <v>32249</v>
      </c>
      <c r="AH16" s="8">
        <v>7946</v>
      </c>
      <c r="AI16" s="8">
        <v>8224</v>
      </c>
      <c r="AJ16" s="8">
        <v>9307</v>
      </c>
      <c r="AK16" s="8">
        <v>8875</v>
      </c>
      <c r="AL16" s="8">
        <v>9178</v>
      </c>
      <c r="AM16" s="8">
        <v>8327</v>
      </c>
      <c r="AN16" s="8">
        <v>7863</v>
      </c>
      <c r="AO16" s="28">
        <v>7371</v>
      </c>
    </row>
    <row r="17" spans="1:41" ht="15.75">
      <c r="A17" s="5" t="s">
        <v>37</v>
      </c>
      <c r="B17" s="8">
        <v>98701</v>
      </c>
      <c r="C17" s="8">
        <v>100664</v>
      </c>
      <c r="D17" s="8">
        <v>102597</v>
      </c>
      <c r="E17" s="8">
        <v>102815</v>
      </c>
      <c r="F17" s="11">
        <v>104743</v>
      </c>
      <c r="G17" s="11">
        <v>104710</v>
      </c>
      <c r="H17" s="11">
        <v>104003</v>
      </c>
      <c r="I17" s="31">
        <v>100027</v>
      </c>
      <c r="J17" s="8">
        <v>32737</v>
      </c>
      <c r="K17" s="8">
        <v>33160</v>
      </c>
      <c r="L17" s="8">
        <v>34465</v>
      </c>
      <c r="M17" s="8">
        <v>32325</v>
      </c>
      <c r="N17" s="11">
        <v>33882</v>
      </c>
      <c r="O17" s="11">
        <v>34878</v>
      </c>
      <c r="P17" s="11">
        <v>34809</v>
      </c>
      <c r="Q17" s="31">
        <v>34077</v>
      </c>
      <c r="R17" s="8">
        <v>61531</v>
      </c>
      <c r="S17" s="8">
        <v>59146</v>
      </c>
      <c r="T17" s="8">
        <v>63277</v>
      </c>
      <c r="U17" s="11">
        <v>62368</v>
      </c>
      <c r="V17" s="11">
        <v>62556</v>
      </c>
      <c r="W17" s="11">
        <v>65411</v>
      </c>
      <c r="X17" s="11">
        <v>68251</v>
      </c>
      <c r="Y17" s="31">
        <v>70392</v>
      </c>
      <c r="Z17" s="11">
        <v>4793</v>
      </c>
      <c r="AA17" s="11">
        <v>5491</v>
      </c>
      <c r="AB17" s="11">
        <v>6349</v>
      </c>
      <c r="AC17" s="11">
        <v>8734</v>
      </c>
      <c r="AD17" s="11">
        <v>10454</v>
      </c>
      <c r="AE17" s="11">
        <v>8882</v>
      </c>
      <c r="AF17" s="11">
        <v>9696</v>
      </c>
      <c r="AG17" s="31">
        <v>10086</v>
      </c>
      <c r="AH17" s="8">
        <v>1149</v>
      </c>
      <c r="AI17" s="8">
        <v>1253</v>
      </c>
      <c r="AJ17" s="8">
        <v>1343</v>
      </c>
      <c r="AK17" s="8">
        <v>1404</v>
      </c>
      <c r="AL17" s="8">
        <v>1605</v>
      </c>
      <c r="AM17" s="8">
        <v>1556</v>
      </c>
      <c r="AN17" s="8">
        <v>1637</v>
      </c>
      <c r="AO17" s="28">
        <v>1635</v>
      </c>
    </row>
    <row r="18" spans="1:40" ht="15.75">
      <c r="A18" s="6" t="s">
        <v>6</v>
      </c>
      <c r="B18" s="8"/>
      <c r="C18" s="8"/>
      <c r="D18" s="8"/>
      <c r="E18" s="8"/>
      <c r="F18" s="11"/>
      <c r="G18" s="11"/>
      <c r="I18" s="5"/>
      <c r="J18" s="8"/>
      <c r="K18" s="8"/>
      <c r="L18" s="8"/>
      <c r="M18" s="8"/>
      <c r="N18" s="11"/>
      <c r="O18" s="11"/>
      <c r="Q18" s="5"/>
      <c r="R18" s="8"/>
      <c r="S18" s="8"/>
      <c r="T18" s="8"/>
      <c r="U18" s="11"/>
      <c r="V18" s="11"/>
      <c r="W18" s="11"/>
      <c r="Y18" s="5"/>
      <c r="Z18" s="11"/>
      <c r="AA18" s="11"/>
      <c r="AB18" s="11"/>
      <c r="AC18" s="11"/>
      <c r="AD18" s="11"/>
      <c r="AE18" s="11"/>
      <c r="AF18" s="11"/>
      <c r="AG18" s="25"/>
      <c r="AH18" s="8"/>
      <c r="AI18" s="8"/>
      <c r="AJ18" s="8"/>
      <c r="AK18" s="8"/>
      <c r="AL18" s="8"/>
      <c r="AM18" s="8"/>
      <c r="AN18" s="8"/>
    </row>
    <row r="19" spans="1:41" ht="15.75">
      <c r="A19" s="5" t="s">
        <v>39</v>
      </c>
      <c r="B19" s="8">
        <v>207970</v>
      </c>
      <c r="C19" s="8">
        <v>205549</v>
      </c>
      <c r="D19" s="8">
        <v>205769</v>
      </c>
      <c r="E19" s="8">
        <v>202992</v>
      </c>
      <c r="F19" s="11">
        <v>205561</v>
      </c>
      <c r="G19" s="11">
        <v>208537</v>
      </c>
      <c r="H19" s="11">
        <v>205662</v>
      </c>
      <c r="I19" s="31">
        <v>196017</v>
      </c>
      <c r="J19" s="8">
        <v>136214</v>
      </c>
      <c r="K19" s="8">
        <v>137226</v>
      </c>
      <c r="L19" s="8">
        <v>140003</v>
      </c>
      <c r="M19" s="8">
        <v>137471</v>
      </c>
      <c r="N19" s="11">
        <v>141506</v>
      </c>
      <c r="O19" s="11">
        <v>144679</v>
      </c>
      <c r="P19" s="11">
        <v>136354</v>
      </c>
      <c r="Q19" s="31">
        <v>129573</v>
      </c>
      <c r="R19" s="8">
        <v>121322</v>
      </c>
      <c r="S19" s="8">
        <v>120025</v>
      </c>
      <c r="T19" s="8">
        <v>125786</v>
      </c>
      <c r="U19" s="11">
        <v>128256</v>
      </c>
      <c r="V19" s="11">
        <v>127866</v>
      </c>
      <c r="W19" s="11">
        <v>130235</v>
      </c>
      <c r="X19" s="11">
        <v>130945</v>
      </c>
      <c r="Y19" s="31">
        <v>130770</v>
      </c>
      <c r="Z19" s="11">
        <v>44898</v>
      </c>
      <c r="AA19" s="11">
        <v>44778</v>
      </c>
      <c r="AB19" s="11">
        <v>44675</v>
      </c>
      <c r="AC19" s="11">
        <v>44346</v>
      </c>
      <c r="AD19" s="11">
        <v>44991</v>
      </c>
      <c r="AE19" s="11">
        <v>45096</v>
      </c>
      <c r="AF19" s="11">
        <v>49637</v>
      </c>
      <c r="AG19" s="31">
        <v>50597</v>
      </c>
      <c r="AH19" s="8">
        <v>19462</v>
      </c>
      <c r="AI19" s="8">
        <v>19382</v>
      </c>
      <c r="AJ19" s="8">
        <v>20845</v>
      </c>
      <c r="AK19" s="8">
        <v>20869</v>
      </c>
      <c r="AL19" s="8">
        <v>21971</v>
      </c>
      <c r="AM19" s="8">
        <v>22088</v>
      </c>
      <c r="AN19" s="8">
        <v>22979</v>
      </c>
      <c r="AO19" s="28">
        <v>23300</v>
      </c>
    </row>
    <row r="20" spans="1:41" ht="15.75">
      <c r="A20" s="5" t="s">
        <v>40</v>
      </c>
      <c r="B20" s="8">
        <v>217615</v>
      </c>
      <c r="C20" s="8">
        <v>205074</v>
      </c>
      <c r="D20" s="8">
        <v>195425</v>
      </c>
      <c r="E20" s="8">
        <v>183901</v>
      </c>
      <c r="F20" s="11">
        <v>175089</v>
      </c>
      <c r="G20" s="11">
        <v>166482</v>
      </c>
      <c r="H20" s="11">
        <v>162722</v>
      </c>
      <c r="I20" s="31">
        <v>152032</v>
      </c>
      <c r="J20" s="8">
        <v>84460</v>
      </c>
      <c r="K20" s="8">
        <v>83718</v>
      </c>
      <c r="L20" s="8">
        <v>83777</v>
      </c>
      <c r="M20" s="8">
        <v>80063</v>
      </c>
      <c r="N20" s="11">
        <v>81253</v>
      </c>
      <c r="O20" s="11">
        <v>80430</v>
      </c>
      <c r="P20" s="11">
        <v>80212</v>
      </c>
      <c r="Q20" s="31">
        <v>75227</v>
      </c>
      <c r="R20" s="8">
        <v>84065</v>
      </c>
      <c r="S20" s="8">
        <v>81356</v>
      </c>
      <c r="T20" s="8">
        <v>84698</v>
      </c>
      <c r="U20" s="11">
        <v>82839</v>
      </c>
      <c r="V20" s="11">
        <v>82373</v>
      </c>
      <c r="W20" s="11">
        <v>81542</v>
      </c>
      <c r="X20" s="11">
        <v>77720</v>
      </c>
      <c r="Y20" s="31">
        <v>78521</v>
      </c>
      <c r="Z20" s="11">
        <v>57345</v>
      </c>
      <c r="AA20" s="11">
        <v>56397</v>
      </c>
      <c r="AB20" s="11">
        <v>52051</v>
      </c>
      <c r="AC20" s="11">
        <v>48305</v>
      </c>
      <c r="AD20" s="11">
        <v>45025</v>
      </c>
      <c r="AE20" s="11">
        <v>40840</v>
      </c>
      <c r="AF20" s="11">
        <v>41591</v>
      </c>
      <c r="AG20" s="31">
        <v>40115</v>
      </c>
      <c r="AH20" s="8">
        <v>19566</v>
      </c>
      <c r="AI20" s="8">
        <v>17843</v>
      </c>
      <c r="AJ20" s="8">
        <v>18809</v>
      </c>
      <c r="AK20" s="8">
        <v>16554</v>
      </c>
      <c r="AL20" s="8">
        <v>16726</v>
      </c>
      <c r="AM20" s="8">
        <v>15230</v>
      </c>
      <c r="AN20" s="8">
        <v>13783</v>
      </c>
      <c r="AO20" s="28">
        <v>13111</v>
      </c>
    </row>
    <row r="21" spans="1:41" ht="15.75">
      <c r="A21" s="5" t="s">
        <v>41</v>
      </c>
      <c r="B21" s="8">
        <v>4370</v>
      </c>
      <c r="C21" s="8">
        <v>3686</v>
      </c>
      <c r="D21" s="8">
        <v>3434</v>
      </c>
      <c r="E21" s="8">
        <v>3261</v>
      </c>
      <c r="F21" s="11">
        <v>3099</v>
      </c>
      <c r="G21" s="11">
        <v>2973</v>
      </c>
      <c r="H21" s="11">
        <v>2978</v>
      </c>
      <c r="I21" s="31">
        <v>2775</v>
      </c>
      <c r="J21" s="8">
        <v>3565</v>
      </c>
      <c r="K21" s="8">
        <v>2984</v>
      </c>
      <c r="L21" s="8">
        <v>2854</v>
      </c>
      <c r="M21" s="8">
        <v>2631</v>
      </c>
      <c r="N21" s="11">
        <v>2468</v>
      </c>
      <c r="O21" s="11">
        <v>2454</v>
      </c>
      <c r="P21" s="11">
        <v>2420</v>
      </c>
      <c r="Q21" s="31">
        <v>2361</v>
      </c>
      <c r="R21" s="8">
        <v>3307</v>
      </c>
      <c r="S21" s="8">
        <v>2714</v>
      </c>
      <c r="T21" s="8">
        <v>2757</v>
      </c>
      <c r="U21" s="11">
        <v>2633</v>
      </c>
      <c r="V21" s="11">
        <v>2400</v>
      </c>
      <c r="W21" s="11">
        <v>2328</v>
      </c>
      <c r="X21" s="11">
        <v>2384</v>
      </c>
      <c r="Y21" s="31">
        <v>2332</v>
      </c>
      <c r="Z21" s="11">
        <v>664</v>
      </c>
      <c r="AA21" s="11">
        <v>522</v>
      </c>
      <c r="AB21" s="11">
        <v>524</v>
      </c>
      <c r="AC21" s="11">
        <v>501</v>
      </c>
      <c r="AD21" s="11">
        <v>484</v>
      </c>
      <c r="AE21" s="11">
        <v>448</v>
      </c>
      <c r="AF21" s="11">
        <v>651</v>
      </c>
      <c r="AG21" s="31">
        <v>676</v>
      </c>
      <c r="AH21" s="8">
        <v>290</v>
      </c>
      <c r="AI21" s="8">
        <v>264</v>
      </c>
      <c r="AJ21" s="8">
        <v>309</v>
      </c>
      <c r="AK21" s="8">
        <v>315</v>
      </c>
      <c r="AL21" s="8">
        <v>258</v>
      </c>
      <c r="AM21" s="8">
        <v>337</v>
      </c>
      <c r="AN21" s="8">
        <v>289</v>
      </c>
      <c r="AO21" s="28">
        <v>266</v>
      </c>
    </row>
    <row r="22" spans="1:41" ht="15.75">
      <c r="A22" s="5" t="s">
        <v>44</v>
      </c>
      <c r="B22" s="8">
        <v>81823</v>
      </c>
      <c r="C22" s="8">
        <v>89950</v>
      </c>
      <c r="D22" s="8">
        <v>89443</v>
      </c>
      <c r="E22" s="8">
        <v>90846</v>
      </c>
      <c r="F22" s="11">
        <v>93759</v>
      </c>
      <c r="G22" s="11">
        <v>93996</v>
      </c>
      <c r="H22" s="11">
        <v>96967</v>
      </c>
      <c r="I22" s="31">
        <v>96393</v>
      </c>
      <c r="J22" s="8">
        <v>42769</v>
      </c>
      <c r="K22" s="8">
        <v>47542</v>
      </c>
      <c r="L22" s="8">
        <v>51472</v>
      </c>
      <c r="M22" s="8">
        <v>51247</v>
      </c>
      <c r="N22" s="11">
        <v>54433</v>
      </c>
      <c r="O22" s="11">
        <v>56603</v>
      </c>
      <c r="P22" s="11">
        <v>57444</v>
      </c>
      <c r="Q22" s="31">
        <v>58501</v>
      </c>
      <c r="R22" s="8">
        <v>39909</v>
      </c>
      <c r="S22" s="8">
        <v>41307</v>
      </c>
      <c r="T22" s="8">
        <v>45236</v>
      </c>
      <c r="U22" s="11">
        <v>46123</v>
      </c>
      <c r="V22" s="11">
        <v>47832</v>
      </c>
      <c r="W22" s="11">
        <v>49398</v>
      </c>
      <c r="X22" s="11">
        <v>51711</v>
      </c>
      <c r="Y22" s="31">
        <v>55676</v>
      </c>
      <c r="Z22" s="11">
        <v>17050</v>
      </c>
      <c r="AA22" s="11">
        <v>15837</v>
      </c>
      <c r="AB22" s="11">
        <v>16117</v>
      </c>
      <c r="AC22" s="11">
        <v>16307</v>
      </c>
      <c r="AD22" s="11">
        <v>16997</v>
      </c>
      <c r="AE22" s="11">
        <v>17240</v>
      </c>
      <c r="AF22" s="11">
        <v>25481</v>
      </c>
      <c r="AG22" s="31">
        <v>27929</v>
      </c>
      <c r="AH22" s="8">
        <v>7430</v>
      </c>
      <c r="AI22" s="8">
        <v>8492</v>
      </c>
      <c r="AJ22" s="8">
        <v>8607</v>
      </c>
      <c r="AK22" s="8">
        <v>7923</v>
      </c>
      <c r="AL22" s="8">
        <v>8719</v>
      </c>
      <c r="AM22" s="8">
        <v>8959</v>
      </c>
      <c r="AN22" s="8">
        <v>9569</v>
      </c>
      <c r="AO22" s="28">
        <v>10474</v>
      </c>
    </row>
    <row r="23" spans="1:40" ht="15.75">
      <c r="A23" s="5" t="s">
        <v>35</v>
      </c>
      <c r="B23" s="8">
        <v>8043</v>
      </c>
      <c r="C23" s="8">
        <v>11881</v>
      </c>
      <c r="D23" s="8">
        <v>13145</v>
      </c>
      <c r="E23" s="8">
        <v>14312</v>
      </c>
      <c r="F23" s="11">
        <v>15645</v>
      </c>
      <c r="G23" s="11">
        <v>17191</v>
      </c>
      <c r="H23" s="11">
        <v>19112</v>
      </c>
      <c r="I23" s="25"/>
      <c r="J23" s="8">
        <v>5362</v>
      </c>
      <c r="K23" s="8">
        <v>7292</v>
      </c>
      <c r="L23" s="8">
        <v>8399</v>
      </c>
      <c r="M23" s="8">
        <v>9029</v>
      </c>
      <c r="N23" s="11">
        <v>9726</v>
      </c>
      <c r="O23" s="11">
        <v>10642</v>
      </c>
      <c r="P23" s="11">
        <v>11575</v>
      </c>
      <c r="Q23" s="25"/>
      <c r="R23" s="8">
        <v>4026</v>
      </c>
      <c r="S23" s="8">
        <v>6306</v>
      </c>
      <c r="T23" s="8">
        <v>7513</v>
      </c>
      <c r="U23" s="11">
        <v>8097</v>
      </c>
      <c r="V23" s="11">
        <v>8449</v>
      </c>
      <c r="W23" s="11">
        <v>9295</v>
      </c>
      <c r="X23" s="11">
        <v>10246</v>
      </c>
      <c r="Y23" s="25"/>
      <c r="Z23" s="11">
        <v>2277</v>
      </c>
      <c r="AA23" s="11">
        <v>3191</v>
      </c>
      <c r="AB23" s="11">
        <v>3505</v>
      </c>
      <c r="AC23" s="11">
        <v>3773</v>
      </c>
      <c r="AD23" s="11">
        <v>4186</v>
      </c>
      <c r="AE23" s="11">
        <v>4620</v>
      </c>
      <c r="AF23" s="11">
        <v>5754</v>
      </c>
      <c r="AG23" s="25"/>
      <c r="AH23" s="8">
        <v>951</v>
      </c>
      <c r="AI23" s="8">
        <v>1531</v>
      </c>
      <c r="AJ23" s="8">
        <v>1828</v>
      </c>
      <c r="AK23" s="8">
        <v>2180</v>
      </c>
      <c r="AL23" s="8">
        <v>2288</v>
      </c>
      <c r="AM23" s="8">
        <v>2433</v>
      </c>
      <c r="AN23" s="8">
        <v>2512</v>
      </c>
    </row>
    <row r="24" spans="1:40" ht="15.75">
      <c r="A24" s="6" t="s">
        <v>7</v>
      </c>
      <c r="B24" s="8"/>
      <c r="C24" s="8"/>
      <c r="D24" s="8"/>
      <c r="E24" s="8"/>
      <c r="F24" s="11"/>
      <c r="G24" s="11"/>
      <c r="I24" s="5"/>
      <c r="J24" s="8"/>
      <c r="K24" s="8"/>
      <c r="L24" s="8"/>
      <c r="M24" s="8"/>
      <c r="N24" s="11"/>
      <c r="O24" s="11"/>
      <c r="Q24" s="5"/>
      <c r="R24" s="8"/>
      <c r="S24" s="8"/>
      <c r="T24" s="8"/>
      <c r="U24" s="11"/>
      <c r="V24" s="11"/>
      <c r="W24" s="11"/>
      <c r="Y24" s="5"/>
      <c r="Z24" s="11"/>
      <c r="AA24" s="11"/>
      <c r="AB24" s="11"/>
      <c r="AC24" s="11"/>
      <c r="AD24" s="11"/>
      <c r="AE24" s="11"/>
      <c r="AF24" s="11"/>
      <c r="AG24" s="25"/>
      <c r="AH24" s="8"/>
      <c r="AI24" s="8"/>
      <c r="AJ24" s="8"/>
      <c r="AK24" s="8"/>
      <c r="AL24" s="8"/>
      <c r="AM24" s="8"/>
      <c r="AN24" s="8"/>
    </row>
    <row r="25" spans="1:41" ht="15.75">
      <c r="A25" s="5" t="s">
        <v>3</v>
      </c>
      <c r="B25" s="8">
        <v>289187</v>
      </c>
      <c r="C25" s="8">
        <v>285505</v>
      </c>
      <c r="D25" s="8">
        <v>279457</v>
      </c>
      <c r="E25" s="8">
        <v>273138</v>
      </c>
      <c r="F25" s="11">
        <v>271780</v>
      </c>
      <c r="G25" s="11">
        <v>269036</v>
      </c>
      <c r="H25" s="11">
        <v>267027</v>
      </c>
      <c r="I25" s="31">
        <v>257200</v>
      </c>
      <c r="J25" s="9" t="s">
        <v>13</v>
      </c>
      <c r="K25" s="9" t="s">
        <v>13</v>
      </c>
      <c r="L25" s="9" t="s">
        <v>13</v>
      </c>
      <c r="M25" s="9" t="s">
        <v>13</v>
      </c>
      <c r="N25" s="10" t="s">
        <v>13</v>
      </c>
      <c r="O25" s="10" t="s">
        <v>13</v>
      </c>
      <c r="P25" s="33" t="s">
        <v>13</v>
      </c>
      <c r="Q25" s="31">
        <v>150750</v>
      </c>
      <c r="R25" s="10" t="s">
        <v>13</v>
      </c>
      <c r="S25" s="10" t="s">
        <v>13</v>
      </c>
      <c r="T25" s="10" t="s">
        <v>13</v>
      </c>
      <c r="U25" s="10" t="s">
        <v>13</v>
      </c>
      <c r="V25" s="10" t="s">
        <v>13</v>
      </c>
      <c r="W25" s="10" t="s">
        <v>13</v>
      </c>
      <c r="X25" s="33" t="s">
        <v>13</v>
      </c>
      <c r="Y25" s="31">
        <v>150189</v>
      </c>
      <c r="Z25" s="11">
        <v>68620</v>
      </c>
      <c r="AA25" s="11">
        <v>67717</v>
      </c>
      <c r="AB25" s="11">
        <v>65426</v>
      </c>
      <c r="AC25" s="11">
        <v>63811</v>
      </c>
      <c r="AD25" s="11">
        <v>62886</v>
      </c>
      <c r="AE25" s="11">
        <v>60843</v>
      </c>
      <c r="AF25" s="11">
        <v>68006</v>
      </c>
      <c r="AG25" s="31">
        <v>69493</v>
      </c>
      <c r="AH25" s="8">
        <v>25472</v>
      </c>
      <c r="AI25" s="8">
        <v>25639</v>
      </c>
      <c r="AJ25" s="8">
        <v>26591</v>
      </c>
      <c r="AK25" s="8">
        <v>25118</v>
      </c>
      <c r="AL25" s="8">
        <v>26324</v>
      </c>
      <c r="AM25" s="8">
        <v>25962</v>
      </c>
      <c r="AN25" s="8">
        <v>25994</v>
      </c>
      <c r="AO25" s="28">
        <v>26205</v>
      </c>
    </row>
    <row r="26" spans="1:41" ht="15.75">
      <c r="A26" s="5" t="s">
        <v>4</v>
      </c>
      <c r="B26" s="30">
        <v>262813</v>
      </c>
      <c r="C26" s="12">
        <v>259495</v>
      </c>
      <c r="D26" s="12">
        <v>253543</v>
      </c>
      <c r="E26" s="12">
        <v>246862</v>
      </c>
      <c r="F26" s="12">
        <v>245220</v>
      </c>
      <c r="G26" s="12">
        <v>243964</v>
      </c>
      <c r="H26" s="12">
        <v>242973</v>
      </c>
      <c r="I26" s="32">
        <v>233332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34" t="s">
        <v>13</v>
      </c>
      <c r="Q26" s="32">
        <v>142328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34" t="s">
        <v>13</v>
      </c>
      <c r="Y26" s="32">
        <v>142865</v>
      </c>
      <c r="Z26" s="12">
        <v>62380</v>
      </c>
      <c r="AA26" s="12">
        <v>61283</v>
      </c>
      <c r="AB26" s="12">
        <v>58574</v>
      </c>
      <c r="AC26" s="12">
        <v>56189</v>
      </c>
      <c r="AD26" s="12">
        <v>55114</v>
      </c>
      <c r="AE26" s="12">
        <v>53157</v>
      </c>
      <c r="AF26" s="12">
        <v>60994</v>
      </c>
      <c r="AG26" s="32">
        <v>62382</v>
      </c>
      <c r="AH26" s="12">
        <v>25528</v>
      </c>
      <c r="AI26" s="12">
        <v>25361</v>
      </c>
      <c r="AJ26" s="12">
        <v>26409</v>
      </c>
      <c r="AK26" s="12">
        <v>24882</v>
      </c>
      <c r="AL26" s="12">
        <v>25676</v>
      </c>
      <c r="AM26" s="12">
        <v>25038</v>
      </c>
      <c r="AN26" s="12">
        <v>25006</v>
      </c>
      <c r="AO26" s="29">
        <v>25425</v>
      </c>
    </row>
    <row r="27" spans="1:37" ht="15.75">
      <c r="A27" s="6" t="s">
        <v>8</v>
      </c>
      <c r="B27" s="8"/>
      <c r="C27" s="8"/>
      <c r="D27" s="8"/>
      <c r="E27" s="8"/>
      <c r="F27" s="11"/>
      <c r="G27" s="11"/>
      <c r="I27" s="5"/>
      <c r="J27" s="8"/>
      <c r="K27" s="8"/>
      <c r="L27" s="8"/>
      <c r="M27" s="8"/>
      <c r="N27" s="11"/>
      <c r="O27" s="11"/>
      <c r="Q27" s="5"/>
      <c r="R27" s="11"/>
      <c r="S27" s="11"/>
      <c r="T27" s="11"/>
      <c r="U27" s="11"/>
      <c r="V27" s="11"/>
      <c r="W27" s="11"/>
      <c r="Y27" s="5"/>
      <c r="Z27" s="11"/>
      <c r="AA27" s="11"/>
      <c r="AB27" s="11"/>
      <c r="AC27" s="11"/>
      <c r="AD27" s="11"/>
      <c r="AE27" s="11"/>
      <c r="AG27" s="5"/>
      <c r="AH27" s="8"/>
      <c r="AI27" s="8"/>
      <c r="AJ27" s="8"/>
      <c r="AK27" s="8"/>
    </row>
    <row r="28" spans="1:41" ht="15.75">
      <c r="A28" s="5" t="s">
        <v>33</v>
      </c>
      <c r="B28" s="20">
        <v>32.3</v>
      </c>
      <c r="C28" s="20">
        <v>32.5</v>
      </c>
      <c r="D28" s="20">
        <v>31.7</v>
      </c>
      <c r="E28" s="20">
        <v>31.2</v>
      </c>
      <c r="F28" s="22">
        <v>30</v>
      </c>
      <c r="G28" s="22">
        <v>28.6</v>
      </c>
      <c r="H28" s="4">
        <v>28.3</v>
      </c>
      <c r="I28" s="26" t="s">
        <v>14</v>
      </c>
      <c r="J28" s="9" t="s">
        <v>14</v>
      </c>
      <c r="K28" s="9" t="s">
        <v>14</v>
      </c>
      <c r="L28" s="9" t="s">
        <v>14</v>
      </c>
      <c r="M28" s="9" t="s">
        <v>14</v>
      </c>
      <c r="N28" s="9" t="s">
        <v>14</v>
      </c>
      <c r="O28" s="10" t="s">
        <v>14</v>
      </c>
      <c r="P28" s="4">
        <v>8.1</v>
      </c>
      <c r="Q28" s="26" t="s">
        <v>14</v>
      </c>
      <c r="R28" s="20">
        <v>22.7</v>
      </c>
      <c r="S28" s="20">
        <v>21.5</v>
      </c>
      <c r="T28" s="20">
        <v>21.7</v>
      </c>
      <c r="U28" s="22">
        <v>21.7</v>
      </c>
      <c r="V28" s="22">
        <v>21.5</v>
      </c>
      <c r="W28" s="22">
        <v>21</v>
      </c>
      <c r="X28" s="4">
        <v>20.9</v>
      </c>
      <c r="Y28" s="26" t="s">
        <v>14</v>
      </c>
      <c r="Z28" s="22">
        <v>43.5</v>
      </c>
      <c r="AA28" s="22">
        <v>43.4</v>
      </c>
      <c r="AB28" s="22">
        <v>43.7</v>
      </c>
      <c r="AC28" s="22">
        <v>44.5</v>
      </c>
      <c r="AD28" s="22">
        <v>43.8</v>
      </c>
      <c r="AE28" s="22">
        <v>41.6</v>
      </c>
      <c r="AF28" s="4">
        <v>39.4</v>
      </c>
      <c r="AG28" s="26" t="s">
        <v>14</v>
      </c>
      <c r="AH28" s="9" t="s">
        <v>14</v>
      </c>
      <c r="AI28" s="9" t="s">
        <v>14</v>
      </c>
      <c r="AJ28" s="9" t="s">
        <v>14</v>
      </c>
      <c r="AK28" s="9" t="s">
        <v>14</v>
      </c>
      <c r="AL28" s="9" t="s">
        <v>14</v>
      </c>
      <c r="AM28" s="9" t="s">
        <v>14</v>
      </c>
      <c r="AN28" s="27" t="s">
        <v>14</v>
      </c>
      <c r="AO28" s="27" t="s">
        <v>14</v>
      </c>
    </row>
    <row r="29" spans="1:41" ht="15.75">
      <c r="A29" s="5" t="s">
        <v>34</v>
      </c>
      <c r="B29" s="20">
        <v>19.8</v>
      </c>
      <c r="C29" s="20">
        <v>19.2</v>
      </c>
      <c r="D29" s="20">
        <v>18.1</v>
      </c>
      <c r="E29" s="20">
        <v>17.6</v>
      </c>
      <c r="F29" s="22">
        <v>16.5</v>
      </c>
      <c r="G29" s="22">
        <v>15.5</v>
      </c>
      <c r="H29" s="4">
        <v>15.5</v>
      </c>
      <c r="I29" s="26" t="s">
        <v>14</v>
      </c>
      <c r="J29" s="9" t="s">
        <v>14</v>
      </c>
      <c r="K29" s="9" t="s">
        <v>14</v>
      </c>
      <c r="L29" s="9" t="s">
        <v>14</v>
      </c>
      <c r="M29" s="9" t="s">
        <v>14</v>
      </c>
      <c r="N29" s="9" t="s">
        <v>14</v>
      </c>
      <c r="O29" s="10" t="s">
        <v>14</v>
      </c>
      <c r="P29" s="4">
        <v>7.5</v>
      </c>
      <c r="Q29" s="26" t="s">
        <v>14</v>
      </c>
      <c r="R29" s="20">
        <v>12</v>
      </c>
      <c r="S29" s="20">
        <v>11.5</v>
      </c>
      <c r="T29" s="20">
        <v>11.7</v>
      </c>
      <c r="U29" s="22">
        <v>11.9</v>
      </c>
      <c r="V29" s="22">
        <v>11.9</v>
      </c>
      <c r="W29" s="22">
        <v>12</v>
      </c>
      <c r="X29" s="4">
        <v>12.2</v>
      </c>
      <c r="Y29" s="26" t="s">
        <v>14</v>
      </c>
      <c r="Z29" s="22">
        <v>35.1</v>
      </c>
      <c r="AA29" s="22">
        <v>34.3</v>
      </c>
      <c r="AB29" s="22">
        <v>34.4</v>
      </c>
      <c r="AC29" s="22">
        <v>34</v>
      </c>
      <c r="AD29" s="22">
        <v>32.5</v>
      </c>
      <c r="AE29" s="22">
        <v>30.7</v>
      </c>
      <c r="AF29" s="4">
        <v>28.9</v>
      </c>
      <c r="AG29" s="26" t="s">
        <v>14</v>
      </c>
      <c r="AH29" s="9" t="s">
        <v>14</v>
      </c>
      <c r="AI29" s="9" t="s">
        <v>14</v>
      </c>
      <c r="AJ29" s="9" t="s">
        <v>14</v>
      </c>
      <c r="AK29" s="9" t="s">
        <v>14</v>
      </c>
      <c r="AL29" s="9" t="s">
        <v>14</v>
      </c>
      <c r="AM29" s="9" t="s">
        <v>14</v>
      </c>
      <c r="AN29" s="27" t="s">
        <v>14</v>
      </c>
      <c r="AO29" s="27" t="s">
        <v>14</v>
      </c>
    </row>
    <row r="30" spans="1:41" ht="15.75">
      <c r="A30" s="7"/>
      <c r="B30" s="21"/>
      <c r="C30" s="21"/>
      <c r="D30" s="21"/>
      <c r="E30" s="12"/>
      <c r="F30" s="12"/>
      <c r="G30" s="12"/>
      <c r="H30" s="12"/>
      <c r="I30" s="15"/>
      <c r="J30" s="13"/>
      <c r="K30" s="13"/>
      <c r="L30" s="13"/>
      <c r="M30" s="13"/>
      <c r="N30" s="13"/>
      <c r="O30" s="13"/>
      <c r="P30" s="13"/>
      <c r="Q30" s="14"/>
      <c r="R30" s="12"/>
      <c r="S30" s="12"/>
      <c r="T30" s="12"/>
      <c r="U30" s="21"/>
      <c r="V30" s="21"/>
      <c r="W30" s="21"/>
      <c r="X30" s="21"/>
      <c r="Y30" s="24"/>
      <c r="Z30" s="21"/>
      <c r="AA30" s="21"/>
      <c r="AB30" s="21"/>
      <c r="AC30" s="21"/>
      <c r="AD30" s="21"/>
      <c r="AE30" s="21"/>
      <c r="AF30" s="21"/>
      <c r="AG30" s="24"/>
      <c r="AH30" s="12"/>
      <c r="AI30" s="12"/>
      <c r="AJ30" s="12"/>
      <c r="AK30" s="12"/>
      <c r="AL30" s="3"/>
      <c r="AM30" s="3"/>
      <c r="AN30" s="3"/>
      <c r="AO30" s="3"/>
    </row>
    <row r="32" ht="15.75">
      <c r="A32" s="1" t="s">
        <v>56</v>
      </c>
    </row>
    <row r="33" ht="15.75">
      <c r="A33" s="1" t="s">
        <v>16</v>
      </c>
    </row>
  </sheetData>
  <mergeCells count="46">
    <mergeCell ref="AO8:AO10"/>
    <mergeCell ref="B5:I7"/>
    <mergeCell ref="J5:Q7"/>
    <mergeCell ref="R5:Y7"/>
    <mergeCell ref="Z5:AG7"/>
    <mergeCell ref="AH5:AO7"/>
    <mergeCell ref="AN8:AN10"/>
    <mergeCell ref="I8:I10"/>
    <mergeCell ref="Q8:Q10"/>
    <mergeCell ref="Y8:Y10"/>
    <mergeCell ref="AM8:AM10"/>
    <mergeCell ref="AE8:AE10"/>
    <mergeCell ref="AF8:AF10"/>
    <mergeCell ref="AH8:AH10"/>
    <mergeCell ref="AI8:AI10"/>
    <mergeCell ref="AG8:AG10"/>
    <mergeCell ref="AJ8:AJ10"/>
    <mergeCell ref="AK8:AK10"/>
    <mergeCell ref="AL8:AL10"/>
    <mergeCell ref="AA8:AA10"/>
    <mergeCell ref="AB8:AB10"/>
    <mergeCell ref="AC8:AC10"/>
    <mergeCell ref="AD8:AD10"/>
    <mergeCell ref="V8:V10"/>
    <mergeCell ref="W8:W10"/>
    <mergeCell ref="X8:X10"/>
    <mergeCell ref="Z8:Z10"/>
    <mergeCell ref="R8:R10"/>
    <mergeCell ref="S8:S10"/>
    <mergeCell ref="T8:T10"/>
    <mergeCell ref="U8:U10"/>
    <mergeCell ref="J8:J10"/>
    <mergeCell ref="B8:B10"/>
    <mergeCell ref="C8:C10"/>
    <mergeCell ref="D8:D10"/>
    <mergeCell ref="E8:E10"/>
    <mergeCell ref="N8:N10"/>
    <mergeCell ref="O8:O10"/>
    <mergeCell ref="P8:P10"/>
    <mergeCell ref="A5:A10"/>
    <mergeCell ref="K8:K10"/>
    <mergeCell ref="L8:L10"/>
    <mergeCell ref="M8:M10"/>
    <mergeCell ref="F8:F10"/>
    <mergeCell ref="G8:G10"/>
    <mergeCell ref="H8:H10"/>
  </mergeCells>
  <hyperlinks>
    <hyperlink ref="A3" location="Notes!A1" display="See not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1" t="s">
        <v>81</v>
      </c>
    </row>
    <row r="2" ht="15.75">
      <c r="A2" s="1"/>
    </row>
    <row r="3" ht="15.75">
      <c r="A3" s="16" t="s">
        <v>77</v>
      </c>
    </row>
    <row r="4" ht="15.75">
      <c r="A4" s="1"/>
    </row>
    <row r="5" ht="15.75">
      <c r="A5" s="1" t="s">
        <v>78</v>
      </c>
    </row>
    <row r="6" ht="16.5">
      <c r="A6" s="18" t="s">
        <v>15</v>
      </c>
    </row>
    <row r="8" ht="15.75">
      <c r="A8" s="1" t="s">
        <v>32</v>
      </c>
    </row>
    <row r="9" ht="15.75">
      <c r="A9" s="1" t="s">
        <v>22</v>
      </c>
    </row>
    <row r="10" ht="15.75">
      <c r="A10" s="1" t="s">
        <v>23</v>
      </c>
    </row>
    <row r="11" ht="15.75">
      <c r="A11" s="1"/>
    </row>
    <row r="12" ht="15.75">
      <c r="A12" s="1" t="s">
        <v>19</v>
      </c>
    </row>
    <row r="13" ht="15.75">
      <c r="A13" s="1" t="s">
        <v>82</v>
      </c>
    </row>
    <row r="14" ht="15.75">
      <c r="A14" s="1" t="s">
        <v>73</v>
      </c>
    </row>
    <row r="15" ht="15.75">
      <c r="A15" s="1" t="s">
        <v>42</v>
      </c>
    </row>
    <row r="16" ht="15.75">
      <c r="A16" s="1" t="s">
        <v>74</v>
      </c>
    </row>
    <row r="17" ht="15.75">
      <c r="A17" s="1" t="s">
        <v>83</v>
      </c>
    </row>
    <row r="18" ht="15.75">
      <c r="A18" s="1" t="s">
        <v>50</v>
      </c>
    </row>
    <row r="19" ht="15.75">
      <c r="A19" s="1"/>
    </row>
    <row r="20" ht="15.75">
      <c r="A20" s="1" t="s">
        <v>56</v>
      </c>
    </row>
    <row r="21" ht="15.75">
      <c r="A21" s="1" t="s">
        <v>16</v>
      </c>
    </row>
    <row r="22" ht="15.75">
      <c r="A22" s="1"/>
    </row>
    <row r="23" ht="15.75">
      <c r="A23" s="1" t="s">
        <v>76</v>
      </c>
    </row>
    <row r="24" ht="15.75">
      <c r="A24" s="16" t="s">
        <v>17</v>
      </c>
    </row>
  </sheetData>
  <hyperlinks>
    <hyperlink ref="A24" r:id="rId1" display="http://www.acf.hhs.gov/programs/cb/stats_research/index.htm#afcars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showGridLines="0" zoomScale="75" zoomScaleNormal="75" workbookViewId="0" topLeftCell="A1">
      <selection activeCell="A1" sqref="A1:IV16384"/>
    </sheetView>
  </sheetViews>
  <sheetFormatPr defaultColWidth="9.140625" defaultRowHeight="12.75"/>
  <cols>
    <col min="1" max="1" width="32.7109375" style="1" customWidth="1"/>
    <col min="2" max="2" width="40.7109375" style="1" customWidth="1"/>
    <col min="3" max="6" width="15.421875" style="1" customWidth="1"/>
    <col min="7" max="9" width="15.421875" style="4" customWidth="1"/>
    <col min="10" max="10" width="17.28125" style="1" customWidth="1"/>
    <col min="11" max="12" width="15.421875" style="1" customWidth="1"/>
    <col min="13" max="13" width="17.57421875" style="1" customWidth="1"/>
    <col min="14" max="16" width="15.421875" style="4" customWidth="1"/>
    <col min="17" max="20" width="14.421875" style="1" customWidth="1"/>
    <col min="21" max="23" width="14.421875" style="4" customWidth="1"/>
    <col min="24" max="27" width="14.421875" style="1" customWidth="1"/>
    <col min="28" max="30" width="14.421875" style="4" customWidth="1"/>
    <col min="31" max="36" width="14.421875" style="1" customWidth="1"/>
    <col min="37" max="37" width="14.7109375" style="1" customWidth="1"/>
    <col min="38" max="16384" width="9.140625" style="1" customWidth="1"/>
  </cols>
  <sheetData>
    <row r="1" ht="15.75">
      <c r="B1" s="2" t="s">
        <v>67</v>
      </c>
    </row>
    <row r="2" ht="15.75">
      <c r="B2" s="2" t="s">
        <v>68</v>
      </c>
    </row>
    <row r="3" ht="15.75">
      <c r="B3" s="2" t="s">
        <v>21</v>
      </c>
    </row>
    <row r="4" ht="15.75">
      <c r="B4" s="2" t="s">
        <v>70</v>
      </c>
    </row>
    <row r="5" spans="1:2" ht="16.5">
      <c r="A5" s="1" t="s">
        <v>75</v>
      </c>
      <c r="B5" s="2" t="s">
        <v>69</v>
      </c>
    </row>
    <row r="6" ht="15.75">
      <c r="B6" s="2" t="s">
        <v>21</v>
      </c>
    </row>
    <row r="7" spans="1:2" ht="15.75">
      <c r="A7" s="16" t="s">
        <v>79</v>
      </c>
      <c r="B7" s="2" t="s">
        <v>21</v>
      </c>
    </row>
    <row r="8" spans="1:2" ht="16.5">
      <c r="A8" s="18" t="s">
        <v>15</v>
      </c>
      <c r="B8" s="2" t="s">
        <v>46</v>
      </c>
    </row>
    <row r="9" ht="15.75">
      <c r="B9" s="2" t="s">
        <v>21</v>
      </c>
    </row>
    <row r="10" ht="15.75">
      <c r="B10" s="2" t="s">
        <v>63</v>
      </c>
    </row>
    <row r="11" ht="15.75">
      <c r="B11" s="2" t="s">
        <v>64</v>
      </c>
    </row>
    <row r="12" ht="15.75">
      <c r="B12" s="2" t="s">
        <v>66</v>
      </c>
    </row>
    <row r="13" spans="1:37" ht="15.75">
      <c r="A13" s="3"/>
      <c r="B13" s="4" t="s">
        <v>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5.75">
      <c r="A14" s="38" t="s">
        <v>10</v>
      </c>
      <c r="B14" s="19" t="s">
        <v>25</v>
      </c>
      <c r="C14" s="46" t="s">
        <v>1</v>
      </c>
      <c r="D14" s="47"/>
      <c r="E14" s="47"/>
      <c r="F14" s="47"/>
      <c r="G14" s="47"/>
      <c r="H14" s="47"/>
      <c r="I14" s="38"/>
      <c r="J14" s="47" t="s">
        <v>11</v>
      </c>
      <c r="K14" s="48"/>
      <c r="L14" s="48"/>
      <c r="M14" s="48"/>
      <c r="N14" s="48"/>
      <c r="O14" s="48"/>
      <c r="P14" s="56"/>
      <c r="Q14" s="46" t="s">
        <v>9</v>
      </c>
      <c r="R14" s="47"/>
      <c r="S14" s="47"/>
      <c r="T14" s="47"/>
      <c r="U14" s="47"/>
      <c r="V14" s="47"/>
      <c r="W14" s="38"/>
      <c r="X14" s="46" t="s">
        <v>12</v>
      </c>
      <c r="Y14" s="47"/>
      <c r="Z14" s="47"/>
      <c r="AA14" s="47"/>
      <c r="AB14" s="47"/>
      <c r="AC14" s="47"/>
      <c r="AD14" s="38"/>
      <c r="AE14" s="49" t="s">
        <v>28</v>
      </c>
      <c r="AF14" s="57"/>
      <c r="AG14" s="57"/>
      <c r="AH14" s="57"/>
      <c r="AI14" s="57"/>
      <c r="AJ14" s="57"/>
      <c r="AK14" s="57"/>
    </row>
    <row r="15" spans="1:37" ht="15.75">
      <c r="A15" s="39"/>
      <c r="B15" s="19" t="s">
        <v>25</v>
      </c>
      <c r="C15" s="49"/>
      <c r="D15" s="50"/>
      <c r="E15" s="50"/>
      <c r="F15" s="51"/>
      <c r="G15" s="50"/>
      <c r="H15" s="50"/>
      <c r="I15" s="62"/>
      <c r="J15" s="52"/>
      <c r="K15" s="52"/>
      <c r="L15" s="52"/>
      <c r="M15" s="52"/>
      <c r="N15" s="52"/>
      <c r="O15" s="52"/>
      <c r="P15" s="39"/>
      <c r="Q15" s="49"/>
      <c r="R15" s="50"/>
      <c r="S15" s="50"/>
      <c r="T15" s="50"/>
      <c r="U15" s="50"/>
      <c r="V15" s="50"/>
      <c r="W15" s="62"/>
      <c r="X15" s="49"/>
      <c r="Y15" s="51"/>
      <c r="Z15" s="51"/>
      <c r="AA15" s="51"/>
      <c r="AB15" s="51"/>
      <c r="AC15" s="51"/>
      <c r="AD15" s="62"/>
      <c r="AE15" s="59"/>
      <c r="AF15" s="57"/>
      <c r="AG15" s="57"/>
      <c r="AH15" s="57"/>
      <c r="AI15" s="57"/>
      <c r="AJ15" s="57"/>
      <c r="AK15" s="57"/>
    </row>
    <row r="16" spans="1:37" ht="15.75">
      <c r="A16" s="39"/>
      <c r="B16" s="19" t="s">
        <v>26</v>
      </c>
      <c r="C16" s="53"/>
      <c r="D16" s="54"/>
      <c r="E16" s="54"/>
      <c r="F16" s="54"/>
      <c r="G16" s="54"/>
      <c r="H16" s="54"/>
      <c r="I16" s="62"/>
      <c r="J16" s="55"/>
      <c r="K16" s="55"/>
      <c r="L16" s="55"/>
      <c r="M16" s="55"/>
      <c r="N16" s="55"/>
      <c r="O16" s="55"/>
      <c r="P16" s="39"/>
      <c r="Q16" s="53"/>
      <c r="R16" s="54"/>
      <c r="S16" s="54"/>
      <c r="T16" s="54"/>
      <c r="U16" s="54"/>
      <c r="V16" s="54"/>
      <c r="W16" s="62"/>
      <c r="X16" s="53"/>
      <c r="Y16" s="54"/>
      <c r="Z16" s="54"/>
      <c r="AA16" s="54"/>
      <c r="AB16" s="54"/>
      <c r="AC16" s="54"/>
      <c r="AD16" s="62"/>
      <c r="AE16" s="60"/>
      <c r="AF16" s="55"/>
      <c r="AG16" s="55"/>
      <c r="AH16" s="55"/>
      <c r="AI16" s="55"/>
      <c r="AJ16" s="55"/>
      <c r="AK16" s="55"/>
    </row>
    <row r="17" spans="1:37" ht="15.75">
      <c r="A17" s="39"/>
      <c r="B17" s="19" t="s">
        <v>25</v>
      </c>
      <c r="C17" s="35">
        <v>2000</v>
      </c>
      <c r="D17" s="35">
        <v>2001</v>
      </c>
      <c r="E17" s="35">
        <v>2002</v>
      </c>
      <c r="F17" s="35">
        <v>2003</v>
      </c>
      <c r="G17" s="35" t="s">
        <v>45</v>
      </c>
      <c r="H17" s="35" t="s">
        <v>36</v>
      </c>
      <c r="I17" s="43" t="s">
        <v>65</v>
      </c>
      <c r="J17" s="35">
        <v>2000</v>
      </c>
      <c r="K17" s="35">
        <v>2001</v>
      </c>
      <c r="L17" s="35">
        <v>2002</v>
      </c>
      <c r="M17" s="35">
        <v>2003</v>
      </c>
      <c r="N17" s="35" t="s">
        <v>45</v>
      </c>
      <c r="O17" s="35" t="s">
        <v>36</v>
      </c>
      <c r="P17" s="43" t="s">
        <v>65</v>
      </c>
      <c r="Q17" s="35">
        <v>2000</v>
      </c>
      <c r="R17" s="35">
        <v>2001</v>
      </c>
      <c r="S17" s="35">
        <v>2002</v>
      </c>
      <c r="T17" s="35">
        <v>2003</v>
      </c>
      <c r="U17" s="35" t="s">
        <v>45</v>
      </c>
      <c r="V17" s="35" t="s">
        <v>36</v>
      </c>
      <c r="W17" s="43" t="s">
        <v>65</v>
      </c>
      <c r="X17" s="42">
        <v>2000</v>
      </c>
      <c r="Y17" s="42">
        <v>2001</v>
      </c>
      <c r="Z17" s="42">
        <v>2002</v>
      </c>
      <c r="AA17" s="35">
        <v>2003</v>
      </c>
      <c r="AB17" s="35" t="s">
        <v>45</v>
      </c>
      <c r="AC17" s="35" t="s">
        <v>36</v>
      </c>
      <c r="AD17" s="43" t="s">
        <v>65</v>
      </c>
      <c r="AE17" s="42">
        <v>2000</v>
      </c>
      <c r="AF17" s="42">
        <v>2001</v>
      </c>
      <c r="AG17" s="42">
        <v>2002</v>
      </c>
      <c r="AH17" s="42">
        <v>2003</v>
      </c>
      <c r="AI17" s="42" t="s">
        <v>45</v>
      </c>
      <c r="AJ17" s="42" t="s">
        <v>36</v>
      </c>
      <c r="AK17" s="42" t="s">
        <v>65</v>
      </c>
    </row>
    <row r="18" spans="1:37" ht="15.75">
      <c r="A18" s="39"/>
      <c r="B18" s="19" t="s">
        <v>25</v>
      </c>
      <c r="C18" s="41"/>
      <c r="D18" s="41"/>
      <c r="E18" s="41"/>
      <c r="F18" s="36"/>
      <c r="G18" s="36"/>
      <c r="H18" s="36"/>
      <c r="I18" s="44"/>
      <c r="J18" s="41"/>
      <c r="K18" s="41"/>
      <c r="L18" s="41"/>
      <c r="M18" s="36"/>
      <c r="N18" s="36"/>
      <c r="O18" s="36"/>
      <c r="P18" s="44"/>
      <c r="Q18" s="41"/>
      <c r="R18" s="41"/>
      <c r="S18" s="41"/>
      <c r="T18" s="36"/>
      <c r="U18" s="36"/>
      <c r="V18" s="36"/>
      <c r="W18" s="44"/>
      <c r="X18" s="36"/>
      <c r="Y18" s="36"/>
      <c r="Z18" s="36"/>
      <c r="AA18" s="36"/>
      <c r="AB18" s="36"/>
      <c r="AC18" s="36"/>
      <c r="AD18" s="44"/>
      <c r="AE18" s="41"/>
      <c r="AF18" s="41"/>
      <c r="AG18" s="41"/>
      <c r="AH18" s="41"/>
      <c r="AI18" s="36"/>
      <c r="AJ18" s="36"/>
      <c r="AK18" s="36"/>
    </row>
    <row r="19" spans="1:37" ht="15.75">
      <c r="A19" s="40"/>
      <c r="B19" s="19" t="s">
        <v>25</v>
      </c>
      <c r="C19" s="37"/>
      <c r="D19" s="37"/>
      <c r="E19" s="37"/>
      <c r="F19" s="37"/>
      <c r="G19" s="37"/>
      <c r="H19" s="37"/>
      <c r="I19" s="45"/>
      <c r="J19" s="37"/>
      <c r="K19" s="37"/>
      <c r="L19" s="37"/>
      <c r="M19" s="37"/>
      <c r="N19" s="37"/>
      <c r="O19" s="37"/>
      <c r="P19" s="45"/>
      <c r="Q19" s="37"/>
      <c r="R19" s="37"/>
      <c r="S19" s="37"/>
      <c r="T19" s="37"/>
      <c r="U19" s="37"/>
      <c r="V19" s="37"/>
      <c r="W19" s="45"/>
      <c r="X19" s="37"/>
      <c r="Y19" s="37"/>
      <c r="Z19" s="37"/>
      <c r="AA19" s="37"/>
      <c r="AB19" s="37"/>
      <c r="AC19" s="37"/>
      <c r="AD19" s="45"/>
      <c r="AE19" s="37"/>
      <c r="AF19" s="37"/>
      <c r="AG19" s="37"/>
      <c r="AH19" s="37"/>
      <c r="AI19" s="37"/>
      <c r="AJ19" s="37"/>
      <c r="AK19" s="37"/>
    </row>
    <row r="20" spans="1:37" ht="15.75">
      <c r="A20" s="5" t="s">
        <v>0</v>
      </c>
      <c r="B20" s="5" t="s">
        <v>24</v>
      </c>
      <c r="C20" s="8">
        <v>552000</v>
      </c>
      <c r="D20" s="8">
        <v>545000</v>
      </c>
      <c r="E20" s="8">
        <v>533000</v>
      </c>
      <c r="F20" s="8">
        <v>520000</v>
      </c>
      <c r="G20" s="11">
        <v>517000</v>
      </c>
      <c r="H20" s="11">
        <v>513000</v>
      </c>
      <c r="I20" s="25">
        <v>510000</v>
      </c>
      <c r="J20" s="8">
        <v>293000</v>
      </c>
      <c r="K20" s="8">
        <v>296000</v>
      </c>
      <c r="L20" s="8">
        <v>303000</v>
      </c>
      <c r="M20" s="8">
        <v>296000</v>
      </c>
      <c r="N20" s="11">
        <v>305000</v>
      </c>
      <c r="O20" s="11">
        <v>311000</v>
      </c>
      <c r="P20" s="25">
        <v>303000</v>
      </c>
      <c r="Q20" s="8">
        <v>272000</v>
      </c>
      <c r="R20" s="8">
        <v>269000</v>
      </c>
      <c r="S20" s="8">
        <v>282000</v>
      </c>
      <c r="T20" s="11">
        <v>282000</v>
      </c>
      <c r="U20" s="11">
        <v>283000</v>
      </c>
      <c r="V20" s="11">
        <v>287000</v>
      </c>
      <c r="W20" s="25">
        <v>289000</v>
      </c>
      <c r="X20" s="11">
        <v>131000</v>
      </c>
      <c r="Y20" s="11">
        <v>129000</v>
      </c>
      <c r="Z20" s="11">
        <v>124000</v>
      </c>
      <c r="AA20" s="11">
        <v>120000</v>
      </c>
      <c r="AB20" s="11">
        <v>118000</v>
      </c>
      <c r="AC20" s="11">
        <v>114000</v>
      </c>
      <c r="AD20" s="25">
        <v>129000</v>
      </c>
      <c r="AE20" s="8">
        <v>51000</v>
      </c>
      <c r="AF20" s="8">
        <v>51000</v>
      </c>
      <c r="AG20" s="8">
        <v>53000</v>
      </c>
      <c r="AH20" s="8">
        <v>50000</v>
      </c>
      <c r="AI20" s="8">
        <v>52000</v>
      </c>
      <c r="AJ20" s="8">
        <v>51000</v>
      </c>
      <c r="AK20" s="8">
        <v>51000</v>
      </c>
    </row>
    <row r="21" spans="1:36" ht="15.75">
      <c r="A21" s="6" t="s">
        <v>5</v>
      </c>
      <c r="B21" s="17" t="s">
        <v>57</v>
      </c>
      <c r="C21" s="8"/>
      <c r="D21" s="8"/>
      <c r="E21" s="8"/>
      <c r="F21" s="8"/>
      <c r="G21" s="11"/>
      <c r="H21" s="11"/>
      <c r="I21" s="5"/>
      <c r="J21" s="8"/>
      <c r="K21" s="8"/>
      <c r="L21" s="8"/>
      <c r="M21" s="8"/>
      <c r="N21" s="11"/>
      <c r="O21" s="11"/>
      <c r="P21" s="5"/>
      <c r="Q21" s="8"/>
      <c r="R21" s="8"/>
      <c r="S21" s="8"/>
      <c r="T21" s="11"/>
      <c r="U21" s="11"/>
      <c r="V21" s="11"/>
      <c r="W21" s="5"/>
      <c r="X21" s="11"/>
      <c r="Y21" s="11"/>
      <c r="Z21" s="11"/>
      <c r="AA21" s="11"/>
      <c r="AB21" s="11"/>
      <c r="AC21" s="11"/>
      <c r="AD21" s="25"/>
      <c r="AE21" s="8"/>
      <c r="AF21" s="8"/>
      <c r="AG21" s="8"/>
      <c r="AH21" s="8"/>
      <c r="AI21" s="8"/>
      <c r="AJ21" s="8"/>
    </row>
    <row r="22" spans="1:37" ht="15.75">
      <c r="A22" s="5" t="s">
        <v>2</v>
      </c>
      <c r="B22" s="5" t="s">
        <v>58</v>
      </c>
      <c r="C22" s="8">
        <v>22839</v>
      </c>
      <c r="D22" s="8">
        <v>23301</v>
      </c>
      <c r="E22" s="8">
        <v>24490</v>
      </c>
      <c r="F22" s="8">
        <v>25169</v>
      </c>
      <c r="G22" s="11">
        <v>26642</v>
      </c>
      <c r="H22" s="11">
        <v>29034</v>
      </c>
      <c r="I22" s="25">
        <v>30418</v>
      </c>
      <c r="J22" s="8">
        <v>37996</v>
      </c>
      <c r="K22" s="8">
        <v>38453</v>
      </c>
      <c r="L22" s="8">
        <v>40714</v>
      </c>
      <c r="M22" s="8">
        <v>41539</v>
      </c>
      <c r="N22" s="11">
        <v>43721</v>
      </c>
      <c r="O22" s="11">
        <v>46954</v>
      </c>
      <c r="P22" s="25">
        <v>47536</v>
      </c>
      <c r="Q22" s="8">
        <v>11025</v>
      </c>
      <c r="R22" s="8">
        <v>11555</v>
      </c>
      <c r="S22" s="8">
        <v>12159</v>
      </c>
      <c r="T22" s="11">
        <v>12660</v>
      </c>
      <c r="U22" s="11">
        <v>13413</v>
      </c>
      <c r="V22" s="11">
        <v>14081</v>
      </c>
      <c r="W22" s="25">
        <v>13948</v>
      </c>
      <c r="X22" s="11">
        <v>3957</v>
      </c>
      <c r="Y22" s="11">
        <v>4473</v>
      </c>
      <c r="Z22" s="11">
        <v>4193</v>
      </c>
      <c r="AA22" s="11">
        <v>3826</v>
      </c>
      <c r="AB22" s="11">
        <v>4207</v>
      </c>
      <c r="AC22" s="11">
        <v>4203</v>
      </c>
      <c r="AD22" s="25">
        <v>5102</v>
      </c>
      <c r="AE22" s="8">
        <v>939</v>
      </c>
      <c r="AF22" s="8">
        <v>979</v>
      </c>
      <c r="AG22" s="8">
        <v>1011</v>
      </c>
      <c r="AH22" s="8">
        <v>932</v>
      </c>
      <c r="AI22" s="1">
        <v>957</v>
      </c>
      <c r="AJ22" s="8">
        <v>1108</v>
      </c>
      <c r="AK22" s="8">
        <v>1099</v>
      </c>
    </row>
    <row r="23" spans="1:37" ht="15.75">
      <c r="A23" s="5" t="s">
        <v>29</v>
      </c>
      <c r="B23" s="5" t="s">
        <v>29</v>
      </c>
      <c r="C23" s="8">
        <f>28991+28453+26611+25233+25090</f>
        <v>134378</v>
      </c>
      <c r="D23" s="8">
        <f>28448+28545+26662+24720+23513</f>
        <v>131888</v>
      </c>
      <c r="E23" s="8">
        <f>29133+27438+26023+24513+22522</f>
        <v>129629</v>
      </c>
      <c r="F23" s="8">
        <f>29717+27979+25426+23911+22360</f>
        <v>129393</v>
      </c>
      <c r="G23" s="11">
        <f>30749+28446+26263+23638+22338</f>
        <v>131434</v>
      </c>
      <c r="H23" s="11">
        <f>32439+29580+26552+24558+22405</f>
        <v>135534</v>
      </c>
      <c r="I23" s="25">
        <f>34344+30367+26966+24384+23021</f>
        <v>139082</v>
      </c>
      <c r="J23" s="8">
        <f>17336+15410+13861+12937+12821</f>
        <v>72365</v>
      </c>
      <c r="K23" s="8">
        <f>17867+16326+14637+13288+12742</f>
        <v>74860</v>
      </c>
      <c r="L23" s="8">
        <f>18745+16708+15362+13892+13306</f>
        <v>78013</v>
      </c>
      <c r="M23" s="8">
        <f>18678+17059+15211+14141+13041</f>
        <v>78130</v>
      </c>
      <c r="N23" s="11">
        <f>19667+17614+16246+14631+13803</f>
        <v>81961</v>
      </c>
      <c r="O23" s="11">
        <f>20981+18427+16728+15229+14359</f>
        <v>85724</v>
      </c>
      <c r="P23" s="25">
        <f>20646+18234+16145+14919+14159</f>
        <v>84103</v>
      </c>
      <c r="Q23" s="8">
        <f>13867+15210+14826+13615+13149</f>
        <v>70667</v>
      </c>
      <c r="R23" s="8">
        <f>14783+15951+15020+13775+12772</f>
        <v>72301</v>
      </c>
      <c r="S23" s="8">
        <f>16190+17273+16118+14480+13322</f>
        <v>77383</v>
      </c>
      <c r="T23" s="11">
        <f>17269+17761+16339+15002+13682</f>
        <v>80053</v>
      </c>
      <c r="U23" s="11">
        <f>17882+18522+17012+15143+14137</f>
        <v>82696</v>
      </c>
      <c r="V23" s="11">
        <f>19053+19013+17404+15551+14177</f>
        <v>85198</v>
      </c>
      <c r="W23" s="25">
        <f>19929+19851+17770+15960+14355</f>
        <v>87865</v>
      </c>
      <c r="X23" s="11">
        <f>8062+9491+9131+8819+8623</f>
        <v>44126</v>
      </c>
      <c r="Y23" s="11">
        <f>8265+9050+8868+8274+7844</f>
        <v>42301</v>
      </c>
      <c r="Z23" s="11">
        <f>7972+8519+8164+7929+7343</f>
        <v>39927</v>
      </c>
      <c r="AA23" s="11">
        <f>7731+8405+7767+7320+6990</f>
        <v>38213</v>
      </c>
      <c r="AB23" s="11">
        <f>8079+8358+7870+7011+6672</f>
        <v>37990</v>
      </c>
      <c r="AC23" s="11">
        <f>8374+8456+7694+7166+6585</f>
        <v>38275</v>
      </c>
      <c r="AD23" s="25">
        <f>11023+10420+9463+8362+7840</f>
        <v>47108</v>
      </c>
      <c r="AE23" s="8">
        <f>3614+5169+5269+4661+4422</f>
        <v>23135</v>
      </c>
      <c r="AF23" s="8">
        <f>3861+5427+5260+4706+4183</f>
        <v>23437</v>
      </c>
      <c r="AG23" s="8">
        <f>4314+5855+5463+4757+4023</f>
        <v>24412</v>
      </c>
      <c r="AH23" s="8">
        <f>4482+5562+5126+4505+3912</f>
        <v>23587</v>
      </c>
      <c r="AI23" s="8">
        <f>4482+6141+5557+4742+4092</f>
        <v>25014</v>
      </c>
      <c r="AJ23" s="8">
        <f>5280+6458+5449+4638+3937</f>
        <v>25762</v>
      </c>
      <c r="AK23" s="8">
        <f>5567+6735+5647+4666+3914</f>
        <v>26529</v>
      </c>
    </row>
    <row r="24" spans="1:37" ht="15.75">
      <c r="A24" s="5" t="s">
        <v>30</v>
      </c>
      <c r="B24" s="5" t="s">
        <v>30</v>
      </c>
      <c r="C24" s="8">
        <f>25663+26774+27364+28153+28049</f>
        <v>136003</v>
      </c>
      <c r="D24" s="8">
        <f>23586+24751+25816+26489+27547</f>
        <v>128189</v>
      </c>
      <c r="E24" s="8">
        <f>22098+22219+23159+24470+25448</f>
        <v>117394</v>
      </c>
      <c r="F24" s="8">
        <f>21118+21012+21046+21711+23346</f>
        <v>108233</v>
      </c>
      <c r="G24" s="11">
        <f>21382+20495+20242+20292+21151</f>
        <v>103562</v>
      </c>
      <c r="H24" s="11">
        <f>21521+20687+19717+19375+19488</f>
        <v>100788</v>
      </c>
      <c r="I24" s="25">
        <f>21574+20760+20025+19263+18958</f>
        <v>100580</v>
      </c>
      <c r="J24" s="8">
        <f>13059+12834+12603+12683+12167</f>
        <v>63346</v>
      </c>
      <c r="K24" s="8">
        <f>12712+12657+12542+12489+12464</f>
        <v>62864</v>
      </c>
      <c r="L24" s="8">
        <f>12520+12363+12269+12278+12463</f>
        <v>61893</v>
      </c>
      <c r="M24" s="8">
        <f>12415+11918+11439+11449+11496</f>
        <v>58717</v>
      </c>
      <c r="N24" s="11">
        <f>12957+12069+11473+11129+11366</f>
        <v>58994</v>
      </c>
      <c r="O24" s="11">
        <f>13505+12323+11528+10833+10643</f>
        <v>58832</v>
      </c>
      <c r="P24" s="25">
        <f>13196+12380+11312+10649+10136</f>
        <v>57673</v>
      </c>
      <c r="Q24" s="8">
        <f>13275+13026+12747+12634+11546</f>
        <v>63228</v>
      </c>
      <c r="R24" s="8">
        <f>12528+12274+12284+12042+11665</f>
        <v>60793</v>
      </c>
      <c r="S24" s="8">
        <f>12625+12345+12431+12103+11909</f>
        <v>61413</v>
      </c>
      <c r="T24" s="11">
        <f>12668+12038+11905+11781+11417</f>
        <v>59809</v>
      </c>
      <c r="U24" s="11">
        <f>12733+12076+11429+11781+11059</f>
        <v>59078</v>
      </c>
      <c r="V24" s="11">
        <f>13296+12089+11367+10593+10378</f>
        <v>57723</v>
      </c>
      <c r="W24" s="25">
        <f>13276+12776+11402+10584+10044</f>
        <v>58082</v>
      </c>
      <c r="X24" s="11">
        <f>8653+9067+9212+9135+8913</f>
        <v>44980</v>
      </c>
      <c r="Y24" s="11">
        <f>7822+8021+8473+8734+8591</f>
        <v>41641</v>
      </c>
      <c r="Z24" s="11">
        <f>7088+7119+7429+7784+8056</f>
        <v>37476</v>
      </c>
      <c r="AA24" s="11">
        <f>6582+6382+6418+6860+7172</f>
        <v>33414</v>
      </c>
      <c r="AB24" s="11">
        <f>6403+6148+5950+6145+6397</f>
        <v>31043</v>
      </c>
      <c r="AC24" s="11">
        <f>6179+5972+5734+5688+5786</f>
        <v>29359</v>
      </c>
      <c r="AD24" s="25">
        <f>7150+6978+6688+6372+6208</f>
        <v>33396</v>
      </c>
      <c r="AE24" s="8">
        <f>4071+3837+3565+3413+2945</f>
        <v>17831</v>
      </c>
      <c r="AF24" s="8">
        <f>3835+3630+3471+3247+2922</f>
        <v>17105</v>
      </c>
      <c r="AG24" s="8">
        <f>3740+3543+3360+3283+2999</f>
        <v>16925</v>
      </c>
      <c r="AH24" s="8">
        <f>3514+3117+2932+2939+2700</f>
        <v>15202</v>
      </c>
      <c r="AI24" s="8">
        <f>3536+3241+2848+2708+2572</f>
        <v>14905</v>
      </c>
      <c r="AJ24" s="8">
        <f>3589+3085+2753+2454+2367</f>
        <v>14248</v>
      </c>
      <c r="AK24" s="8">
        <f>3562+3063+2686+2422+2138</f>
        <v>13871</v>
      </c>
    </row>
    <row r="25" spans="1:37" ht="15.75">
      <c r="A25" s="5" t="s">
        <v>31</v>
      </c>
      <c r="B25" s="5" t="s">
        <v>31</v>
      </c>
      <c r="C25" s="8">
        <f>28086+28447+30663+34470+38411</f>
        <v>160077</v>
      </c>
      <c r="D25" s="8">
        <f>27883+28936+31081+34365+38693</f>
        <v>160958</v>
      </c>
      <c r="E25" s="8">
        <f>26647+28063+30827+34672+38682</f>
        <v>158891</v>
      </c>
      <c r="F25" s="8">
        <f>24705+26964+30029+34152+38540</f>
        <v>154390</v>
      </c>
      <c r="G25" s="11">
        <f>23051+25194+29406+33929+39041</f>
        <v>150621</v>
      </c>
      <c r="H25" s="11">
        <f>20693+23570+27081+33002+38589</f>
        <v>142935</v>
      </c>
      <c r="I25" s="25">
        <f>19475+21532+25706+30949+38259</f>
        <v>135921</v>
      </c>
      <c r="J25" s="8">
        <f>11977+13575+16726+21118+23159</f>
        <v>86555</v>
      </c>
      <c r="K25" s="8">
        <f>12549+13921+16662+20205+23324</f>
        <v>86661</v>
      </c>
      <c r="L25" s="8">
        <f>12726+13996+17201+20799+23192</f>
        <v>87914</v>
      </c>
      <c r="M25" s="8">
        <f>12239+13859+16869+20113+22209</f>
        <v>85289</v>
      </c>
      <c r="N25" s="11">
        <f>11897+13943+16993+20445+23164</f>
        <v>86442</v>
      </c>
      <c r="O25" s="11">
        <f>11448+13085+16362+20426+23291</f>
        <v>84612</v>
      </c>
      <c r="P25" s="25">
        <f>10316+11910+14944+18981+22729</f>
        <v>78880</v>
      </c>
      <c r="Q25" s="8">
        <f>10838+10704+11858+14666+17484</f>
        <v>65550</v>
      </c>
      <c r="R25" s="8">
        <f>11073+10984+11728+13968+17452</f>
        <v>65205</v>
      </c>
      <c r="S25" s="8">
        <f>11592+11803+12410+14685+17280</f>
        <v>67770</v>
      </c>
      <c r="T25" s="11">
        <f>11540+11838+12560+14458+16713</f>
        <v>67109</v>
      </c>
      <c r="U25" s="11">
        <f>11191+11499+12522+14531+16403</f>
        <v>66146</v>
      </c>
      <c r="V25" s="11">
        <f>10501+10738+12144+14215+16989</f>
        <v>64587</v>
      </c>
      <c r="W25" s="25">
        <f>9803+10201+11128+13364+16355</f>
        <v>60851</v>
      </c>
      <c r="X25" s="11">
        <f>8178+7579+6787+5812+4787</f>
        <v>33143</v>
      </c>
      <c r="Y25" s="11">
        <f>8391+7855+7105+6281+5460</f>
        <v>35092</v>
      </c>
      <c r="Z25" s="11">
        <f>8085+7838+7316+6829+5988</f>
        <v>36056</v>
      </c>
      <c r="AA25" s="11">
        <f>7512+7549+7317+6981+6456</f>
        <v>35815</v>
      </c>
      <c r="AB25" s="11">
        <f>6800+6956+7062+6931+6553</f>
        <v>34302</v>
      </c>
      <c r="AC25" s="11">
        <f>6144+6583+6718+6996+6841</f>
        <v>33282</v>
      </c>
      <c r="AD25" s="25">
        <f>6267+6473+6844+6907+7207</f>
        <v>33698</v>
      </c>
      <c r="AE25" s="8">
        <f>2427+2000+1561+1169+789</f>
        <v>7946</v>
      </c>
      <c r="AF25" s="8">
        <f>2502+2078+1580+1183+881</f>
        <v>8224</v>
      </c>
      <c r="AG25" s="8">
        <f>2726+2355+1781+1436+1009</f>
        <v>9307</v>
      </c>
      <c r="AH25" s="8">
        <f>2490+2193+1720+1395+1077</f>
        <v>8875</v>
      </c>
      <c r="AI25" s="8">
        <f>2477+2227+1891+1474+1109</f>
        <v>9178</v>
      </c>
      <c r="AJ25" s="8">
        <f>2147+1986+1702+1367+1125</f>
        <v>8327</v>
      </c>
      <c r="AK25" s="8">
        <f>2012+1785+1618+1378+1070</f>
        <v>7863</v>
      </c>
    </row>
    <row r="26" spans="1:37" ht="15.75">
      <c r="A26" s="5" t="s">
        <v>37</v>
      </c>
      <c r="B26" s="5" t="s">
        <v>54</v>
      </c>
      <c r="C26" s="8">
        <f>39041+35032+14982+6366+3280</f>
        <v>98701</v>
      </c>
      <c r="D26" s="8">
        <f>40036+35224+15023+6610+3771</f>
        <v>100664</v>
      </c>
      <c r="E26" s="8">
        <f>40910+36672+14655+6458+3902</f>
        <v>102597</v>
      </c>
      <c r="F26" s="8">
        <f>40696+37749+14767+5848+3755</f>
        <v>102815</v>
      </c>
      <c r="G26" s="11">
        <f>41872+38379+14706+6185+3601</f>
        <v>104743</v>
      </c>
      <c r="H26" s="11">
        <f>41695+39018+14007+5963+4027</f>
        <v>104710</v>
      </c>
      <c r="I26" s="25">
        <f>42272+39624+13303+5488+3316</f>
        <v>104003</v>
      </c>
      <c r="J26" s="8">
        <f>20086+11614+803+157+77</f>
        <v>32737</v>
      </c>
      <c r="K26" s="8">
        <f>20250+11890+846+143+31</f>
        <v>33160</v>
      </c>
      <c r="L26" s="8">
        <f>21225+12210+820+156+54</f>
        <v>34465</v>
      </c>
      <c r="M26" s="8">
        <f>19739+11872+573+116+25</f>
        <v>32325</v>
      </c>
      <c r="N26" s="11">
        <f>20636+12394+703+112+37</f>
        <v>33882</v>
      </c>
      <c r="O26" s="11">
        <f>21624+12345+730+138+41</f>
        <v>34878</v>
      </c>
      <c r="P26" s="25">
        <f>21062+12829+702+154+62</f>
        <v>34809</v>
      </c>
      <c r="Q26" s="8">
        <f>19182+19770+17385+3369+1825</f>
        <v>61531</v>
      </c>
      <c r="R26" s="8">
        <f>18436+17408+18308+3050+1944</f>
        <v>59146</v>
      </c>
      <c r="S26" s="8">
        <f>19098+21042+16560+3776+2801</f>
        <v>63277</v>
      </c>
      <c r="T26" s="11">
        <f>17675+23530+14919+3512+2732</f>
        <v>62368</v>
      </c>
      <c r="U26" s="11">
        <f>17599+19762+19608+3514+2073</f>
        <v>62556</v>
      </c>
      <c r="V26" s="11">
        <f>18559+17635+23282+3781+2154</f>
        <v>65411</v>
      </c>
      <c r="W26" s="25">
        <f>18264+24597+19230+3599+2561</f>
        <v>68251</v>
      </c>
      <c r="X26" s="11">
        <f>2990+1803</f>
        <v>4793</v>
      </c>
      <c r="Y26" s="11">
        <f>3378+2113</f>
        <v>5491</v>
      </c>
      <c r="Z26" s="11">
        <f>3869+2480</f>
        <v>6349</v>
      </c>
      <c r="AA26" s="11">
        <f>4534+3031+856+220+93</f>
        <v>8734</v>
      </c>
      <c r="AB26" s="11">
        <f>5976+3252+899+237+90</f>
        <v>10454</v>
      </c>
      <c r="AC26" s="11">
        <f>5214+3668</f>
        <v>8882</v>
      </c>
      <c r="AD26" s="25">
        <f>5607+4089</f>
        <v>9696</v>
      </c>
      <c r="AE26" s="8">
        <f>589+385+129+23+23</f>
        <v>1149</v>
      </c>
      <c r="AF26" s="8">
        <f>672+426+107+28+20</f>
        <v>1253</v>
      </c>
      <c r="AG26" s="8">
        <f>723+462+124+23+11</f>
        <v>1343</v>
      </c>
      <c r="AH26" s="8">
        <f>732+496+134+29+13</f>
        <v>1404</v>
      </c>
      <c r="AI26" s="8">
        <f>834+587+149+28+7</f>
        <v>1605</v>
      </c>
      <c r="AJ26" s="8">
        <f>830+579+120+20+7</f>
        <v>1556</v>
      </c>
      <c r="AK26" s="8">
        <f>830+636+148+17+6</f>
        <v>1637</v>
      </c>
    </row>
    <row r="27" spans="1:37" ht="15.75">
      <c r="A27" s="6" t="s">
        <v>6</v>
      </c>
      <c r="B27" s="17" t="s">
        <v>59</v>
      </c>
      <c r="C27" s="8"/>
      <c r="D27" s="8"/>
      <c r="E27" s="8"/>
      <c r="F27" s="8"/>
      <c r="G27" s="11"/>
      <c r="H27" s="11"/>
      <c r="I27" s="5"/>
      <c r="J27" s="8"/>
      <c r="K27" s="8"/>
      <c r="L27" s="8"/>
      <c r="M27" s="8"/>
      <c r="N27" s="11"/>
      <c r="O27" s="11"/>
      <c r="P27" s="5"/>
      <c r="Q27" s="8"/>
      <c r="R27" s="8"/>
      <c r="S27" s="8"/>
      <c r="T27" s="11"/>
      <c r="U27" s="11"/>
      <c r="V27" s="11"/>
      <c r="W27" s="5"/>
      <c r="X27" s="11"/>
      <c r="Y27" s="11"/>
      <c r="Z27" s="11"/>
      <c r="AA27" s="11"/>
      <c r="AB27" s="11"/>
      <c r="AC27" s="11"/>
      <c r="AD27" s="25"/>
      <c r="AE27" s="8"/>
      <c r="AF27" s="8"/>
      <c r="AG27" s="8"/>
      <c r="AH27" s="8"/>
      <c r="AI27" s="8"/>
      <c r="AJ27" s="8"/>
      <c r="AK27" s="8"/>
    </row>
    <row r="28" spans="1:37" ht="15.75">
      <c r="A28" s="5" t="s">
        <v>39</v>
      </c>
      <c r="B28" s="5" t="s">
        <v>60</v>
      </c>
      <c r="C28" s="8">
        <v>207970</v>
      </c>
      <c r="D28" s="8">
        <v>205549</v>
      </c>
      <c r="E28" s="8">
        <v>205769</v>
      </c>
      <c r="F28" s="8">
        <v>202992</v>
      </c>
      <c r="G28" s="11">
        <v>205561</v>
      </c>
      <c r="H28" s="11">
        <v>208537</v>
      </c>
      <c r="I28" s="25">
        <v>205662</v>
      </c>
      <c r="J28" s="8">
        <v>136214</v>
      </c>
      <c r="K28" s="8">
        <v>137226</v>
      </c>
      <c r="L28" s="8">
        <v>140003</v>
      </c>
      <c r="M28" s="8">
        <v>137471</v>
      </c>
      <c r="N28" s="11">
        <v>141506</v>
      </c>
      <c r="O28" s="11">
        <v>144679</v>
      </c>
      <c r="P28" s="25">
        <v>136354</v>
      </c>
      <c r="Q28" s="8">
        <v>121322</v>
      </c>
      <c r="R28" s="8">
        <v>120025</v>
      </c>
      <c r="S28" s="8">
        <v>125786</v>
      </c>
      <c r="T28" s="11">
        <v>128256</v>
      </c>
      <c r="U28" s="11">
        <v>127866</v>
      </c>
      <c r="V28" s="11">
        <v>130235</v>
      </c>
      <c r="W28" s="25">
        <v>130945</v>
      </c>
      <c r="X28" s="11">
        <v>44898</v>
      </c>
      <c r="Y28" s="11">
        <v>44778</v>
      </c>
      <c r="Z28" s="11">
        <v>44675</v>
      </c>
      <c r="AA28" s="11">
        <v>44346</v>
      </c>
      <c r="AB28" s="11">
        <v>44991</v>
      </c>
      <c r="AC28" s="11">
        <v>45096</v>
      </c>
      <c r="AD28" s="25">
        <v>49637</v>
      </c>
      <c r="AE28" s="8">
        <v>19462</v>
      </c>
      <c r="AF28" s="8">
        <v>19382</v>
      </c>
      <c r="AG28" s="8">
        <v>20845</v>
      </c>
      <c r="AH28" s="8">
        <v>20869</v>
      </c>
      <c r="AI28" s="8">
        <v>21971</v>
      </c>
      <c r="AJ28" s="8">
        <v>22088</v>
      </c>
      <c r="AK28" s="8">
        <v>22979</v>
      </c>
    </row>
    <row r="29" spans="1:37" ht="15.75">
      <c r="A29" s="5" t="s">
        <v>40</v>
      </c>
      <c r="B29" s="5" t="s">
        <v>47</v>
      </c>
      <c r="C29" s="8">
        <v>217615</v>
      </c>
      <c r="D29" s="8">
        <v>205074</v>
      </c>
      <c r="E29" s="8">
        <v>195425</v>
      </c>
      <c r="F29" s="8">
        <v>183901</v>
      </c>
      <c r="G29" s="11">
        <v>175089</v>
      </c>
      <c r="H29" s="11">
        <v>166482</v>
      </c>
      <c r="I29" s="25">
        <v>162722</v>
      </c>
      <c r="J29" s="8">
        <v>84460</v>
      </c>
      <c r="K29" s="8">
        <v>83718</v>
      </c>
      <c r="L29" s="8">
        <v>83777</v>
      </c>
      <c r="M29" s="8">
        <v>80063</v>
      </c>
      <c r="N29" s="11">
        <v>81253</v>
      </c>
      <c r="O29" s="11">
        <v>80430</v>
      </c>
      <c r="P29" s="25">
        <v>80212</v>
      </c>
      <c r="Q29" s="8">
        <v>84065</v>
      </c>
      <c r="R29" s="8">
        <v>81356</v>
      </c>
      <c r="S29" s="8">
        <v>84698</v>
      </c>
      <c r="T29" s="11">
        <v>82839</v>
      </c>
      <c r="U29" s="11">
        <v>82373</v>
      </c>
      <c r="V29" s="11">
        <v>81542</v>
      </c>
      <c r="W29" s="25">
        <v>77720</v>
      </c>
      <c r="X29" s="11">
        <v>57345</v>
      </c>
      <c r="Y29" s="11">
        <v>56397</v>
      </c>
      <c r="Z29" s="11">
        <v>52051</v>
      </c>
      <c r="AA29" s="11">
        <v>48305</v>
      </c>
      <c r="AB29" s="11">
        <v>45025</v>
      </c>
      <c r="AC29" s="11">
        <v>40840</v>
      </c>
      <c r="AD29" s="25">
        <v>41591</v>
      </c>
      <c r="AE29" s="8">
        <v>19566</v>
      </c>
      <c r="AF29" s="8">
        <v>17843</v>
      </c>
      <c r="AG29" s="8">
        <v>18809</v>
      </c>
      <c r="AH29" s="8">
        <v>16554</v>
      </c>
      <c r="AI29" s="8">
        <v>16726</v>
      </c>
      <c r="AJ29" s="8">
        <v>15230</v>
      </c>
      <c r="AK29" s="8">
        <v>13783</v>
      </c>
    </row>
    <row r="30" spans="1:37" ht="15.75">
      <c r="A30" s="5" t="s">
        <v>41</v>
      </c>
      <c r="B30" s="5" t="s">
        <v>48</v>
      </c>
      <c r="C30" s="8">
        <v>4370</v>
      </c>
      <c r="D30" s="8">
        <v>3686</v>
      </c>
      <c r="E30" s="8">
        <v>3434</v>
      </c>
      <c r="F30" s="8">
        <v>3261</v>
      </c>
      <c r="G30" s="11">
        <v>3099</v>
      </c>
      <c r="H30" s="11">
        <v>2973</v>
      </c>
      <c r="I30" s="25">
        <v>2978</v>
      </c>
      <c r="J30" s="8">
        <v>3565</v>
      </c>
      <c r="K30" s="8">
        <v>2984</v>
      </c>
      <c r="L30" s="8">
        <v>2854</v>
      </c>
      <c r="M30" s="8">
        <v>2631</v>
      </c>
      <c r="N30" s="11">
        <v>2468</v>
      </c>
      <c r="O30" s="11">
        <v>2454</v>
      </c>
      <c r="P30" s="25">
        <v>2420</v>
      </c>
      <c r="Q30" s="8">
        <v>3307</v>
      </c>
      <c r="R30" s="8">
        <v>2714</v>
      </c>
      <c r="S30" s="8">
        <v>2757</v>
      </c>
      <c r="T30" s="11">
        <v>2633</v>
      </c>
      <c r="U30" s="11">
        <v>2400</v>
      </c>
      <c r="V30" s="11">
        <v>2328</v>
      </c>
      <c r="W30" s="25">
        <v>2384</v>
      </c>
      <c r="X30" s="11">
        <v>664</v>
      </c>
      <c r="Y30" s="11">
        <v>522</v>
      </c>
      <c r="Z30" s="11">
        <v>524</v>
      </c>
      <c r="AA30" s="11">
        <v>501</v>
      </c>
      <c r="AB30" s="11">
        <v>484</v>
      </c>
      <c r="AC30" s="11">
        <v>448</v>
      </c>
      <c r="AD30" s="25">
        <v>651</v>
      </c>
      <c r="AE30" s="8">
        <v>290</v>
      </c>
      <c r="AF30" s="8">
        <v>264</v>
      </c>
      <c r="AG30" s="8">
        <v>309</v>
      </c>
      <c r="AH30" s="8">
        <v>315</v>
      </c>
      <c r="AI30" s="8">
        <v>258</v>
      </c>
      <c r="AJ30" s="8">
        <v>337</v>
      </c>
      <c r="AK30" s="8">
        <v>289</v>
      </c>
    </row>
    <row r="31" spans="1:37" ht="15.75">
      <c r="A31" s="5" t="s">
        <v>44</v>
      </c>
      <c r="B31" s="5" t="s">
        <v>49</v>
      </c>
      <c r="C31" s="8">
        <v>81823</v>
      </c>
      <c r="D31" s="8">
        <v>89950</v>
      </c>
      <c r="E31" s="8">
        <v>89443</v>
      </c>
      <c r="F31" s="8">
        <v>90846</v>
      </c>
      <c r="G31" s="11">
        <v>93759</v>
      </c>
      <c r="H31" s="11">
        <v>93996</v>
      </c>
      <c r="I31" s="25">
        <v>96967</v>
      </c>
      <c r="J31" s="8">
        <v>42769</v>
      </c>
      <c r="K31" s="8">
        <v>47542</v>
      </c>
      <c r="L31" s="8">
        <v>51472</v>
      </c>
      <c r="M31" s="8">
        <v>51247</v>
      </c>
      <c r="N31" s="11">
        <v>54433</v>
      </c>
      <c r="O31" s="11">
        <v>56603</v>
      </c>
      <c r="P31" s="25">
        <v>57444</v>
      </c>
      <c r="Q31" s="8">
        <v>39909</v>
      </c>
      <c r="R31" s="8">
        <v>41307</v>
      </c>
      <c r="S31" s="8">
        <v>45236</v>
      </c>
      <c r="T31" s="11">
        <v>46123</v>
      </c>
      <c r="U31" s="11">
        <v>47832</v>
      </c>
      <c r="V31" s="11">
        <v>49398</v>
      </c>
      <c r="W31" s="25">
        <v>51711</v>
      </c>
      <c r="X31" s="11">
        <v>17050</v>
      </c>
      <c r="Y31" s="11">
        <v>15837</v>
      </c>
      <c r="Z31" s="11">
        <v>16117</v>
      </c>
      <c r="AA31" s="11">
        <v>16307</v>
      </c>
      <c r="AB31" s="11">
        <v>16997</v>
      </c>
      <c r="AC31" s="11">
        <v>17240</v>
      </c>
      <c r="AD31" s="25">
        <v>25481</v>
      </c>
      <c r="AE31" s="8">
        <v>7430</v>
      </c>
      <c r="AF31" s="8">
        <v>8492</v>
      </c>
      <c r="AG31" s="8">
        <v>8607</v>
      </c>
      <c r="AH31" s="8">
        <v>7923</v>
      </c>
      <c r="AI31" s="8">
        <v>8719</v>
      </c>
      <c r="AJ31" s="8">
        <v>8959</v>
      </c>
      <c r="AK31" s="8">
        <v>9569</v>
      </c>
    </row>
    <row r="32" spans="1:37" ht="15.75">
      <c r="A32" s="5" t="s">
        <v>35</v>
      </c>
      <c r="B32" s="5" t="s">
        <v>21</v>
      </c>
      <c r="C32" s="8">
        <v>8043</v>
      </c>
      <c r="D32" s="8">
        <v>11881</v>
      </c>
      <c r="E32" s="8">
        <v>13145</v>
      </c>
      <c r="F32" s="8">
        <v>14312</v>
      </c>
      <c r="G32" s="11">
        <v>15645</v>
      </c>
      <c r="H32" s="11">
        <v>17191</v>
      </c>
      <c r="I32" s="25">
        <v>19112</v>
      </c>
      <c r="J32" s="8">
        <v>5362</v>
      </c>
      <c r="K32" s="8">
        <v>7292</v>
      </c>
      <c r="L32" s="8">
        <v>8399</v>
      </c>
      <c r="M32" s="8">
        <v>9029</v>
      </c>
      <c r="N32" s="11">
        <v>9726</v>
      </c>
      <c r="O32" s="11">
        <v>10642</v>
      </c>
      <c r="P32" s="25">
        <v>11575</v>
      </c>
      <c r="Q32" s="8">
        <v>4026</v>
      </c>
      <c r="R32" s="8">
        <v>6306</v>
      </c>
      <c r="S32" s="8">
        <v>7513</v>
      </c>
      <c r="T32" s="11">
        <v>8097</v>
      </c>
      <c r="U32" s="11">
        <v>8449</v>
      </c>
      <c r="V32" s="11">
        <v>9295</v>
      </c>
      <c r="W32" s="25">
        <v>10246</v>
      </c>
      <c r="X32" s="11">
        <v>2277</v>
      </c>
      <c r="Y32" s="11">
        <v>3191</v>
      </c>
      <c r="Z32" s="11">
        <v>3505</v>
      </c>
      <c r="AA32" s="11">
        <v>3773</v>
      </c>
      <c r="AB32" s="11">
        <v>4186</v>
      </c>
      <c r="AC32" s="11">
        <v>4620</v>
      </c>
      <c r="AD32" s="25">
        <v>5754</v>
      </c>
      <c r="AE32" s="8">
        <v>951</v>
      </c>
      <c r="AF32" s="8">
        <v>1531</v>
      </c>
      <c r="AG32" s="8">
        <v>1828</v>
      </c>
      <c r="AH32" s="8">
        <v>2180</v>
      </c>
      <c r="AI32" s="8">
        <v>2288</v>
      </c>
      <c r="AJ32" s="8">
        <v>2433</v>
      </c>
      <c r="AK32" s="8">
        <v>2512</v>
      </c>
    </row>
    <row r="33" spans="1:37" ht="15.75">
      <c r="A33" s="6" t="s">
        <v>7</v>
      </c>
      <c r="B33" s="17" t="s">
        <v>61</v>
      </c>
      <c r="C33" s="8"/>
      <c r="D33" s="8"/>
      <c r="E33" s="8"/>
      <c r="F33" s="8"/>
      <c r="G33" s="11"/>
      <c r="H33" s="11"/>
      <c r="I33" s="5"/>
      <c r="J33" s="8"/>
      <c r="K33" s="8"/>
      <c r="L33" s="8"/>
      <c r="M33" s="8"/>
      <c r="N33" s="11"/>
      <c r="O33" s="11"/>
      <c r="P33" s="5"/>
      <c r="Q33" s="8"/>
      <c r="R33" s="8"/>
      <c r="S33" s="8"/>
      <c r="T33" s="11"/>
      <c r="U33" s="11"/>
      <c r="V33" s="11"/>
      <c r="W33" s="5"/>
      <c r="X33" s="11"/>
      <c r="Y33" s="11"/>
      <c r="Z33" s="11"/>
      <c r="AA33" s="11"/>
      <c r="AB33" s="11"/>
      <c r="AC33" s="11"/>
      <c r="AD33" s="25"/>
      <c r="AE33" s="8"/>
      <c r="AF33" s="8"/>
      <c r="AG33" s="8"/>
      <c r="AH33" s="8"/>
      <c r="AI33" s="8"/>
      <c r="AJ33" s="8"/>
      <c r="AK33" s="8"/>
    </row>
    <row r="34" spans="1:37" ht="15.75">
      <c r="A34" s="5" t="s">
        <v>3</v>
      </c>
      <c r="B34" s="5" t="s">
        <v>62</v>
      </c>
      <c r="C34" s="8">
        <v>289187</v>
      </c>
      <c r="D34" s="8">
        <v>285505</v>
      </c>
      <c r="E34" s="8">
        <v>279457</v>
      </c>
      <c r="F34" s="8">
        <v>273138</v>
      </c>
      <c r="G34" s="11">
        <v>271780</v>
      </c>
      <c r="H34" s="11">
        <v>269036</v>
      </c>
      <c r="I34" s="25">
        <v>267027</v>
      </c>
      <c r="J34" s="9" t="s">
        <v>13</v>
      </c>
      <c r="K34" s="9" t="s">
        <v>13</v>
      </c>
      <c r="L34" s="9" t="s">
        <v>13</v>
      </c>
      <c r="M34" s="9" t="s">
        <v>13</v>
      </c>
      <c r="N34" s="10" t="s">
        <v>13</v>
      </c>
      <c r="O34" s="10" t="s">
        <v>13</v>
      </c>
      <c r="P34" s="26" t="s">
        <v>13</v>
      </c>
      <c r="Q34" s="10" t="s">
        <v>13</v>
      </c>
      <c r="R34" s="10" t="s">
        <v>13</v>
      </c>
      <c r="S34" s="10" t="s">
        <v>13</v>
      </c>
      <c r="T34" s="10" t="s">
        <v>13</v>
      </c>
      <c r="U34" s="10" t="s">
        <v>13</v>
      </c>
      <c r="V34" s="10" t="s">
        <v>13</v>
      </c>
      <c r="W34" s="26" t="s">
        <v>13</v>
      </c>
      <c r="X34" s="11">
        <v>68620</v>
      </c>
      <c r="Y34" s="11">
        <v>67717</v>
      </c>
      <c r="Z34" s="11">
        <v>65426</v>
      </c>
      <c r="AA34" s="11">
        <v>63811</v>
      </c>
      <c r="AB34" s="11">
        <v>62886</v>
      </c>
      <c r="AC34" s="11">
        <v>60843</v>
      </c>
      <c r="AD34" s="25">
        <v>68006</v>
      </c>
      <c r="AE34" s="8">
        <v>25472</v>
      </c>
      <c r="AF34" s="8">
        <v>25639</v>
      </c>
      <c r="AG34" s="8">
        <v>26591</v>
      </c>
      <c r="AH34" s="8">
        <v>25118</v>
      </c>
      <c r="AI34" s="8">
        <v>26324</v>
      </c>
      <c r="AJ34" s="8">
        <v>25962</v>
      </c>
      <c r="AK34" s="8">
        <v>25994</v>
      </c>
    </row>
    <row r="35" spans="1:37" ht="15.75">
      <c r="A35" s="5" t="s">
        <v>4</v>
      </c>
      <c r="B35" s="5" t="s">
        <v>4</v>
      </c>
      <c r="C35" s="8">
        <v>262813</v>
      </c>
      <c r="D35" s="8">
        <v>259495</v>
      </c>
      <c r="E35" s="8">
        <v>253543</v>
      </c>
      <c r="F35" s="8">
        <v>246862</v>
      </c>
      <c r="G35" s="11">
        <v>245220</v>
      </c>
      <c r="H35" s="11">
        <v>243964</v>
      </c>
      <c r="I35" s="25">
        <v>242973</v>
      </c>
      <c r="J35" s="9" t="s">
        <v>13</v>
      </c>
      <c r="K35" s="9" t="s">
        <v>13</v>
      </c>
      <c r="L35" s="9" t="s">
        <v>13</v>
      </c>
      <c r="M35" s="9" t="s">
        <v>13</v>
      </c>
      <c r="N35" s="10" t="s">
        <v>13</v>
      </c>
      <c r="O35" s="10" t="s">
        <v>13</v>
      </c>
      <c r="P35" s="26" t="s">
        <v>13</v>
      </c>
      <c r="Q35" s="10" t="s">
        <v>13</v>
      </c>
      <c r="R35" s="10" t="s">
        <v>13</v>
      </c>
      <c r="S35" s="10" t="s">
        <v>13</v>
      </c>
      <c r="T35" s="10" t="s">
        <v>13</v>
      </c>
      <c r="U35" s="10" t="s">
        <v>13</v>
      </c>
      <c r="V35" s="10" t="s">
        <v>13</v>
      </c>
      <c r="W35" s="26" t="s">
        <v>13</v>
      </c>
      <c r="X35" s="11">
        <v>62380</v>
      </c>
      <c r="Y35" s="11">
        <v>61283</v>
      </c>
      <c r="Z35" s="11">
        <v>58574</v>
      </c>
      <c r="AA35" s="11">
        <v>56189</v>
      </c>
      <c r="AB35" s="11">
        <v>55114</v>
      </c>
      <c r="AC35" s="11">
        <v>53157</v>
      </c>
      <c r="AD35" s="25">
        <v>60994</v>
      </c>
      <c r="AE35" s="8">
        <v>25528</v>
      </c>
      <c r="AF35" s="8">
        <v>25361</v>
      </c>
      <c r="AG35" s="8">
        <v>26409</v>
      </c>
      <c r="AH35" s="8">
        <v>24882</v>
      </c>
      <c r="AI35" s="8">
        <v>25676</v>
      </c>
      <c r="AJ35" s="8">
        <v>25038</v>
      </c>
      <c r="AK35" s="8">
        <v>25006</v>
      </c>
    </row>
    <row r="36" spans="1:34" ht="15.75">
      <c r="A36" s="6" t="s">
        <v>8</v>
      </c>
      <c r="B36" s="17" t="s">
        <v>21</v>
      </c>
      <c r="C36" s="8"/>
      <c r="D36" s="8"/>
      <c r="E36" s="8"/>
      <c r="F36" s="8"/>
      <c r="G36" s="11"/>
      <c r="H36" s="11"/>
      <c r="I36" s="5"/>
      <c r="J36" s="8"/>
      <c r="K36" s="8"/>
      <c r="L36" s="8"/>
      <c r="M36" s="8"/>
      <c r="N36" s="11"/>
      <c r="O36" s="11"/>
      <c r="P36" s="5"/>
      <c r="Q36" s="11"/>
      <c r="R36" s="11"/>
      <c r="S36" s="11"/>
      <c r="T36" s="11"/>
      <c r="U36" s="11"/>
      <c r="V36" s="11"/>
      <c r="W36" s="5"/>
      <c r="X36" s="11"/>
      <c r="Y36" s="11"/>
      <c r="Z36" s="11"/>
      <c r="AA36" s="11"/>
      <c r="AB36" s="11"/>
      <c r="AC36" s="11"/>
      <c r="AD36" s="5"/>
      <c r="AE36" s="8"/>
      <c r="AF36" s="8"/>
      <c r="AG36" s="8"/>
      <c r="AH36" s="8"/>
    </row>
    <row r="37" spans="1:37" ht="15.75">
      <c r="A37" s="5" t="s">
        <v>33</v>
      </c>
      <c r="B37" s="17" t="s">
        <v>21</v>
      </c>
      <c r="C37" s="20">
        <v>32.3</v>
      </c>
      <c r="D37" s="20">
        <v>32.5</v>
      </c>
      <c r="E37" s="20">
        <v>31.7</v>
      </c>
      <c r="F37" s="20">
        <v>31.2</v>
      </c>
      <c r="G37" s="22">
        <v>30</v>
      </c>
      <c r="H37" s="22">
        <v>28.6</v>
      </c>
      <c r="I37" s="5">
        <v>28.3</v>
      </c>
      <c r="J37" s="9" t="s">
        <v>14</v>
      </c>
      <c r="K37" s="9" t="s">
        <v>14</v>
      </c>
      <c r="L37" s="9" t="s">
        <v>14</v>
      </c>
      <c r="M37" s="9" t="s">
        <v>14</v>
      </c>
      <c r="N37" s="9" t="s">
        <v>14</v>
      </c>
      <c r="O37" s="10" t="s">
        <v>14</v>
      </c>
      <c r="P37" s="5">
        <v>8.1</v>
      </c>
      <c r="Q37" s="20">
        <v>22.7</v>
      </c>
      <c r="R37" s="20">
        <v>21.5</v>
      </c>
      <c r="S37" s="20">
        <v>21.7</v>
      </c>
      <c r="T37" s="22">
        <v>21.7</v>
      </c>
      <c r="U37" s="22">
        <v>21.5</v>
      </c>
      <c r="V37" s="22">
        <v>21</v>
      </c>
      <c r="W37" s="5">
        <v>20.9</v>
      </c>
      <c r="X37" s="22">
        <v>43.5</v>
      </c>
      <c r="Y37" s="22">
        <v>43.4</v>
      </c>
      <c r="Z37" s="22">
        <v>43.7</v>
      </c>
      <c r="AA37" s="22">
        <v>44.5</v>
      </c>
      <c r="AB37" s="22">
        <v>43.8</v>
      </c>
      <c r="AC37" s="22">
        <v>41.6</v>
      </c>
      <c r="AD37" s="5">
        <v>39.4</v>
      </c>
      <c r="AE37" s="9" t="s">
        <v>14</v>
      </c>
      <c r="AF37" s="9" t="s">
        <v>14</v>
      </c>
      <c r="AG37" s="9" t="s">
        <v>14</v>
      </c>
      <c r="AH37" s="9" t="s">
        <v>14</v>
      </c>
      <c r="AI37" s="9" t="s">
        <v>14</v>
      </c>
      <c r="AJ37" s="9" t="s">
        <v>14</v>
      </c>
      <c r="AK37" s="27" t="s">
        <v>14</v>
      </c>
    </row>
    <row r="38" spans="1:37" ht="15.75">
      <c r="A38" s="5" t="s">
        <v>34</v>
      </c>
      <c r="B38" s="17" t="s">
        <v>21</v>
      </c>
      <c r="C38" s="20">
        <v>19.8</v>
      </c>
      <c r="D38" s="20">
        <v>19.2</v>
      </c>
      <c r="E38" s="20">
        <v>18.1</v>
      </c>
      <c r="F38" s="20">
        <v>17.6</v>
      </c>
      <c r="G38" s="22">
        <v>16.5</v>
      </c>
      <c r="H38" s="22">
        <v>15.5</v>
      </c>
      <c r="I38" s="5">
        <v>15.5</v>
      </c>
      <c r="J38" s="9" t="s">
        <v>14</v>
      </c>
      <c r="K38" s="9" t="s">
        <v>14</v>
      </c>
      <c r="L38" s="9" t="s">
        <v>14</v>
      </c>
      <c r="M38" s="9" t="s">
        <v>14</v>
      </c>
      <c r="N38" s="9" t="s">
        <v>14</v>
      </c>
      <c r="O38" s="10" t="s">
        <v>14</v>
      </c>
      <c r="P38" s="5">
        <v>7.5</v>
      </c>
      <c r="Q38" s="20">
        <v>12</v>
      </c>
      <c r="R38" s="20">
        <v>11.5</v>
      </c>
      <c r="S38" s="20">
        <v>11.7</v>
      </c>
      <c r="T38" s="22">
        <v>11.9</v>
      </c>
      <c r="U38" s="22">
        <v>11.9</v>
      </c>
      <c r="V38" s="22">
        <v>12</v>
      </c>
      <c r="W38" s="5">
        <v>12.2</v>
      </c>
      <c r="X38" s="22">
        <v>35.1</v>
      </c>
      <c r="Y38" s="22">
        <v>34.3</v>
      </c>
      <c r="Z38" s="22">
        <v>34.4</v>
      </c>
      <c r="AA38" s="22">
        <v>34</v>
      </c>
      <c r="AB38" s="22">
        <v>32.5</v>
      </c>
      <c r="AC38" s="22">
        <v>30.7</v>
      </c>
      <c r="AD38" s="5">
        <v>28.9</v>
      </c>
      <c r="AE38" s="9" t="s">
        <v>14</v>
      </c>
      <c r="AF38" s="9" t="s">
        <v>14</v>
      </c>
      <c r="AG38" s="9" t="s">
        <v>14</v>
      </c>
      <c r="AH38" s="9" t="s">
        <v>14</v>
      </c>
      <c r="AI38" s="9" t="s">
        <v>14</v>
      </c>
      <c r="AJ38" s="9" t="s">
        <v>14</v>
      </c>
      <c r="AK38" s="27" t="s">
        <v>14</v>
      </c>
    </row>
    <row r="39" spans="1:37" ht="15.75">
      <c r="A39" s="7"/>
      <c r="B39" s="17" t="s">
        <v>21</v>
      </c>
      <c r="C39" s="21"/>
      <c r="D39" s="21"/>
      <c r="E39" s="21"/>
      <c r="F39" s="12"/>
      <c r="G39" s="12"/>
      <c r="H39" s="12"/>
      <c r="I39" s="15"/>
      <c r="J39" s="13"/>
      <c r="K39" s="13"/>
      <c r="L39" s="13"/>
      <c r="M39" s="13"/>
      <c r="N39" s="13"/>
      <c r="O39" s="13"/>
      <c r="P39" s="14"/>
      <c r="Q39" s="12"/>
      <c r="R39" s="12"/>
      <c r="S39" s="12"/>
      <c r="T39" s="21"/>
      <c r="U39" s="21"/>
      <c r="V39" s="21"/>
      <c r="W39" s="24"/>
      <c r="X39" s="23"/>
      <c r="Y39" s="21"/>
      <c r="Z39" s="21"/>
      <c r="AA39" s="21"/>
      <c r="AB39" s="21"/>
      <c r="AC39" s="21"/>
      <c r="AD39" s="24"/>
      <c r="AE39" s="12"/>
      <c r="AF39" s="12"/>
      <c r="AG39" s="12"/>
      <c r="AH39" s="12"/>
      <c r="AI39" s="3"/>
      <c r="AJ39" s="3"/>
      <c r="AK39" s="3"/>
    </row>
    <row r="40" ht="15.75">
      <c r="B40" s="8" t="s">
        <v>20</v>
      </c>
    </row>
    <row r="41" spans="1:2" ht="15.75">
      <c r="A41" s="1" t="s">
        <v>32</v>
      </c>
      <c r="B41" s="1" t="s">
        <v>21</v>
      </c>
    </row>
    <row r="42" spans="1:2" ht="15.75">
      <c r="A42" s="1" t="s">
        <v>22</v>
      </c>
      <c r="B42" s="1" t="s">
        <v>27</v>
      </c>
    </row>
    <row r="43" spans="1:2" ht="15.75">
      <c r="A43" s="1" t="s">
        <v>23</v>
      </c>
      <c r="B43" s="1" t="s">
        <v>21</v>
      </c>
    </row>
    <row r="44" ht="15.75">
      <c r="B44" s="1" t="s">
        <v>21</v>
      </c>
    </row>
    <row r="45" spans="1:2" ht="15.75">
      <c r="A45" s="1" t="s">
        <v>19</v>
      </c>
      <c r="B45" s="1" t="s">
        <v>21</v>
      </c>
    </row>
    <row r="46" spans="1:2" ht="15.75">
      <c r="A46" s="1" t="s">
        <v>38</v>
      </c>
      <c r="B46" s="1" t="s">
        <v>21</v>
      </c>
    </row>
    <row r="47" spans="1:2" ht="15.75">
      <c r="A47" s="1" t="s">
        <v>72</v>
      </c>
      <c r="B47" s="1" t="s">
        <v>71</v>
      </c>
    </row>
    <row r="48" spans="1:2" ht="15.75">
      <c r="A48" s="1" t="s">
        <v>73</v>
      </c>
      <c r="B48" s="1" t="s">
        <v>73</v>
      </c>
    </row>
    <row r="49" spans="1:2" ht="15.75">
      <c r="A49" s="1" t="s">
        <v>42</v>
      </c>
      <c r="B49" s="1" t="s">
        <v>42</v>
      </c>
    </row>
    <row r="50" spans="1:2" ht="15.75">
      <c r="A50" s="1" t="s">
        <v>74</v>
      </c>
      <c r="B50" s="1" t="s">
        <v>74</v>
      </c>
    </row>
    <row r="51" spans="1:2" ht="15.75">
      <c r="A51" s="1" t="s">
        <v>52</v>
      </c>
      <c r="B51" s="1" t="s">
        <v>53</v>
      </c>
    </row>
    <row r="52" spans="1:2" ht="15.75">
      <c r="A52" s="1" t="s">
        <v>43</v>
      </c>
      <c r="B52" s="1" t="s">
        <v>50</v>
      </c>
    </row>
    <row r="53" ht="15.75">
      <c r="B53" s="1" t="s">
        <v>21</v>
      </c>
    </row>
    <row r="54" spans="1:2" ht="15.75">
      <c r="A54" s="1" t="s">
        <v>56</v>
      </c>
      <c r="B54" s="1" t="s">
        <v>55</v>
      </c>
    </row>
    <row r="55" spans="1:2" ht="15.75">
      <c r="A55" s="1" t="s">
        <v>16</v>
      </c>
      <c r="B55" s="1" t="s">
        <v>51</v>
      </c>
    </row>
    <row r="57" ht="15.75">
      <c r="A57" s="1" t="s">
        <v>18</v>
      </c>
    </row>
    <row r="58" ht="15.75">
      <c r="A58" s="16" t="s">
        <v>17</v>
      </c>
    </row>
  </sheetData>
  <mergeCells count="41">
    <mergeCell ref="AH17:AH19"/>
    <mergeCell ref="X14:AD16"/>
    <mergeCell ref="AE17:AE19"/>
    <mergeCell ref="AF17:AF19"/>
    <mergeCell ref="X17:X19"/>
    <mergeCell ref="AA17:AA19"/>
    <mergeCell ref="AE14:AK16"/>
    <mergeCell ref="AK17:AK19"/>
    <mergeCell ref="AJ17:AJ19"/>
    <mergeCell ref="F17:F19"/>
    <mergeCell ref="C14:I16"/>
    <mergeCell ref="G17:G19"/>
    <mergeCell ref="J17:J19"/>
    <mergeCell ref="H17:H19"/>
    <mergeCell ref="J14:P16"/>
    <mergeCell ref="N17:N19"/>
    <mergeCell ref="O17:O19"/>
    <mergeCell ref="K17:K19"/>
    <mergeCell ref="L17:L19"/>
    <mergeCell ref="A14:A19"/>
    <mergeCell ref="C17:C19"/>
    <mergeCell ref="D17:D19"/>
    <mergeCell ref="E17:E19"/>
    <mergeCell ref="Q14:W16"/>
    <mergeCell ref="AB17:AB19"/>
    <mergeCell ref="AC17:AC19"/>
    <mergeCell ref="AI17:AI19"/>
    <mergeCell ref="Q17:Q19"/>
    <mergeCell ref="R17:R19"/>
    <mergeCell ref="Y17:Y19"/>
    <mergeCell ref="Z17:Z19"/>
    <mergeCell ref="S17:S19"/>
    <mergeCell ref="AG17:AG19"/>
    <mergeCell ref="I17:I19"/>
    <mergeCell ref="P17:P19"/>
    <mergeCell ref="W17:W19"/>
    <mergeCell ref="AD17:AD19"/>
    <mergeCell ref="M17:M19"/>
    <mergeCell ref="T17:T19"/>
    <mergeCell ref="U17:U19"/>
    <mergeCell ref="V17:V19"/>
  </mergeCells>
  <hyperlinks>
    <hyperlink ref="A58" r:id="rId1" display="http://www.acf.hhs.gov/programs/cb/stats_research/index.htm#afcars"/>
    <hyperlink ref="A7" location="Notes!A1" display="See notes"/>
  </hyperlinks>
  <printOptions/>
  <pageMargins left="0.75" right="0.75" top="1" bottom="1" header="0.5" footer="0.5"/>
  <pageSetup fitToHeight="1" fitToWidth="1" horizontalDpi="600" verticalDpi="600" orientation="landscape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Foster Care and Adoption</dc:title>
  <dc:subject/>
  <dc:creator>US Census Bureau</dc:creator>
  <cp:keywords/>
  <dc:description/>
  <cp:lastModifiedBy>obrie014</cp:lastModifiedBy>
  <cp:lastPrinted>2008-05-19T13:46:51Z</cp:lastPrinted>
  <dcterms:created xsi:type="dcterms:W3CDTF">2006-05-31T13:46:52Z</dcterms:created>
  <dcterms:modified xsi:type="dcterms:W3CDTF">2009-11-24T19:30:41Z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