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able_0K_02" sheetId="1" r:id="rId1"/>
  </sheets>
  <definedNames>
    <definedName name="_xlnm.Print_Area" localSheetId="0">'table_0K_02'!$A$1:$L$45</definedName>
  </definedNames>
  <calcPr fullCalcOnLoad="1"/>
</workbook>
</file>

<file path=xl/sharedStrings.xml><?xml version="1.0" encoding="utf-8"?>
<sst xmlns="http://schemas.openxmlformats.org/spreadsheetml/2006/main" count="62" uniqueCount="54">
  <si>
    <t>1994</t>
  </si>
  <si>
    <t>1995</t>
  </si>
  <si>
    <t>1996</t>
  </si>
  <si>
    <t>1997</t>
  </si>
  <si>
    <t>1999</t>
  </si>
  <si>
    <t>2000</t>
  </si>
  <si>
    <t>2001</t>
  </si>
  <si>
    <t>2002</t>
  </si>
  <si>
    <t>Air</t>
  </si>
  <si>
    <t>Jet fuel</t>
  </si>
  <si>
    <t>Aviation gasoline</t>
  </si>
  <si>
    <t>Highway</t>
  </si>
  <si>
    <t xml:space="preserve">Gasoline, diesel and other fuels </t>
  </si>
  <si>
    <t>Passenger car and motorcycle</t>
  </si>
  <si>
    <t>Other 2-axle 4-tire vehicle</t>
  </si>
  <si>
    <t>Single-unit 2-axle 6-tire or more truck</t>
  </si>
  <si>
    <t>Combination truck</t>
  </si>
  <si>
    <t>Bus</t>
  </si>
  <si>
    <t>Electricity</t>
  </si>
  <si>
    <t>U</t>
  </si>
  <si>
    <t>Motor fuel</t>
  </si>
  <si>
    <t xml:space="preserve">Diesel </t>
  </si>
  <si>
    <t>Compressed natural gas</t>
  </si>
  <si>
    <t>Rail, Class I (in freight service)</t>
  </si>
  <si>
    <t>Distillate / diesel fuel</t>
  </si>
  <si>
    <t>Amtrak</t>
  </si>
  <si>
    <t xml:space="preserve">Water </t>
  </si>
  <si>
    <t>Residual fuel oil</t>
  </si>
  <si>
    <t>Distillate / diesel fuel oil</t>
  </si>
  <si>
    <t xml:space="preserve">Gasoline </t>
  </si>
  <si>
    <t>Pipeline</t>
  </si>
  <si>
    <t>Natural gas</t>
  </si>
  <si>
    <r>
      <t>KEY:</t>
    </r>
    <r>
      <rPr>
        <sz val="10"/>
        <rFont val="Arial"/>
        <family val="2"/>
      </rPr>
      <t xml:space="preserve"> Btu = British thermal unit; N = data do not exist; P = preliminary; R = revised; U = data are unavailable.</t>
    </r>
  </si>
  <si>
    <t>The following conversion rates were used:</t>
  </si>
  <si>
    <t>Jet fuel = 135,000 Btu/gallon</t>
  </si>
  <si>
    <t>Compressed natural gas = 138,700 Btu/gallon</t>
  </si>
  <si>
    <t>Aviation gasoline = 120,200 Btu/gallon</t>
  </si>
  <si>
    <t>Distillate fuel = 138,700 Btu/gallon</t>
  </si>
  <si>
    <t>Automotive gasoline = 125,000 Btu/gallon</t>
  </si>
  <si>
    <t>Residual fuel = 149,700 Btu/gallon</t>
  </si>
  <si>
    <t>Diesel motor fuel = 138,700 Btu/gallon</t>
  </si>
  <si>
    <r>
      <t>Natural gas = 1,031 Btu/ft</t>
    </r>
    <r>
      <rPr>
        <vertAlign val="superscript"/>
        <sz val="10"/>
        <rFont val="Arial"/>
        <family val="2"/>
      </rPr>
      <t>3</t>
    </r>
  </si>
  <si>
    <t>Electricity  1kWh = 3,412 Btu, negating electrical system losses. To include approximate electrical system losses, multiply this conversion factor by 3.</t>
  </si>
  <si>
    <t>Certificated carriers</t>
  </si>
  <si>
    <t>General aviation</t>
  </si>
  <si>
    <t>Transit</t>
  </si>
  <si>
    <t>Gasoline and other nondiesel fuels</t>
  </si>
  <si>
    <r>
      <t>NOTES: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Certificated carriers</t>
    </r>
    <r>
      <rPr>
        <sz val="10"/>
        <rFont val="Arial"/>
        <family val="2"/>
      </rPr>
      <t xml:space="preserve"> are domestic operations only. </t>
    </r>
    <r>
      <rPr>
        <i/>
        <sz val="10"/>
        <rFont val="Arial"/>
        <family val="2"/>
      </rPr>
      <t>General aviation</t>
    </r>
    <r>
      <rPr>
        <sz val="10"/>
        <rFont val="Arial"/>
        <family val="2"/>
      </rPr>
      <t xml:space="preserve"> includes fuel used in air taxi operations, but not commuter operations.</t>
    </r>
  </si>
  <si>
    <t>Trillion btu</t>
  </si>
  <si>
    <t>TABLE K-2 Energy Consumption by Mode of Transportation: 1994–2004</t>
  </si>
  <si>
    <r>
      <t xml:space="preserve">
SOURCE:</t>
    </r>
    <r>
      <rPr>
        <sz val="10"/>
        <rFont val="Arial"/>
        <family val="2"/>
      </rPr>
      <t xml:space="preserve"> Various sources, as cited in 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>, table 4-6, available at http://www.bts.gov/, as of October 2006.</t>
    </r>
  </si>
  <si>
    <t>1998</t>
  </si>
  <si>
    <t>2003</t>
  </si>
  <si>
    <t>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</si>
</sst>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[$-409]h:mm:ss\ AM/PM"/>
    <numFmt numFmtId="177" formatCode="[$-409]dddd\,\ mmmm\ dd\,\ yyyy"/>
    <numFmt numFmtId="178" formatCode="#,##0.0_);[Red]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(R)&quot;\ #,##0;&quot;(R) -&quot;#,##0;&quot;(R) &quot;\ 0"/>
  </numFmts>
  <fonts count="12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b/>
      <sz val="8"/>
      <name val="Helv"/>
      <family val="0"/>
    </font>
    <font>
      <vertAlign val="superscript"/>
      <sz val="10"/>
      <name val="Arial"/>
      <family val="2"/>
    </font>
    <font>
      <sz val="9"/>
      <name val="Helv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165" fontId="10" fillId="0" borderId="1">
      <alignment horizontal="right" vertical="center"/>
      <protection/>
    </xf>
    <xf numFmtId="0" fontId="2" fillId="0" borderId="1">
      <alignment horizontal="left"/>
      <protection/>
    </xf>
    <xf numFmtId="0" fontId="3" fillId="0" borderId="1">
      <alignment horizontal="left" vertical="center"/>
      <protection/>
    </xf>
    <xf numFmtId="0" fontId="2" fillId="0" borderId="1" applyFill="0">
      <alignment horizontal="left"/>
      <protection/>
    </xf>
    <xf numFmtId="0" fontId="8" fillId="0" borderId="1">
      <alignment horizontal="left" vertical="center"/>
      <protection/>
    </xf>
    <xf numFmtId="0" fontId="2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3" fillId="0" borderId="0">
      <alignment horizontal="left"/>
      <protection/>
    </xf>
    <xf numFmtId="49" fontId="4" fillId="0" borderId="1">
      <alignment horizontal="left" vertical="center"/>
      <protection/>
    </xf>
    <xf numFmtId="0" fontId="5" fillId="0" borderId="0">
      <alignment horizontal="left" vertical="top"/>
      <protection/>
    </xf>
    <xf numFmtId="0" fontId="6" fillId="0" borderId="0">
      <alignment horizontal="left"/>
      <protection/>
    </xf>
  </cellStyleXfs>
  <cellXfs count="46">
    <xf numFmtId="0" fontId="0" fillId="0" borderId="0" xfId="0" applyAlignment="1">
      <alignment/>
    </xf>
    <xf numFmtId="0" fontId="7" fillId="0" borderId="2" xfId="25" applyFont="1" applyFill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left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19" applyFont="1" applyFill="1" applyBorder="1" applyAlignment="1">
      <alignment horizontal="right"/>
      <protection/>
    </xf>
    <xf numFmtId="49" fontId="9" fillId="0" borderId="0" xfId="29" applyFont="1" applyFill="1" applyBorder="1" applyAlignment="1">
      <alignment horizontal="left"/>
      <protection/>
    </xf>
    <xf numFmtId="0" fontId="0" fillId="0" borderId="0" xfId="22" applyFont="1" applyFill="1" applyBorder="1" applyAlignment="1">
      <alignment horizontal="left"/>
      <protection/>
    </xf>
    <xf numFmtId="49" fontId="9" fillId="0" borderId="0" xfId="29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22" applyFont="1" applyFill="1" applyBorder="1" applyAlignment="1">
      <alignment horizontal="left" indent="1"/>
      <protection/>
    </xf>
    <xf numFmtId="1" fontId="0" fillId="0" borderId="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 indent="1"/>
      <protection/>
    </xf>
    <xf numFmtId="3" fontId="0" fillId="0" borderId="0" xfId="29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28" applyFont="1" applyFill="1" applyAlignment="1">
      <alignment horizontal="left"/>
      <protection/>
    </xf>
    <xf numFmtId="0" fontId="9" fillId="0" borderId="0" xfId="28" applyFont="1" applyFill="1" applyAlignment="1">
      <alignment horizontal="left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4" applyFont="1" applyFill="1" applyBorder="1" applyAlignment="1">
      <alignment horizontal="left"/>
      <protection/>
    </xf>
    <xf numFmtId="0" fontId="7" fillId="0" borderId="0" xfId="28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3" fontId="0" fillId="0" borderId="2" xfId="19" applyNumberFormat="1" applyFont="1" applyFill="1" applyBorder="1" applyAlignment="1">
      <alignment horizontal="right"/>
      <protection/>
    </xf>
    <xf numFmtId="3" fontId="0" fillId="0" borderId="2" xfId="19" applyFont="1" applyFill="1" applyBorder="1" applyAlignment="1">
      <alignment horizontal="right"/>
      <protection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0" xfId="28" applyFont="1" applyFill="1" applyAlignment="1">
      <alignment horizontal="left" wrapText="1"/>
      <protection/>
    </xf>
    <xf numFmtId="49" fontId="7" fillId="0" borderId="2" xfId="25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0" xfId="28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28" applyFont="1" applyFill="1" applyAlignment="1">
      <alignment horizontal="left" vertical="top" wrapText="1"/>
      <protection/>
    </xf>
    <xf numFmtId="0" fontId="0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24" applyFont="1" applyFill="1" applyBorder="1" applyAlignment="1">
      <alignment horizontal="left" vertical="top" wrapText="1"/>
      <protection/>
    </xf>
    <xf numFmtId="0" fontId="7" fillId="0" borderId="0" xfId="28" applyFont="1" applyFill="1" applyBorder="1" applyAlignment="1">
      <alignment horizontal="left" wrapText="1"/>
      <protection/>
    </xf>
    <xf numFmtId="0" fontId="9" fillId="0" borderId="0" xfId="28" applyFont="1" applyFill="1" applyBorder="1" applyAlignment="1">
      <alignment horizontal="left" wrapText="1"/>
      <protection/>
    </xf>
    <xf numFmtId="0" fontId="7" fillId="0" borderId="0" xfId="28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_Regular" xfId="20"/>
    <cellStyle name="Hed Side" xfId="21"/>
    <cellStyle name="Hed Side Regular_Regular" xfId="22"/>
    <cellStyle name="Hed Side_Regular" xfId="23"/>
    <cellStyle name="Hed Side_Regular_1" xfId="24"/>
    <cellStyle name="Hed Top" xfId="25"/>
    <cellStyle name="Percent" xfId="26"/>
    <cellStyle name="Source Superscript" xfId="27"/>
    <cellStyle name="Source Text" xfId="28"/>
    <cellStyle name="Superscript" xfId="29"/>
    <cellStyle name="Title-1" xfId="30"/>
    <cellStyle name="Title-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4.57421875" style="0" customWidth="1"/>
    <col min="2" max="12" width="8.28125" style="0" customWidth="1"/>
  </cols>
  <sheetData>
    <row r="1" spans="1:12" ht="20.25" customHeight="1">
      <c r="A1" s="4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customHeight="1">
      <c r="A3" s="1"/>
      <c r="B3" s="29" t="s">
        <v>0</v>
      </c>
      <c r="C3" s="29" t="s">
        <v>1</v>
      </c>
      <c r="D3" s="29" t="s">
        <v>2</v>
      </c>
      <c r="E3" s="29" t="s">
        <v>3</v>
      </c>
      <c r="F3" s="29" t="s">
        <v>51</v>
      </c>
      <c r="G3" s="29" t="s">
        <v>4</v>
      </c>
      <c r="H3" s="29" t="s">
        <v>5</v>
      </c>
      <c r="I3" s="29" t="s">
        <v>6</v>
      </c>
      <c r="J3" s="29" t="s">
        <v>7</v>
      </c>
      <c r="K3" s="29" t="s">
        <v>52</v>
      </c>
      <c r="L3" s="29" t="s">
        <v>53</v>
      </c>
    </row>
    <row r="4" spans="1:13" ht="14.25">
      <c r="A4" s="2" t="s">
        <v>8</v>
      </c>
      <c r="B4" s="3"/>
      <c r="C4" s="4"/>
      <c r="D4" s="4"/>
      <c r="E4" s="4"/>
      <c r="F4" s="4"/>
      <c r="G4" s="3"/>
      <c r="H4" s="3"/>
      <c r="I4" s="3"/>
      <c r="J4" s="3"/>
      <c r="K4" s="3"/>
      <c r="L4" s="5"/>
      <c r="M4" s="30"/>
    </row>
    <row r="5" spans="1:14" ht="14.25">
      <c r="A5" s="6" t="s">
        <v>43</v>
      </c>
      <c r="B5" s="3"/>
      <c r="C5" s="4"/>
      <c r="D5" s="4"/>
      <c r="E5" s="4"/>
      <c r="F5" s="4"/>
      <c r="G5" s="3"/>
      <c r="H5" s="3"/>
      <c r="I5" s="3"/>
      <c r="J5" s="3"/>
      <c r="K5" s="3"/>
      <c r="L5" s="7"/>
      <c r="M5" s="30"/>
      <c r="N5" s="30">
        <f>SUM(B6:B33)</f>
        <v>22283.571312175</v>
      </c>
    </row>
    <row r="6" spans="1:12" ht="12.75">
      <c r="A6" s="9" t="s">
        <v>9</v>
      </c>
      <c r="B6" s="3">
        <f>12384325825*135000/10^12</f>
        <v>1671.883986375</v>
      </c>
      <c r="C6" s="3">
        <f>12671541990*135000/10^12</f>
        <v>1710.65816865</v>
      </c>
      <c r="D6" s="3">
        <f>13217276114*135000/10^12</f>
        <v>1784.33227539</v>
      </c>
      <c r="E6" s="19">
        <f>13562837885*135000/10^12</f>
        <v>1830.983114475</v>
      </c>
      <c r="F6" s="3">
        <f>13335267666*135000/10^12</f>
        <v>1800.26113491</v>
      </c>
      <c r="G6" s="3">
        <f>14402126792*135000/10^12</f>
        <v>1944.28711692</v>
      </c>
      <c r="H6" s="3">
        <f>14844591570*135000/10^12</f>
        <v>2004.01986195</v>
      </c>
      <c r="I6" s="3">
        <f>14017461188*135000/10^12</f>
        <v>1892.35726038</v>
      </c>
      <c r="J6" s="3">
        <f>12848329067*135000/10^12</f>
        <v>1734.524424045</v>
      </c>
      <c r="K6" s="20">
        <f>12958580565*135000/10^12</f>
        <v>1749.408376275</v>
      </c>
      <c r="L6" s="30">
        <v>1839</v>
      </c>
    </row>
    <row r="7" spans="1:12" ht="14.25">
      <c r="A7" s="6" t="s">
        <v>44</v>
      </c>
      <c r="B7" s="3"/>
      <c r="C7" s="3"/>
      <c r="D7" s="3"/>
      <c r="E7" s="3"/>
      <c r="F7" s="3"/>
      <c r="G7" s="8"/>
      <c r="H7" s="3"/>
      <c r="I7" s="3"/>
      <c r="J7" s="3"/>
      <c r="K7" s="7"/>
      <c r="L7" s="30"/>
    </row>
    <row r="8" spans="1:12" ht="12.75">
      <c r="A8" s="9" t="s">
        <v>10</v>
      </c>
      <c r="B8" s="4">
        <f>266.1*120200/10^6</f>
        <v>31.985220000000005</v>
      </c>
      <c r="C8" s="4">
        <f>287.3*120200/10^6</f>
        <v>34.53346</v>
      </c>
      <c r="D8" s="4">
        <f>288.5*120200/10^6</f>
        <v>34.6777</v>
      </c>
      <c r="E8" s="4">
        <f>292.2*120200/10^6</f>
        <v>35.12244</v>
      </c>
      <c r="F8" s="3">
        <f>311.3*120200/10^6</f>
        <v>37.41826</v>
      </c>
      <c r="G8" s="3">
        <f>345.4*120200/10^6</f>
        <v>41.51708</v>
      </c>
      <c r="H8" s="10">
        <f>332.7*120200/10^6</f>
        <v>39.99054</v>
      </c>
      <c r="I8" s="10">
        <f>275.2*120200/10^6</f>
        <v>33.07904</v>
      </c>
      <c r="J8" s="3">
        <f>277.9*120200/10^6</f>
        <v>33.40358</v>
      </c>
      <c r="K8" s="3">
        <f>276.4*120200/10^6</f>
        <v>33.223279999999995</v>
      </c>
      <c r="L8" s="30">
        <v>33</v>
      </c>
    </row>
    <row r="9" spans="1:12" ht="12.75">
      <c r="A9" s="9" t="s">
        <v>9</v>
      </c>
      <c r="B9" s="4">
        <f>464.4*135000/10^6</f>
        <v>62.694</v>
      </c>
      <c r="C9" s="4">
        <f>559.8*135000/10^6</f>
        <v>75.573</v>
      </c>
      <c r="D9" s="4">
        <f>607.7*135000/10^6</f>
        <v>82.0395</v>
      </c>
      <c r="E9" s="4">
        <f>642*135000/10^6</f>
        <v>86.67</v>
      </c>
      <c r="F9" s="3">
        <f>814.7*135000/10^6</f>
        <v>109.9845</v>
      </c>
      <c r="G9" s="3">
        <f>967.3*135000/10^6</f>
        <v>130.5855</v>
      </c>
      <c r="H9" s="10">
        <f>972*135000/10^6</f>
        <v>131.22</v>
      </c>
      <c r="I9" s="10">
        <f>952.8*135000/10^6</f>
        <v>128.628</v>
      </c>
      <c r="J9" s="3">
        <f>984.3*135000/10^6</f>
        <v>132.8805</v>
      </c>
      <c r="K9" s="3">
        <v>132</v>
      </c>
      <c r="L9" s="30">
        <v>137</v>
      </c>
    </row>
    <row r="10" spans="1:12" ht="14.25">
      <c r="A10" s="2" t="s">
        <v>11</v>
      </c>
      <c r="B10" s="4"/>
      <c r="C10" s="4"/>
      <c r="D10" s="4"/>
      <c r="E10" s="4"/>
      <c r="F10" s="3"/>
      <c r="G10" s="3"/>
      <c r="H10" s="3"/>
      <c r="I10" s="3"/>
      <c r="J10" s="3"/>
      <c r="K10" s="7"/>
      <c r="L10" s="30"/>
    </row>
    <row r="11" spans="1:12" ht="14.25">
      <c r="A11" s="6" t="s">
        <v>12</v>
      </c>
      <c r="B11" s="4"/>
      <c r="C11" s="4"/>
      <c r="D11" s="4"/>
      <c r="E11" s="4"/>
      <c r="F11" s="3"/>
      <c r="G11" s="3"/>
      <c r="H11" s="3"/>
      <c r="I11" s="3"/>
      <c r="J11" s="3"/>
      <c r="K11" s="7"/>
      <c r="L11" s="30"/>
    </row>
    <row r="12" spans="1:12" ht="12.75">
      <c r="A12" s="9" t="s">
        <v>13</v>
      </c>
      <c r="B12" s="4">
        <f>68079*125000/10^6</f>
        <v>8509.875</v>
      </c>
      <c r="C12" s="4">
        <f>(68072435+196046)*125000/10^9</f>
        <v>8533.560125</v>
      </c>
      <c r="D12" s="4">
        <f>(69221022+198400)*125000/10^9</f>
        <v>8677.42775</v>
      </c>
      <c r="E12" s="4">
        <f>(69892366+201620)*125000/10^9</f>
        <v>8761.74825</v>
      </c>
      <c r="F12" s="4">
        <f>(71695279+205660)*125000/10^9</f>
        <v>8987.617375</v>
      </c>
      <c r="G12" s="3">
        <f>(73282927+211680)*125000/10^9</f>
        <v>9186.825875</v>
      </c>
      <c r="H12" s="3">
        <f>((73065208+209380)*125000)/(10^9)</f>
        <v>9159.3235</v>
      </c>
      <c r="I12" s="3">
        <f>((73558790+192780)*125000)/(10^9)</f>
        <v>9218.94625</v>
      </c>
      <c r="J12" s="20">
        <f>((75471258+191040)*125000)/(10^9)</f>
        <v>9457.78725</v>
      </c>
      <c r="K12" s="20">
        <v>9456</v>
      </c>
      <c r="L12" s="30">
        <v>9526</v>
      </c>
    </row>
    <row r="13" spans="1:12" ht="12.75">
      <c r="A13" s="9" t="s">
        <v>14</v>
      </c>
      <c r="B13" s="4">
        <f>44112*125000/10^6</f>
        <v>5514</v>
      </c>
      <c r="C13" s="4">
        <f>45604504*125000/10^9</f>
        <v>5700.563</v>
      </c>
      <c r="D13" s="4">
        <f>47354029*125000/10^9</f>
        <v>5919.253625</v>
      </c>
      <c r="E13" s="4">
        <f>49387705*125000/10^9</f>
        <v>6173.463125</v>
      </c>
      <c r="F13" s="4">
        <f>50462250*125000/10^9</f>
        <v>6307.78125</v>
      </c>
      <c r="G13" s="3">
        <f>52859068*125000/10^9</f>
        <v>6607.3835</v>
      </c>
      <c r="H13" s="3">
        <f>52938805*125000/10^9</f>
        <v>6617.350625</v>
      </c>
      <c r="I13" s="3">
        <f>53521781*125000/10^9</f>
        <v>6690.222625</v>
      </c>
      <c r="J13" s="20">
        <f>55220108*125000/10^9</f>
        <v>6902.5135</v>
      </c>
      <c r="K13" s="20">
        <v>7595</v>
      </c>
      <c r="L13" s="30">
        <v>7828</v>
      </c>
    </row>
    <row r="14" spans="1:12" ht="12.75">
      <c r="A14" s="9" t="s">
        <v>15</v>
      </c>
      <c r="B14" s="4">
        <f>9032*138700/10^6</f>
        <v>1252.7384</v>
      </c>
      <c r="C14" s="4">
        <f>9216070*138700/10^9</f>
        <v>1278.268909</v>
      </c>
      <c r="D14" s="4">
        <f>9408887*138700/10^9</f>
        <v>1305.0126269</v>
      </c>
      <c r="E14" s="4">
        <f>9576059*138700/10^9</f>
        <v>1328.1993833</v>
      </c>
      <c r="F14" s="4">
        <f>6817489*138700/10^9</f>
        <v>945.5857243</v>
      </c>
      <c r="G14" s="3">
        <f>9372071*138700/10^9</f>
        <v>1299.9062477</v>
      </c>
      <c r="H14" s="3">
        <f>9563044*138700/10^9</f>
        <v>1326.3942028</v>
      </c>
      <c r="I14" s="3">
        <f>9667248*138700/10^9</f>
        <v>1340.8472976</v>
      </c>
      <c r="J14" s="20">
        <f>10320611*125000/10^9</f>
        <v>1290.076375</v>
      </c>
      <c r="K14" s="20">
        <v>1110</v>
      </c>
      <c r="L14" s="30">
        <v>1158</v>
      </c>
    </row>
    <row r="15" spans="1:12" ht="12.75">
      <c r="A15" s="9" t="s">
        <v>16</v>
      </c>
      <c r="B15" s="4">
        <f>18653*138700/10^6</f>
        <v>2587.1711</v>
      </c>
      <c r="C15" s="4">
        <f>19777180*138700/10^9</f>
        <v>2743.094866</v>
      </c>
      <c r="D15" s="4">
        <f>20192513*138700/10^9</f>
        <v>2800.7015531</v>
      </c>
      <c r="E15" s="4">
        <f>20301693*138700/10^9</f>
        <v>2815.8448191</v>
      </c>
      <c r="F15" s="4">
        <f>25157972*138700/10^9</f>
        <v>3489.4107164</v>
      </c>
      <c r="G15" s="3">
        <f>24537320*138700/10^9</f>
        <v>3403.326284</v>
      </c>
      <c r="H15" s="3">
        <f>25665693*138700/10^9</f>
        <v>3559.8316191</v>
      </c>
      <c r="I15" s="3">
        <f>25511844*138700/10^9</f>
        <v>3538.4927628</v>
      </c>
      <c r="J15" s="20">
        <f>26479630*138700/10^9</f>
        <v>3672.724681</v>
      </c>
      <c r="K15" s="20">
        <v>3303</v>
      </c>
      <c r="L15" s="30">
        <v>3427</v>
      </c>
    </row>
    <row r="16" spans="1:12" ht="12.75">
      <c r="A16" s="9" t="s">
        <v>17</v>
      </c>
      <c r="B16" s="4">
        <f>964*138700/10^6</f>
        <v>133.7068</v>
      </c>
      <c r="C16" s="4">
        <f>967653*138700/10^9</f>
        <v>134.2134711</v>
      </c>
      <c r="D16" s="4">
        <f>989934*138700/10^9</f>
        <v>137.3038458</v>
      </c>
      <c r="E16" s="4">
        <f>1026578*138700/10^9</f>
        <v>142.3863686</v>
      </c>
      <c r="F16" s="4">
        <f>1040335*138700/10^9</f>
        <v>144.2944645</v>
      </c>
      <c r="G16" s="3">
        <f>1148307*138700/10^9</f>
        <v>159.2701809</v>
      </c>
      <c r="H16" s="3">
        <f>1112034*138700/10^9</f>
        <v>154.2391158</v>
      </c>
      <c r="I16" s="3">
        <f>1025899*138700/10^9</f>
        <v>142.2921913</v>
      </c>
      <c r="J16" s="20">
        <f>999563*138700/10^9</f>
        <v>138.6393881</v>
      </c>
      <c r="K16" s="20">
        <v>134</v>
      </c>
      <c r="L16" s="30">
        <v>132</v>
      </c>
    </row>
    <row r="17" spans="1:12" ht="14.25">
      <c r="A17" s="2" t="s">
        <v>45</v>
      </c>
      <c r="B17" s="4"/>
      <c r="C17" s="4"/>
      <c r="D17" s="4"/>
      <c r="E17" s="4"/>
      <c r="F17" s="11"/>
      <c r="G17" s="3"/>
      <c r="H17" s="3"/>
      <c r="I17" s="3"/>
      <c r="J17" s="3"/>
      <c r="K17" s="7"/>
      <c r="L17" s="30"/>
    </row>
    <row r="18" spans="1:12" ht="12.75">
      <c r="A18" s="6" t="s">
        <v>18</v>
      </c>
      <c r="B18" s="4">
        <f>5081*3412/10^6</f>
        <v>17.336372</v>
      </c>
      <c r="C18" s="4">
        <f>5068*3412/10^6</f>
        <v>17.292016</v>
      </c>
      <c r="D18" s="4">
        <f>5007*3412/10^6</f>
        <v>17.083884</v>
      </c>
      <c r="E18" s="4">
        <f>4988*3412/10^6</f>
        <v>17.019056</v>
      </c>
      <c r="F18" s="4">
        <f>5073*3412/10^6</f>
        <v>17.309076</v>
      </c>
      <c r="G18" s="4">
        <f>5237*3412/10^6</f>
        <v>17.868644</v>
      </c>
      <c r="H18" s="4">
        <f>(5510*3412)/(10^6)</f>
        <v>18.80012</v>
      </c>
      <c r="I18" s="4">
        <f>(5610*3412)/(10^6)</f>
        <v>19.14132</v>
      </c>
      <c r="J18" s="3">
        <f>(5649*3412)/(10^6)</f>
        <v>19.274388</v>
      </c>
      <c r="K18" s="3">
        <v>19</v>
      </c>
      <c r="L18" s="30">
        <v>20</v>
      </c>
    </row>
    <row r="19" spans="1:12" ht="14.25">
      <c r="A19" s="6" t="s">
        <v>20</v>
      </c>
      <c r="B19" s="4"/>
      <c r="C19" s="4"/>
      <c r="D19" s="4"/>
      <c r="E19" s="4"/>
      <c r="F19" s="4"/>
      <c r="G19" s="4"/>
      <c r="H19" s="4"/>
      <c r="I19" s="3"/>
      <c r="J19" s="3"/>
      <c r="K19" s="7"/>
      <c r="L19" s="30"/>
    </row>
    <row r="20" spans="1:12" ht="12.75">
      <c r="A20" s="9" t="s">
        <v>21</v>
      </c>
      <c r="B20" s="3">
        <f>678226*138700/10^9</f>
        <v>94.0699462</v>
      </c>
      <c r="C20" s="4">
        <f>678286*138700/10^9</f>
        <v>94.0782682</v>
      </c>
      <c r="D20" s="4">
        <f>692714*138700/10^9</f>
        <v>96.0794318</v>
      </c>
      <c r="E20" s="4">
        <f>716952*138700/10^9</f>
        <v>99.4412424</v>
      </c>
      <c r="F20" s="4">
        <f>739621*138700/10^9</f>
        <v>102.5854327</v>
      </c>
      <c r="G20" s="4">
        <f>763369*138700/10^9</f>
        <v>105.8792803</v>
      </c>
      <c r="H20" s="4">
        <f>786025*138700/10^9</f>
        <v>109.0216675</v>
      </c>
      <c r="I20" s="4">
        <f>744663*138700/10^9</f>
        <v>103.2847581</v>
      </c>
      <c r="J20" s="3">
        <f>724535*138700/10^9</f>
        <v>100.4930045</v>
      </c>
      <c r="K20" s="3">
        <v>99</v>
      </c>
      <c r="L20" s="30">
        <v>101</v>
      </c>
    </row>
    <row r="21" spans="1:12" ht="12.75">
      <c r="A21" s="12" t="s">
        <v>46</v>
      </c>
      <c r="B21" s="3">
        <f>(64838-4835)*125000/10^9</f>
        <v>7.500375</v>
      </c>
      <c r="C21" s="3">
        <f>(71470-10740)*125000/10^9</f>
        <v>7.59125</v>
      </c>
      <c r="D21" s="3">
        <f>(76305-15092)*125000/10^9</f>
        <v>7.651625</v>
      </c>
      <c r="E21" s="3">
        <f>(83369-23906)*125000/10^9</f>
        <v>7.432875</v>
      </c>
      <c r="F21" s="3">
        <f>(89883-37268)*125000/10^9</f>
        <v>6.576875</v>
      </c>
      <c r="G21" s="3">
        <f>(93092-44398)*125000/10^9</f>
        <v>6.08675</v>
      </c>
      <c r="H21" s="3">
        <f>(103078-54794)*125000/10^9</f>
        <v>6.0355</v>
      </c>
      <c r="I21" s="3">
        <f>(112088-66215)*125000/10^9</f>
        <v>5.734125</v>
      </c>
      <c r="J21" s="3">
        <f>(138175-81051)*125000/10^9</f>
        <v>7.1405</v>
      </c>
      <c r="K21" s="3">
        <v>6</v>
      </c>
      <c r="L21" s="30">
        <v>7</v>
      </c>
    </row>
    <row r="22" spans="1:12" ht="12.75">
      <c r="A22" s="9" t="s">
        <v>22</v>
      </c>
      <c r="B22" s="3">
        <f>4835*138700/10^9</f>
        <v>0.6706145</v>
      </c>
      <c r="C22" s="4">
        <f>10740*138700/10^9</f>
        <v>1.489638</v>
      </c>
      <c r="D22" s="3">
        <f>15092*138700/10^9</f>
        <v>2.0932604</v>
      </c>
      <c r="E22" s="3">
        <f>23906*138700/10^9</f>
        <v>3.3157622</v>
      </c>
      <c r="F22" s="3">
        <f>37268*138700/10^9</f>
        <v>5.1690716</v>
      </c>
      <c r="G22" s="3">
        <f>44398*138700/10^9</f>
        <v>6.1580026</v>
      </c>
      <c r="H22" s="3">
        <f>54794*138700/10^9</f>
        <v>7.5999278</v>
      </c>
      <c r="I22" s="3">
        <f>66215*138700/10^9</f>
        <v>9.1840205</v>
      </c>
      <c r="J22" s="3">
        <f>81051*138700/10^9</f>
        <v>11.2417737</v>
      </c>
      <c r="K22" s="3">
        <v>14</v>
      </c>
      <c r="L22" s="30">
        <v>16</v>
      </c>
    </row>
    <row r="23" spans="1:12" ht="14.25">
      <c r="A23" s="2" t="s">
        <v>23</v>
      </c>
      <c r="B23" s="3"/>
      <c r="C23" s="3"/>
      <c r="D23" s="3"/>
      <c r="E23" s="3"/>
      <c r="F23" s="3"/>
      <c r="G23" s="3"/>
      <c r="H23" s="3"/>
      <c r="I23" s="3"/>
      <c r="J23" s="3"/>
      <c r="K23" s="7"/>
      <c r="L23" s="30"/>
    </row>
    <row r="24" spans="1:12" ht="12.75">
      <c r="A24" s="21" t="s">
        <v>24</v>
      </c>
      <c r="B24" s="4">
        <f>3334*138700/10^6</f>
        <v>462.4258</v>
      </c>
      <c r="C24" s="4">
        <f>3480*138700/10^6</f>
        <v>482.676</v>
      </c>
      <c r="D24" s="4">
        <f>3579*138700/10^6</f>
        <v>496.4073</v>
      </c>
      <c r="E24" s="4">
        <f>3575*138700/10^6</f>
        <v>495.8525</v>
      </c>
      <c r="F24" s="3">
        <f>3583*138700/10^6</f>
        <v>496.9621</v>
      </c>
      <c r="G24" s="3">
        <f>3715*138700/10^6</f>
        <v>515.2705</v>
      </c>
      <c r="H24" s="3">
        <f>3700*138700/10^6</f>
        <v>513.19</v>
      </c>
      <c r="I24" s="3">
        <f>3710*138700/10^6</f>
        <v>514.577</v>
      </c>
      <c r="J24" s="3">
        <f>3730*138700/10^6</f>
        <v>517.351</v>
      </c>
      <c r="K24" s="3">
        <f>3826*138700/10^6</f>
        <v>530.6662</v>
      </c>
      <c r="L24" s="30">
        <v>563</v>
      </c>
    </row>
    <row r="25" spans="1:12" ht="12.75">
      <c r="A25" s="2" t="s">
        <v>25</v>
      </c>
      <c r="B25" s="4"/>
      <c r="C25" s="4"/>
      <c r="D25" s="4"/>
      <c r="E25" s="4"/>
      <c r="F25" s="3"/>
      <c r="G25" s="3"/>
      <c r="H25" s="3"/>
      <c r="I25" s="3"/>
      <c r="J25" s="3"/>
      <c r="K25" s="3"/>
      <c r="L25" s="30"/>
    </row>
    <row r="26" spans="1:12" ht="12.75">
      <c r="A26" s="6" t="s">
        <v>18</v>
      </c>
      <c r="B26" s="13">
        <v>1.054308</v>
      </c>
      <c r="C26" s="13">
        <v>1.037248</v>
      </c>
      <c r="D26" s="13">
        <v>0.999716</v>
      </c>
      <c r="E26" s="13">
        <v>0.962184</v>
      </c>
      <c r="F26" s="3">
        <v>1</v>
      </c>
      <c r="G26" s="3">
        <f>283*3412/10^6</f>
        <v>0.965596</v>
      </c>
      <c r="H26" s="3">
        <f>350*3412/10^6</f>
        <v>1.1942</v>
      </c>
      <c r="I26" s="3">
        <f>376.609508242*3412/10^6</f>
        <v>1.284991642121704</v>
      </c>
      <c r="J26" s="3" t="s">
        <v>19</v>
      </c>
      <c r="K26" s="3" t="s">
        <v>19</v>
      </c>
      <c r="L26" s="3" t="s">
        <v>19</v>
      </c>
    </row>
    <row r="27" spans="1:12" ht="12.75">
      <c r="A27" s="6" t="s">
        <v>24</v>
      </c>
      <c r="B27" s="4">
        <v>10.4025</v>
      </c>
      <c r="C27" s="4">
        <v>9.1542</v>
      </c>
      <c r="D27" s="4">
        <v>9.8477</v>
      </c>
      <c r="E27" s="4">
        <v>10.4025</v>
      </c>
      <c r="F27" s="3">
        <v>10</v>
      </c>
      <c r="G27" s="3">
        <f>74*138700/10^6</f>
        <v>10.2638</v>
      </c>
      <c r="H27" s="3">
        <f>76*138700/10^6</f>
        <v>10.5412</v>
      </c>
      <c r="I27" s="3">
        <f>74.884667*138700/10^6</f>
        <v>10.386503312899999</v>
      </c>
      <c r="J27" s="3" t="s">
        <v>19</v>
      </c>
      <c r="K27" s="3" t="s">
        <v>19</v>
      </c>
      <c r="L27" s="3" t="s">
        <v>19</v>
      </c>
    </row>
    <row r="28" spans="1:12" ht="14.25">
      <c r="A28" s="2" t="s">
        <v>26</v>
      </c>
      <c r="B28" s="4"/>
      <c r="C28" s="4"/>
      <c r="D28" s="4"/>
      <c r="E28" s="4"/>
      <c r="F28" s="3"/>
      <c r="G28" s="3"/>
      <c r="H28" s="3"/>
      <c r="I28" s="3"/>
      <c r="J28" s="3"/>
      <c r="K28" s="7"/>
      <c r="L28" s="30"/>
    </row>
    <row r="29" spans="1:12" ht="12.75">
      <c r="A29" s="6" t="s">
        <v>27</v>
      </c>
      <c r="B29" s="4">
        <f>5386407*149700/10^9</f>
        <v>806.3451279</v>
      </c>
      <c r="C29" s="4">
        <f>5886409*149700/10^9</f>
        <v>881.1954273</v>
      </c>
      <c r="D29" s="4">
        <f>5701233*149700/10^9</f>
        <v>853.4745801</v>
      </c>
      <c r="E29" s="4">
        <f>5010059*149700/10^9</f>
        <v>750.0058323</v>
      </c>
      <c r="F29" s="3">
        <f>5620417*149700/10^9</f>
        <v>841.3764249</v>
      </c>
      <c r="G29" s="3">
        <f>5838128*149700/10^9</f>
        <v>873.9677616</v>
      </c>
      <c r="H29" s="3">
        <f>6409863*149700/10^9</f>
        <v>959.5564911</v>
      </c>
      <c r="I29" s="3">
        <f>5409378*149700/10^9</f>
        <v>809.7838866</v>
      </c>
      <c r="J29" s="3">
        <f>4847704*149700/10^9</f>
        <v>725.7012888</v>
      </c>
      <c r="K29" s="20">
        <f>3873849*149700/10^9</f>
        <v>579.9151953</v>
      </c>
      <c r="L29" s="30">
        <v>702</v>
      </c>
    </row>
    <row r="30" spans="1:12" ht="12.75">
      <c r="A30" s="6" t="s">
        <v>28</v>
      </c>
      <c r="B30" s="4">
        <f>2189346*138700/10^9</f>
        <v>303.6622902</v>
      </c>
      <c r="C30" s="4">
        <f>2339010*138700/10^9</f>
        <v>324.420687</v>
      </c>
      <c r="D30" s="4">
        <f>2490793*138700/10^9</f>
        <v>345.4729891</v>
      </c>
      <c r="E30" s="4">
        <f>2573800*138700/10^9</f>
        <v>356.98606</v>
      </c>
      <c r="F30" s="3">
        <f>2595076*138700/10^9</f>
        <v>359.9370412</v>
      </c>
      <c r="G30" s="3">
        <f>2419336*138700/10^9</f>
        <v>335.5619032</v>
      </c>
      <c r="H30" s="3">
        <f>2261422*138700/10^9</f>
        <v>313.6592314</v>
      </c>
      <c r="I30" s="3">
        <f>2044049*138700/10^9</f>
        <v>283.5095963</v>
      </c>
      <c r="J30" s="3">
        <f>2078921*138700/10^9</f>
        <v>288.3463427</v>
      </c>
      <c r="K30" s="14">
        <f>2216921*138700/10^9</f>
        <v>307.4869427</v>
      </c>
      <c r="L30" s="30">
        <v>297</v>
      </c>
    </row>
    <row r="31" spans="1:12" ht="12.75">
      <c r="A31" s="6" t="s">
        <v>29</v>
      </c>
      <c r="B31" s="3">
        <f>875530*125000/10^9</f>
        <v>109.44125</v>
      </c>
      <c r="C31" s="4">
        <f>1060394*125000/10^9</f>
        <v>132.54925</v>
      </c>
      <c r="D31" s="4">
        <f>993671*125000/10^9</f>
        <v>124.208875</v>
      </c>
      <c r="E31" s="4">
        <f>987193*125000/10^9</f>
        <v>123.399125</v>
      </c>
      <c r="F31" s="3">
        <f>956232*125000/10^9</f>
        <v>119.529</v>
      </c>
      <c r="G31" s="3">
        <f>1098137*125000/10^9</f>
        <v>137.267125</v>
      </c>
      <c r="H31" s="3">
        <f>1124269*125000/10^9</f>
        <v>140.533625</v>
      </c>
      <c r="I31" s="3">
        <f>993837*125000/10^9</f>
        <v>124.229625</v>
      </c>
      <c r="J31" s="3">
        <f>1081157*125000/10^9</f>
        <v>135.144625</v>
      </c>
      <c r="K31" s="14">
        <f>1107463*125000/10^9</f>
        <v>138.432875</v>
      </c>
      <c r="L31" s="30">
        <v>126</v>
      </c>
    </row>
    <row r="32" spans="1:12" ht="12.75">
      <c r="A32" s="2" t="s">
        <v>30</v>
      </c>
      <c r="B32" s="15"/>
      <c r="C32" s="15"/>
      <c r="D32" s="15"/>
      <c r="E32" s="15"/>
      <c r="F32" s="3"/>
      <c r="G32" s="3"/>
      <c r="H32" s="3"/>
      <c r="I32" s="3"/>
      <c r="J32" s="3"/>
      <c r="K32" s="3"/>
      <c r="L32" s="30"/>
    </row>
    <row r="33" spans="1:12" ht="12.75">
      <c r="A33" s="23" t="s">
        <v>31</v>
      </c>
      <c r="B33" s="25">
        <f>685362*1031/10^6</f>
        <v>706.608222</v>
      </c>
      <c r="C33" s="25">
        <f>700335*1031/10^6</f>
        <v>722.045385</v>
      </c>
      <c r="D33" s="25">
        <f>711446*1031/10^6</f>
        <v>733.500826</v>
      </c>
      <c r="E33" s="25">
        <f>751470*1031/10^6</f>
        <v>774.76557</v>
      </c>
      <c r="F33" s="24">
        <f>635477*1031/10^6</f>
        <v>655.176787</v>
      </c>
      <c r="G33" s="24">
        <f>645319*1031/10^6</f>
        <v>665.323889</v>
      </c>
      <c r="H33" s="24">
        <f>642210*1031/10^6</f>
        <v>662.11851</v>
      </c>
      <c r="I33" s="24">
        <f>624964*1031/10^6</f>
        <v>644.337884</v>
      </c>
      <c r="J33" s="27">
        <f>666920*1031/10^6</f>
        <v>687.59452</v>
      </c>
      <c r="K33" s="26">
        <v>610</v>
      </c>
      <c r="L33" s="31">
        <v>590</v>
      </c>
    </row>
    <row r="34" spans="1:12" ht="12.75">
      <c r="A34" s="44" t="s">
        <v>32</v>
      </c>
      <c r="B34" s="44"/>
      <c r="C34" s="44"/>
      <c r="D34" s="44"/>
      <c r="E34" s="44"/>
      <c r="F34" s="44"/>
      <c r="G34" s="44"/>
      <c r="H34" s="44"/>
      <c r="I34" s="44"/>
      <c r="J34" s="22"/>
      <c r="K34" s="3"/>
      <c r="L34" s="4"/>
    </row>
    <row r="35" spans="1:12" ht="12.75">
      <c r="A35" s="41"/>
      <c r="B35" s="39"/>
      <c r="C35" s="39"/>
      <c r="D35" s="39"/>
      <c r="E35" s="39"/>
      <c r="F35" s="39"/>
      <c r="G35" s="39"/>
      <c r="H35" s="39"/>
      <c r="I35" s="39"/>
      <c r="J35" s="3"/>
      <c r="K35" s="3"/>
      <c r="L35" s="4"/>
    </row>
    <row r="36" spans="1:12" ht="14.25">
      <c r="A36" s="42" t="s">
        <v>47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>
      <c r="A37" s="38"/>
      <c r="B37" s="38"/>
      <c r="C37" s="38"/>
      <c r="D37" s="38"/>
      <c r="E37" s="38"/>
      <c r="F37" s="38"/>
      <c r="G37" s="38"/>
      <c r="H37" s="38"/>
      <c r="I37" s="38"/>
      <c r="J37" s="16"/>
      <c r="K37" s="16"/>
      <c r="L37" s="16"/>
    </row>
    <row r="38" spans="1:12" ht="12.75" customHeight="1">
      <c r="A38" s="32" t="s">
        <v>33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2.75">
      <c r="A39" s="28" t="s">
        <v>34</v>
      </c>
      <c r="B39" s="28"/>
      <c r="C39" s="32" t="s">
        <v>35</v>
      </c>
      <c r="D39" s="32"/>
      <c r="E39" s="32"/>
      <c r="F39" s="32"/>
      <c r="G39" s="32"/>
      <c r="H39" s="32"/>
      <c r="I39" s="32"/>
      <c r="J39" s="16"/>
      <c r="K39" s="16"/>
      <c r="L39" s="16"/>
    </row>
    <row r="40" spans="1:12" ht="14.25">
      <c r="A40" s="16" t="s">
        <v>36</v>
      </c>
      <c r="B40" s="18"/>
      <c r="C40" s="32" t="s">
        <v>37</v>
      </c>
      <c r="D40" s="32"/>
      <c r="E40" s="32"/>
      <c r="F40" s="32"/>
      <c r="G40" s="32"/>
      <c r="H40" s="32"/>
      <c r="I40" s="32"/>
      <c r="J40" s="16"/>
      <c r="K40" s="17"/>
      <c r="L40" s="16"/>
    </row>
    <row r="41" spans="1:12" ht="14.25">
      <c r="A41" s="16" t="s">
        <v>38</v>
      </c>
      <c r="B41" s="18"/>
      <c r="C41" s="32" t="s">
        <v>39</v>
      </c>
      <c r="D41" s="32"/>
      <c r="E41" s="32"/>
      <c r="F41" s="32"/>
      <c r="G41" s="32"/>
      <c r="H41" s="32"/>
      <c r="I41" s="32"/>
      <c r="J41" s="16"/>
      <c r="K41" s="17"/>
      <c r="L41" s="16"/>
    </row>
    <row r="42" spans="1:12" ht="14.25">
      <c r="A42" s="16" t="s">
        <v>40</v>
      </c>
      <c r="B42" s="18"/>
      <c r="C42" s="32" t="s">
        <v>41</v>
      </c>
      <c r="D42" s="36"/>
      <c r="E42" s="36"/>
      <c r="F42" s="36"/>
      <c r="G42" s="36"/>
      <c r="H42" s="36"/>
      <c r="I42" s="36"/>
      <c r="J42" s="16"/>
      <c r="K42" s="17"/>
      <c r="L42" s="16"/>
    </row>
    <row r="43" spans="1:12" ht="27" customHeight="1">
      <c r="A43" s="32" t="s">
        <v>42</v>
      </c>
      <c r="B43" s="37"/>
      <c r="C43" s="37"/>
      <c r="D43" s="37"/>
      <c r="E43" s="37"/>
      <c r="F43" s="37"/>
      <c r="G43" s="37"/>
      <c r="H43" s="37"/>
      <c r="I43" s="37"/>
      <c r="J43" s="16"/>
      <c r="K43" s="17"/>
      <c r="L43" s="16"/>
    </row>
    <row r="44" spans="1:12" ht="12.75">
      <c r="A44" s="38"/>
      <c r="B44" s="39"/>
      <c r="C44" s="39"/>
      <c r="D44" s="39"/>
      <c r="E44" s="39"/>
      <c r="F44" s="39"/>
      <c r="G44" s="39"/>
      <c r="H44" s="39"/>
      <c r="I44" s="39"/>
      <c r="J44" s="18"/>
      <c r="K44" s="18"/>
      <c r="L44" s="18"/>
    </row>
    <row r="45" spans="1:12" ht="32.25" customHeight="1">
      <c r="A45" s="33" t="s">
        <v>50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  <c r="L45" s="35"/>
    </row>
  </sheetData>
  <mergeCells count="14">
    <mergeCell ref="A1:L1"/>
    <mergeCell ref="A37:I37"/>
    <mergeCell ref="A35:I35"/>
    <mergeCell ref="A36:L36"/>
    <mergeCell ref="A34:I34"/>
    <mergeCell ref="A2:L2"/>
    <mergeCell ref="A38:L38"/>
    <mergeCell ref="A45:L45"/>
    <mergeCell ref="C42:I42"/>
    <mergeCell ref="A43:I43"/>
    <mergeCell ref="A44:I44"/>
    <mergeCell ref="C39:I39"/>
    <mergeCell ref="C40:I40"/>
    <mergeCell ref="C41:I41"/>
  </mergeCells>
  <printOptions/>
  <pageMargins left="0.75" right="0.75" top="1" bottom="1" header="0.75" footer="0.5"/>
  <pageSetup horizontalDpi="600" verticalDpi="600" orientation="landscape" scale="96" r:id="rId1"/>
  <ignoredErrors>
    <ignoredError sqref="B3 C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Ktsibuls</dc:creator>
  <cp:keywords/>
  <dc:description/>
  <cp:lastModifiedBy>luwito.tardia</cp:lastModifiedBy>
  <cp:lastPrinted>2007-03-22T19:19:09Z</cp:lastPrinted>
  <dcterms:created xsi:type="dcterms:W3CDTF">2003-05-06T20:49:48Z</dcterms:created>
  <dcterms:modified xsi:type="dcterms:W3CDTF">2007-03-22T19:19:10Z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1580933003</vt:i4>
  </property>
  <property fmtid="{D5CDD505-2E9C-101B-9397-08002B2CF9AE}" pid="3" name="_EmailSubject">
    <vt:lpwstr>Section K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