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<sst xmlns="http://schemas.openxmlformats.org/spreadsheetml/2006/main" count="156" uniqueCount="145">
  <si>
    <t>functional systems, see text, this section.</t>
  </si>
  <si>
    <t>addsum</t>
  </si>
  <si>
    <t>Functional systems</t>
  </si>
  <si>
    <t>functional</t>
  </si>
  <si>
    <t xml:space="preserve">Urban </t>
  </si>
  <si>
    <t>FIPS</t>
  </si>
  <si>
    <t xml:space="preserve">and </t>
  </si>
  <si>
    <t>Other</t>
  </si>
  <si>
    <t>State</t>
  </si>
  <si>
    <t>CODE</t>
  </si>
  <si>
    <t>system</t>
  </si>
  <si>
    <t xml:space="preserve">rural </t>
  </si>
  <si>
    <t>freeways</t>
  </si>
  <si>
    <t>Urban</t>
  </si>
  <si>
    <t>Rural</t>
  </si>
  <si>
    <t>Total</t>
  </si>
  <si>
    <t>and</t>
  </si>
  <si>
    <t>Collector</t>
  </si>
  <si>
    <t>Local</t>
  </si>
  <si>
    <t>Interstate</t>
  </si>
  <si>
    <t>expressways</t>
  </si>
  <si>
    <t>Arterial</t>
  </si>
  <si>
    <t xml:space="preserve">Alabama </t>
  </si>
  <si>
    <t>01000</t>
  </si>
  <si>
    <t xml:space="preserve">Alaska </t>
  </si>
  <si>
    <t>02000</t>
  </si>
  <si>
    <t xml:space="preserve">Arizona </t>
  </si>
  <si>
    <t>04000</t>
  </si>
  <si>
    <t xml:space="preserve">Arkansas </t>
  </si>
  <si>
    <t>05000</t>
  </si>
  <si>
    <t xml:space="preserve">California </t>
  </si>
  <si>
    <t>06000</t>
  </si>
  <si>
    <t xml:space="preserve">Colorado </t>
  </si>
  <si>
    <t>08000</t>
  </si>
  <si>
    <t xml:space="preserve">Connecticut </t>
  </si>
  <si>
    <t>09000</t>
  </si>
  <si>
    <t xml:space="preserve">Delaware </t>
  </si>
  <si>
    <t>10000</t>
  </si>
  <si>
    <t>District of Columbia</t>
  </si>
  <si>
    <t>11000</t>
  </si>
  <si>
    <t xml:space="preserve">Florida </t>
  </si>
  <si>
    <t>12000</t>
  </si>
  <si>
    <t xml:space="preserve">Georgia </t>
  </si>
  <si>
    <t>13000</t>
  </si>
  <si>
    <t xml:space="preserve">Hawaii </t>
  </si>
  <si>
    <t>15000</t>
  </si>
  <si>
    <t xml:space="preserve">Idaho </t>
  </si>
  <si>
    <t>16000</t>
  </si>
  <si>
    <t xml:space="preserve">Illinois </t>
  </si>
  <si>
    <t>17000</t>
  </si>
  <si>
    <t>18000</t>
  </si>
  <si>
    <t xml:space="preserve">Iowa </t>
  </si>
  <si>
    <t>19000</t>
  </si>
  <si>
    <t xml:space="preserve">Kansas </t>
  </si>
  <si>
    <t>20000</t>
  </si>
  <si>
    <t xml:space="preserve">Kentucky </t>
  </si>
  <si>
    <t>21000</t>
  </si>
  <si>
    <t xml:space="preserve">Louisiana </t>
  </si>
  <si>
    <t>22000</t>
  </si>
  <si>
    <t xml:space="preserve">Maine </t>
  </si>
  <si>
    <t>23000</t>
  </si>
  <si>
    <t xml:space="preserve">Maryland </t>
  </si>
  <si>
    <t>24000</t>
  </si>
  <si>
    <t xml:space="preserve">Massachusetts </t>
  </si>
  <si>
    <t>25000</t>
  </si>
  <si>
    <t xml:space="preserve">Michigan </t>
  </si>
  <si>
    <t>26000</t>
  </si>
  <si>
    <t>27000</t>
  </si>
  <si>
    <t xml:space="preserve">Mississippi </t>
  </si>
  <si>
    <t>28000</t>
  </si>
  <si>
    <t xml:space="preserve">Missouri </t>
  </si>
  <si>
    <t>29000</t>
  </si>
  <si>
    <t xml:space="preserve">Montana </t>
  </si>
  <si>
    <t>30000</t>
  </si>
  <si>
    <t xml:space="preserve">Nebraska </t>
  </si>
  <si>
    <t>31000</t>
  </si>
  <si>
    <t xml:space="preserve">Nevada </t>
  </si>
  <si>
    <t>32000</t>
  </si>
  <si>
    <t xml:space="preserve">New Hampshire </t>
  </si>
  <si>
    <t>33000</t>
  </si>
  <si>
    <t xml:space="preserve">New Jersey </t>
  </si>
  <si>
    <t>34000</t>
  </si>
  <si>
    <t xml:space="preserve">New Mexico </t>
  </si>
  <si>
    <t>35000</t>
  </si>
  <si>
    <t xml:space="preserve">New York </t>
  </si>
  <si>
    <t>36000</t>
  </si>
  <si>
    <t xml:space="preserve">North Carolina </t>
  </si>
  <si>
    <t>37000</t>
  </si>
  <si>
    <t xml:space="preserve">North Dakota </t>
  </si>
  <si>
    <t>38000</t>
  </si>
  <si>
    <t xml:space="preserve">Ohio </t>
  </si>
  <si>
    <t>39000</t>
  </si>
  <si>
    <t xml:space="preserve">Oklahoma </t>
  </si>
  <si>
    <t>40000</t>
  </si>
  <si>
    <t xml:space="preserve">Oregon </t>
  </si>
  <si>
    <t>41000</t>
  </si>
  <si>
    <t xml:space="preserve">Pennsylvania </t>
  </si>
  <si>
    <t>42000</t>
  </si>
  <si>
    <t xml:space="preserve">Rhode Island </t>
  </si>
  <si>
    <t>44000</t>
  </si>
  <si>
    <t xml:space="preserve">South Carolina </t>
  </si>
  <si>
    <t>45000</t>
  </si>
  <si>
    <t xml:space="preserve">South Dakota </t>
  </si>
  <si>
    <t>46000</t>
  </si>
  <si>
    <t xml:space="preserve">Tennessee </t>
  </si>
  <si>
    <t>47000</t>
  </si>
  <si>
    <t xml:space="preserve">Texas </t>
  </si>
  <si>
    <t>48000</t>
  </si>
  <si>
    <t xml:space="preserve">Utah </t>
  </si>
  <si>
    <t>49000</t>
  </si>
  <si>
    <t xml:space="preserve">Vermont </t>
  </si>
  <si>
    <t>50000</t>
  </si>
  <si>
    <t xml:space="preserve">Virginia </t>
  </si>
  <si>
    <t>51000</t>
  </si>
  <si>
    <t xml:space="preserve">Washington </t>
  </si>
  <si>
    <t>53000</t>
  </si>
  <si>
    <t xml:space="preserve">West Virginia </t>
  </si>
  <si>
    <t>54000</t>
  </si>
  <si>
    <t xml:space="preserve">Wisconsin </t>
  </si>
  <si>
    <t>55000</t>
  </si>
  <si>
    <t xml:space="preserve">Wyoming </t>
  </si>
  <si>
    <t>56000</t>
  </si>
  <si>
    <t xml:space="preserve">Source: U.S. Federal Highway Administration, Highway </t>
  </si>
  <si>
    <t>Please complete:</t>
  </si>
  <si>
    <t>INTERNET LINK</t>
  </si>
  <si>
    <t>&lt;http://www.fhwa.dot.gov/policy/ohpi/hss/index.htm&gt;</t>
  </si>
  <si>
    <t>$del ADD</t>
  </si>
  <si>
    <t>&lt;http://www.fhwa.dot.gov/policy/ohpi/hss/hsspubs.htm&gt;.</t>
  </si>
  <si>
    <r>
      <t>[</t>
    </r>
    <r>
      <rPr>
        <b/>
        <sz val="12"/>
        <rFont val="Courier New"/>
        <family val="3"/>
      </rPr>
      <t>As of December 31.</t>
    </r>
    <r>
      <rPr>
        <sz val="12"/>
        <rFont val="Courier New"/>
        <family val="0"/>
      </rPr>
      <t xml:space="preserve"> Excludes Puerto Rico. For definition of</t>
    </r>
  </si>
  <si>
    <t xml:space="preserve">      United States, 2006</t>
  </si>
  <si>
    <t>USE TABLE HM-20 FROM HIGHWAY STATS from Sect. 5</t>
  </si>
  <si>
    <t>rural/urban categorization or both.</t>
  </si>
  <si>
    <t>1/ Excludes 788 miles of Federal agency owned roads.</t>
  </si>
  <si>
    <t>2/ Includes 274 miles of miscoded non-Interstate functional system length or</t>
  </si>
  <si>
    <t>Indiana \1</t>
  </si>
  <si>
    <t>Minnesota  \2</t>
  </si>
  <si>
    <t>Contact: Rob Rozycki</t>
  </si>
  <si>
    <t>Contact: Mike Slattery (Coordinator for Abstract)</t>
  </si>
  <si>
    <t>202-366-9213</t>
  </si>
  <si>
    <r>
      <t>Table 1049.</t>
    </r>
    <r>
      <rPr>
        <b/>
        <sz val="12"/>
        <rFont val="Courier New"/>
        <family val="3"/>
      </rPr>
      <t xml:space="preserve"> Highway Mileage--Functional Systems and Urban/Rural: 2006</t>
    </r>
  </si>
  <si>
    <t xml:space="preserve">Statistics, annual. See </t>
  </si>
  <si>
    <t>See notes</t>
  </si>
  <si>
    <t>Back to data</t>
  </si>
  <si>
    <t>HEAD NOTE</t>
  </si>
  <si>
    <t>FOOTNOTES: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</si>
</sst>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0" fontId="6" fillId="0" borderId="0" xfId="16" applyNumberFormat="1" applyAlignment="1">
      <alignment/>
    </xf>
    <xf numFmtId="3" fontId="5" fillId="0" borderId="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2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8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9" fillId="0" borderId="0" xfId="16" applyNumberFormat="1" applyFont="1" applyAlignment="1">
      <alignment/>
    </xf>
    <xf numFmtId="0" fontId="9" fillId="0" borderId="0" xfId="16" applyFont="1" applyAlignment="1">
      <alignment/>
    </xf>
    <xf numFmtId="0" fontId="0" fillId="0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GridLines="0" tabSelected="1" zoomScale="75" zoomScaleNormal="75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8.796875" defaultRowHeight="15.75"/>
  <cols>
    <col min="1" max="1" width="31.3984375" style="0" customWidth="1"/>
    <col min="2" max="2" width="9.69921875" style="0" hidden="1" customWidth="1"/>
    <col min="3" max="3" width="10.59765625" style="0" customWidth="1"/>
    <col min="4" max="4" width="12.69921875" style="0" hidden="1" customWidth="1"/>
    <col min="5" max="5" width="9.69921875" style="0" hidden="1" customWidth="1"/>
    <col min="6" max="6" width="10.59765625" style="0" customWidth="1"/>
    <col min="7" max="7" width="12" style="0" customWidth="1"/>
    <col min="8" max="12" width="10.59765625" style="0" customWidth="1"/>
    <col min="13" max="16384" width="9.69921875" style="0" customWidth="1"/>
  </cols>
  <sheetData>
    <row r="1" spans="1:12" ht="16.5">
      <c r="A1" s="26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9" t="s">
        <v>141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3"/>
      <c r="B5" s="13"/>
      <c r="C5" s="15"/>
      <c r="D5" s="13"/>
      <c r="E5" s="13"/>
      <c r="F5" s="15"/>
      <c r="G5" s="13"/>
      <c r="H5" s="13"/>
      <c r="I5" s="13"/>
      <c r="J5" s="13"/>
      <c r="K5" s="15"/>
      <c r="L5" s="13"/>
    </row>
    <row r="6" spans="1:12" ht="15.75">
      <c r="A6" s="1"/>
      <c r="B6" s="1"/>
      <c r="C6" s="16"/>
      <c r="D6" s="4" t="s">
        <v>1</v>
      </c>
      <c r="E6" s="4" t="s">
        <v>1</v>
      </c>
      <c r="F6" s="16"/>
      <c r="G6" s="1"/>
      <c r="H6" s="1" t="s">
        <v>2</v>
      </c>
      <c r="I6" s="5"/>
      <c r="J6" s="1"/>
      <c r="K6" s="16"/>
      <c r="L6" s="1"/>
    </row>
    <row r="7" spans="1:12" ht="15.75">
      <c r="A7" s="1"/>
      <c r="B7" s="1"/>
      <c r="C7" s="16"/>
      <c r="D7" s="4" t="s">
        <v>3</v>
      </c>
      <c r="E7" s="4" t="s">
        <v>4</v>
      </c>
      <c r="F7" s="18"/>
      <c r="G7" s="14"/>
      <c r="H7" s="14"/>
      <c r="I7" s="14"/>
      <c r="J7" s="14"/>
      <c r="K7" s="16"/>
      <c r="L7" s="1"/>
    </row>
    <row r="8" spans="1:12" ht="15.75">
      <c r="A8" s="1"/>
      <c r="B8" s="6" t="s">
        <v>5</v>
      </c>
      <c r="C8" s="16"/>
      <c r="D8" s="1"/>
      <c r="E8" s="4" t="s">
        <v>6</v>
      </c>
      <c r="F8" s="16"/>
      <c r="G8" s="4" t="s">
        <v>7</v>
      </c>
      <c r="H8" s="1"/>
      <c r="I8" s="1"/>
      <c r="J8" s="1"/>
      <c r="K8" s="16"/>
      <c r="L8" s="1"/>
    </row>
    <row r="9" spans="1:12" ht="15.75">
      <c r="A9" s="6" t="s">
        <v>8</v>
      </c>
      <c r="B9" s="6" t="s">
        <v>9</v>
      </c>
      <c r="C9" s="16"/>
      <c r="D9" s="4" t="s">
        <v>10</v>
      </c>
      <c r="E9" s="4" t="s">
        <v>11</v>
      </c>
      <c r="F9" s="16"/>
      <c r="G9" s="4" t="s">
        <v>12</v>
      </c>
      <c r="H9" s="1"/>
      <c r="I9" s="1"/>
      <c r="J9" s="1"/>
      <c r="K9" s="17" t="s">
        <v>13</v>
      </c>
      <c r="L9" s="4" t="s">
        <v>14</v>
      </c>
    </row>
    <row r="10" spans="1:12" ht="15.75">
      <c r="A10" s="1"/>
      <c r="B10" s="1"/>
      <c r="C10" s="17" t="s">
        <v>15</v>
      </c>
      <c r="D10" s="1"/>
      <c r="E10" s="1"/>
      <c r="F10" s="17"/>
      <c r="G10" s="4" t="s">
        <v>16</v>
      </c>
      <c r="H10" s="1"/>
      <c r="K10" s="16"/>
      <c r="L10" s="1"/>
    </row>
    <row r="11" spans="1:12" ht="15.75">
      <c r="A11" s="1"/>
      <c r="B11" s="3"/>
      <c r="C11" s="16"/>
      <c r="D11" s="1"/>
      <c r="E11" s="1"/>
      <c r="F11" s="17" t="s">
        <v>19</v>
      </c>
      <c r="G11" s="4" t="s">
        <v>20</v>
      </c>
      <c r="H11" s="4" t="s">
        <v>21</v>
      </c>
      <c r="I11" s="4" t="s">
        <v>17</v>
      </c>
      <c r="J11" s="4" t="s">
        <v>18</v>
      </c>
      <c r="K11" s="16"/>
      <c r="L11" s="1"/>
    </row>
    <row r="12" spans="1:12" ht="15.75">
      <c r="A12" s="14"/>
      <c r="B12" s="14"/>
      <c r="C12" s="18"/>
      <c r="D12" s="14"/>
      <c r="E12" s="14"/>
      <c r="F12" s="18"/>
      <c r="G12" s="14"/>
      <c r="H12" s="14"/>
      <c r="I12" s="14"/>
      <c r="J12" s="14"/>
      <c r="K12" s="18"/>
      <c r="L12" s="14"/>
    </row>
    <row r="13" spans="1:15" ht="15.75" hidden="1">
      <c r="A13" s="2" t="s">
        <v>126</v>
      </c>
      <c r="B13" s="27"/>
      <c r="C13" s="28">
        <f>SUM(C17:C67)-C15</f>
        <v>0</v>
      </c>
      <c r="D13" s="27"/>
      <c r="E13" s="27"/>
      <c r="F13" s="28">
        <f aca="true" t="shared" si="0" ref="F13:K13">SUM(F17:F67)-F15</f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8">
        <f t="shared" si="0"/>
        <v>0</v>
      </c>
      <c r="L13" s="29">
        <f>SUM(L17:L67)-L15</f>
        <v>0</v>
      </c>
      <c r="M13" s="29"/>
      <c r="N13" s="30"/>
      <c r="O13" s="30"/>
    </row>
    <row r="14" spans="1:12" s="25" customFormat="1" ht="16.5" hidden="1">
      <c r="A14" s="12"/>
      <c r="B14" s="12"/>
      <c r="C14" s="22"/>
      <c r="D14" s="23"/>
      <c r="E14" s="23"/>
      <c r="F14" s="22"/>
      <c r="G14" s="24"/>
      <c r="H14" s="24"/>
      <c r="I14" s="24"/>
      <c r="J14" s="24"/>
      <c r="K14" s="22"/>
      <c r="L14" s="24"/>
    </row>
    <row r="15" spans="1:12" s="25" customFormat="1" ht="16.5">
      <c r="A15" s="12" t="s">
        <v>129</v>
      </c>
      <c r="B15" s="12"/>
      <c r="C15" s="22">
        <v>4016741</v>
      </c>
      <c r="D15" s="23"/>
      <c r="E15" s="23"/>
      <c r="F15" s="22">
        <f>30586+16044</f>
        <v>46630</v>
      </c>
      <c r="G15" s="24">
        <v>10748</v>
      </c>
      <c r="H15" s="24">
        <f>94937+135386+62830+102975</f>
        <v>396128</v>
      </c>
      <c r="I15" s="24">
        <f>419117+262841+108833</f>
        <v>790791</v>
      </c>
      <c r="J15" s="24">
        <f>2044508+727936</f>
        <v>2772444</v>
      </c>
      <c r="K15" s="22">
        <v>1029366</v>
      </c>
      <c r="L15" s="32">
        <v>2987375</v>
      </c>
    </row>
    <row r="16" spans="1:11" ht="15.75" hidden="1">
      <c r="A16" s="1"/>
      <c r="B16" s="1"/>
      <c r="C16" s="20"/>
      <c r="D16" s="8"/>
      <c r="E16" s="8"/>
      <c r="F16" s="20"/>
      <c r="G16" s="10"/>
      <c r="H16" s="10"/>
      <c r="I16" s="10"/>
      <c r="J16" s="10"/>
      <c r="K16" s="20"/>
    </row>
    <row r="17" spans="1:12" ht="16.5">
      <c r="A17" s="1" t="s">
        <v>22</v>
      </c>
      <c r="B17" s="1" t="s">
        <v>23</v>
      </c>
      <c r="C17" s="19">
        <v>96521</v>
      </c>
      <c r="D17" s="23"/>
      <c r="E17" s="23"/>
      <c r="F17" s="19">
        <f>545+363</f>
        <v>908</v>
      </c>
      <c r="G17" s="31">
        <v>32</v>
      </c>
      <c r="H17" s="9">
        <f>2142+3826+1095+2174</f>
        <v>9237</v>
      </c>
      <c r="I17" s="9">
        <f>11713+6590+2227</f>
        <v>20530</v>
      </c>
      <c r="J17" s="9">
        <f>49859+15955</f>
        <v>65814</v>
      </c>
      <c r="K17" s="19">
        <v>21846</v>
      </c>
      <c r="L17" s="24">
        <v>74675</v>
      </c>
    </row>
    <row r="18" spans="1:12" ht="16.5">
      <c r="A18" s="38" t="s">
        <v>24</v>
      </c>
      <c r="B18" s="1" t="s">
        <v>25</v>
      </c>
      <c r="C18" s="10">
        <v>14787</v>
      </c>
      <c r="D18" s="23"/>
      <c r="E18" s="23"/>
      <c r="F18" s="19">
        <f>1012+69</f>
        <v>1081</v>
      </c>
      <c r="G18" s="31">
        <v>0</v>
      </c>
      <c r="H18" s="9">
        <f>806+443+61+206</f>
        <v>1516</v>
      </c>
      <c r="I18" s="9">
        <f>1418+1068+343</f>
        <v>2829</v>
      </c>
      <c r="J18" s="9">
        <f>7670+1691</f>
        <v>9361</v>
      </c>
      <c r="K18" s="19">
        <v>2370</v>
      </c>
      <c r="L18" s="9">
        <v>12417</v>
      </c>
    </row>
    <row r="19" spans="1:12" ht="16.5">
      <c r="A19" s="1" t="s">
        <v>26</v>
      </c>
      <c r="B19" s="1" t="s">
        <v>27</v>
      </c>
      <c r="C19" s="19">
        <v>60376</v>
      </c>
      <c r="D19" s="23"/>
      <c r="E19" s="23"/>
      <c r="F19" s="19">
        <f>981+188</f>
        <v>1169</v>
      </c>
      <c r="G19" s="9">
        <v>168</v>
      </c>
      <c r="H19" s="9">
        <f>1168+1359+1400+1792</f>
        <v>5719</v>
      </c>
      <c r="I19" s="9">
        <f>4303+2186+1632</f>
        <v>8121</v>
      </c>
      <c r="J19" s="9">
        <f>27819+17380</f>
        <v>45199</v>
      </c>
      <c r="K19" s="19">
        <v>22560</v>
      </c>
      <c r="L19" s="9">
        <v>37816</v>
      </c>
    </row>
    <row r="20" spans="1:12" ht="16.5">
      <c r="A20" s="1" t="s">
        <v>28</v>
      </c>
      <c r="B20" s="1" t="s">
        <v>29</v>
      </c>
      <c r="C20" s="19">
        <v>99005</v>
      </c>
      <c r="D20" s="23"/>
      <c r="E20" s="23"/>
      <c r="F20" s="19">
        <f>462+193</f>
        <v>655</v>
      </c>
      <c r="G20" s="9">
        <v>100</v>
      </c>
      <c r="H20" s="9">
        <f>2243+2955+600+1080</f>
        <v>6878</v>
      </c>
      <c r="I20" s="9">
        <f>12484+6907+934</f>
        <v>20325</v>
      </c>
      <c r="J20" s="9">
        <f>62682+8365</f>
        <v>71047</v>
      </c>
      <c r="K20" s="19">
        <v>11272</v>
      </c>
      <c r="L20" s="9">
        <v>87733</v>
      </c>
    </row>
    <row r="21" spans="1:12" ht="16.5">
      <c r="A21" s="1" t="s">
        <v>30</v>
      </c>
      <c r="B21" s="1" t="s">
        <v>31</v>
      </c>
      <c r="C21" s="19">
        <v>170290</v>
      </c>
      <c r="D21" s="23"/>
      <c r="E21" s="23"/>
      <c r="F21" s="19">
        <f>1281+1179</f>
        <v>2460</v>
      </c>
      <c r="G21" s="9">
        <v>1542</v>
      </c>
      <c r="H21" s="9">
        <f>3503+6617+6281+10557</f>
        <v>26958</v>
      </c>
      <c r="I21" s="9">
        <f>12617+8256+11119</f>
        <v>31992</v>
      </c>
      <c r="J21" s="9">
        <f>51451+55887</f>
        <v>107338</v>
      </c>
      <c r="K21" s="19">
        <v>86565</v>
      </c>
      <c r="L21" s="9">
        <v>83725</v>
      </c>
    </row>
    <row r="22" spans="1:12" ht="16.5">
      <c r="A22" s="1" t="s">
        <v>32</v>
      </c>
      <c r="B22" s="1" t="s">
        <v>33</v>
      </c>
      <c r="C22" s="19">
        <v>88021</v>
      </c>
      <c r="D22" s="23"/>
      <c r="E22" s="23"/>
      <c r="F22" s="19">
        <f>685+269</f>
        <v>954</v>
      </c>
      <c r="G22" s="9">
        <v>317</v>
      </c>
      <c r="H22" s="9">
        <f>2319+3760+1195+1652</f>
        <v>8926</v>
      </c>
      <c r="I22" s="9">
        <f>5499+8966+1788</f>
        <v>16253</v>
      </c>
      <c r="J22" s="9">
        <f>47726+13845</f>
        <v>61571</v>
      </c>
      <c r="K22" s="19">
        <v>19066</v>
      </c>
      <c r="L22" s="9">
        <v>68955</v>
      </c>
    </row>
    <row r="23" spans="1:12" ht="16.5">
      <c r="A23" s="1" t="s">
        <v>34</v>
      </c>
      <c r="B23" s="1" t="s">
        <v>35</v>
      </c>
      <c r="C23" s="19">
        <v>21249</v>
      </c>
      <c r="D23" s="23"/>
      <c r="E23" s="23"/>
      <c r="F23" s="19">
        <f>43+303</f>
        <v>346</v>
      </c>
      <c r="G23" s="9">
        <v>237</v>
      </c>
      <c r="H23" s="9">
        <f>164+248+685+1661</f>
        <v>2758</v>
      </c>
      <c r="I23" s="9">
        <f>951+399+1850</f>
        <v>3200</v>
      </c>
      <c r="J23" s="9">
        <f>4363+10345</f>
        <v>14708</v>
      </c>
      <c r="K23" s="19">
        <v>15081</v>
      </c>
      <c r="L23" s="9">
        <v>6168</v>
      </c>
    </row>
    <row r="24" spans="1:12" ht="16.5">
      <c r="A24" s="1" t="s">
        <v>36</v>
      </c>
      <c r="B24" s="1" t="s">
        <v>37</v>
      </c>
      <c r="C24" s="19">
        <v>6179</v>
      </c>
      <c r="D24" s="23"/>
      <c r="E24" s="23"/>
      <c r="F24" s="19">
        <f>0+41</f>
        <v>41</v>
      </c>
      <c r="G24" s="9">
        <v>24</v>
      </c>
      <c r="H24" s="9">
        <f>167+103+184+190</f>
        <v>644</v>
      </c>
      <c r="I24" s="9">
        <f>457+228+367</f>
        <v>1052</v>
      </c>
      <c r="J24" s="9">
        <f>2304+2114</f>
        <v>4418</v>
      </c>
      <c r="K24" s="19">
        <v>2920</v>
      </c>
      <c r="L24" s="9">
        <v>3259</v>
      </c>
    </row>
    <row r="25" spans="1:12" ht="16.5">
      <c r="A25" s="1" t="s">
        <v>38</v>
      </c>
      <c r="B25" s="1" t="s">
        <v>39</v>
      </c>
      <c r="C25" s="19">
        <v>1500</v>
      </c>
      <c r="D25" s="23"/>
      <c r="E25" s="23"/>
      <c r="F25" s="19">
        <f>0+13</f>
        <v>13</v>
      </c>
      <c r="G25" s="9">
        <v>20</v>
      </c>
      <c r="H25" s="31">
        <f>0+0+101+165</f>
        <v>266</v>
      </c>
      <c r="I25" s="9">
        <f>0+0+156</f>
        <v>156</v>
      </c>
      <c r="J25" s="9">
        <f>0+1045</f>
        <v>1045</v>
      </c>
      <c r="K25" s="19">
        <v>1500</v>
      </c>
      <c r="L25" s="31">
        <v>0</v>
      </c>
    </row>
    <row r="26" spans="1:12" ht="16.5">
      <c r="A26" s="1" t="s">
        <v>40</v>
      </c>
      <c r="B26" s="1" t="s">
        <v>41</v>
      </c>
      <c r="C26" s="19">
        <v>121995</v>
      </c>
      <c r="D26" s="23"/>
      <c r="E26" s="23"/>
      <c r="F26" s="19">
        <f>749+722</f>
        <v>1471</v>
      </c>
      <c r="G26" s="9">
        <v>578</v>
      </c>
      <c r="H26" s="9">
        <f>2855+2401+3579+4025</f>
        <v>12860</v>
      </c>
      <c r="I26" s="9">
        <f>4114+3352+6821</f>
        <v>14287</v>
      </c>
      <c r="J26" s="9">
        <f>26735+66064</f>
        <v>92799</v>
      </c>
      <c r="K26" s="19">
        <v>81789</v>
      </c>
      <c r="L26" s="9">
        <v>40206</v>
      </c>
    </row>
    <row r="27" spans="1:12" ht="16.5">
      <c r="A27" s="1" t="s">
        <v>42</v>
      </c>
      <c r="B27" s="1" t="s">
        <v>43</v>
      </c>
      <c r="C27" s="19">
        <v>118199</v>
      </c>
      <c r="D27" s="23"/>
      <c r="E27" s="23"/>
      <c r="F27" s="19">
        <f>715+529</f>
        <v>1244</v>
      </c>
      <c r="G27" s="9">
        <v>116</v>
      </c>
      <c r="H27" s="9">
        <f>2635+5209+1939+4228</f>
        <v>14011</v>
      </c>
      <c r="I27" s="9">
        <f>12609+7405+2637</f>
        <v>22651</v>
      </c>
      <c r="J27" s="9">
        <f>52301+27876</f>
        <v>80177</v>
      </c>
      <c r="K27" s="19">
        <v>37325</v>
      </c>
      <c r="L27" s="9">
        <v>80874</v>
      </c>
    </row>
    <row r="28" spans="1:12" ht="16.5">
      <c r="A28" s="1" t="s">
        <v>44</v>
      </c>
      <c r="B28" s="1" t="s">
        <v>45</v>
      </c>
      <c r="C28" s="19">
        <v>4330</v>
      </c>
      <c r="D28" s="23"/>
      <c r="E28" s="23"/>
      <c r="F28" s="19">
        <f>6+49</f>
        <v>55</v>
      </c>
      <c r="G28" s="9">
        <v>34</v>
      </c>
      <c r="H28" s="9">
        <f>111+298+227+117</f>
        <v>753</v>
      </c>
      <c r="I28" s="9">
        <f>311+123+395</f>
        <v>829</v>
      </c>
      <c r="J28" s="9">
        <f>1191+1468</f>
        <v>2659</v>
      </c>
      <c r="K28" s="19">
        <v>2290</v>
      </c>
      <c r="L28" s="9">
        <v>2040</v>
      </c>
    </row>
    <row r="29" spans="1:12" ht="16.5">
      <c r="A29" s="1" t="s">
        <v>46</v>
      </c>
      <c r="B29" s="1" t="s">
        <v>47</v>
      </c>
      <c r="C29" s="19">
        <v>47105</v>
      </c>
      <c r="D29" s="23"/>
      <c r="E29" s="23"/>
      <c r="F29" s="19">
        <f>523+89</f>
        <v>612</v>
      </c>
      <c r="G29" s="31">
        <v>0</v>
      </c>
      <c r="H29" s="9">
        <f>1716+1359+339+627</f>
        <v>4041</v>
      </c>
      <c r="I29" s="9">
        <f>5705+3987+619</f>
        <v>10311</v>
      </c>
      <c r="J29" s="9">
        <f>29060+3081</f>
        <v>32141</v>
      </c>
      <c r="K29" s="19">
        <v>4755</v>
      </c>
      <c r="L29" s="9">
        <v>42350</v>
      </c>
    </row>
    <row r="30" spans="1:12" ht="16.5">
      <c r="A30" s="1" t="s">
        <v>48</v>
      </c>
      <c r="B30" s="1" t="s">
        <v>49</v>
      </c>
      <c r="C30" s="19">
        <v>138997</v>
      </c>
      <c r="D30" s="23"/>
      <c r="E30" s="23"/>
      <c r="F30" s="19">
        <f>1359+810</f>
        <v>2169</v>
      </c>
      <c r="G30" s="9">
        <v>100</v>
      </c>
      <c r="H30" s="9">
        <f>2335+4714+3053+4387</f>
        <v>14489</v>
      </c>
      <c r="I30" s="9">
        <f>13796+3450+4478</f>
        <v>21724</v>
      </c>
      <c r="J30" s="9">
        <f>72940+27575</f>
        <v>100515</v>
      </c>
      <c r="K30" s="19">
        <v>40403</v>
      </c>
      <c r="L30" s="9">
        <v>98594</v>
      </c>
    </row>
    <row r="31" spans="1:12" ht="16.5">
      <c r="A31" s="2" t="s">
        <v>134</v>
      </c>
      <c r="B31" s="1" t="s">
        <v>50</v>
      </c>
      <c r="C31" s="19">
        <v>96250</v>
      </c>
      <c r="D31" s="23"/>
      <c r="E31" s="23"/>
      <c r="F31" s="19">
        <f>852+317</f>
        <v>1169</v>
      </c>
      <c r="G31" s="9">
        <v>136</v>
      </c>
      <c r="H31" s="9">
        <f>1741+2236+1539+2448</f>
        <v>7964</v>
      </c>
      <c r="I31" s="9">
        <f>10774+9705+2205</f>
        <v>22684</v>
      </c>
      <c r="J31" s="9">
        <f>49162+15135</f>
        <v>64297</v>
      </c>
      <c r="K31" s="19">
        <v>21780</v>
      </c>
      <c r="L31" s="9">
        <v>74470</v>
      </c>
    </row>
    <row r="32" spans="1:12" ht="16.5">
      <c r="A32" s="1" t="s">
        <v>51</v>
      </c>
      <c r="B32" s="1" t="s">
        <v>52</v>
      </c>
      <c r="C32" s="19">
        <v>114084</v>
      </c>
      <c r="D32" s="23"/>
      <c r="E32" s="23"/>
      <c r="F32" s="19">
        <f>628+153</f>
        <v>781</v>
      </c>
      <c r="G32" s="31">
        <v>0</v>
      </c>
      <c r="H32" s="9">
        <f>3465+3911+807+1527</f>
        <v>9710</v>
      </c>
      <c r="I32" s="9">
        <f>14322+16167+1059</f>
        <v>31548</v>
      </c>
      <c r="J32" s="9">
        <f>64394+7651</f>
        <v>72045</v>
      </c>
      <c r="K32" s="19">
        <v>11197</v>
      </c>
      <c r="L32" s="9">
        <v>102887</v>
      </c>
    </row>
    <row r="33" spans="1:12" ht="16.5">
      <c r="A33" s="1" t="s">
        <v>53</v>
      </c>
      <c r="B33" s="1" t="s">
        <v>54</v>
      </c>
      <c r="C33" s="19">
        <v>140381</v>
      </c>
      <c r="D33" s="23"/>
      <c r="E33" s="23"/>
      <c r="F33" s="19">
        <f>656+218</f>
        <v>874</v>
      </c>
      <c r="G33" s="9">
        <v>190</v>
      </c>
      <c r="H33" s="9">
        <f>3065+4287+783+1381</f>
        <v>9516</v>
      </c>
      <c r="I33" s="9">
        <f>22885+9250+1389</f>
        <v>33524</v>
      </c>
      <c r="J33" s="9">
        <f>87448+8829</f>
        <v>96277</v>
      </c>
      <c r="K33" s="19">
        <v>12790</v>
      </c>
      <c r="L33" s="9">
        <v>127591</v>
      </c>
    </row>
    <row r="34" spans="1:12" ht="16.5">
      <c r="A34" s="1" t="s">
        <v>55</v>
      </c>
      <c r="B34" s="1" t="s">
        <v>56</v>
      </c>
      <c r="C34" s="19">
        <v>78231</v>
      </c>
      <c r="D34" s="23"/>
      <c r="E34" s="23"/>
      <c r="F34" s="19">
        <f>553+209</f>
        <v>762</v>
      </c>
      <c r="G34" s="9">
        <v>66</v>
      </c>
      <c r="H34" s="9">
        <f>2340+1724+786+1015</f>
        <v>5865</v>
      </c>
      <c r="I34" s="9">
        <f>6170+8953+961</f>
        <v>16084</v>
      </c>
      <c r="J34" s="9">
        <f>46166+9288</f>
        <v>55454</v>
      </c>
      <c r="K34" s="19">
        <v>12325</v>
      </c>
      <c r="L34" s="9">
        <v>65906</v>
      </c>
    </row>
    <row r="35" spans="1:12" ht="16.5">
      <c r="A35" s="1" t="s">
        <v>57</v>
      </c>
      <c r="B35" s="1" t="s">
        <v>58</v>
      </c>
      <c r="C35" s="19">
        <v>60925</v>
      </c>
      <c r="D35" s="23"/>
      <c r="E35" s="23"/>
      <c r="F35" s="19">
        <f>534+369</f>
        <v>903</v>
      </c>
      <c r="G35" s="9">
        <v>50</v>
      </c>
      <c r="H35" s="9">
        <f>992+1589+1063+1893</f>
        <v>5537</v>
      </c>
      <c r="I35" s="9">
        <f>4672+3179+2197</f>
        <v>10048</v>
      </c>
      <c r="J35" s="9">
        <f>34027+10360</f>
        <v>44387</v>
      </c>
      <c r="K35" s="19">
        <v>15932</v>
      </c>
      <c r="L35" s="9">
        <v>44993</v>
      </c>
    </row>
    <row r="36" spans="1:12" ht="16.5">
      <c r="A36" s="1" t="s">
        <v>59</v>
      </c>
      <c r="B36" s="1" t="s">
        <v>60</v>
      </c>
      <c r="C36" s="19">
        <v>22783</v>
      </c>
      <c r="D36" s="23"/>
      <c r="E36" s="23"/>
      <c r="F36" s="19">
        <f>299+68</f>
        <v>367</v>
      </c>
      <c r="G36" s="9">
        <v>20</v>
      </c>
      <c r="H36" s="9">
        <f>787+1014+140+232</f>
        <v>2173</v>
      </c>
      <c r="I36" s="9">
        <f>3223+2221+541</f>
        <v>5985</v>
      </c>
      <c r="J36" s="9">
        <f>12267+1971</f>
        <v>14238</v>
      </c>
      <c r="K36" s="19">
        <v>2972</v>
      </c>
      <c r="L36" s="9">
        <v>19811</v>
      </c>
    </row>
    <row r="37" spans="1:12" ht="16.5">
      <c r="A37" s="1" t="s">
        <v>61</v>
      </c>
      <c r="B37" s="1" t="s">
        <v>62</v>
      </c>
      <c r="C37" s="19">
        <v>31099</v>
      </c>
      <c r="D37" s="23"/>
      <c r="E37" s="23"/>
      <c r="F37" s="19">
        <f>184+297</f>
        <v>481</v>
      </c>
      <c r="G37" s="9">
        <v>294</v>
      </c>
      <c r="H37" s="9">
        <f>443+840+1077+1423</f>
        <v>3783</v>
      </c>
      <c r="I37" s="9">
        <f>1534+1774+1736</f>
        <v>5044</v>
      </c>
      <c r="J37" s="9">
        <f>9225+12272</f>
        <v>21497</v>
      </c>
      <c r="K37" s="19">
        <v>17099</v>
      </c>
      <c r="L37" s="9">
        <v>14000</v>
      </c>
    </row>
    <row r="38" spans="1:12" ht="16.5">
      <c r="A38" s="1" t="s">
        <v>63</v>
      </c>
      <c r="B38" s="1" t="s">
        <v>64</v>
      </c>
      <c r="C38" s="19">
        <v>35938</v>
      </c>
      <c r="D38" s="23"/>
      <c r="E38" s="23"/>
      <c r="F38" s="19">
        <f>91+482</f>
        <v>573</v>
      </c>
      <c r="G38" s="9">
        <v>312</v>
      </c>
      <c r="H38" s="9">
        <f>167+406+1846+3757</f>
        <v>6176</v>
      </c>
      <c r="I38" s="9">
        <f>1138+775+2913</f>
        <v>4826</v>
      </c>
      <c r="J38" s="9">
        <f>5384+18667</f>
        <v>24051</v>
      </c>
      <c r="K38" s="19">
        <v>27977</v>
      </c>
      <c r="L38" s="9">
        <v>7961</v>
      </c>
    </row>
    <row r="39" spans="1:12" ht="16.5">
      <c r="A39" s="1" t="s">
        <v>65</v>
      </c>
      <c r="B39" s="1" t="s">
        <v>66</v>
      </c>
      <c r="C39" s="19">
        <v>121722</v>
      </c>
      <c r="D39" s="23"/>
      <c r="E39" s="23"/>
      <c r="F39" s="19">
        <f>608+633</f>
        <v>1241</v>
      </c>
      <c r="G39" s="9">
        <v>329</v>
      </c>
      <c r="H39" s="9">
        <f>2585+4923+2315+4764</f>
        <v>14587</v>
      </c>
      <c r="I39" s="9">
        <f>16438+4573+3492</f>
        <v>24503</v>
      </c>
      <c r="J39" s="9">
        <f>56976+24086</f>
        <v>81062</v>
      </c>
      <c r="K39" s="19">
        <v>35619</v>
      </c>
      <c r="L39" s="9">
        <v>86103</v>
      </c>
    </row>
    <row r="40" spans="1:12" ht="16.5">
      <c r="A40" s="2" t="s">
        <v>135</v>
      </c>
      <c r="B40" s="1" t="s">
        <v>67</v>
      </c>
      <c r="C40" s="19">
        <v>132309</v>
      </c>
      <c r="D40" s="23"/>
      <c r="E40" s="23"/>
      <c r="F40" s="19">
        <f>674+239</f>
        <v>913</v>
      </c>
      <c r="G40" s="9">
        <v>174</v>
      </c>
      <c r="H40" s="9">
        <f>3682+6951+577+2269</f>
        <v>13479</v>
      </c>
      <c r="I40" s="9">
        <f>16125+11679+1955</f>
        <v>29759</v>
      </c>
      <c r="J40" s="9">
        <f>76442+11542</f>
        <v>87984</v>
      </c>
      <c r="K40" s="19">
        <v>16756</v>
      </c>
      <c r="L40" s="9">
        <v>115553</v>
      </c>
    </row>
    <row r="41" spans="1:12" ht="16.5">
      <c r="A41" s="1" t="s">
        <v>68</v>
      </c>
      <c r="B41" s="1" t="s">
        <v>69</v>
      </c>
      <c r="C41" s="19">
        <v>74408</v>
      </c>
      <c r="D41" s="23"/>
      <c r="E41" s="23"/>
      <c r="F41" s="19">
        <f>488+197</f>
        <v>685</v>
      </c>
      <c r="G41" s="9">
        <v>71</v>
      </c>
      <c r="H41" s="9">
        <f>1911+3688+972+858</f>
        <v>7429</v>
      </c>
      <c r="I41" s="9">
        <f>11689+2382+1417</f>
        <v>15488</v>
      </c>
      <c r="J41" s="9">
        <f>43569+7166</f>
        <v>50735</v>
      </c>
      <c r="K41" s="19">
        <v>10681</v>
      </c>
      <c r="L41" s="9">
        <v>63727</v>
      </c>
    </row>
    <row r="42" spans="1:12" ht="16.5">
      <c r="A42" s="1" t="s">
        <v>70</v>
      </c>
      <c r="B42" s="1" t="s">
        <v>71</v>
      </c>
      <c r="C42" s="19">
        <v>127205</v>
      </c>
      <c r="D42" s="23"/>
      <c r="E42" s="23"/>
      <c r="F42" s="19">
        <f>800+381</f>
        <v>1181</v>
      </c>
      <c r="G42" s="9">
        <v>343</v>
      </c>
      <c r="H42" s="9">
        <f>3263+4148+1062+1722</f>
        <v>10195</v>
      </c>
      <c r="I42" s="9">
        <f>16598+6254+2051</f>
        <v>24903</v>
      </c>
      <c r="J42" s="9">
        <f>76898+13685</f>
        <v>90583</v>
      </c>
      <c r="K42" s="19">
        <v>19244</v>
      </c>
      <c r="L42" s="9">
        <v>107961</v>
      </c>
    </row>
    <row r="43" spans="1:12" ht="16.5">
      <c r="A43" s="1" t="s">
        <v>72</v>
      </c>
      <c r="B43" s="1" t="s">
        <v>73</v>
      </c>
      <c r="C43" s="19">
        <v>73148</v>
      </c>
      <c r="D43" s="23"/>
      <c r="E43" s="23"/>
      <c r="F43" s="19">
        <f>1130+62</f>
        <v>1192</v>
      </c>
      <c r="G43" s="31">
        <v>0</v>
      </c>
      <c r="H43" s="9">
        <f>2622+2983+184+248</f>
        <v>6037</v>
      </c>
      <c r="I43" s="9">
        <f>7062+8847+312</f>
        <v>16221</v>
      </c>
      <c r="J43" s="9">
        <f>47531+2167</f>
        <v>49698</v>
      </c>
      <c r="K43" s="19">
        <v>2973</v>
      </c>
      <c r="L43" s="9">
        <v>70175</v>
      </c>
    </row>
    <row r="44" spans="1:12" ht="16.5">
      <c r="A44" s="1" t="s">
        <v>74</v>
      </c>
      <c r="B44" s="1" t="s">
        <v>75</v>
      </c>
      <c r="C44" s="19">
        <v>93379</v>
      </c>
      <c r="D44" s="23"/>
      <c r="E44" s="23"/>
      <c r="F44" s="19">
        <f>421+61</f>
        <v>482</v>
      </c>
      <c r="G44" s="9">
        <v>21</v>
      </c>
      <c r="H44" s="9">
        <f>2694+4169+471+742</f>
        <v>8076</v>
      </c>
      <c r="I44" s="9">
        <f>11464+8806+460</f>
        <v>20730</v>
      </c>
      <c r="J44" s="9">
        <f>59634+4436</f>
        <v>64070</v>
      </c>
      <c r="K44" s="19">
        <v>6191</v>
      </c>
      <c r="L44" s="9">
        <v>87188</v>
      </c>
    </row>
    <row r="45" spans="1:12" ht="16.5">
      <c r="A45" s="1" t="s">
        <v>76</v>
      </c>
      <c r="B45" s="1" t="s">
        <v>77</v>
      </c>
      <c r="C45" s="19">
        <v>33703</v>
      </c>
      <c r="D45" s="23"/>
      <c r="E45" s="23"/>
      <c r="F45" s="19">
        <f>451+120</f>
        <v>571</v>
      </c>
      <c r="G45" s="9">
        <v>71</v>
      </c>
      <c r="H45" s="9">
        <f>1410+738+294+637</f>
        <v>3079</v>
      </c>
      <c r="I45" s="9">
        <f>2074+2272+648</f>
        <v>4994</v>
      </c>
      <c r="J45" s="9">
        <f>19615+5373</f>
        <v>24988</v>
      </c>
      <c r="K45" s="19">
        <v>7143</v>
      </c>
      <c r="L45" s="9">
        <v>26560</v>
      </c>
    </row>
    <row r="46" spans="1:12" ht="16.5">
      <c r="A46" s="1" t="s">
        <v>78</v>
      </c>
      <c r="B46" s="1" t="s">
        <v>79</v>
      </c>
      <c r="C46" s="19">
        <v>15647</v>
      </c>
      <c r="D46" s="23"/>
      <c r="E46" s="23"/>
      <c r="F46" s="19">
        <f>151+74</f>
        <v>225</v>
      </c>
      <c r="G46" s="9">
        <v>53</v>
      </c>
      <c r="H46" s="9">
        <f>357+466+221+493</f>
        <v>1537</v>
      </c>
      <c r="I46" s="9">
        <f>1094+1153+507</f>
        <v>2754</v>
      </c>
      <c r="J46" s="9">
        <f>7693+3385</f>
        <v>11078</v>
      </c>
      <c r="K46" s="19">
        <v>4733</v>
      </c>
      <c r="L46" s="9">
        <v>10914</v>
      </c>
    </row>
    <row r="47" spans="1:12" ht="16.5">
      <c r="A47" s="1" t="s">
        <v>80</v>
      </c>
      <c r="B47" s="1" t="s">
        <v>81</v>
      </c>
      <c r="C47" s="19">
        <v>38561</v>
      </c>
      <c r="D47" s="23"/>
      <c r="E47" s="23"/>
      <c r="F47" s="19">
        <f>65+366</f>
        <v>431</v>
      </c>
      <c r="G47" s="9">
        <v>404</v>
      </c>
      <c r="H47" s="9">
        <f>254+313+1705+3488</f>
        <v>5760</v>
      </c>
      <c r="I47" s="9">
        <f>966+424+2760</f>
        <v>4150</v>
      </c>
      <c r="J47" s="9">
        <f>5287+22529</f>
        <v>27816</v>
      </c>
      <c r="K47" s="19">
        <v>31252</v>
      </c>
      <c r="L47" s="9">
        <v>7309</v>
      </c>
    </row>
    <row r="48" spans="1:12" ht="16.5">
      <c r="A48" s="1" t="s">
        <v>82</v>
      </c>
      <c r="B48" s="1" t="s">
        <v>83</v>
      </c>
      <c r="C48" s="19">
        <v>63796</v>
      </c>
      <c r="D48" s="23"/>
      <c r="E48" s="23"/>
      <c r="F48" s="19">
        <f>844+156</f>
        <v>1000</v>
      </c>
      <c r="G48" s="9">
        <v>5</v>
      </c>
      <c r="H48" s="9">
        <f>1841+1936+706+618</f>
        <v>5101</v>
      </c>
      <c r="I48">
        <f>3870+3145+1496</f>
        <v>8511</v>
      </c>
      <c r="J48" s="9">
        <f>44164+5015</f>
        <v>49179</v>
      </c>
      <c r="K48" s="19">
        <v>7996</v>
      </c>
      <c r="L48" s="9">
        <v>55800</v>
      </c>
    </row>
    <row r="49" spans="1:12" ht="16.5">
      <c r="A49" s="1" t="s">
        <v>84</v>
      </c>
      <c r="B49" s="1" t="s">
        <v>85</v>
      </c>
      <c r="C49" s="19">
        <v>113617</v>
      </c>
      <c r="D49" s="23"/>
      <c r="E49" s="23"/>
      <c r="F49" s="19">
        <f>838+859</f>
        <v>1697</v>
      </c>
      <c r="G49" s="9">
        <v>791</v>
      </c>
      <c r="H49" s="9">
        <f>1534+3756+2850+5681</f>
        <v>13821</v>
      </c>
      <c r="I49" s="9">
        <f>5672+9560+5432</f>
        <v>20664</v>
      </c>
      <c r="J49" s="9">
        <f>44513+32131</f>
        <v>76644</v>
      </c>
      <c r="K49" s="19">
        <v>47744</v>
      </c>
      <c r="L49" s="9">
        <v>65873</v>
      </c>
    </row>
    <row r="50" spans="1:12" ht="16.5">
      <c r="A50" s="1" t="s">
        <v>86</v>
      </c>
      <c r="B50" s="1" t="s">
        <v>87</v>
      </c>
      <c r="C50" s="19">
        <v>103500</v>
      </c>
      <c r="D50" s="23"/>
      <c r="E50" s="23"/>
      <c r="F50" s="19">
        <f>521+561</f>
        <v>1082</v>
      </c>
      <c r="G50" s="9">
        <v>388</v>
      </c>
      <c r="H50" s="9">
        <f>2001+2652+1782+3137</f>
        <v>9572</v>
      </c>
      <c r="I50" s="9">
        <f>7933+6717+2817</f>
        <v>17467</v>
      </c>
      <c r="J50" s="9">
        <f>51366+23625</f>
        <v>74991</v>
      </c>
      <c r="K50" s="19">
        <v>32310</v>
      </c>
      <c r="L50" s="9">
        <v>71190</v>
      </c>
    </row>
    <row r="51" spans="1:12" ht="16.5">
      <c r="A51" s="1" t="s">
        <v>88</v>
      </c>
      <c r="B51" s="1" t="s">
        <v>89</v>
      </c>
      <c r="C51" s="19">
        <v>86839</v>
      </c>
      <c r="D51" s="23"/>
      <c r="E51" s="23"/>
      <c r="F51" s="19">
        <f>519+52</f>
        <v>571</v>
      </c>
      <c r="G51" s="31">
        <v>0</v>
      </c>
      <c r="H51" s="9">
        <f>2932+2516+168+296</f>
        <v>5912</v>
      </c>
      <c r="I51" s="9">
        <f>11488+0+290</f>
        <v>11778</v>
      </c>
      <c r="J51" s="9">
        <f>67514+1064</f>
        <v>68578</v>
      </c>
      <c r="K51" s="19">
        <v>1870</v>
      </c>
      <c r="L51" s="9">
        <v>84969</v>
      </c>
    </row>
    <row r="52" spans="1:12" ht="16.5">
      <c r="A52" s="1" t="s">
        <v>90</v>
      </c>
      <c r="B52" s="1" t="s">
        <v>91</v>
      </c>
      <c r="C52" s="19">
        <v>125107</v>
      </c>
      <c r="D52" s="23"/>
      <c r="E52" s="23"/>
      <c r="F52" s="19">
        <f>724+850</f>
        <v>1574</v>
      </c>
      <c r="G52" s="9">
        <v>484</v>
      </c>
      <c r="H52" s="9">
        <f>1967+2655+2414+3879</f>
        <v>10915</v>
      </c>
      <c r="I52" s="9">
        <f>11284+6647+4658</f>
        <v>22589</v>
      </c>
      <c r="J52" s="9">
        <f>57236+32309</f>
        <v>89545</v>
      </c>
      <c r="K52" s="19">
        <v>44594</v>
      </c>
      <c r="L52" s="9">
        <v>80513</v>
      </c>
    </row>
    <row r="53" spans="1:12" ht="16.5">
      <c r="A53" s="1" t="s">
        <v>92</v>
      </c>
      <c r="B53" s="1" t="s">
        <v>93</v>
      </c>
      <c r="C53" s="19">
        <v>113085</v>
      </c>
      <c r="D53" s="23"/>
      <c r="E53" s="23"/>
      <c r="F53" s="19">
        <f>684+249</f>
        <v>933</v>
      </c>
      <c r="G53" s="9">
        <v>191</v>
      </c>
      <c r="H53" s="9">
        <f>2318+2685+1047+2145</f>
        <v>8195</v>
      </c>
      <c r="I53" s="9">
        <f>21218+2992+1050</f>
        <v>25260</v>
      </c>
      <c r="J53" s="9">
        <f>67548+10958</f>
        <v>78506</v>
      </c>
      <c r="K53" s="19">
        <v>15640</v>
      </c>
      <c r="L53" s="9">
        <v>97445</v>
      </c>
    </row>
    <row r="54" spans="1:12" ht="16.5">
      <c r="A54" s="1" t="s">
        <v>94</v>
      </c>
      <c r="B54" s="1" t="s">
        <v>95</v>
      </c>
      <c r="C54" s="19">
        <v>64358</v>
      </c>
      <c r="D54" s="23"/>
      <c r="E54" s="23"/>
      <c r="F54" s="19">
        <f>555+173</f>
        <v>728</v>
      </c>
      <c r="G54" s="9">
        <v>56</v>
      </c>
      <c r="H54" s="9">
        <f>2785+2360+756+1120</f>
        <v>7021</v>
      </c>
      <c r="I54" s="9">
        <f>8311+7430+1873</f>
        <v>17614</v>
      </c>
      <c r="J54" s="9">
        <f>30219+8720</f>
        <v>38939</v>
      </c>
      <c r="K54" s="19">
        <v>12698</v>
      </c>
      <c r="L54" s="9">
        <v>51660</v>
      </c>
    </row>
    <row r="55" spans="1:12" ht="16.5">
      <c r="A55" s="1" t="s">
        <v>96</v>
      </c>
      <c r="B55" s="1" t="s">
        <v>97</v>
      </c>
      <c r="C55" s="19">
        <v>121292</v>
      </c>
      <c r="D55" s="23"/>
      <c r="E55" s="23"/>
      <c r="F55" s="19">
        <f>1071+687</f>
        <v>1758</v>
      </c>
      <c r="G55" s="9">
        <v>546</v>
      </c>
      <c r="H55" s="9">
        <f>1940+4539+2843+3951</f>
        <v>13273</v>
      </c>
      <c r="I55" s="9">
        <f>7213+7256+5322</f>
        <v>19791</v>
      </c>
      <c r="J55" s="9">
        <f>54350+31574</f>
        <v>85924</v>
      </c>
      <c r="K55" s="19">
        <v>44923</v>
      </c>
      <c r="L55" s="9">
        <v>76369</v>
      </c>
    </row>
    <row r="56" spans="1:12" ht="16.5">
      <c r="A56" s="1" t="s">
        <v>98</v>
      </c>
      <c r="B56" s="1" t="s">
        <v>99</v>
      </c>
      <c r="C56" s="19">
        <v>6528</v>
      </c>
      <c r="D56" s="23"/>
      <c r="E56" s="23"/>
      <c r="F56" s="19">
        <f>21+50</f>
        <v>71</v>
      </c>
      <c r="G56" s="9">
        <v>87</v>
      </c>
      <c r="H56" s="9">
        <f>48+66+361+356</f>
        <v>831</v>
      </c>
      <c r="I56" s="9">
        <f>145+124+615</f>
        <v>884</v>
      </c>
      <c r="J56" s="9">
        <f>863+3792</f>
        <v>4655</v>
      </c>
      <c r="K56" s="19">
        <v>5261</v>
      </c>
      <c r="L56" s="9">
        <v>1267</v>
      </c>
    </row>
    <row r="57" spans="1:12" ht="16.5">
      <c r="A57" s="1" t="s">
        <v>100</v>
      </c>
      <c r="B57" s="1" t="s">
        <v>101</v>
      </c>
      <c r="C57" s="19">
        <v>66242</v>
      </c>
      <c r="D57" s="23"/>
      <c r="E57" s="23"/>
      <c r="F57" s="19">
        <f>581+262</f>
        <v>843</v>
      </c>
      <c r="G57" s="9">
        <v>92</v>
      </c>
      <c r="H57" s="9">
        <f>1307+3289+1065+1523</f>
        <v>7184</v>
      </c>
      <c r="I57" s="9">
        <f>10482+2153+2446</f>
        <v>15081</v>
      </c>
      <c r="J57" s="9">
        <f>31986+11056</f>
        <v>43042</v>
      </c>
      <c r="K57" s="19">
        <v>16444</v>
      </c>
      <c r="L57" s="9">
        <v>49798</v>
      </c>
    </row>
    <row r="58" spans="1:12" ht="16.5">
      <c r="A58" s="1" t="s">
        <v>102</v>
      </c>
      <c r="B58" s="1" t="s">
        <v>103</v>
      </c>
      <c r="C58" s="19">
        <v>84229</v>
      </c>
      <c r="D58" s="23"/>
      <c r="E58" s="23"/>
      <c r="F58" s="19">
        <f>609+70</f>
        <v>679</v>
      </c>
      <c r="G58" s="9">
        <v>12</v>
      </c>
      <c r="H58" s="9">
        <f>2536+3345+132+376</f>
        <v>6389</v>
      </c>
      <c r="I58" s="9">
        <f>12461+6388+278</f>
        <v>19127</v>
      </c>
      <c r="J58" s="9">
        <f>56062+1960</f>
        <v>58022</v>
      </c>
      <c r="K58" s="19">
        <v>2828</v>
      </c>
      <c r="L58" s="9">
        <v>81401</v>
      </c>
    </row>
    <row r="59" spans="1:12" ht="16.5">
      <c r="A59" s="1" t="s">
        <v>104</v>
      </c>
      <c r="B59" s="1" t="s">
        <v>105</v>
      </c>
      <c r="C59" s="19">
        <v>91416</v>
      </c>
      <c r="D59" s="23"/>
      <c r="E59" s="23"/>
      <c r="F59" s="19">
        <f>689+415</f>
        <v>1104</v>
      </c>
      <c r="G59" s="9">
        <v>135</v>
      </c>
      <c r="H59" s="9">
        <f>1867+3202+1547+2444</f>
        <v>9060</v>
      </c>
      <c r="I59" s="9">
        <f>5076+10588+2187</f>
        <v>17851</v>
      </c>
      <c r="J59" s="9">
        <f>48355+14911</f>
        <v>63266</v>
      </c>
      <c r="K59" s="19">
        <v>21639</v>
      </c>
      <c r="L59" s="9">
        <v>69777</v>
      </c>
    </row>
    <row r="60" spans="1:12" ht="16.5">
      <c r="A60" s="1" t="s">
        <v>106</v>
      </c>
      <c r="B60" s="1" t="s">
        <v>107</v>
      </c>
      <c r="C60" s="19">
        <v>305270</v>
      </c>
      <c r="D60" s="23"/>
      <c r="E60" s="23"/>
      <c r="F60" s="19">
        <f>2179+1054</f>
        <v>3233</v>
      </c>
      <c r="G60" s="9">
        <v>1216</v>
      </c>
      <c r="H60" s="9">
        <f>6963+9779+5108+7003</f>
        <v>28853</v>
      </c>
      <c r="I60" s="9">
        <f>35792+18348+9337</f>
        <v>63477</v>
      </c>
      <c r="J60" s="9">
        <f>148526+59965</f>
        <v>208491</v>
      </c>
      <c r="K60" s="19">
        <v>83683</v>
      </c>
      <c r="L60" s="9">
        <v>221587</v>
      </c>
    </row>
    <row r="61" spans="1:12" ht="16.5">
      <c r="A61" s="1" t="s">
        <v>108</v>
      </c>
      <c r="B61" s="1" t="s">
        <v>109</v>
      </c>
      <c r="C61" s="19">
        <v>43769</v>
      </c>
      <c r="D61" s="23"/>
      <c r="E61" s="23"/>
      <c r="F61" s="19">
        <f>720+216</f>
        <v>936</v>
      </c>
      <c r="G61" s="9">
        <v>13</v>
      </c>
      <c r="H61" s="9">
        <f>986+1443+365+670</f>
        <v>3464</v>
      </c>
      <c r="I61" s="9">
        <f>3132+3829+776</f>
        <v>7737</v>
      </c>
      <c r="J61" s="9">
        <f>23049+8570</f>
        <v>31619</v>
      </c>
      <c r="K61" s="19">
        <v>10610</v>
      </c>
      <c r="L61" s="9">
        <v>33159</v>
      </c>
    </row>
    <row r="62" spans="1:12" ht="16.5">
      <c r="A62" s="1" t="s">
        <v>110</v>
      </c>
      <c r="B62" s="1" t="s">
        <v>111</v>
      </c>
      <c r="C62" s="19">
        <v>14406</v>
      </c>
      <c r="D62" s="23"/>
      <c r="E62" s="23"/>
      <c r="F62" s="19">
        <f>280+40</f>
        <v>320</v>
      </c>
      <c r="G62" s="9">
        <v>20</v>
      </c>
      <c r="H62" s="9">
        <f>320+727+103+152</f>
        <v>1302</v>
      </c>
      <c r="I62" s="9">
        <f>2008+907+216</f>
        <v>3131</v>
      </c>
      <c r="J62" s="9">
        <f>8743+890</f>
        <v>9633</v>
      </c>
      <c r="K62" s="19">
        <v>1421</v>
      </c>
      <c r="L62" s="9">
        <v>12985</v>
      </c>
    </row>
    <row r="63" spans="1:12" ht="16.5">
      <c r="A63" s="1" t="s">
        <v>112</v>
      </c>
      <c r="B63" s="1" t="s">
        <v>113</v>
      </c>
      <c r="C63" s="19">
        <v>72331</v>
      </c>
      <c r="D63" s="23"/>
      <c r="E63" s="23"/>
      <c r="F63" s="19">
        <f>666+451</f>
        <v>1117</v>
      </c>
      <c r="G63" s="9">
        <v>240</v>
      </c>
      <c r="H63" s="9">
        <f>1452+3465+1246+2153</f>
        <v>8316</v>
      </c>
      <c r="I63" s="9">
        <f>9374+2461+2255</f>
        <v>14090</v>
      </c>
      <c r="J63" s="9">
        <f>33213+15355</f>
        <v>48568</v>
      </c>
      <c r="K63" s="19">
        <v>21700</v>
      </c>
      <c r="L63" s="9">
        <v>50631</v>
      </c>
    </row>
    <row r="64" spans="1:12" ht="16.5">
      <c r="A64" s="1" t="s">
        <v>114</v>
      </c>
      <c r="B64" s="1" t="s">
        <v>115</v>
      </c>
      <c r="C64" s="19">
        <v>83256</v>
      </c>
      <c r="D64" s="23"/>
      <c r="E64" s="23"/>
      <c r="F64" s="19">
        <f>467+297</f>
        <v>764</v>
      </c>
      <c r="G64" s="9">
        <v>372</v>
      </c>
      <c r="H64" s="9">
        <f>1980+1891+1310+2471</f>
        <v>7652</v>
      </c>
      <c r="I64" s="9">
        <f>8234+6204+2242</f>
        <v>16680</v>
      </c>
      <c r="J64" s="9">
        <f>42011+15777</f>
        <v>57788</v>
      </c>
      <c r="K64" s="19">
        <v>22469</v>
      </c>
      <c r="L64" s="9">
        <v>60787</v>
      </c>
    </row>
    <row r="65" spans="1:12" ht="16.5">
      <c r="A65" s="1" t="s">
        <v>116</v>
      </c>
      <c r="B65" s="1" t="s">
        <v>117</v>
      </c>
      <c r="C65" s="19">
        <v>37054</v>
      </c>
      <c r="D65" s="23"/>
      <c r="E65" s="23"/>
      <c r="F65" s="19">
        <f>377+178</f>
        <v>555</v>
      </c>
      <c r="G65" s="9">
        <v>9</v>
      </c>
      <c r="H65" s="9">
        <f>1041+1351+325+604</f>
        <v>3321</v>
      </c>
      <c r="I65" s="9">
        <f>5674+2242+814</f>
        <v>8730</v>
      </c>
      <c r="J65" s="9">
        <f>21855+2584</f>
        <v>24439</v>
      </c>
      <c r="K65" s="19">
        <v>4514</v>
      </c>
      <c r="L65" s="9">
        <v>32540</v>
      </c>
    </row>
    <row r="66" spans="1:12" ht="16.5">
      <c r="A66" s="1" t="s">
        <v>118</v>
      </c>
      <c r="B66" s="1" t="s">
        <v>119</v>
      </c>
      <c r="C66" s="19">
        <v>114485</v>
      </c>
      <c r="D66" s="23"/>
      <c r="E66" s="23"/>
      <c r="F66" s="19">
        <f>479+264</f>
        <v>743</v>
      </c>
      <c r="G66" s="9">
        <v>286</v>
      </c>
      <c r="H66" s="9">
        <f>3188+4829+1909+2471</f>
        <v>12397</v>
      </c>
      <c r="I66" s="9">
        <f>12766+6655+2256</f>
        <v>21677</v>
      </c>
      <c r="J66" s="9">
        <f>64570+14812</f>
        <v>79382</v>
      </c>
      <c r="K66" s="19">
        <v>21998</v>
      </c>
      <c r="L66" s="9">
        <v>92487</v>
      </c>
    </row>
    <row r="67" spans="1:12" ht="16.5">
      <c r="A67" s="34" t="s">
        <v>120</v>
      </c>
      <c r="B67" s="34" t="s">
        <v>121</v>
      </c>
      <c r="C67" s="35">
        <v>27834</v>
      </c>
      <c r="D67" s="36"/>
      <c r="E67" s="36"/>
      <c r="F67" s="35">
        <f>816+97</f>
        <v>913</v>
      </c>
      <c r="G67" s="37">
        <v>3</v>
      </c>
      <c r="H67" s="37">
        <f>1989+1222+212+167</f>
        <v>3590</v>
      </c>
      <c r="I67" s="37">
        <f>2779+7864+504</f>
        <v>11147</v>
      </c>
      <c r="J67" s="37">
        <f>10546+1635</f>
        <v>12181</v>
      </c>
      <c r="K67" s="35">
        <v>2618</v>
      </c>
      <c r="L67" s="37">
        <v>25216</v>
      </c>
    </row>
    <row r="68" spans="1:12" ht="15.75" hidden="1">
      <c r="A68" s="14"/>
      <c r="B68" s="14"/>
      <c r="C68" s="18"/>
      <c r="D68" s="14"/>
      <c r="E68" s="14"/>
      <c r="F68" s="18"/>
      <c r="G68" s="14"/>
      <c r="H68" s="14"/>
      <c r="I68" s="14"/>
      <c r="J68" s="14"/>
      <c r="K68" s="18"/>
      <c r="L68" s="1"/>
    </row>
    <row r="69" spans="1:12" ht="15.75">
      <c r="A69" s="41" t="s">
        <v>144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7"/>
    </row>
    <row r="70" spans="1:12" ht="15.75">
      <c r="A70" t="s">
        <v>132</v>
      </c>
      <c r="B70" s="33"/>
      <c r="C70" s="33"/>
      <c r="D70" s="33"/>
      <c r="J70" s="7"/>
      <c r="K70" s="7"/>
      <c r="L70" s="1"/>
    </row>
    <row r="71" spans="1:12" ht="15.75">
      <c r="A71" t="s">
        <v>133</v>
      </c>
      <c r="B71" s="33"/>
      <c r="C71" s="33"/>
      <c r="D71" s="33"/>
      <c r="J71" s="7"/>
      <c r="K71" s="1"/>
      <c r="L71" s="1"/>
    </row>
    <row r="72" spans="1:12" ht="15.75">
      <c r="A72" s="33" t="s">
        <v>131</v>
      </c>
      <c r="B72" s="33"/>
      <c r="C72" s="33"/>
      <c r="D72" s="33"/>
      <c r="J72" s="7"/>
      <c r="K72" s="1"/>
      <c r="L72" s="1"/>
    </row>
    <row r="73" spans="1:12" ht="15.75">
      <c r="A73" s="1"/>
      <c r="J73" s="7"/>
      <c r="K73" s="1"/>
      <c r="L73" s="1"/>
    </row>
    <row r="74" spans="1:12" ht="15.75">
      <c r="A74" s="1" t="s">
        <v>122</v>
      </c>
      <c r="B74" s="1"/>
      <c r="C74" s="7"/>
      <c r="D74" s="7"/>
      <c r="E74" s="7"/>
      <c r="F74" s="7"/>
      <c r="G74" s="7"/>
      <c r="H74" s="7"/>
      <c r="I74" s="7"/>
      <c r="J74" s="7"/>
      <c r="K74" s="1"/>
      <c r="L74" s="1"/>
    </row>
    <row r="75" spans="1:12" ht="15.75">
      <c r="A75" s="2" t="s">
        <v>140</v>
      </c>
      <c r="B75" s="1"/>
      <c r="C75" s="11"/>
      <c r="D75" s="11"/>
      <c r="E75" s="11"/>
      <c r="F75" s="11"/>
      <c r="G75" s="7"/>
      <c r="H75" s="11"/>
      <c r="I75" s="11"/>
      <c r="J75" s="11"/>
      <c r="K75" s="1"/>
      <c r="L75" s="1"/>
    </row>
    <row r="76" spans="1:12" ht="15.75">
      <c r="A76" s="2" t="s">
        <v>127</v>
      </c>
      <c r="B76" s="1"/>
      <c r="C76" s="11"/>
      <c r="D76" s="11"/>
      <c r="E76" s="11"/>
      <c r="F76" s="11"/>
      <c r="G76" s="7"/>
      <c r="H76" s="11"/>
      <c r="I76" s="11"/>
      <c r="J76" s="11"/>
      <c r="K76" s="1"/>
      <c r="L76" s="1"/>
    </row>
    <row r="77" spans="1:12" ht="15.75">
      <c r="A77" s="1"/>
      <c r="B77" s="1"/>
      <c r="C77" s="7"/>
      <c r="D77" s="7"/>
      <c r="E77" s="7"/>
      <c r="F77" s="7"/>
      <c r="G77" s="7"/>
      <c r="H77" s="7"/>
      <c r="I77" s="7"/>
      <c r="J77" s="7"/>
      <c r="K77" s="1"/>
      <c r="L77" s="1"/>
    </row>
    <row r="78" spans="1:12" ht="15.75">
      <c r="A78" s="1" t="s">
        <v>124</v>
      </c>
      <c r="B78" s="1"/>
      <c r="C78" s="1"/>
      <c r="D78" s="1"/>
      <c r="E78" s="1"/>
      <c r="F78" s="1"/>
      <c r="G78" s="7"/>
      <c r="H78" s="1"/>
      <c r="I78" s="1"/>
      <c r="J78" s="1"/>
      <c r="K78" s="1"/>
      <c r="L78" s="1"/>
    </row>
    <row r="79" spans="1:11" ht="15.75">
      <c r="A79" s="21" t="s">
        <v>125</v>
      </c>
      <c r="B79" s="1"/>
      <c r="C79" s="7"/>
      <c r="D79" s="7"/>
      <c r="E79" s="7"/>
      <c r="F79" s="7"/>
      <c r="G79" s="7"/>
      <c r="H79" s="7"/>
      <c r="I79" s="7"/>
      <c r="J79" s="7"/>
      <c r="K79" s="1"/>
    </row>
    <row r="80" spans="1:11" ht="15.75">
      <c r="A80" s="1"/>
      <c r="B80" s="1"/>
      <c r="C80" s="11"/>
      <c r="D80" s="11"/>
      <c r="E80" s="11"/>
      <c r="F80" s="11"/>
      <c r="G80" s="11"/>
      <c r="H80" s="11"/>
      <c r="I80" s="11"/>
      <c r="J80" s="11"/>
      <c r="K80" s="1"/>
    </row>
    <row r="81" spans="1:11" ht="15.75">
      <c r="A81" s="1"/>
      <c r="B81" s="1"/>
      <c r="C81" s="11"/>
      <c r="D81" s="11"/>
      <c r="E81" s="11"/>
      <c r="F81" s="11"/>
      <c r="G81" s="11"/>
      <c r="H81" s="11"/>
      <c r="I81" s="11"/>
      <c r="J81" s="11"/>
      <c r="K81" s="1"/>
    </row>
    <row r="82" spans="1:11" ht="15.75" hidden="1">
      <c r="A82" s="2" t="s">
        <v>130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2" ht="15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hidden="1">
      <c r="A84" s="7" t="s">
        <v>123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hidden="1">
      <c r="A85" s="10" t="s">
        <v>136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hidden="1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hidden="1">
      <c r="A89" s="2" t="s">
        <v>137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hidden="1">
      <c r="A90" s="2" t="s">
        <v>138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</sheetData>
  <hyperlinks>
    <hyperlink ref="A79" r:id="rId1" display="&lt;http://www.fhwa.dot.gov/policy/ohpi/hss/index.htm&gt;"/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paperSize="17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6" t="s">
        <v>139</v>
      </c>
    </row>
    <row r="3" ht="15.75">
      <c r="A3" s="40" t="s">
        <v>142</v>
      </c>
    </row>
    <row r="5" ht="15.75">
      <c r="A5" t="s">
        <v>143</v>
      </c>
    </row>
    <row r="6" ht="16.5">
      <c r="A6" s="2" t="s">
        <v>128</v>
      </c>
    </row>
    <row r="7" ht="15.75">
      <c r="A7" s="1" t="s">
        <v>0</v>
      </c>
    </row>
    <row r="9" ht="15.75">
      <c r="A9" s="41" t="s">
        <v>144</v>
      </c>
    </row>
    <row r="10" ht="15.75">
      <c r="A10" t="s">
        <v>132</v>
      </c>
    </row>
    <row r="11" ht="15.75">
      <c r="A11" t="s">
        <v>133</v>
      </c>
    </row>
    <row r="12" ht="15.75">
      <c r="A12" s="33" t="s">
        <v>131</v>
      </c>
    </row>
    <row r="13" ht="15.75">
      <c r="A13" s="1"/>
    </row>
    <row r="14" ht="15.75">
      <c r="A14" s="1" t="s">
        <v>122</v>
      </c>
    </row>
    <row r="15" ht="15.75">
      <c r="A15" s="2" t="s">
        <v>140</v>
      </c>
    </row>
    <row r="16" ht="15.75">
      <c r="A16" s="2" t="s">
        <v>127</v>
      </c>
    </row>
    <row r="17" ht="15.75">
      <c r="A17" s="1"/>
    </row>
    <row r="18" ht="15.75">
      <c r="A18" s="1" t="s">
        <v>124</v>
      </c>
    </row>
    <row r="19" ht="15.75">
      <c r="A19" s="21" t="s">
        <v>125</v>
      </c>
    </row>
  </sheetData>
  <hyperlinks>
    <hyperlink ref="A3" location="Data!A1" display="Back to data"/>
    <hyperlink ref="A19" r:id="rId1" display="&lt;http://www.fhwa.dot.gov/policy/ohpi/hss/index.htm&gt;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Mileage by State--Functional Systems and Urban/Rural</dc:title>
  <dc:subject/>
  <dc:creator>US Census Bureau</dc:creator>
  <cp:keywords/>
  <dc:description/>
  <cp:lastModifiedBy>Bureau Of The Census</cp:lastModifiedBy>
  <cp:lastPrinted>2008-06-17T18:03:28Z</cp:lastPrinted>
  <dcterms:created xsi:type="dcterms:W3CDTF">2004-11-09T13:11:48Z</dcterms:created>
  <dcterms:modified xsi:type="dcterms:W3CDTF">2008-11-10T13:15:29Z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