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<sst xmlns="http://schemas.openxmlformats.org/spreadsheetml/2006/main" count="72" uniqueCount="72">
  <si>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Contributions from Individuals of $200 or More</t>
  </si>
  <si>
    <t>to Presidential Pre-Nomination Campaigns</t>
  </si>
  <si>
    <t>by State of the Contributor</t>
  </si>
  <si>
    <t>State</t>
  </si>
  <si>
    <t>Bush</t>
  </si>
  <si>
    <t>Kerry</t>
  </si>
  <si>
    <t>Edwards</t>
  </si>
  <si>
    <t>Dean</t>
  </si>
  <si>
    <t>Lieberman</t>
  </si>
  <si>
    <t>Gephardt</t>
  </si>
  <si>
    <t>LaRouche</t>
  </si>
  <si>
    <t>Clark</t>
  </si>
  <si>
    <t>Kucinich</t>
  </si>
  <si>
    <t>Moseley Braun</t>
  </si>
  <si>
    <t>Sharpton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</si>
  <si>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</si>
  <si>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</si>
  <si>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</si>
  <si>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</si>
  <si>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</si>
  <si>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</si>
  <si>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</si>
  <si>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</si>
  <si>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</si>
  <si>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</si>
  <si>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</si>
  <si>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</si>
  <si>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</si>
  <si>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</si>
  <si>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</si>
  <si>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</si>
  <si>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</si>
  <si>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</si>
  <si>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</si>
  <si>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</si>
  <si>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</si>
  <si>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Mariana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</si>
  <si>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</si>
  <si>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</si>
  <si>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</si>
  <si>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</si>
  <si>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</si>
  <si>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</si>
  <si>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</si>
  <si>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</si>
  <si>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</si>
  <si>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</si>
  <si>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</si>
  <si>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</si>
  <si>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</si>
  <si>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</si>
  <si>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</si>
  <si>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</si>
  <si>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</si>
  <si>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</si>
  <si>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</si>
  <si>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</si>
  <si>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</si>
  <si>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</si>
  <si>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</si>
  <si>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</si>
  <si>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</si>
  <si>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</si>
  <si>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</si>
  <si>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</si>
  <si>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</si>
  <si>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</si>
  <si>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</si>
  <si>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</si>
  <si>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</si>
  <si>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(no state listed)</t>
  </si>
  <si>
    <t>*This table does not include prior campaigns or contributions to general election compliance funds.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</si>
</sst>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17.00390625" style="0" customWidth="1"/>
    <col min="2" max="7" width="9.8515625" style="0" bestFit="1" customWidth="1"/>
    <col min="11" max="11" width="12.140625" style="0" bestFit="1" customWidth="1"/>
  </cols>
  <sheetData>
    <row r="1" spans="1:12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2" t="s">
        <v>1</v>
      </c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2" t="s">
        <v>2</v>
      </c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15</v>
      </c>
      <c r="B7" s="1">
        <f>666037-75</f>
        <v>665962</v>
      </c>
      <c r="C7" s="1">
        <f>87250</f>
        <v>87250</v>
      </c>
      <c r="D7" s="1">
        <v>508900</v>
      </c>
      <c r="E7" s="1">
        <f>39750-100</f>
        <v>39650</v>
      </c>
      <c r="F7" s="1">
        <v>35050</v>
      </c>
      <c r="G7" s="1">
        <f>31530-2000</f>
        <v>29530</v>
      </c>
      <c r="H7" s="1">
        <f>9785+5950-175</f>
        <v>15560</v>
      </c>
      <c r="I7" s="1">
        <v>3700</v>
      </c>
      <c r="J7" s="1">
        <v>1700</v>
      </c>
      <c r="K7" s="1">
        <v>500</v>
      </c>
      <c r="L7" s="1"/>
    </row>
    <row r="8" spans="1:12" ht="12.75">
      <c r="A8" s="1" t="s">
        <v>16</v>
      </c>
      <c r="B8" s="1">
        <v>61225</v>
      </c>
      <c r="C8" s="1">
        <f>1250</f>
        <v>1250</v>
      </c>
      <c r="D8" s="1">
        <v>3250</v>
      </c>
      <c r="E8" s="1">
        <f>14150+1000</f>
        <v>15150</v>
      </c>
      <c r="F8" s="1">
        <v>250</v>
      </c>
      <c r="G8" s="1">
        <v>500</v>
      </c>
      <c r="H8" s="1">
        <f>8490+11875-825</f>
        <v>19540</v>
      </c>
      <c r="I8" s="1">
        <v>3800</v>
      </c>
      <c r="J8" s="1">
        <f>2750-100</f>
        <v>2650</v>
      </c>
      <c r="K8" s="1"/>
      <c r="L8" s="1"/>
    </row>
    <row r="9" spans="1:12" ht="12.75">
      <c r="A9" s="1" t="s">
        <v>17</v>
      </c>
      <c r="B9" s="1">
        <f>457095-720</f>
        <v>456375</v>
      </c>
      <c r="C9" s="1">
        <f>45421</f>
        <v>45421</v>
      </c>
      <c r="D9" s="1">
        <v>130900</v>
      </c>
      <c r="E9" s="1">
        <v>131502</v>
      </c>
      <c r="F9" s="1">
        <v>95300</v>
      </c>
      <c r="G9" s="1">
        <v>37047</v>
      </c>
      <c r="H9" s="1">
        <f>23430+17370-120</f>
        <v>40680</v>
      </c>
      <c r="I9" s="1">
        <v>22325</v>
      </c>
      <c r="J9" s="1">
        <v>28175</v>
      </c>
      <c r="K9" s="1">
        <v>500</v>
      </c>
      <c r="L9" s="1">
        <v>400</v>
      </c>
    </row>
    <row r="10" spans="1:12" ht="12.75">
      <c r="A10" s="1" t="s">
        <v>18</v>
      </c>
      <c r="B10" s="1">
        <f>133892-6175</f>
        <v>127717</v>
      </c>
      <c r="C10" s="1">
        <f>3500</f>
        <v>3500</v>
      </c>
      <c r="D10" s="1">
        <f>51250-12000</f>
        <v>39250</v>
      </c>
      <c r="E10" s="1">
        <v>22038</v>
      </c>
      <c r="F10" s="1">
        <v>250</v>
      </c>
      <c r="G10" s="1">
        <v>5550</v>
      </c>
      <c r="H10" s="1">
        <f>2675+5200</f>
        <v>7875</v>
      </c>
      <c r="I10" s="1">
        <v>183203</v>
      </c>
      <c r="J10" s="1">
        <v>2650</v>
      </c>
      <c r="K10" s="1"/>
      <c r="L10" s="1"/>
    </row>
    <row r="11" spans="1:12" ht="12.75">
      <c r="A11" s="1" t="s">
        <v>19</v>
      </c>
      <c r="B11" s="1">
        <f>8292080-62824</f>
        <v>8229256</v>
      </c>
      <c r="C11" s="1">
        <f>3191360-26050+22750</f>
        <v>3188060</v>
      </c>
      <c r="D11" s="1">
        <f>2146415-1500</f>
        <v>2144915</v>
      </c>
      <c r="E11" s="1">
        <f>2828620-16360+23100</f>
        <v>2835360</v>
      </c>
      <c r="F11" s="1">
        <f>1842040-14600</f>
        <v>1827440</v>
      </c>
      <c r="G11" s="1">
        <f>1838452-7250</f>
        <v>1831202</v>
      </c>
      <c r="H11" s="1">
        <f>204715-2270+185375-2025</f>
        <v>385795</v>
      </c>
      <c r="I11" s="1">
        <v>525873</v>
      </c>
      <c r="J11" s="1">
        <f>490273-5000</f>
        <v>485273</v>
      </c>
      <c r="K11" s="1">
        <v>26161</v>
      </c>
      <c r="L11" s="1">
        <v>11800</v>
      </c>
    </row>
    <row r="12" spans="1:12" ht="12.75">
      <c r="A12" s="1" t="s">
        <v>20</v>
      </c>
      <c r="B12" s="1">
        <f>1034140+5500-4300</f>
        <v>1035340</v>
      </c>
      <c r="C12" s="1">
        <f>2000+91375</f>
        <v>93375</v>
      </c>
      <c r="D12" s="1">
        <v>89950</v>
      </c>
      <c r="E12" s="1">
        <f>150754-3100+1000</f>
        <v>148654</v>
      </c>
      <c r="F12" s="1">
        <v>122125</v>
      </c>
      <c r="G12" s="1">
        <v>62349</v>
      </c>
      <c r="H12" s="1">
        <f>27470+23510</f>
        <v>50980</v>
      </c>
      <c r="I12" s="1">
        <v>29950</v>
      </c>
      <c r="J12" s="1">
        <v>16066</v>
      </c>
      <c r="K12" s="1">
        <v>5250</v>
      </c>
      <c r="L12" s="1"/>
    </row>
    <row r="13" spans="1:12" ht="12.75">
      <c r="A13" s="1" t="s">
        <v>21</v>
      </c>
      <c r="B13" s="1">
        <f>1421691-6000</f>
        <v>1415691</v>
      </c>
      <c r="C13" s="1">
        <f>329400-2000+4000</f>
        <v>331400</v>
      </c>
      <c r="D13" s="1">
        <v>221650</v>
      </c>
      <c r="E13" s="1">
        <f>233240-230+9250</f>
        <v>242260</v>
      </c>
      <c r="F13" s="1">
        <f>2047775-4325</f>
        <v>2043450</v>
      </c>
      <c r="G13" s="1">
        <v>85550</v>
      </c>
      <c r="H13" s="1">
        <f>17375+11925-130</f>
        <v>29170</v>
      </c>
      <c r="I13" s="1">
        <v>35000</v>
      </c>
      <c r="J13" s="1">
        <f>29350-200</f>
        <v>29150</v>
      </c>
      <c r="K13" s="1">
        <v>5250</v>
      </c>
      <c r="L13" s="1">
        <v>500</v>
      </c>
    </row>
    <row r="14" spans="1:12" ht="12.75">
      <c r="A14" s="1" t="s">
        <v>22</v>
      </c>
      <c r="B14" s="1">
        <v>243863</v>
      </c>
      <c r="C14" s="1">
        <f>1750</f>
        <v>1750</v>
      </c>
      <c r="D14" s="1">
        <v>33400</v>
      </c>
      <c r="E14" s="1">
        <f>16926+500</f>
        <v>17426</v>
      </c>
      <c r="F14" s="1">
        <v>12750</v>
      </c>
      <c r="G14" s="1">
        <v>15500</v>
      </c>
      <c r="H14" s="1">
        <f>7930+5280-40</f>
        <v>13170</v>
      </c>
      <c r="I14" s="1">
        <v>3000</v>
      </c>
      <c r="J14" s="1">
        <v>500</v>
      </c>
      <c r="K14" s="1"/>
      <c r="L14" s="1">
        <v>4450</v>
      </c>
    </row>
    <row r="15" spans="1:12" ht="12.75">
      <c r="A15" s="1" t="s">
        <v>23</v>
      </c>
      <c r="B15" s="1">
        <f>990880-13060</f>
        <v>977820</v>
      </c>
      <c r="C15" s="1">
        <f>509050-1000+38500</f>
        <v>546550</v>
      </c>
      <c r="D15" s="1">
        <f>184475-1000</f>
        <v>183475</v>
      </c>
      <c r="E15" s="1">
        <f>350783-510+12300</f>
        <v>362573</v>
      </c>
      <c r="F15" s="1">
        <f>316085-275</f>
        <v>315810</v>
      </c>
      <c r="G15" s="1">
        <f>342285-500</f>
        <v>341785</v>
      </c>
      <c r="H15" s="1">
        <f>10825-165+5200-555</f>
        <v>15305</v>
      </c>
      <c r="I15" s="1">
        <v>56851</v>
      </c>
      <c r="J15" s="1">
        <v>5482</v>
      </c>
      <c r="K15" s="1">
        <v>5731</v>
      </c>
      <c r="L15" s="1">
        <v>6700</v>
      </c>
    </row>
    <row r="16" spans="1:12" ht="12.75">
      <c r="A16" s="1" t="s">
        <v>24</v>
      </c>
      <c r="B16" s="1">
        <f>7293941-38885</f>
        <v>7255056</v>
      </c>
      <c r="C16" s="1">
        <f>699968-3000+25800</f>
        <v>722768</v>
      </c>
      <c r="D16" s="1">
        <v>589200</v>
      </c>
      <c r="E16" s="1">
        <f>256299-1850+6000</f>
        <v>260449</v>
      </c>
      <c r="F16" s="1">
        <f>771227-5000</f>
        <v>766227</v>
      </c>
      <c r="G16" s="1">
        <f>407700-1000</f>
        <v>406700</v>
      </c>
      <c r="H16" s="1">
        <f>33890+34350-50</f>
        <v>68190</v>
      </c>
      <c r="I16" s="1">
        <v>86100</v>
      </c>
      <c r="J16" s="1">
        <v>25556</v>
      </c>
      <c r="K16" s="1">
        <v>8450</v>
      </c>
      <c r="L16" s="1"/>
    </row>
    <row r="17" spans="1:12" ht="12.75">
      <c r="A17" s="1" t="s">
        <v>25</v>
      </c>
      <c r="B17" s="1">
        <f>2869340-26900</f>
        <v>2842440</v>
      </c>
      <c r="C17" s="1">
        <f>220250</f>
        <v>220250</v>
      </c>
      <c r="D17" s="1">
        <v>463952</v>
      </c>
      <c r="E17" s="1">
        <f>160256-150+1500</f>
        <v>161606</v>
      </c>
      <c r="F17" s="1">
        <v>108410</v>
      </c>
      <c r="G17" s="1">
        <v>61767</v>
      </c>
      <c r="H17" s="1">
        <f>18235+15845-155</f>
        <v>33925</v>
      </c>
      <c r="I17" s="1">
        <v>17700</v>
      </c>
      <c r="J17" s="1">
        <v>4050</v>
      </c>
      <c r="K17" s="1">
        <v>2500</v>
      </c>
      <c r="L17" s="1">
        <v>17300</v>
      </c>
    </row>
    <row r="18" spans="1:12" ht="12.75">
      <c r="A18" s="1" t="s">
        <v>26</v>
      </c>
      <c r="B18" s="1">
        <v>1750</v>
      </c>
      <c r="C18" s="1"/>
      <c r="D18" s="1">
        <v>1000</v>
      </c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27</v>
      </c>
      <c r="B19" s="1">
        <f>47000-150</f>
        <v>46850</v>
      </c>
      <c r="C19" s="1">
        <f>9250-1000</f>
        <v>8250</v>
      </c>
      <c r="D19" s="1">
        <v>19400</v>
      </c>
      <c r="E19" s="1">
        <f>32374</f>
        <v>32374</v>
      </c>
      <c r="F19" s="1">
        <v>2750</v>
      </c>
      <c r="G19" s="1">
        <v>6500</v>
      </c>
      <c r="H19" s="1">
        <f>2500+3250</f>
        <v>5750</v>
      </c>
      <c r="I19" s="1">
        <v>3750</v>
      </c>
      <c r="J19" s="1">
        <f>8800-250</f>
        <v>8550</v>
      </c>
      <c r="K19" s="1"/>
      <c r="L19" s="1"/>
    </row>
    <row r="20" spans="1:12" ht="12.75">
      <c r="A20" s="1" t="s">
        <v>28</v>
      </c>
      <c r="B20" s="1">
        <v>121420</v>
      </c>
      <c r="C20" s="1">
        <f>48006</f>
        <v>48006</v>
      </c>
      <c r="D20" s="1">
        <v>500</v>
      </c>
      <c r="E20" s="1">
        <v>11800</v>
      </c>
      <c r="F20" s="1"/>
      <c r="G20" s="1">
        <v>4000</v>
      </c>
      <c r="H20" s="1">
        <f>10800+10275</f>
        <v>21075</v>
      </c>
      <c r="I20" s="1">
        <v>3250</v>
      </c>
      <c r="J20" s="1">
        <v>200</v>
      </c>
      <c r="K20" s="1"/>
      <c r="L20" s="1"/>
    </row>
    <row r="21" spans="1:12" ht="12.75">
      <c r="A21" s="1" t="s">
        <v>29</v>
      </c>
      <c r="B21" s="1">
        <f>3591795-710</f>
        <v>3591085</v>
      </c>
      <c r="C21" s="1">
        <f>688770+1000</f>
        <v>689770</v>
      </c>
      <c r="D21" s="1">
        <v>691050</v>
      </c>
      <c r="E21" s="1">
        <f>298711-250+2050</f>
        <v>300511</v>
      </c>
      <c r="F21" s="1">
        <f>479932-9150</f>
        <v>470782</v>
      </c>
      <c r="G21" s="1">
        <v>508687</v>
      </c>
      <c r="H21" s="1">
        <f>24050-350+38654-410</f>
        <v>61944</v>
      </c>
      <c r="I21" s="1">
        <v>71520</v>
      </c>
      <c r="J21" s="1">
        <f>36245-50</f>
        <v>36195</v>
      </c>
      <c r="K21" s="1">
        <v>131940</v>
      </c>
      <c r="L21" s="1">
        <v>8400</v>
      </c>
    </row>
    <row r="22" spans="1:12" ht="12.75">
      <c r="A22" s="1" t="s">
        <v>30</v>
      </c>
      <c r="B22" s="1">
        <f>1547811-4250</f>
        <v>1543561</v>
      </c>
      <c r="C22" s="1">
        <f>53050+1000</f>
        <v>54050</v>
      </c>
      <c r="D22" s="1">
        <v>83250</v>
      </c>
      <c r="E22" s="1">
        <v>52972</v>
      </c>
      <c r="F22" s="1">
        <v>16000</v>
      </c>
      <c r="G22" s="1">
        <v>61680</v>
      </c>
      <c r="H22" s="1">
        <f>14150-225+17055-85</f>
        <v>30895</v>
      </c>
      <c r="I22" s="1">
        <v>8750</v>
      </c>
      <c r="J22" s="1">
        <f>5750-60</f>
        <v>5690</v>
      </c>
      <c r="K22" s="1">
        <v>1250</v>
      </c>
      <c r="L22" s="1"/>
    </row>
    <row r="23" spans="1:12" ht="12.75">
      <c r="A23" s="1" t="s">
        <v>31</v>
      </c>
      <c r="B23" s="1">
        <f>228288-150</f>
        <v>228138</v>
      </c>
      <c r="C23" s="1">
        <f>30449</f>
        <v>30449</v>
      </c>
      <c r="D23" s="1">
        <v>24450</v>
      </c>
      <c r="E23" s="1">
        <v>34894</v>
      </c>
      <c r="F23" s="1">
        <v>15500</v>
      </c>
      <c r="G23" s="1">
        <v>23550</v>
      </c>
      <c r="H23" s="1">
        <f>7100-5+9900-30</f>
        <v>16965</v>
      </c>
      <c r="I23" s="1">
        <v>2400</v>
      </c>
      <c r="J23" s="1">
        <v>20088</v>
      </c>
      <c r="K23" s="1"/>
      <c r="L23" s="1"/>
    </row>
    <row r="24" spans="1:12" ht="12.75">
      <c r="A24" s="1" t="s">
        <v>32</v>
      </c>
      <c r="B24" s="1">
        <f>318979-55</f>
        <v>318924</v>
      </c>
      <c r="C24" s="1">
        <f>16250</f>
        <v>16250</v>
      </c>
      <c r="D24" s="1">
        <v>38750</v>
      </c>
      <c r="E24" s="1">
        <v>23880</v>
      </c>
      <c r="F24" s="1">
        <v>7600</v>
      </c>
      <c r="G24" s="1">
        <v>93413</v>
      </c>
      <c r="H24" s="1">
        <f>8850+14025</f>
        <v>22875</v>
      </c>
      <c r="I24" s="1">
        <v>4650</v>
      </c>
      <c r="J24" s="1">
        <v>1550</v>
      </c>
      <c r="K24" s="1"/>
      <c r="L24" s="1"/>
    </row>
    <row r="25" spans="1:12" ht="12.75">
      <c r="A25" s="1" t="s">
        <v>33</v>
      </c>
      <c r="B25" s="1">
        <f>589570-4137</f>
        <v>585433</v>
      </c>
      <c r="C25" s="1">
        <f>7250</f>
        <v>7250</v>
      </c>
      <c r="D25" s="1">
        <v>188180</v>
      </c>
      <c r="E25" s="1">
        <v>22950</v>
      </c>
      <c r="F25" s="1">
        <v>2000</v>
      </c>
      <c r="G25" s="1">
        <v>47000</v>
      </c>
      <c r="H25" s="1">
        <f>9225-250+6500-100</f>
        <v>15375</v>
      </c>
      <c r="I25" s="1">
        <v>3250</v>
      </c>
      <c r="J25" s="1">
        <f>21347-350</f>
        <v>20997</v>
      </c>
      <c r="K25" s="1"/>
      <c r="L25" s="1">
        <v>750</v>
      </c>
    </row>
    <row r="26" spans="1:12" ht="12.75">
      <c r="A26" s="1" t="s">
        <v>34</v>
      </c>
      <c r="B26" s="1">
        <f>484142-2225</f>
        <v>481917</v>
      </c>
      <c r="C26" s="1">
        <f>143650+1000</f>
        <v>144650</v>
      </c>
      <c r="D26" s="1">
        <f>273770-1100</f>
        <v>272670</v>
      </c>
      <c r="E26" s="1">
        <f>31599+250</f>
        <v>31849</v>
      </c>
      <c r="F26" s="1">
        <v>9750</v>
      </c>
      <c r="G26" s="1">
        <v>53600</v>
      </c>
      <c r="H26" s="1">
        <f>8115+6500</f>
        <v>14615</v>
      </c>
      <c r="I26" s="1">
        <v>10150</v>
      </c>
      <c r="J26" s="1">
        <v>950</v>
      </c>
      <c r="K26" s="1">
        <v>9000</v>
      </c>
      <c r="L26" s="1">
        <f>14650-2000</f>
        <v>12650</v>
      </c>
    </row>
    <row r="27" spans="1:12" ht="12.75">
      <c r="A27" s="1" t="s">
        <v>35</v>
      </c>
      <c r="B27" s="1">
        <f>67250-500</f>
        <v>66750</v>
      </c>
      <c r="C27" s="1">
        <f>20600</f>
        <v>20600</v>
      </c>
      <c r="D27" s="1">
        <v>500</v>
      </c>
      <c r="E27" s="1">
        <f>71118-25+250</f>
        <v>71343</v>
      </c>
      <c r="F27" s="1">
        <v>1750</v>
      </c>
      <c r="G27" s="1">
        <v>11200</v>
      </c>
      <c r="H27" s="1">
        <f>1250+3950</f>
        <v>5200</v>
      </c>
      <c r="I27" s="1">
        <v>3250</v>
      </c>
      <c r="J27" s="1">
        <f>11950-150</f>
        <v>11800</v>
      </c>
      <c r="K27" s="1"/>
      <c r="L27" s="1"/>
    </row>
    <row r="28" spans="1:12" ht="12.75">
      <c r="A28" s="1" t="s">
        <v>36</v>
      </c>
      <c r="B28" s="1">
        <v>7000</v>
      </c>
      <c r="C28" s="1"/>
      <c r="D28" s="1"/>
      <c r="E28" s="1">
        <v>250</v>
      </c>
      <c r="F28" s="1"/>
      <c r="G28" s="1"/>
      <c r="H28" s="1"/>
      <c r="I28" s="1">
        <v>250</v>
      </c>
      <c r="J28" s="1"/>
      <c r="K28" s="1"/>
      <c r="L28" s="1"/>
    </row>
    <row r="29" spans="1:12" ht="12.75">
      <c r="A29" s="1" t="s">
        <v>37</v>
      </c>
      <c r="B29" s="1">
        <f>1049640-20100</f>
        <v>1029540</v>
      </c>
      <c r="C29" s="1">
        <f>317900+13250</f>
        <v>331150</v>
      </c>
      <c r="D29" s="1">
        <v>142200</v>
      </c>
      <c r="E29" s="1">
        <f>271913-250+7250</f>
        <v>278913</v>
      </c>
      <c r="F29" s="1">
        <f>402690-2100</f>
        <v>400590</v>
      </c>
      <c r="G29" s="1">
        <v>357826</v>
      </c>
      <c r="H29" s="1">
        <f>52269-340+26900-900</f>
        <v>77929</v>
      </c>
      <c r="I29" s="1">
        <v>54650</v>
      </c>
      <c r="J29" s="1">
        <f>16600-725</f>
        <v>15875</v>
      </c>
      <c r="K29" s="1">
        <v>10000</v>
      </c>
      <c r="L29" s="1">
        <v>9750</v>
      </c>
    </row>
    <row r="30" spans="1:12" ht="12.75">
      <c r="A30" s="1" t="s">
        <v>38</v>
      </c>
      <c r="B30" s="1">
        <f>1740230-12111</f>
        <v>1728119</v>
      </c>
      <c r="C30" s="1">
        <f>3050583-7500+160750</f>
        <v>3203833</v>
      </c>
      <c r="D30" s="1">
        <v>137375</v>
      </c>
      <c r="E30" s="1">
        <f>864978-2850+49750</f>
        <v>911878</v>
      </c>
      <c r="F30" s="1">
        <v>242925</v>
      </c>
      <c r="G30" s="1">
        <v>227920</v>
      </c>
      <c r="H30" s="1">
        <f>32925-15+24305-50</f>
        <v>57165</v>
      </c>
      <c r="I30" s="1">
        <v>70850</v>
      </c>
      <c r="J30" s="1">
        <v>43915</v>
      </c>
      <c r="K30" s="1">
        <v>4200</v>
      </c>
      <c r="L30" s="1">
        <v>6000</v>
      </c>
    </row>
    <row r="31" spans="1:12" ht="12.75">
      <c r="A31" s="1" t="s">
        <v>39</v>
      </c>
      <c r="B31" s="1">
        <f>2663828-17125</f>
        <v>2646703</v>
      </c>
      <c r="C31" s="1">
        <f>173850-1000+1000</f>
        <v>173850</v>
      </c>
      <c r="D31" s="1">
        <f>256600-1000</f>
        <v>255600</v>
      </c>
      <c r="E31" s="1">
        <f>106474+800</f>
        <v>107274</v>
      </c>
      <c r="F31" s="1">
        <f>160338-3000</f>
        <v>157338</v>
      </c>
      <c r="G31" s="1">
        <v>121750</v>
      </c>
      <c r="H31" s="1">
        <f>35055-425+42095-559</f>
        <v>76166</v>
      </c>
      <c r="I31" s="1">
        <v>22000</v>
      </c>
      <c r="J31" s="1">
        <v>18250</v>
      </c>
      <c r="K31" s="1">
        <v>2000</v>
      </c>
      <c r="L31" s="1">
        <v>38500</v>
      </c>
    </row>
    <row r="32" spans="1:12" ht="12.75">
      <c r="A32" s="1" t="s">
        <v>40</v>
      </c>
      <c r="B32" s="1">
        <f>1308325-2080</f>
        <v>1306245</v>
      </c>
      <c r="C32" s="1">
        <f>218820-1000</f>
        <v>217820</v>
      </c>
      <c r="D32" s="1">
        <v>37550</v>
      </c>
      <c r="E32" s="1">
        <f>125566-35</f>
        <v>125531</v>
      </c>
      <c r="F32" s="1">
        <v>58100</v>
      </c>
      <c r="G32" s="1">
        <v>41575</v>
      </c>
      <c r="H32" s="1">
        <f>27700-120+30490-457</f>
        <v>57613</v>
      </c>
      <c r="I32" s="1">
        <v>18525</v>
      </c>
      <c r="J32" s="1">
        <v>12300</v>
      </c>
      <c r="K32" s="1">
        <v>200</v>
      </c>
      <c r="L32" s="1"/>
    </row>
    <row r="33" spans="1:12" ht="12.75">
      <c r="A33" s="1" t="s">
        <v>41</v>
      </c>
      <c r="B33" s="1">
        <f>132630-270</f>
        <v>132360</v>
      </c>
      <c r="C33" s="1">
        <f>3500</f>
        <v>3500</v>
      </c>
      <c r="D33" s="1">
        <f>261600-25</f>
        <v>261575</v>
      </c>
      <c r="E33" s="1">
        <v>3085</v>
      </c>
      <c r="F33" s="1">
        <v>500</v>
      </c>
      <c r="G33" s="1">
        <v>28250</v>
      </c>
      <c r="H33" s="1">
        <f>5550+450-100</f>
        <v>5900</v>
      </c>
      <c r="I33" s="1">
        <v>6250</v>
      </c>
      <c r="J33" s="1">
        <v>450</v>
      </c>
      <c r="K33" s="1"/>
      <c r="L33" s="1"/>
    </row>
    <row r="34" spans="1:12" ht="12.75">
      <c r="A34" s="1" t="s">
        <v>42</v>
      </c>
      <c r="B34" s="1">
        <f>1109446-120</f>
        <v>1109326</v>
      </c>
      <c r="C34" s="1">
        <f>34825+2000</f>
        <v>36825</v>
      </c>
      <c r="D34" s="1">
        <v>76800</v>
      </c>
      <c r="E34" s="1">
        <f>52050-350+250</f>
        <v>51950</v>
      </c>
      <c r="F34" s="1">
        <v>22000</v>
      </c>
      <c r="G34" s="1">
        <f>1811468-750</f>
        <v>1810718</v>
      </c>
      <c r="H34" s="1">
        <f>9050-100+8500-325</f>
        <v>17125</v>
      </c>
      <c r="I34" s="1">
        <v>11100</v>
      </c>
      <c r="J34" s="1">
        <v>5500</v>
      </c>
      <c r="K34" s="1"/>
      <c r="L34" s="1">
        <v>2895</v>
      </c>
    </row>
    <row r="35" spans="1:12" ht="12.75">
      <c r="A35" s="1" t="s">
        <v>43</v>
      </c>
      <c r="B35" s="1">
        <f>167920-100</f>
        <v>167820</v>
      </c>
      <c r="C35" s="1">
        <f>1750</f>
        <v>1750</v>
      </c>
      <c r="D35" s="1">
        <v>7000</v>
      </c>
      <c r="E35" s="1">
        <f>12500-1000</f>
        <v>11500</v>
      </c>
      <c r="F35" s="1"/>
      <c r="G35" s="1">
        <v>300</v>
      </c>
      <c r="H35" s="1">
        <f>3750-50+2675-40</f>
        <v>6335</v>
      </c>
      <c r="I35" s="1">
        <v>2250</v>
      </c>
      <c r="J35" s="1">
        <v>2250</v>
      </c>
      <c r="K35" s="1"/>
      <c r="L35" s="1"/>
    </row>
    <row r="36" spans="1:12" ht="12.75">
      <c r="A36" s="1" t="s">
        <v>44</v>
      </c>
      <c r="B36" s="1">
        <f>631623-1000</f>
        <v>630623</v>
      </c>
      <c r="C36" s="1">
        <f>1550</f>
        <v>1550</v>
      </c>
      <c r="D36" s="1">
        <v>18000</v>
      </c>
      <c r="E36" s="1">
        <v>8399</v>
      </c>
      <c r="F36" s="1">
        <v>4750</v>
      </c>
      <c r="G36" s="1">
        <v>23000</v>
      </c>
      <c r="H36" s="1">
        <f>13025+13160-10</f>
        <v>26175</v>
      </c>
      <c r="I36" s="1">
        <v>1000</v>
      </c>
      <c r="J36" s="1">
        <f>1550-200</f>
        <v>1350</v>
      </c>
      <c r="K36" s="1"/>
      <c r="L36" s="1"/>
    </row>
    <row r="37" spans="1:12" ht="12.75">
      <c r="A37" s="1" t="s">
        <v>45</v>
      </c>
      <c r="B37" s="1">
        <f>445175-2000</f>
        <v>443175</v>
      </c>
      <c r="C37" s="1">
        <f>33750-2000</f>
        <v>31750</v>
      </c>
      <c r="D37" s="1">
        <v>61996</v>
      </c>
      <c r="E37" s="1">
        <v>32389</v>
      </c>
      <c r="F37" s="1">
        <v>10200</v>
      </c>
      <c r="G37" s="1">
        <f>124100-1000</f>
        <v>123100</v>
      </c>
      <c r="H37" s="1">
        <f>6500-25+7125</f>
        <v>13600</v>
      </c>
      <c r="I37" s="1">
        <v>38500</v>
      </c>
      <c r="J37" s="1">
        <v>5000</v>
      </c>
      <c r="K37" s="1">
        <v>10400</v>
      </c>
      <c r="L37" s="1"/>
    </row>
    <row r="38" spans="1:12" ht="12.75">
      <c r="A38" s="1" t="s">
        <v>46</v>
      </c>
      <c r="B38" s="1">
        <f>242401-25</f>
        <v>242376</v>
      </c>
      <c r="C38" s="1">
        <f>94600-2000+500</f>
        <v>93100</v>
      </c>
      <c r="D38" s="1">
        <v>27920</v>
      </c>
      <c r="E38" s="1">
        <f>185559-1000+250</f>
        <v>184809</v>
      </c>
      <c r="F38" s="1">
        <v>22510</v>
      </c>
      <c r="G38" s="1">
        <v>24976</v>
      </c>
      <c r="H38" s="1">
        <f>2900+2450-30</f>
        <v>5320</v>
      </c>
      <c r="I38" s="1">
        <v>6750</v>
      </c>
      <c r="J38" s="1">
        <f>8250-25</f>
        <v>8225</v>
      </c>
      <c r="K38" s="1">
        <v>3000</v>
      </c>
      <c r="L38" s="1"/>
    </row>
    <row r="39" spans="1:12" ht="12.75">
      <c r="A39" s="1" t="s">
        <v>47</v>
      </c>
      <c r="B39" s="1">
        <f>2094360-20315</f>
        <v>2074045</v>
      </c>
      <c r="C39" s="1">
        <f>839975-3500+112350</f>
        <v>948825</v>
      </c>
      <c r="D39" s="1">
        <v>283125</v>
      </c>
      <c r="E39" s="1">
        <f>394530-1375+4500</f>
        <v>397655</v>
      </c>
      <c r="F39" s="1">
        <v>612656</v>
      </c>
      <c r="G39" s="1">
        <f>382702-501</f>
        <v>382201</v>
      </c>
      <c r="H39" s="1">
        <f>75975-720+46895-1250</f>
        <v>120900</v>
      </c>
      <c r="I39" s="1">
        <v>49950</v>
      </c>
      <c r="J39" s="1">
        <f>12995-25</f>
        <v>12970</v>
      </c>
      <c r="K39" s="1"/>
      <c r="L39" s="1">
        <f>19050-100</f>
        <v>18950</v>
      </c>
    </row>
    <row r="40" spans="1:12" ht="12.75">
      <c r="A40" s="1" t="s">
        <v>48</v>
      </c>
      <c r="B40" s="1">
        <v>176835</v>
      </c>
      <c r="C40" s="1">
        <f>31450</f>
        <v>31450</v>
      </c>
      <c r="D40" s="1">
        <v>96600</v>
      </c>
      <c r="E40" s="1">
        <f>136085-250</f>
        <v>135835</v>
      </c>
      <c r="F40" s="1">
        <v>25950</v>
      </c>
      <c r="G40" s="1">
        <v>27792</v>
      </c>
      <c r="H40" s="1">
        <f>11050+7393-50</f>
        <v>18393</v>
      </c>
      <c r="I40" s="1">
        <v>10400</v>
      </c>
      <c r="J40" s="1">
        <f>32562-703</f>
        <v>31859</v>
      </c>
      <c r="K40" s="1"/>
      <c r="L40" s="1"/>
    </row>
    <row r="41" spans="1:12" ht="12.75">
      <c r="A41" s="1" t="s">
        <v>49</v>
      </c>
      <c r="B41" s="1">
        <f>4626220-24288</f>
        <v>4601932</v>
      </c>
      <c r="C41" s="1">
        <f>2108262+30300</f>
        <v>2138562</v>
      </c>
      <c r="D41" s="1">
        <f>1416750-2000</f>
        <v>1414750</v>
      </c>
      <c r="E41" s="1">
        <f>1640964-9500+74100</f>
        <v>1705564</v>
      </c>
      <c r="F41" s="1">
        <f>1899443-13750</f>
        <v>1885693</v>
      </c>
      <c r="G41" s="1">
        <f>1135471-3400</f>
        <v>1132071</v>
      </c>
      <c r="H41" s="1">
        <f>136320-940+91357-855</f>
        <v>225882</v>
      </c>
      <c r="I41" s="1">
        <v>451409</v>
      </c>
      <c r="J41" s="1">
        <f>87396-250</f>
        <v>87146</v>
      </c>
      <c r="K41" s="1"/>
      <c r="L41" s="1">
        <v>55663</v>
      </c>
    </row>
    <row r="42" spans="1:12" ht="12.75">
      <c r="A42" s="1" t="s">
        <v>50</v>
      </c>
      <c r="B42" s="1">
        <f>1035570-2110</f>
        <v>1033460</v>
      </c>
      <c r="C42" s="1">
        <f>8750</f>
        <v>8750</v>
      </c>
      <c r="D42" s="1">
        <f>1466632-3600</f>
        <v>1463032</v>
      </c>
      <c r="E42" s="1">
        <v>81125</v>
      </c>
      <c r="F42" s="1">
        <v>9500</v>
      </c>
      <c r="G42" s="1">
        <v>28000</v>
      </c>
      <c r="H42" s="1">
        <f>20090+12945-75</f>
        <v>32960</v>
      </c>
      <c r="I42" s="1">
        <v>20650</v>
      </c>
      <c r="J42" s="1">
        <v>8872</v>
      </c>
      <c r="K42" s="1"/>
      <c r="L42" s="1">
        <v>5450</v>
      </c>
    </row>
    <row r="43" spans="1:12" ht="12.75">
      <c r="A43" s="1" t="s">
        <v>51</v>
      </c>
      <c r="B43" s="1">
        <f>33500-25</f>
        <v>33475</v>
      </c>
      <c r="C43" s="1"/>
      <c r="D43" s="1">
        <v>2000</v>
      </c>
      <c r="E43" s="1">
        <v>1450</v>
      </c>
      <c r="F43" s="1"/>
      <c r="G43" s="1">
        <v>450</v>
      </c>
      <c r="H43" s="1">
        <f>7175+8050-150</f>
        <v>15075</v>
      </c>
      <c r="I43" s="1"/>
      <c r="J43" s="1"/>
      <c r="K43" s="1"/>
      <c r="L43" s="1"/>
    </row>
    <row r="44" spans="1:12" ht="12.75">
      <c r="A44" s="1" t="s">
        <v>52</v>
      </c>
      <c r="B44" s="1">
        <f>2988458-12175</f>
        <v>2976283</v>
      </c>
      <c r="C44" s="1">
        <f>78875</f>
        <v>78875</v>
      </c>
      <c r="D44" s="1">
        <v>203125</v>
      </c>
      <c r="E44" s="1">
        <f>112879-1000</f>
        <v>111879</v>
      </c>
      <c r="F44" s="1">
        <v>216650</v>
      </c>
      <c r="G44" s="1">
        <v>196007</v>
      </c>
      <c r="H44" s="1">
        <f>57810-730+44615-535</f>
        <v>101160</v>
      </c>
      <c r="I44" s="1">
        <v>22850</v>
      </c>
      <c r="J44" s="1">
        <f>55975-60</f>
        <v>55915</v>
      </c>
      <c r="K44" s="1"/>
      <c r="L44" s="1">
        <v>1000</v>
      </c>
    </row>
    <row r="45" spans="1:12" ht="12.75">
      <c r="A45" s="1" t="s">
        <v>53</v>
      </c>
      <c r="B45" s="1">
        <f>261151-100</f>
        <v>261051</v>
      </c>
      <c r="C45" s="1">
        <f>6000</f>
        <v>6000</v>
      </c>
      <c r="D45" s="1">
        <v>222250</v>
      </c>
      <c r="E45" s="1">
        <v>44870</v>
      </c>
      <c r="F45" s="1">
        <f>98100-1000</f>
        <v>97100</v>
      </c>
      <c r="G45" s="1">
        <v>41550</v>
      </c>
      <c r="H45" s="1">
        <f>10225+11575-750</f>
        <v>21050</v>
      </c>
      <c r="I45" s="1">
        <v>12050</v>
      </c>
      <c r="J45" s="1">
        <v>1000</v>
      </c>
      <c r="K45" s="1"/>
      <c r="L45" s="1"/>
    </row>
    <row r="46" spans="1:12" ht="12.75">
      <c r="A46" s="1" t="s">
        <v>54</v>
      </c>
      <c r="B46" s="1">
        <f>885285-18000</f>
        <v>867285</v>
      </c>
      <c r="C46" s="1">
        <f>18715-4000</f>
        <v>14715</v>
      </c>
      <c r="D46" s="1">
        <v>101575</v>
      </c>
      <c r="E46" s="1">
        <f>143003-1000</f>
        <v>142003</v>
      </c>
      <c r="F46" s="1">
        <v>8700</v>
      </c>
      <c r="G46" s="1">
        <v>6550</v>
      </c>
      <c r="H46" s="1">
        <f>32970-50+22800</f>
        <v>55720</v>
      </c>
      <c r="I46" s="1">
        <v>11100</v>
      </c>
      <c r="J46" s="1">
        <f>25597-520</f>
        <v>25077</v>
      </c>
      <c r="K46" s="1">
        <v>700</v>
      </c>
      <c r="L46" s="1"/>
    </row>
    <row r="47" spans="1:12" ht="12.75">
      <c r="A47" s="1" t="s">
        <v>55</v>
      </c>
      <c r="B47" s="1">
        <f>1830312-2135</f>
        <v>1828177</v>
      </c>
      <c r="C47" s="1">
        <f>295855-2000+6250</f>
        <v>300105</v>
      </c>
      <c r="D47" s="1">
        <v>379048</v>
      </c>
      <c r="E47" s="1">
        <f>277040+1050</f>
        <v>278090</v>
      </c>
      <c r="F47" s="1">
        <f>222400-500</f>
        <v>221900</v>
      </c>
      <c r="G47" s="1">
        <v>371326</v>
      </c>
      <c r="H47" s="1">
        <f>122085-567+87163-3415</f>
        <v>205266</v>
      </c>
      <c r="I47" s="1">
        <v>54873</v>
      </c>
      <c r="J47" s="1">
        <f>6250-100</f>
        <v>6150</v>
      </c>
      <c r="K47" s="1">
        <v>1350</v>
      </c>
      <c r="L47" s="1">
        <v>19250</v>
      </c>
    </row>
    <row r="48" spans="1:12" ht="12.75">
      <c r="A48" s="1" t="s">
        <v>56</v>
      </c>
      <c r="B48" s="1">
        <v>58800</v>
      </c>
      <c r="C48" s="1">
        <f>44000+37000</f>
        <v>81000</v>
      </c>
      <c r="D48" s="1"/>
      <c r="E48" s="1">
        <v>250</v>
      </c>
      <c r="F48" s="1"/>
      <c r="G48" s="1">
        <v>59000</v>
      </c>
      <c r="H48" s="1">
        <f>250+1000</f>
        <v>1250</v>
      </c>
      <c r="I48" s="1"/>
      <c r="J48" s="1"/>
      <c r="K48" s="1"/>
      <c r="L48" s="1"/>
    </row>
    <row r="49" spans="1:12" ht="12.75">
      <c r="A49" s="1" t="s">
        <v>57</v>
      </c>
      <c r="B49" s="1">
        <f>147040-2000</f>
        <v>145040</v>
      </c>
      <c r="C49" s="1">
        <f>256000+3000</f>
        <v>259000</v>
      </c>
      <c r="D49" s="1">
        <v>44450</v>
      </c>
      <c r="E49" s="1">
        <f>109124-100+1000</f>
        <v>110024</v>
      </c>
      <c r="F49" s="1">
        <v>44750</v>
      </c>
      <c r="G49" s="1">
        <v>54250</v>
      </c>
      <c r="H49" s="1">
        <f>5080-125+4300</f>
        <v>9255</v>
      </c>
      <c r="I49" s="1">
        <v>2750</v>
      </c>
      <c r="J49" s="1">
        <v>1250</v>
      </c>
      <c r="K49" s="1"/>
      <c r="L49" s="1"/>
    </row>
    <row r="50" spans="1:12" ht="12.75">
      <c r="A50" s="1" t="s">
        <v>58</v>
      </c>
      <c r="B50" s="1">
        <f>1086540-100</f>
        <v>1086440</v>
      </c>
      <c r="C50" s="1">
        <f>40150</f>
        <v>40150</v>
      </c>
      <c r="D50" s="1">
        <v>296932</v>
      </c>
      <c r="E50" s="1">
        <f>39958+1500</f>
        <v>41458</v>
      </c>
      <c r="F50" s="1">
        <v>47950</v>
      </c>
      <c r="G50" s="1">
        <v>29340</v>
      </c>
      <c r="H50" s="1">
        <f>11933+4050</f>
        <v>15983</v>
      </c>
      <c r="I50" s="1">
        <v>7500</v>
      </c>
      <c r="J50" s="1">
        <v>500</v>
      </c>
      <c r="K50" s="1">
        <v>6064</v>
      </c>
      <c r="L50" s="1">
        <v>1900</v>
      </c>
    </row>
    <row r="51" spans="1:12" ht="12.75">
      <c r="A51" s="1" t="s">
        <v>59</v>
      </c>
      <c r="B51" s="1">
        <f>165300-50</f>
        <v>165250</v>
      </c>
      <c r="C51" s="1">
        <f>6750</f>
        <v>6750</v>
      </c>
      <c r="D51" s="1">
        <v>1500</v>
      </c>
      <c r="E51" s="1">
        <v>2900</v>
      </c>
      <c r="F51" s="1">
        <v>8550</v>
      </c>
      <c r="G51" s="1">
        <v>2250</v>
      </c>
      <c r="H51" s="1">
        <f>22045+13380</f>
        <v>35425</v>
      </c>
      <c r="I51" s="1">
        <v>2000</v>
      </c>
      <c r="J51" s="1"/>
      <c r="K51" s="1"/>
      <c r="L51" s="1"/>
    </row>
    <row r="52" spans="1:12" ht="12.75">
      <c r="A52" s="1" t="s">
        <v>60</v>
      </c>
      <c r="B52" s="1">
        <f>2436985-2375</f>
        <v>2434610</v>
      </c>
      <c r="C52" s="1">
        <f>67748</f>
        <v>67748</v>
      </c>
      <c r="D52" s="1">
        <f>274400-2000</f>
        <v>272400</v>
      </c>
      <c r="E52" s="1">
        <f>49350+1000</f>
        <v>50350</v>
      </c>
      <c r="F52" s="1">
        <v>33550</v>
      </c>
      <c r="G52" s="1">
        <v>29115</v>
      </c>
      <c r="H52" s="1">
        <f>3300+2375-50</f>
        <v>5625</v>
      </c>
      <c r="I52" s="1">
        <v>10300</v>
      </c>
      <c r="J52" s="1">
        <v>1200</v>
      </c>
      <c r="K52" s="1">
        <v>2500</v>
      </c>
      <c r="L52" s="1"/>
    </row>
    <row r="53" spans="1:12" ht="12.75">
      <c r="A53" s="1" t="s">
        <v>61</v>
      </c>
      <c r="B53" s="1">
        <f>9532641-72131</f>
        <v>9460510</v>
      </c>
      <c r="C53" s="1">
        <f>222175+250</f>
        <v>222425</v>
      </c>
      <c r="D53" s="1">
        <f>1545936-12500</f>
        <v>1533436</v>
      </c>
      <c r="E53" s="1">
        <f>349789-4550+1250</f>
        <v>346489</v>
      </c>
      <c r="F53" s="1">
        <f>111000-16</f>
        <v>110984</v>
      </c>
      <c r="G53" s="1">
        <v>273100</v>
      </c>
      <c r="H53" s="1">
        <f>101435-495+67948-1325</f>
        <v>167563</v>
      </c>
      <c r="I53" s="1">
        <v>100200</v>
      </c>
      <c r="J53" s="1">
        <v>27648</v>
      </c>
      <c r="K53" s="1">
        <v>500</v>
      </c>
      <c r="L53" s="1">
        <v>2700</v>
      </c>
    </row>
    <row r="54" spans="1:12" ht="12.75">
      <c r="A54" s="1" t="s">
        <v>62</v>
      </c>
      <c r="B54" s="1">
        <f>183830-2025</f>
        <v>181805</v>
      </c>
      <c r="C54" s="1">
        <f>14700</f>
        <v>14700</v>
      </c>
      <c r="D54" s="1">
        <v>10750</v>
      </c>
      <c r="E54" s="1">
        <v>50272</v>
      </c>
      <c r="F54" s="1">
        <v>7750</v>
      </c>
      <c r="G54" s="1">
        <v>12800</v>
      </c>
      <c r="H54" s="1">
        <f>14905+11115-55</f>
        <v>25965</v>
      </c>
      <c r="I54" s="1">
        <v>5800</v>
      </c>
      <c r="J54" s="1">
        <v>4150</v>
      </c>
      <c r="K54" s="1"/>
      <c r="L54" s="1"/>
    </row>
    <row r="55" spans="1:12" ht="12.75">
      <c r="A55" s="1" t="s">
        <v>63</v>
      </c>
      <c r="B55" s="1">
        <v>96400</v>
      </c>
      <c r="C55" s="1">
        <f>7850+1000</f>
        <v>8850</v>
      </c>
      <c r="D55" s="1">
        <v>1550</v>
      </c>
      <c r="E55" s="1">
        <f>630565-6085+43000</f>
        <v>667480</v>
      </c>
      <c r="F55" s="1">
        <v>1250</v>
      </c>
      <c r="G55" s="1">
        <v>10250</v>
      </c>
      <c r="H55" s="1">
        <f>2093+1950</f>
        <v>4043</v>
      </c>
      <c r="I55" s="1">
        <v>5250</v>
      </c>
      <c r="J55" s="1">
        <v>9250</v>
      </c>
      <c r="K55" s="1"/>
      <c r="L55" s="1"/>
    </row>
    <row r="56" spans="1:12" ht="12.75">
      <c r="A56" s="1" t="s">
        <v>64</v>
      </c>
      <c r="B56" s="1">
        <v>19750</v>
      </c>
      <c r="C56" s="1">
        <f>6000</f>
        <v>6000</v>
      </c>
      <c r="D56" s="1">
        <v>5250</v>
      </c>
      <c r="E56" s="1">
        <v>250</v>
      </c>
      <c r="F56" s="1">
        <v>3000</v>
      </c>
      <c r="G56" s="1">
        <v>5000</v>
      </c>
      <c r="H56" s="1"/>
      <c r="I56" s="1"/>
      <c r="J56" s="1"/>
      <c r="K56" s="1"/>
      <c r="L56" s="1"/>
    </row>
    <row r="57" spans="1:12" ht="12.75">
      <c r="A57" s="1" t="s">
        <v>65</v>
      </c>
      <c r="B57" s="1">
        <f>2957088-22825</f>
        <v>2934263</v>
      </c>
      <c r="C57" s="1">
        <f>234190+14750</f>
        <v>248940</v>
      </c>
      <c r="D57" s="1">
        <v>250249</v>
      </c>
      <c r="E57" s="1">
        <f>352275-1335+6150</f>
        <v>357090</v>
      </c>
      <c r="F57" s="1">
        <v>258310</v>
      </c>
      <c r="G57" s="1">
        <v>264700</v>
      </c>
      <c r="H57" s="1">
        <f>49575-375+32375-256</f>
        <v>81319</v>
      </c>
      <c r="I57" s="1">
        <v>77362</v>
      </c>
      <c r="J57" s="1">
        <v>10785</v>
      </c>
      <c r="K57" s="1">
        <v>3772</v>
      </c>
      <c r="L57" s="1">
        <v>2000</v>
      </c>
    </row>
    <row r="58" spans="1:12" ht="12.75">
      <c r="A58" s="1" t="s">
        <v>66</v>
      </c>
      <c r="B58" s="1">
        <f>1816048-17000</f>
        <v>1799048</v>
      </c>
      <c r="C58" s="1">
        <f>117500+750</f>
        <v>118250</v>
      </c>
      <c r="D58" s="1">
        <f>163000-2000</f>
        <v>161000</v>
      </c>
      <c r="E58" s="1">
        <f>333015-250+1250</f>
        <v>334015</v>
      </c>
      <c r="F58" s="1">
        <v>138146</v>
      </c>
      <c r="G58" s="1">
        <v>46950</v>
      </c>
      <c r="H58" s="1">
        <f>80030-190+67879-25</f>
        <v>147694</v>
      </c>
      <c r="I58" s="1">
        <v>45900</v>
      </c>
      <c r="J58" s="1">
        <f>55475-1000</f>
        <v>54475</v>
      </c>
      <c r="K58" s="1">
        <v>2050</v>
      </c>
      <c r="L58" s="1"/>
    </row>
    <row r="59" spans="1:12" ht="12.75">
      <c r="A59" s="1" t="s">
        <v>67</v>
      </c>
      <c r="B59" s="1">
        <f>48725-150</f>
        <v>48575</v>
      </c>
      <c r="C59" s="1"/>
      <c r="D59" s="1">
        <f>18900-1000</f>
        <v>17900</v>
      </c>
      <c r="E59" s="1">
        <v>8450</v>
      </c>
      <c r="F59" s="1"/>
      <c r="G59" s="1">
        <v>36700</v>
      </c>
      <c r="H59" s="1">
        <f>4950+5725</f>
        <v>10675</v>
      </c>
      <c r="I59" s="1">
        <v>1750</v>
      </c>
      <c r="J59" s="1">
        <v>2798</v>
      </c>
      <c r="K59" s="1"/>
      <c r="L59" s="1"/>
    </row>
    <row r="60" spans="1:12" ht="12.75">
      <c r="A60" s="1" t="s">
        <v>68</v>
      </c>
      <c r="B60" s="1">
        <f>435550-25</f>
        <v>435525</v>
      </c>
      <c r="C60" s="1">
        <f>31850</f>
        <v>31850</v>
      </c>
      <c r="D60" s="1">
        <v>25500</v>
      </c>
      <c r="E60" s="1">
        <f>43924-35</f>
        <v>43889</v>
      </c>
      <c r="F60" s="1">
        <v>51000</v>
      </c>
      <c r="G60" s="1">
        <v>35049</v>
      </c>
      <c r="H60" s="1">
        <f>14400+27875-560</f>
        <v>41715</v>
      </c>
      <c r="I60" s="1">
        <v>22295</v>
      </c>
      <c r="J60" s="1">
        <f>15751-25</f>
        <v>15726</v>
      </c>
      <c r="K60" s="1"/>
      <c r="L60" s="1"/>
    </row>
    <row r="61" spans="1:12" ht="12.75">
      <c r="A61" s="1" t="s">
        <v>69</v>
      </c>
      <c r="B61" s="1">
        <f>303225-100</f>
        <v>303125</v>
      </c>
      <c r="C61" s="1">
        <f>8500</f>
        <v>8500</v>
      </c>
      <c r="D61" s="1">
        <v>6000</v>
      </c>
      <c r="E61" s="1">
        <f>10700+500</f>
        <v>11200</v>
      </c>
      <c r="F61" s="1">
        <v>250</v>
      </c>
      <c r="G61" s="1">
        <v>5250</v>
      </c>
      <c r="H61" s="1">
        <f>5600-300+1250</f>
        <v>6550</v>
      </c>
      <c r="I61" s="1">
        <v>4750</v>
      </c>
      <c r="J61" s="1">
        <v>2200</v>
      </c>
      <c r="K61" s="1"/>
      <c r="L61" s="1"/>
    </row>
    <row r="62" spans="1:12" ht="12.75">
      <c r="A62" s="1" t="s">
        <v>70</v>
      </c>
      <c r="B62" s="1">
        <v>137100</v>
      </c>
      <c r="C62" s="1">
        <v>132000</v>
      </c>
      <c r="D62" s="1">
        <v>8000</v>
      </c>
      <c r="E62" s="1">
        <f>50646+28807</f>
        <v>79453</v>
      </c>
      <c r="F62" s="1">
        <v>31750</v>
      </c>
      <c r="G62" s="1">
        <v>18925</v>
      </c>
      <c r="H62" s="1">
        <f>9900+800-25</f>
        <v>10675</v>
      </c>
      <c r="I62" s="1">
        <v>42318</v>
      </c>
      <c r="J62" s="1"/>
      <c r="K62" s="1">
        <v>5351</v>
      </c>
      <c r="L62" s="1">
        <v>1250</v>
      </c>
    </row>
    <row r="65" ht="12.75">
      <c r="A65" s="1" t="s">
        <v>71</v>
      </c>
    </row>
  </sheetData>
  <printOptions/>
  <pageMargins left="0.25" right="0.2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2003-10-21T17:07:45Z</cp:lastPrinted>
  <dcterms:created xsi:type="dcterms:W3CDTF">2003-10-21T17:06:10Z</dcterms:created>
  <dcterms:modified xsi:type="dcterms:W3CDTF">2003-10-21T17:08:07Z</dcterms:modified>
  <cp:category/>
  <cp:version/>
  <cp:contentType/>
  <cp:contentStatus/>
</cp:coreProperties>
</file>