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1025" windowHeight="11640" tabRatio="909" activeTab="0"/>
  </bookViews>
  <sheets>
    <sheet name="B-1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<sst xmlns="http://schemas.openxmlformats.org/spreadsheetml/2006/main" count="67" uniqueCount="67">
  <si>
    <t>United States, total</t>
  </si>
  <si>
    <t>Percent of total</t>
  </si>
  <si>
    <t>Total (number)</t>
  </si>
  <si>
    <t>Table 2-13: Warning Devices at Public Highway-Rail Grade Crossings: 2004</t>
  </si>
  <si>
    <t>Cross bucks</t>
  </si>
  <si>
    <t>Gates</t>
  </si>
  <si>
    <t>Flashing lights</t>
  </si>
  <si>
    <t>Stop signs</t>
  </si>
  <si>
    <t>Unknown</t>
  </si>
  <si>
    <t>Special warning</t>
  </si>
  <si>
    <t>HWTS, WW, bells</t>
  </si>
  <si>
    <t>Other</t>
  </si>
  <si>
    <r>
      <t>KEY</t>
    </r>
    <r>
      <rPr>
        <sz val="10"/>
        <rFont val="Arial"/>
        <family val="2"/>
      </rPr>
      <t>: HWTS = highway traffic signals; WW = wigwags.</t>
    </r>
  </si>
  <si>
    <r>
      <t>NOTE:</t>
    </r>
    <r>
      <rPr>
        <sz val="10"/>
        <rFont val="Arial"/>
        <family val="2"/>
      </rPr>
      <t xml:space="preserve">  Percentages may not total to 100 due to rounding.</t>
    </r>
  </si>
  <si>
    <r>
      <t>SOURCE:</t>
    </r>
    <r>
      <rPr>
        <sz val="10"/>
        <rFont val="Arial"/>
        <family val="2"/>
      </rPr>
      <t xml:space="preserve"> U.S. Department of Transportation, Federal Railroad Administration, </t>
    </r>
    <r>
      <rPr>
        <i/>
        <sz val="10"/>
        <rFont val="Arial"/>
        <family val="2"/>
      </rPr>
      <t>Railroad Safety Statistics: 2004 Annual Report</t>
    </r>
    <r>
      <rPr>
        <sz val="10"/>
        <rFont val="Arial"/>
        <family val="2"/>
      </rPr>
      <t>, Washington, DC: November 2005.</t>
    </r>
  </si>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</sst>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[$€-2]\ #,##0.00_);[Red]\([$€-2]\ #,##0.00\)"/>
    <numFmt numFmtId="181" formatCode="&quot;(R) &quot;#,##0;&quot;(R) &quot;\-#,##0;&quot;(R) &quot;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64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19.28125" style="10" customWidth="1"/>
    <col min="2" max="2" width="8.140625" style="10" customWidth="1"/>
    <col min="3" max="3" width="2.140625" style="10" customWidth="1"/>
    <col min="4" max="4" width="6.57421875" style="10" customWidth="1"/>
    <col min="5" max="5" width="1.1484375" style="10" customWidth="1"/>
    <col min="6" max="6" width="6.421875" style="10" customWidth="1"/>
    <col min="7" max="7" width="1.1484375" style="10" customWidth="1"/>
    <col min="8" max="8" width="7.140625" style="10" customWidth="1"/>
    <col min="9" max="9" width="1.28515625" style="10" customWidth="1"/>
    <col min="10" max="10" width="6.421875" style="10" customWidth="1"/>
    <col min="11" max="11" width="1.1484375" style="10" customWidth="1"/>
    <col min="12" max="12" width="7.140625" style="10" customWidth="1"/>
    <col min="13" max="13" width="2.140625" style="10" customWidth="1"/>
    <col min="14" max="14" width="7.57421875" style="10" customWidth="1"/>
    <col min="15" max="15" width="2.140625" style="10" customWidth="1"/>
    <col min="16" max="16" width="7.421875" style="10" customWidth="1"/>
    <col min="17" max="17" width="2.8515625" style="10" customWidth="1"/>
    <col min="18" max="18" width="5.8515625" style="10" customWidth="1"/>
    <col min="19" max="19" width="1.7109375" style="10" customWidth="1"/>
    <col min="20" max="16384" width="9.140625" style="10" customWidth="1"/>
  </cols>
  <sheetData>
    <row r="1" spans="1:19" ht="15.75" customHeight="1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13.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"/>
    </row>
    <row r="3" spans="1:19" ht="12.75">
      <c r="A3" s="17"/>
      <c r="C3" s="13"/>
      <c r="D3" s="27" t="s">
        <v>1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/>
    </row>
    <row r="4" spans="1:19" ht="26.25" customHeight="1">
      <c r="A4" s="16" t="s">
        <v>15</v>
      </c>
      <c r="B4" s="29" t="s">
        <v>2</v>
      </c>
      <c r="C4" s="29"/>
      <c r="D4" s="30" t="s">
        <v>4</v>
      </c>
      <c r="E4" s="30"/>
      <c r="F4" s="29" t="s">
        <v>5</v>
      </c>
      <c r="G4" s="29"/>
      <c r="H4" s="30" t="s">
        <v>6</v>
      </c>
      <c r="I4" s="30"/>
      <c r="J4" s="30" t="s">
        <v>7</v>
      </c>
      <c r="K4" s="30"/>
      <c r="L4" s="30" t="s">
        <v>8</v>
      </c>
      <c r="M4" s="30"/>
      <c r="N4" s="29" t="s">
        <v>9</v>
      </c>
      <c r="O4" s="29"/>
      <c r="P4" s="30" t="s">
        <v>10</v>
      </c>
      <c r="Q4" s="30"/>
      <c r="R4" s="30" t="s">
        <v>11</v>
      </c>
      <c r="S4" s="30"/>
    </row>
    <row r="5" spans="1:20" ht="12.75" customHeight="1">
      <c r="A5" s="1" t="s">
        <v>62</v>
      </c>
      <c r="B5" s="15">
        <v>3333</v>
      </c>
      <c r="D5" s="12">
        <f>1394/B5*100</f>
        <v>41.824182418241826</v>
      </c>
      <c r="E5" s="12"/>
      <c r="F5" s="12">
        <f>523/B5*100</f>
        <v>15.69156915691569</v>
      </c>
      <c r="G5" s="12"/>
      <c r="H5" s="12">
        <f>608/B5*100</f>
        <v>18.24182418241824</v>
      </c>
      <c r="I5" s="12"/>
      <c r="J5" s="12">
        <f>667/B5*100</f>
        <v>20.01200120012001</v>
      </c>
      <c r="K5" s="12"/>
      <c r="L5" s="12">
        <f>96/B5*100</f>
        <v>2.8802880288028803</v>
      </c>
      <c r="M5" s="12"/>
      <c r="N5" s="12">
        <f>21/B5*100</f>
        <v>0.6300630063006301</v>
      </c>
      <c r="O5" s="12"/>
      <c r="P5" s="12">
        <f>14/B5*100</f>
        <v>0.42004200420042004</v>
      </c>
      <c r="Q5" s="12"/>
      <c r="R5" s="12">
        <f>10/B5*100</f>
        <v>0.3000300030003</v>
      </c>
      <c r="T5" s="12"/>
    </row>
    <row r="6" spans="1:20" ht="12.75" customHeight="1">
      <c r="A6" s="1" t="s">
        <v>16</v>
      </c>
      <c r="B6" s="15">
        <v>229</v>
      </c>
      <c r="D6" s="12">
        <f>99/B6*100</f>
        <v>43.23144104803494</v>
      </c>
      <c r="E6" s="12"/>
      <c r="F6" s="12">
        <f>60/B6*100</f>
        <v>26.200873362445414</v>
      </c>
      <c r="G6" s="12"/>
      <c r="H6" s="12">
        <f>21/B6*100</f>
        <v>9.170305676855897</v>
      </c>
      <c r="I6" s="12"/>
      <c r="J6" s="12">
        <f>31/B6*100</f>
        <v>13.537117903930133</v>
      </c>
      <c r="K6" s="12"/>
      <c r="L6" s="12">
        <f>9/B6*100</f>
        <v>3.9301310043668125</v>
      </c>
      <c r="M6" s="12"/>
      <c r="N6" s="12">
        <f>7/B6*100</f>
        <v>3.056768558951965</v>
      </c>
      <c r="O6" s="12"/>
      <c r="P6" s="12">
        <f>0/B6*100</f>
        <v>0</v>
      </c>
      <c r="Q6" s="12"/>
      <c r="R6" s="12">
        <f>2/B6*100</f>
        <v>0.8733624454148471</v>
      </c>
      <c r="T6" s="12"/>
    </row>
    <row r="7" spans="1:20" ht="12.75" customHeight="1">
      <c r="A7" s="1" t="s">
        <v>17</v>
      </c>
      <c r="B7" s="15">
        <v>901</v>
      </c>
      <c r="D7" s="12">
        <f>324/B7*100</f>
        <v>35.96004439511653</v>
      </c>
      <c r="E7" s="12"/>
      <c r="F7" s="12">
        <f>383/B7*100</f>
        <v>42.508324084350726</v>
      </c>
      <c r="G7" s="12"/>
      <c r="H7" s="12">
        <f>63/B7*100</f>
        <v>6.992230854605993</v>
      </c>
      <c r="I7" s="12"/>
      <c r="J7" s="12">
        <f>90/B7*100</f>
        <v>9.988901220865705</v>
      </c>
      <c r="K7" s="12"/>
      <c r="L7" s="12">
        <f>25/B7*100</f>
        <v>2.774694783573807</v>
      </c>
      <c r="M7" s="12"/>
      <c r="N7" s="12">
        <f>11/B7*100</f>
        <v>1.2208657047724751</v>
      </c>
      <c r="O7" s="12"/>
      <c r="P7" s="12">
        <f>5/B7*100</f>
        <v>0.5549389567147613</v>
      </c>
      <c r="Q7" s="12"/>
      <c r="R7" s="12">
        <f>0/B7*100</f>
        <v>0</v>
      </c>
      <c r="T7" s="12"/>
    </row>
    <row r="8" spans="1:20" ht="12.75" customHeight="1">
      <c r="A8" s="1" t="s">
        <v>18</v>
      </c>
      <c r="B8" s="15">
        <v>3063</v>
      </c>
      <c r="D8" s="12">
        <f>1829/B8*100</f>
        <v>59.712699967352265</v>
      </c>
      <c r="E8" s="12"/>
      <c r="F8" s="12">
        <f>406/B8*100</f>
        <v>13.254978778974861</v>
      </c>
      <c r="G8" s="12"/>
      <c r="H8" s="12">
        <f>410/B8*100</f>
        <v>13.385569702905647</v>
      </c>
      <c r="I8" s="12"/>
      <c r="J8" s="12">
        <f>201/B8*100</f>
        <v>6.562193927522038</v>
      </c>
      <c r="K8" s="12"/>
      <c r="L8" s="12">
        <f>119/B8*100</f>
        <v>3.885079986940908</v>
      </c>
      <c r="M8" s="12"/>
      <c r="N8" s="12">
        <f>68/B8*100</f>
        <v>2.2200457068233757</v>
      </c>
      <c r="O8" s="12"/>
      <c r="P8" s="12">
        <f>29/B8*100</f>
        <v>0.9467841984982043</v>
      </c>
      <c r="Q8" s="12"/>
      <c r="R8" s="12">
        <f>1/B8*100</f>
        <v>0.0326477309826967</v>
      </c>
      <c r="T8" s="12"/>
    </row>
    <row r="9" spans="1:20" ht="12.75" customHeight="1">
      <c r="A9" s="10" t="s">
        <v>19</v>
      </c>
      <c r="B9" s="15">
        <v>7723</v>
      </c>
      <c r="D9" s="12">
        <f>2795/B9*100</f>
        <v>36.19059950796323</v>
      </c>
      <c r="E9" s="12"/>
      <c r="F9" s="12">
        <f>3125/B9*100</f>
        <v>40.463550433769264</v>
      </c>
      <c r="G9" s="12"/>
      <c r="H9" s="12">
        <f>983/B9*100</f>
        <v>12.728214424446458</v>
      </c>
      <c r="I9" s="12"/>
      <c r="J9" s="12">
        <f>319/B9*100</f>
        <v>4.130519228279166</v>
      </c>
      <c r="K9" s="12"/>
      <c r="L9" s="12">
        <f>172/B9*100</f>
        <v>2.2271138158746604</v>
      </c>
      <c r="M9" s="12"/>
      <c r="N9" s="12">
        <f>42/B9*100</f>
        <v>0.5438301178298589</v>
      </c>
      <c r="O9" s="12"/>
      <c r="P9" s="12">
        <f>270/B9*100</f>
        <v>3.4960507574776636</v>
      </c>
      <c r="Q9" s="12"/>
      <c r="R9" s="12">
        <f>17/B9*100</f>
        <v>0.2201217143597048</v>
      </c>
      <c r="T9" s="12"/>
    </row>
    <row r="10" spans="1:20" ht="12.75" customHeight="1">
      <c r="A10" s="1" t="s">
        <v>20</v>
      </c>
      <c r="B10" s="15">
        <v>1882</v>
      </c>
      <c r="D10" s="12">
        <f>900/B10*100</f>
        <v>47.82146652497343</v>
      </c>
      <c r="E10" s="12"/>
      <c r="F10" s="12">
        <f>414/B10*100</f>
        <v>21.99787460148778</v>
      </c>
      <c r="G10" s="12"/>
      <c r="H10" s="12">
        <f>233/B10*100</f>
        <v>12.380446333687567</v>
      </c>
      <c r="I10" s="12"/>
      <c r="J10" s="12">
        <f>208/B10*100</f>
        <v>11.052072263549416</v>
      </c>
      <c r="K10" s="12"/>
      <c r="L10" s="12">
        <f>61/B10*100</f>
        <v>3.2412327311370883</v>
      </c>
      <c r="M10" s="12"/>
      <c r="N10" s="12">
        <f>31/B10*100</f>
        <v>1.647183846971307</v>
      </c>
      <c r="O10" s="12"/>
      <c r="P10" s="12">
        <f>32/B10*100</f>
        <v>1.7003188097768331</v>
      </c>
      <c r="Q10" s="12"/>
      <c r="R10" s="12">
        <f>3/B10*100</f>
        <v>0.1594048884165781</v>
      </c>
      <c r="T10" s="12"/>
    </row>
    <row r="11" spans="1:20" ht="12.75" customHeight="1">
      <c r="A11" s="1" t="s">
        <v>21</v>
      </c>
      <c r="B11" s="15">
        <v>370</v>
      </c>
      <c r="D11" s="12">
        <f>28/B11*100</f>
        <v>7.567567567567568</v>
      </c>
      <c r="E11" s="12"/>
      <c r="F11" s="12">
        <f>104/B11*100</f>
        <v>28.10810810810811</v>
      </c>
      <c r="G11" s="12"/>
      <c r="H11" s="12">
        <f>142/B11*100</f>
        <v>38.37837837837838</v>
      </c>
      <c r="I11" s="12"/>
      <c r="J11" s="12">
        <f>48/B11*100</f>
        <v>12.972972972972974</v>
      </c>
      <c r="K11" s="12"/>
      <c r="L11" s="12">
        <f>14/B11*100</f>
        <v>3.783783783783784</v>
      </c>
      <c r="M11" s="12"/>
      <c r="N11" s="12">
        <f>29/B11*100</f>
        <v>7.837837837837839</v>
      </c>
      <c r="O11" s="12"/>
      <c r="P11" s="12">
        <f>5/B11*100</f>
        <v>1.3513513513513513</v>
      </c>
      <c r="Q11" s="12"/>
      <c r="R11" s="12">
        <f>0/B11*100</f>
        <v>0</v>
      </c>
      <c r="T11" s="12"/>
    </row>
    <row r="12" spans="1:20" ht="12.75" customHeight="1">
      <c r="A12" s="1" t="s">
        <v>22</v>
      </c>
      <c r="B12" s="15">
        <v>298</v>
      </c>
      <c r="D12" s="12">
        <f>37/B12*100</f>
        <v>12.416107382550337</v>
      </c>
      <c r="E12" s="12"/>
      <c r="F12" s="12">
        <f>49/B12*100</f>
        <v>16.44295302013423</v>
      </c>
      <c r="G12" s="12"/>
      <c r="H12" s="12">
        <f>174/B12*100</f>
        <v>58.38926174496645</v>
      </c>
      <c r="I12" s="12"/>
      <c r="J12" s="12">
        <f>4/B12*100</f>
        <v>1.342281879194631</v>
      </c>
      <c r="K12" s="12"/>
      <c r="L12" s="12">
        <f>12/B12*100</f>
        <v>4.026845637583892</v>
      </c>
      <c r="M12" s="12"/>
      <c r="N12" s="12">
        <f>21/B12*100</f>
        <v>7.046979865771812</v>
      </c>
      <c r="O12" s="12"/>
      <c r="P12" s="12">
        <f>1/B12*100</f>
        <v>0.33557046979865773</v>
      </c>
      <c r="Q12" s="12"/>
      <c r="R12" s="12">
        <f>0/B12*100</f>
        <v>0</v>
      </c>
      <c r="T12" s="12"/>
    </row>
    <row r="13" spans="1:20" ht="12.75" customHeight="1">
      <c r="A13" s="1" t="s">
        <v>64</v>
      </c>
      <c r="B13" s="15">
        <v>8</v>
      </c>
      <c r="D13" s="12">
        <f>0/B13*100</f>
        <v>0</v>
      </c>
      <c r="E13" s="12"/>
      <c r="F13" s="12">
        <f>0/B13*100</f>
        <v>0</v>
      </c>
      <c r="G13" s="12"/>
      <c r="H13" s="12">
        <f>2/B13*100</f>
        <v>25</v>
      </c>
      <c r="I13" s="12"/>
      <c r="J13" s="12">
        <f>2/B13*100</f>
        <v>25</v>
      </c>
      <c r="K13" s="12"/>
      <c r="L13" s="12">
        <f>0/B13*100</f>
        <v>0</v>
      </c>
      <c r="M13" s="12"/>
      <c r="N13" s="12">
        <f>4/B13*100</f>
        <v>50</v>
      </c>
      <c r="O13" s="12"/>
      <c r="P13" s="12">
        <f>0/B13*100</f>
        <v>0</v>
      </c>
      <c r="Q13" s="12"/>
      <c r="R13" s="12">
        <f>0/B13*100</f>
        <v>0</v>
      </c>
      <c r="T13" s="12"/>
    </row>
    <row r="14" spans="1:20" ht="12.75" customHeight="1">
      <c r="A14" s="1" t="s">
        <v>23</v>
      </c>
      <c r="B14" s="15">
        <v>3856</v>
      </c>
      <c r="D14" s="12">
        <f>791/B14*100</f>
        <v>20.513485477178424</v>
      </c>
      <c r="E14" s="12"/>
      <c r="F14" s="12">
        <f>2236/B14*100</f>
        <v>57.98755186721992</v>
      </c>
      <c r="G14" s="12"/>
      <c r="H14" s="12">
        <f>542/B14*100</f>
        <v>14.056016597510373</v>
      </c>
      <c r="I14" s="12"/>
      <c r="J14" s="12">
        <f>141/B14*100</f>
        <v>3.656639004149378</v>
      </c>
      <c r="K14" s="12"/>
      <c r="L14" s="12">
        <f>54/B14*100</f>
        <v>1.4004149377593362</v>
      </c>
      <c r="M14" s="12"/>
      <c r="N14" s="12">
        <f>78/B14*100</f>
        <v>2.0228215767634854</v>
      </c>
      <c r="O14" s="12"/>
      <c r="P14" s="12">
        <f>10/B14*100</f>
        <v>0.2593360995850622</v>
      </c>
      <c r="Q14" s="12"/>
      <c r="R14" s="12">
        <f>4/B14*100</f>
        <v>0.1037344398340249</v>
      </c>
      <c r="T14" s="12"/>
    </row>
    <row r="15" spans="1:20" ht="12.75" customHeight="1">
      <c r="A15" s="1" t="s">
        <v>24</v>
      </c>
      <c r="B15" s="15">
        <v>5775</v>
      </c>
      <c r="D15" s="12">
        <f>2388/B15*100</f>
        <v>41.35064935064935</v>
      </c>
      <c r="E15" s="12"/>
      <c r="F15" s="12">
        <f>1724/B15*100</f>
        <v>29.852813852813853</v>
      </c>
      <c r="G15" s="12"/>
      <c r="H15" s="12">
        <f>304/B15*100</f>
        <v>5.264069264069264</v>
      </c>
      <c r="I15" s="12"/>
      <c r="J15" s="12">
        <f>1084/B15*100</f>
        <v>18.77056277056277</v>
      </c>
      <c r="K15" s="12"/>
      <c r="L15" s="12">
        <f>153/B15*100</f>
        <v>2.6493506493506493</v>
      </c>
      <c r="M15" s="12"/>
      <c r="N15" s="12">
        <f>101/B15*100</f>
        <v>1.7489177489177488</v>
      </c>
      <c r="O15" s="12"/>
      <c r="P15" s="12">
        <f>14/B15*100</f>
        <v>0.24242424242424243</v>
      </c>
      <c r="Q15" s="12"/>
      <c r="R15" s="12">
        <f>7/B15*100</f>
        <v>0.12121212121212122</v>
      </c>
      <c r="T15" s="12"/>
    </row>
    <row r="16" spans="1:20" ht="12.75" customHeight="1">
      <c r="A16" s="1" t="s">
        <v>63</v>
      </c>
      <c r="B16" s="15">
        <v>8</v>
      </c>
      <c r="D16" s="12">
        <f>6/B16*100</f>
        <v>75</v>
      </c>
      <c r="E16" s="12"/>
      <c r="F16" s="12">
        <f>0/B16*100</f>
        <v>0</v>
      </c>
      <c r="G16" s="12"/>
      <c r="H16" s="12">
        <f>0/B16*100</f>
        <v>0</v>
      </c>
      <c r="I16" s="12"/>
      <c r="J16" s="12">
        <f>1/B16*100</f>
        <v>12.5</v>
      </c>
      <c r="K16" s="12"/>
      <c r="L16" s="12">
        <f>0/B16*100</f>
        <v>0</v>
      </c>
      <c r="M16" s="12"/>
      <c r="N16" s="12">
        <f>0/B16*100</f>
        <v>0</v>
      </c>
      <c r="O16" s="12"/>
      <c r="P16" s="12">
        <f>0/B16*100</f>
        <v>0</v>
      </c>
      <c r="Q16" s="12"/>
      <c r="R16" s="12">
        <f>1/B16*100</f>
        <v>12.5</v>
      </c>
      <c r="T16" s="12"/>
    </row>
    <row r="17" spans="1:20" ht="12.75" customHeight="1">
      <c r="A17" s="1" t="s">
        <v>25</v>
      </c>
      <c r="B17" s="15">
        <v>1305</v>
      </c>
      <c r="D17" s="12">
        <f>430/B17*100</f>
        <v>32.95019157088122</v>
      </c>
      <c r="E17" s="12"/>
      <c r="F17" s="12">
        <f>148/B17*100</f>
        <v>11.340996168582375</v>
      </c>
      <c r="G17" s="12"/>
      <c r="H17" s="12">
        <f>174/B17*100</f>
        <v>13.333333333333334</v>
      </c>
      <c r="I17" s="12"/>
      <c r="J17" s="12">
        <f>542/B17*100</f>
        <v>41.53256704980843</v>
      </c>
      <c r="K17" s="12"/>
      <c r="L17" s="12">
        <f>6/B17*100</f>
        <v>0.45977011494252873</v>
      </c>
      <c r="M17" s="12"/>
      <c r="N17" s="12">
        <f>1/B17*100</f>
        <v>0.07662835249042146</v>
      </c>
      <c r="O17" s="12"/>
      <c r="P17" s="12">
        <f>4/B17*100</f>
        <v>0.30651340996168586</v>
      </c>
      <c r="Q17" s="12"/>
      <c r="R17" s="12">
        <f>0/B17*100</f>
        <v>0</v>
      </c>
      <c r="T17" s="12"/>
    </row>
    <row r="18" spans="1:20" ht="12.75" customHeight="1">
      <c r="A18" s="1" t="s">
        <v>26</v>
      </c>
      <c r="B18" s="15">
        <v>8180</v>
      </c>
      <c r="D18" s="12">
        <f>3127/B18*100</f>
        <v>38.22738386308068</v>
      </c>
      <c r="E18" s="12"/>
      <c r="F18" s="12">
        <f>2437/B18*100</f>
        <v>29.792176039119806</v>
      </c>
      <c r="G18" s="12"/>
      <c r="H18" s="12">
        <f>2147/B18*100</f>
        <v>26.246943765281173</v>
      </c>
      <c r="I18" s="12"/>
      <c r="J18" s="12">
        <f>61/B18*100</f>
        <v>0.7457212713936431</v>
      </c>
      <c r="K18" s="12"/>
      <c r="L18" s="12">
        <f>220/B18*100</f>
        <v>2.689486552567237</v>
      </c>
      <c r="M18" s="12"/>
      <c r="N18" s="12">
        <f>110/B18*100</f>
        <v>1.3447432762836184</v>
      </c>
      <c r="O18" s="12"/>
      <c r="P18" s="12">
        <f>77/B18*100</f>
        <v>0.9413202933985331</v>
      </c>
      <c r="Q18" s="12"/>
      <c r="R18" s="12">
        <f>1/B18*100</f>
        <v>0.012224938875305623</v>
      </c>
      <c r="T18" s="12"/>
    </row>
    <row r="19" spans="1:20" ht="12.75" customHeight="1">
      <c r="A19" s="1" t="s">
        <v>27</v>
      </c>
      <c r="B19" s="15">
        <v>6067</v>
      </c>
      <c r="D19" s="12">
        <f>1771/B19*100</f>
        <v>29.190703807483104</v>
      </c>
      <c r="E19" s="12"/>
      <c r="F19" s="12">
        <f>1499/B19*100</f>
        <v>24.707433657491347</v>
      </c>
      <c r="G19" s="12"/>
      <c r="H19" s="12">
        <f>1433/B19*100</f>
        <v>23.619581341684523</v>
      </c>
      <c r="I19" s="12"/>
      <c r="J19" s="12">
        <f>1134/B19*100</f>
        <v>18.6912806988627</v>
      </c>
      <c r="K19" s="12"/>
      <c r="L19" s="12">
        <f>155/B19*100</f>
        <v>2.5548046810614804</v>
      </c>
      <c r="M19" s="12"/>
      <c r="N19" s="12">
        <f>3/B19*100</f>
        <v>0.049447832536673814</v>
      </c>
      <c r="O19" s="12"/>
      <c r="P19" s="12">
        <f>66/B19*100</f>
        <v>1.0878523158068238</v>
      </c>
      <c r="Q19" s="12"/>
      <c r="R19" s="12">
        <f>6/B19*100</f>
        <v>0.09889566507334763</v>
      </c>
      <c r="T19" s="12"/>
    </row>
    <row r="20" spans="1:20" ht="12.75" customHeight="1">
      <c r="A20" s="1" t="s">
        <v>28</v>
      </c>
      <c r="B20" s="15">
        <v>4515</v>
      </c>
      <c r="D20" s="12">
        <f>2461/B20*100</f>
        <v>54.50719822812846</v>
      </c>
      <c r="E20" s="12"/>
      <c r="F20" s="12">
        <f>751/B20*100</f>
        <v>16.633444075304542</v>
      </c>
      <c r="G20" s="12"/>
      <c r="H20" s="12">
        <f>894/B20*100</f>
        <v>19.800664451827245</v>
      </c>
      <c r="I20" s="12"/>
      <c r="J20" s="12">
        <f>324/B20*100</f>
        <v>7.176079734219269</v>
      </c>
      <c r="K20" s="12"/>
      <c r="L20" s="12">
        <f>35/B20*100</f>
        <v>0.7751937984496124</v>
      </c>
      <c r="M20" s="12"/>
      <c r="N20" s="12">
        <f>20/B20*100</f>
        <v>0.4429678848283499</v>
      </c>
      <c r="O20" s="12"/>
      <c r="P20" s="12">
        <f>29/B20*100</f>
        <v>0.6423034330011074</v>
      </c>
      <c r="Q20" s="12"/>
      <c r="R20" s="12">
        <f>1/B20*100</f>
        <v>0.0221483942414175</v>
      </c>
      <c r="T20" s="12"/>
    </row>
    <row r="21" spans="1:20" ht="12.75" customHeight="1">
      <c r="A21" s="1" t="s">
        <v>29</v>
      </c>
      <c r="B21" s="15">
        <v>6221</v>
      </c>
      <c r="D21" s="12">
        <f>4203/B21*100</f>
        <v>67.56148529175374</v>
      </c>
      <c r="E21" s="12"/>
      <c r="F21" s="12">
        <f>1019/B21*100</f>
        <v>16.380003214917217</v>
      </c>
      <c r="G21" s="12"/>
      <c r="H21" s="12">
        <f>551/B21*100</f>
        <v>8.857096929754059</v>
      </c>
      <c r="I21" s="12"/>
      <c r="J21" s="12">
        <f>224/B21*100</f>
        <v>3.600707281787494</v>
      </c>
      <c r="K21" s="12"/>
      <c r="L21" s="12">
        <f>109/B21*100</f>
        <v>1.7521298826555218</v>
      </c>
      <c r="M21" s="12"/>
      <c r="N21" s="12">
        <f>68/B21*100</f>
        <v>1.093071853399775</v>
      </c>
      <c r="O21" s="12"/>
      <c r="P21" s="12">
        <f>40/B21*100</f>
        <v>0.6429834431763382</v>
      </c>
      <c r="Q21" s="12"/>
      <c r="R21" s="12">
        <f>7/B21*100</f>
        <v>0.11252210255585919</v>
      </c>
      <c r="T21" s="12"/>
    </row>
    <row r="22" spans="1:20" ht="12.75" customHeight="1">
      <c r="A22" s="1" t="s">
        <v>30</v>
      </c>
      <c r="B22" s="15">
        <v>2424</v>
      </c>
      <c r="D22" s="12">
        <f>1018/B22*100</f>
        <v>41.996699669967</v>
      </c>
      <c r="E22" s="12"/>
      <c r="F22" s="12">
        <f>406/B22*100</f>
        <v>16.74917491749175</v>
      </c>
      <c r="G22" s="12"/>
      <c r="H22" s="12">
        <f>769/B22*100</f>
        <v>31.724422442244226</v>
      </c>
      <c r="I22" s="12"/>
      <c r="J22" s="12">
        <f>53/B22*100</f>
        <v>2.186468646864687</v>
      </c>
      <c r="K22" s="12"/>
      <c r="L22" s="12">
        <f>116/B22*100</f>
        <v>4.785478547854786</v>
      </c>
      <c r="M22" s="12"/>
      <c r="N22" s="12">
        <f>49/B22*100</f>
        <v>2.0214521452145213</v>
      </c>
      <c r="O22" s="12"/>
      <c r="P22" s="12">
        <f>13/B22*100</f>
        <v>0.5363036303630363</v>
      </c>
      <c r="Q22" s="12"/>
      <c r="R22" s="12">
        <f>0/B22*100</f>
        <v>0</v>
      </c>
      <c r="T22" s="12"/>
    </row>
    <row r="23" spans="1:20" ht="12.75" customHeight="1">
      <c r="A23" s="1" t="s">
        <v>31</v>
      </c>
      <c r="B23" s="15">
        <v>3436</v>
      </c>
      <c r="D23" s="12">
        <f>1679/B23*100</f>
        <v>48.864959254947614</v>
      </c>
      <c r="E23" s="12"/>
      <c r="F23" s="12">
        <f>620/B23*100</f>
        <v>18.044237485448196</v>
      </c>
      <c r="G23" s="12"/>
      <c r="H23" s="12">
        <f>633/B23*100</f>
        <v>18.42258440046566</v>
      </c>
      <c r="I23" s="12"/>
      <c r="J23" s="12">
        <f>254/B23*100</f>
        <v>7.39231664726426</v>
      </c>
      <c r="K23" s="12"/>
      <c r="L23" s="12">
        <f>190/B23*100</f>
        <v>5.529685681024446</v>
      </c>
      <c r="M23" s="12"/>
      <c r="N23" s="12">
        <f>34/B23*100</f>
        <v>0.989522700814901</v>
      </c>
      <c r="O23" s="12"/>
      <c r="P23" s="12">
        <f>16/B23*100</f>
        <v>0.46565774155995343</v>
      </c>
      <c r="Q23" s="12"/>
      <c r="R23" s="12">
        <f>10/B23*100</f>
        <v>0.2910360884749709</v>
      </c>
      <c r="T23" s="12"/>
    </row>
    <row r="24" spans="1:20" ht="12.75" customHeight="1">
      <c r="A24" s="1" t="s">
        <v>33</v>
      </c>
      <c r="B24" s="15">
        <v>837</v>
      </c>
      <c r="D24" s="12">
        <f>273/B24*100</f>
        <v>32.61648745519714</v>
      </c>
      <c r="E24" s="12"/>
      <c r="F24" s="12">
        <f>80/B24*100</f>
        <v>9.55794504181601</v>
      </c>
      <c r="G24" s="12"/>
      <c r="H24" s="12">
        <f>396/B24*100</f>
        <v>47.31182795698925</v>
      </c>
      <c r="I24" s="12"/>
      <c r="J24" s="12">
        <f>11/B24*100</f>
        <v>1.3142174432497014</v>
      </c>
      <c r="K24" s="12"/>
      <c r="L24" s="12">
        <f>7/B24*100</f>
        <v>0.8363201911589008</v>
      </c>
      <c r="M24" s="12"/>
      <c r="N24" s="12">
        <f>66/B24*100</f>
        <v>7.885304659498208</v>
      </c>
      <c r="O24" s="12"/>
      <c r="P24" s="12">
        <f>4/B24*100</f>
        <v>0.4778972520908005</v>
      </c>
      <c r="Q24" s="12"/>
      <c r="R24" s="12">
        <f>0/B24*100</f>
        <v>0</v>
      </c>
      <c r="T24" s="12"/>
    </row>
    <row r="25" spans="1:20" ht="12.75" customHeight="1">
      <c r="A25" s="1" t="s">
        <v>32</v>
      </c>
      <c r="B25" s="15">
        <v>690</v>
      </c>
      <c r="D25" s="12">
        <f>254/B25*100</f>
        <v>36.811594202898554</v>
      </c>
      <c r="E25" s="12"/>
      <c r="F25" s="12">
        <f>108/B25*100</f>
        <v>15.65217391304348</v>
      </c>
      <c r="G25" s="12"/>
      <c r="H25" s="12">
        <f>213/B25*100</f>
        <v>30.869565217391305</v>
      </c>
      <c r="I25" s="12"/>
      <c r="J25" s="12">
        <f>38/B25*100</f>
        <v>5.507246376811594</v>
      </c>
      <c r="K25" s="12"/>
      <c r="L25" s="12">
        <f>27/B25*100</f>
        <v>3.91304347826087</v>
      </c>
      <c r="M25" s="12"/>
      <c r="N25" s="12">
        <f>26/B25*100</f>
        <v>3.768115942028986</v>
      </c>
      <c r="O25" s="12"/>
      <c r="P25" s="12">
        <f>23/B25*100</f>
        <v>3.3333333333333335</v>
      </c>
      <c r="Q25" s="12"/>
      <c r="R25" s="12">
        <f>1/B25*100</f>
        <v>0.14492753623188406</v>
      </c>
      <c r="T25" s="12"/>
    </row>
    <row r="26" spans="1:20" ht="12.75" customHeight="1">
      <c r="A26" s="1" t="s">
        <v>34</v>
      </c>
      <c r="B26" s="15">
        <v>805</v>
      </c>
      <c r="D26" s="12">
        <f>115/B26*100</f>
        <v>14.285714285714285</v>
      </c>
      <c r="E26" s="12"/>
      <c r="F26" s="12">
        <f>282/B26*100</f>
        <v>35.03105590062112</v>
      </c>
      <c r="G26" s="12"/>
      <c r="H26" s="12">
        <f>294/B26*100</f>
        <v>36.52173913043478</v>
      </c>
      <c r="I26" s="12"/>
      <c r="J26" s="12">
        <f>9/B26*100</f>
        <v>1.1180124223602486</v>
      </c>
      <c r="K26" s="12"/>
      <c r="L26" s="12">
        <f>32/B26*100</f>
        <v>3.9751552795031055</v>
      </c>
      <c r="M26" s="12"/>
      <c r="N26" s="12">
        <f>60/B26*100</f>
        <v>7.453416149068323</v>
      </c>
      <c r="O26" s="12"/>
      <c r="P26" s="12">
        <f>10/B26*100</f>
        <v>1.2422360248447204</v>
      </c>
      <c r="Q26" s="12"/>
      <c r="R26" s="12">
        <f>3/B26*100</f>
        <v>0.37267080745341613</v>
      </c>
      <c r="T26" s="12"/>
    </row>
    <row r="27" spans="1:20" ht="12.75" customHeight="1">
      <c r="A27" s="1" t="s">
        <v>35</v>
      </c>
      <c r="B27" s="15">
        <v>5350</v>
      </c>
      <c r="D27" s="12">
        <f>1182/B27*100</f>
        <v>22.093457943925234</v>
      </c>
      <c r="E27" s="12"/>
      <c r="F27" s="12">
        <f>939/B27*100</f>
        <v>17.551401869158877</v>
      </c>
      <c r="G27" s="12"/>
      <c r="H27" s="12">
        <f>1359/B27*100</f>
        <v>25.401869158878505</v>
      </c>
      <c r="I27" s="12"/>
      <c r="J27" s="12">
        <f>1598/B27*100</f>
        <v>29.86915887850467</v>
      </c>
      <c r="K27" s="12"/>
      <c r="L27" s="12">
        <f>145/B27*100</f>
        <v>2.710280373831776</v>
      </c>
      <c r="M27" s="12"/>
      <c r="N27" s="12">
        <f>90/B27*100</f>
        <v>1.6822429906542056</v>
      </c>
      <c r="O27" s="12"/>
      <c r="P27" s="12">
        <f>30/B27*100</f>
        <v>0.5607476635514018</v>
      </c>
      <c r="Q27" s="12"/>
      <c r="R27" s="12">
        <f>7/B27*100</f>
        <v>0.13084112149532712</v>
      </c>
      <c r="T27" s="12"/>
    </row>
    <row r="28" spans="1:20" ht="12.75" customHeight="1">
      <c r="A28" s="1" t="s">
        <v>36</v>
      </c>
      <c r="B28" s="15">
        <v>4943</v>
      </c>
      <c r="D28" s="12">
        <f>2761/B28*100</f>
        <v>55.85676714545822</v>
      </c>
      <c r="E28" s="12"/>
      <c r="F28" s="12">
        <f>790/B28*100</f>
        <v>15.982197046328142</v>
      </c>
      <c r="G28" s="12"/>
      <c r="H28" s="12">
        <f>517/B28*100</f>
        <v>10.459235282217277</v>
      </c>
      <c r="I28" s="12"/>
      <c r="J28" s="12">
        <f>759/B28*100</f>
        <v>15.355047541978555</v>
      </c>
      <c r="K28" s="12"/>
      <c r="L28" s="12">
        <f>83/B28*100</f>
        <v>1.6791422213230833</v>
      </c>
      <c r="M28" s="12"/>
      <c r="N28" s="12">
        <f>18/B28*100</f>
        <v>0.3641513251062108</v>
      </c>
      <c r="O28" s="12"/>
      <c r="P28" s="12">
        <f>11/B28*100</f>
        <v>0.22253692089823993</v>
      </c>
      <c r="Q28" s="12"/>
      <c r="R28" s="12">
        <f>4/B28*100</f>
        <v>0.08092251669026906</v>
      </c>
      <c r="T28" s="12"/>
    </row>
    <row r="29" spans="1:20" ht="12.75" customHeight="1">
      <c r="A29" s="1" t="s">
        <v>65</v>
      </c>
      <c r="B29" s="15">
        <v>2456</v>
      </c>
      <c r="D29" s="12">
        <f>952/B29*100</f>
        <v>38.762214983713356</v>
      </c>
      <c r="E29" s="12"/>
      <c r="F29" s="12">
        <f>283/B29*100</f>
        <v>11.522801302931596</v>
      </c>
      <c r="G29" s="12"/>
      <c r="H29" s="12">
        <f>507/B29*100</f>
        <v>20.643322475570034</v>
      </c>
      <c r="I29" s="12"/>
      <c r="J29" s="12">
        <f>491/B29*100</f>
        <v>19.99185667752443</v>
      </c>
      <c r="K29" s="12"/>
      <c r="L29" s="12">
        <f>109/B29*100</f>
        <v>4.438110749185667</v>
      </c>
      <c r="M29" s="12"/>
      <c r="N29" s="12">
        <f>27/B29*100</f>
        <v>1.0993485342019544</v>
      </c>
      <c r="O29" s="12"/>
      <c r="P29" s="12">
        <f>8/B29*100</f>
        <v>0.32573289902280134</v>
      </c>
      <c r="Q29" s="12"/>
      <c r="R29" s="12">
        <f>79/B29*100</f>
        <v>3.2166123778501627</v>
      </c>
      <c r="T29" s="12"/>
    </row>
    <row r="30" spans="1:20" ht="12.75" customHeight="1">
      <c r="A30" s="1" t="s">
        <v>37</v>
      </c>
      <c r="B30" s="15">
        <v>4621</v>
      </c>
      <c r="D30" s="12">
        <f>2538/B30*100</f>
        <v>54.92317680155811</v>
      </c>
      <c r="E30" s="12"/>
      <c r="F30" s="12">
        <f>723/B30*100</f>
        <v>15.6459640770396</v>
      </c>
      <c r="G30" s="12"/>
      <c r="H30" s="12">
        <f>862/B30*100</f>
        <v>18.65397100194763</v>
      </c>
      <c r="I30" s="12"/>
      <c r="J30" s="12">
        <f>138/B30*100</f>
        <v>2.986366587318762</v>
      </c>
      <c r="K30" s="12"/>
      <c r="L30" s="12">
        <f>220/B30*100</f>
        <v>4.760874269638606</v>
      </c>
      <c r="M30" s="12"/>
      <c r="N30" s="12">
        <f>84/B30*100</f>
        <v>1.817788357498377</v>
      </c>
      <c r="O30" s="12"/>
      <c r="P30" s="12">
        <f>52/B30*100</f>
        <v>1.1252975546418524</v>
      </c>
      <c r="Q30" s="12"/>
      <c r="R30" s="12">
        <f>4/B30*100</f>
        <v>0.08656135035706557</v>
      </c>
      <c r="T30" s="12"/>
    </row>
    <row r="31" spans="1:20" ht="12.75" customHeight="1">
      <c r="A31" s="1" t="s">
        <v>38</v>
      </c>
      <c r="B31" s="15">
        <v>1443</v>
      </c>
      <c r="D31" s="12">
        <f>950/B31*100</f>
        <v>65.83506583506583</v>
      </c>
      <c r="E31" s="12"/>
      <c r="F31" s="12">
        <f>195/B31*100</f>
        <v>13.513513513513514</v>
      </c>
      <c r="G31" s="12"/>
      <c r="H31" s="12">
        <f>157/B31*100</f>
        <v>10.88011088011088</v>
      </c>
      <c r="I31" s="12"/>
      <c r="J31" s="12">
        <f>84/B31*100</f>
        <v>5.8212058212058215</v>
      </c>
      <c r="K31" s="12"/>
      <c r="L31" s="12">
        <f>44/B31*100</f>
        <v>3.049203049203049</v>
      </c>
      <c r="M31" s="12"/>
      <c r="N31" s="12">
        <f>10/B31*100</f>
        <v>0.693000693000693</v>
      </c>
      <c r="O31" s="12"/>
      <c r="P31" s="12">
        <f>3/B31*100</f>
        <v>0.2079002079002079</v>
      </c>
      <c r="Q31" s="12"/>
      <c r="R31" s="12">
        <f>0/B31*100</f>
        <v>0</v>
      </c>
      <c r="T31" s="12"/>
    </row>
    <row r="32" spans="1:20" ht="12.75" customHeight="1">
      <c r="A32" s="1" t="s">
        <v>40</v>
      </c>
      <c r="B32" s="15">
        <v>3734</v>
      </c>
      <c r="D32" s="12">
        <f>2492/B32*100</f>
        <v>66.7380824852705</v>
      </c>
      <c r="E32" s="12"/>
      <c r="F32" s="12">
        <f>643/B32*100</f>
        <v>17.220139260846278</v>
      </c>
      <c r="G32" s="12"/>
      <c r="H32" s="12">
        <f>254/B32*100</f>
        <v>6.8023567220139265</v>
      </c>
      <c r="I32" s="12"/>
      <c r="J32" s="12">
        <f>216/B32*100</f>
        <v>5.78468130690948</v>
      </c>
      <c r="K32" s="12"/>
      <c r="L32" s="12">
        <f>108/B32*100</f>
        <v>2.89234065345474</v>
      </c>
      <c r="M32" s="12"/>
      <c r="N32" s="12">
        <f>4/B32*100</f>
        <v>0.10712372790573112</v>
      </c>
      <c r="O32" s="12"/>
      <c r="P32" s="12">
        <f>10/B32*100</f>
        <v>0.2678093197643278</v>
      </c>
      <c r="Q32" s="12"/>
      <c r="R32" s="12">
        <f>7/B32*100</f>
        <v>0.18746652383502946</v>
      </c>
      <c r="T32" s="12"/>
    </row>
    <row r="33" spans="1:20" ht="12.75" customHeight="1">
      <c r="A33" s="1" t="s">
        <v>39</v>
      </c>
      <c r="B33" s="15">
        <v>299</v>
      </c>
      <c r="D33" s="12">
        <f>126/B33*100</f>
        <v>42.14046822742475</v>
      </c>
      <c r="E33" s="12"/>
      <c r="F33" s="12">
        <f>130/B33*100</f>
        <v>43.47826086956522</v>
      </c>
      <c r="G33" s="12"/>
      <c r="H33" s="12">
        <f>24/B33*100</f>
        <v>8.02675585284281</v>
      </c>
      <c r="I33" s="12"/>
      <c r="J33" s="12">
        <f>10/B33*100</f>
        <v>3.3444816053511706</v>
      </c>
      <c r="K33" s="12"/>
      <c r="L33" s="12">
        <f>3/B33*100</f>
        <v>1.0033444816053512</v>
      </c>
      <c r="M33" s="12"/>
      <c r="N33" s="12">
        <f>2/B33*100</f>
        <v>0.6688963210702341</v>
      </c>
      <c r="O33" s="12"/>
      <c r="P33" s="12">
        <f>1/B33*100</f>
        <v>0.33444816053511706</v>
      </c>
      <c r="Q33" s="12"/>
      <c r="R33" s="12">
        <f>3/B33*100</f>
        <v>1.0033444816053512</v>
      </c>
      <c r="T33" s="12"/>
    </row>
    <row r="34" spans="1:20" ht="12.75" customHeight="1">
      <c r="A34" s="1" t="s">
        <v>41</v>
      </c>
      <c r="B34" s="15">
        <v>403</v>
      </c>
      <c r="D34" s="12">
        <f>110/B34*100</f>
        <v>27.29528535980149</v>
      </c>
      <c r="E34" s="12"/>
      <c r="F34" s="12">
        <f>35/B34*100</f>
        <v>8.6848635235732</v>
      </c>
      <c r="G34" s="12"/>
      <c r="H34" s="12">
        <f>125/B34*100</f>
        <v>31.017369727047146</v>
      </c>
      <c r="I34" s="12"/>
      <c r="J34" s="12">
        <f>39/B34*100</f>
        <v>9.67741935483871</v>
      </c>
      <c r="K34" s="12"/>
      <c r="L34" s="12">
        <f>2/B34*100</f>
        <v>0.49627791563275436</v>
      </c>
      <c r="M34" s="12"/>
      <c r="N34" s="12">
        <f>80/B34*100</f>
        <v>19.851116625310176</v>
      </c>
      <c r="O34" s="12"/>
      <c r="P34" s="12">
        <f>10/B34*100</f>
        <v>2.481389578163772</v>
      </c>
      <c r="Q34" s="12"/>
      <c r="R34" s="12">
        <f>2/B34*100</f>
        <v>0.49627791563275436</v>
      </c>
      <c r="T34" s="12"/>
    </row>
    <row r="35" spans="1:20" ht="12.75" customHeight="1">
      <c r="A35" s="1" t="s">
        <v>42</v>
      </c>
      <c r="B35" s="15">
        <v>1527</v>
      </c>
      <c r="D35" s="12">
        <f>312/B35*100</f>
        <v>20.43222003929273</v>
      </c>
      <c r="E35" s="12"/>
      <c r="F35" s="12">
        <f>422/B35*100</f>
        <v>27.635887360838247</v>
      </c>
      <c r="G35" s="12"/>
      <c r="H35" s="12">
        <f>582/B35*100</f>
        <v>38.1139489194499</v>
      </c>
      <c r="I35" s="12"/>
      <c r="J35" s="12">
        <f>17/B35*100</f>
        <v>1.1132940406024885</v>
      </c>
      <c r="K35" s="12"/>
      <c r="L35" s="12">
        <f>49/B35*100</f>
        <v>3.20890635232482</v>
      </c>
      <c r="M35" s="12"/>
      <c r="N35" s="12">
        <f>125/B35*100</f>
        <v>8.185985592665357</v>
      </c>
      <c r="O35" s="12"/>
      <c r="P35" s="12">
        <f>20/B35*100</f>
        <v>1.309757694826457</v>
      </c>
      <c r="Q35" s="12"/>
      <c r="R35" s="12">
        <f>0/B35*100</f>
        <v>0</v>
      </c>
      <c r="T35" s="12"/>
    </row>
    <row r="36" spans="1:20" ht="12.75" customHeight="1">
      <c r="A36" s="1" t="s">
        <v>43</v>
      </c>
      <c r="B36" s="15">
        <v>739</v>
      </c>
      <c r="D36" s="12">
        <f>377/B36*100</f>
        <v>51.0148849797023</v>
      </c>
      <c r="E36" s="12"/>
      <c r="F36" s="12">
        <f>221/B36*100</f>
        <v>29.905277401894452</v>
      </c>
      <c r="G36" s="12"/>
      <c r="H36" s="12">
        <f>104/B36*100</f>
        <v>14.073071718538566</v>
      </c>
      <c r="I36" s="12"/>
      <c r="J36" s="12">
        <f>19/B36*100</f>
        <v>2.571041948579161</v>
      </c>
      <c r="K36" s="12"/>
      <c r="L36" s="12">
        <f>8/B36*100</f>
        <v>1.0825439783491204</v>
      </c>
      <c r="M36" s="12"/>
      <c r="N36" s="12">
        <f>1/B36*100</f>
        <v>0.13531799729364005</v>
      </c>
      <c r="O36" s="12"/>
      <c r="P36" s="12">
        <f>5/B36*100</f>
        <v>0.6765899864682002</v>
      </c>
      <c r="Q36" s="12"/>
      <c r="R36" s="12">
        <f>4/B36*100</f>
        <v>0.5412719891745602</v>
      </c>
      <c r="T36" s="12"/>
    </row>
    <row r="37" spans="1:20" ht="12.75" customHeight="1">
      <c r="A37" s="4" t="s">
        <v>44</v>
      </c>
      <c r="B37" s="15">
        <v>2919</v>
      </c>
      <c r="D37" s="12">
        <f>564/B37*100</f>
        <v>19.321685508735868</v>
      </c>
      <c r="E37" s="12"/>
      <c r="F37" s="12">
        <f>1590/B37*100</f>
        <v>54.47070914696815</v>
      </c>
      <c r="G37" s="12"/>
      <c r="H37" s="12">
        <f>421/B37*100</f>
        <v>14.422747516272697</v>
      </c>
      <c r="I37" s="12"/>
      <c r="J37" s="12">
        <f>22/B37*100</f>
        <v>0.7536827680712572</v>
      </c>
      <c r="K37" s="12"/>
      <c r="L37" s="12">
        <f>88/B37*100</f>
        <v>3.014731072285029</v>
      </c>
      <c r="M37" s="12"/>
      <c r="N37" s="12">
        <f>162/B37*100</f>
        <v>5.549845837615622</v>
      </c>
      <c r="O37" s="12"/>
      <c r="P37" s="12">
        <f>51/B37*100</f>
        <v>1.7471736896197325</v>
      </c>
      <c r="Q37" s="12"/>
      <c r="R37" s="12">
        <f>21/B37*100</f>
        <v>0.7194244604316548</v>
      </c>
      <c r="T37" s="12"/>
    </row>
    <row r="38" spans="1:20" ht="12.75" customHeight="1">
      <c r="A38" s="1" t="s">
        <v>45</v>
      </c>
      <c r="B38" s="15">
        <v>4394</v>
      </c>
      <c r="D38" s="12">
        <f>1893/B38*100</f>
        <v>43.081474738279475</v>
      </c>
      <c r="E38" s="12"/>
      <c r="F38" s="12">
        <f>1425/B38*100</f>
        <v>32.43058716431497</v>
      </c>
      <c r="G38" s="12"/>
      <c r="H38" s="12">
        <f>700/B38*100</f>
        <v>15.930814747382795</v>
      </c>
      <c r="I38" s="12"/>
      <c r="J38" s="12">
        <f>56/B38*100</f>
        <v>1.2744651797906235</v>
      </c>
      <c r="K38" s="12"/>
      <c r="L38" s="12">
        <f>174/B38*100</f>
        <v>3.959945380063723</v>
      </c>
      <c r="M38" s="12"/>
      <c r="N38" s="12">
        <f>124/B38*100</f>
        <v>2.822030040964952</v>
      </c>
      <c r="O38" s="12"/>
      <c r="P38" s="12">
        <f>17/B38*100</f>
        <v>0.38689121529358217</v>
      </c>
      <c r="Q38" s="12"/>
      <c r="R38" s="12">
        <f>5/B38*100</f>
        <v>0.11379153390987709</v>
      </c>
      <c r="T38" s="12"/>
    </row>
    <row r="39" spans="1:20" ht="12.75" customHeight="1">
      <c r="A39" s="1" t="s">
        <v>46</v>
      </c>
      <c r="B39" s="15">
        <v>4115</v>
      </c>
      <c r="D39" s="12">
        <f>3357/B39*100</f>
        <v>81.57958687727826</v>
      </c>
      <c r="E39" s="12"/>
      <c r="F39" s="12">
        <f>509/B39*100</f>
        <v>12.369380315917375</v>
      </c>
      <c r="G39" s="12"/>
      <c r="H39" s="12">
        <f>48/B39*100</f>
        <v>1.1664641555285542</v>
      </c>
      <c r="I39" s="12"/>
      <c r="J39" s="12">
        <f>64/B39*100</f>
        <v>1.5552855407047388</v>
      </c>
      <c r="K39" s="12"/>
      <c r="L39" s="12">
        <f>136/B39*100</f>
        <v>3.30498177399757</v>
      </c>
      <c r="M39" s="12"/>
      <c r="N39" s="12">
        <f>1/B39*100</f>
        <v>0.024301336573511544</v>
      </c>
      <c r="O39" s="12"/>
      <c r="P39" s="12">
        <f>0/B39*100</f>
        <v>0</v>
      </c>
      <c r="Q39" s="12"/>
      <c r="R39" s="12">
        <f>0/B39*100</f>
        <v>0</v>
      </c>
      <c r="T39" s="12"/>
    </row>
    <row r="40" spans="1:20" ht="12.75" customHeight="1">
      <c r="A40" s="1" t="s">
        <v>47</v>
      </c>
      <c r="B40" s="15">
        <v>6276</v>
      </c>
      <c r="D40" s="12">
        <f>2564/B40*100</f>
        <v>40.8540471637986</v>
      </c>
      <c r="E40" s="12"/>
      <c r="F40" s="12">
        <f>2284/B40*100</f>
        <v>36.39260675589547</v>
      </c>
      <c r="G40" s="12"/>
      <c r="H40" s="12">
        <f>1092/B40*100</f>
        <v>17.39961759082218</v>
      </c>
      <c r="I40" s="12"/>
      <c r="J40" s="12">
        <f>164/B40*100</f>
        <v>2.613129381771829</v>
      </c>
      <c r="K40" s="12"/>
      <c r="L40" s="12">
        <f>72/B40*100</f>
        <v>1.147227533460803</v>
      </c>
      <c r="M40" s="12"/>
      <c r="N40" s="12">
        <f>68/B40*100</f>
        <v>1.0834926704907584</v>
      </c>
      <c r="O40" s="12"/>
      <c r="P40" s="12">
        <f>23/B40*100</f>
        <v>0.36647546207775655</v>
      </c>
      <c r="Q40" s="12"/>
      <c r="R40" s="12">
        <f>9/B40*100</f>
        <v>0.14340344168260039</v>
      </c>
      <c r="T40" s="12"/>
    </row>
    <row r="41" spans="1:20" ht="12.75" customHeight="1">
      <c r="A41" s="1" t="s">
        <v>48</v>
      </c>
      <c r="B41" s="15">
        <v>4099</v>
      </c>
      <c r="D41" s="12">
        <f>2597/B41*100</f>
        <v>63.356916321053916</v>
      </c>
      <c r="E41" s="12"/>
      <c r="F41" s="12">
        <f>678/B41*100</f>
        <v>16.54061966333252</v>
      </c>
      <c r="G41" s="12"/>
      <c r="H41" s="12">
        <f>566/B41*100</f>
        <v>13.808245913637474</v>
      </c>
      <c r="I41" s="12"/>
      <c r="J41" s="12">
        <f>111/B41*100</f>
        <v>2.707977555501342</v>
      </c>
      <c r="K41" s="12"/>
      <c r="L41" s="12">
        <f>65/B41*100</f>
        <v>1.5857526225908758</v>
      </c>
      <c r="M41" s="12"/>
      <c r="N41" s="12">
        <f>56/B41*100</f>
        <v>1.3661868748475237</v>
      </c>
      <c r="O41" s="12"/>
      <c r="P41" s="12">
        <f>19/B41*100</f>
        <v>0.46352768968040986</v>
      </c>
      <c r="Q41" s="12"/>
      <c r="R41" s="12">
        <f>7/B41*100</f>
        <v>0.17077335935594046</v>
      </c>
      <c r="T41" s="12"/>
    </row>
    <row r="42" spans="1:20" ht="12.75" customHeight="1">
      <c r="A42" s="1" t="s">
        <v>49</v>
      </c>
      <c r="B42" s="15">
        <v>2271</v>
      </c>
      <c r="D42" s="12">
        <f>830/B42*100</f>
        <v>36.5477763099956</v>
      </c>
      <c r="E42" s="12"/>
      <c r="F42" s="12">
        <f>588/B42*100</f>
        <v>25.891677675033026</v>
      </c>
      <c r="G42" s="12"/>
      <c r="H42" s="12">
        <f>133/B42*100</f>
        <v>5.856450902686042</v>
      </c>
      <c r="I42" s="12"/>
      <c r="J42" s="12">
        <f>424/B42*100</f>
        <v>18.670189343901363</v>
      </c>
      <c r="K42" s="12"/>
      <c r="L42" s="12">
        <f>120/B42*100</f>
        <v>5.284015852047556</v>
      </c>
      <c r="M42" s="12"/>
      <c r="N42" s="12">
        <f>90/B42*100</f>
        <v>3.963011889035667</v>
      </c>
      <c r="O42" s="12"/>
      <c r="P42" s="12">
        <f>42/B42*100</f>
        <v>1.8494055482166447</v>
      </c>
      <c r="Q42" s="12"/>
      <c r="R42" s="12">
        <f>44/B42*100</f>
        <v>1.9374724790841038</v>
      </c>
      <c r="T42" s="12"/>
    </row>
    <row r="43" spans="1:20" ht="12.75" customHeight="1">
      <c r="A43" s="1" t="s">
        <v>50</v>
      </c>
      <c r="B43" s="15">
        <v>4775</v>
      </c>
      <c r="D43" s="12">
        <f>1636/B43*100</f>
        <v>34.261780104712045</v>
      </c>
      <c r="E43" s="12"/>
      <c r="F43" s="12">
        <f>757/B43*100</f>
        <v>15.853403141361255</v>
      </c>
      <c r="G43" s="12"/>
      <c r="H43" s="12">
        <f>1202/B43*100</f>
        <v>25.172774869109947</v>
      </c>
      <c r="I43" s="12"/>
      <c r="J43" s="12">
        <f>118/B43*100</f>
        <v>2.4712041884816753</v>
      </c>
      <c r="K43" s="12"/>
      <c r="L43" s="12">
        <f>320/B43*100</f>
        <v>6.701570680628273</v>
      </c>
      <c r="M43" s="12"/>
      <c r="N43" s="12">
        <f>412/B43*100</f>
        <v>8.628272251308902</v>
      </c>
      <c r="O43" s="12"/>
      <c r="P43" s="12">
        <f>70/B43*100</f>
        <v>1.4659685863874345</v>
      </c>
      <c r="Q43" s="12"/>
      <c r="R43" s="12">
        <f>260/B43*100</f>
        <v>5.445026178010471</v>
      </c>
      <c r="T43" s="12"/>
    </row>
    <row r="44" spans="1:20" ht="12.75" customHeight="1">
      <c r="A44" s="1" t="s">
        <v>51</v>
      </c>
      <c r="B44" s="15">
        <v>118</v>
      </c>
      <c r="D44" s="12">
        <f>7/B44*100</f>
        <v>5.932203389830509</v>
      </c>
      <c r="E44" s="12"/>
      <c r="F44" s="12">
        <f>16/B44*100</f>
        <v>13.559322033898304</v>
      </c>
      <c r="G44" s="12"/>
      <c r="H44" s="12">
        <f>24/B44*100</f>
        <v>20.33898305084746</v>
      </c>
      <c r="I44" s="12"/>
      <c r="J44" s="12">
        <f>4/B44*100</f>
        <v>3.389830508474576</v>
      </c>
      <c r="K44" s="12"/>
      <c r="L44" s="12">
        <f>22/B44*100</f>
        <v>18.64406779661017</v>
      </c>
      <c r="M44" s="12"/>
      <c r="N44" s="12">
        <f>22/B44*100</f>
        <v>18.64406779661017</v>
      </c>
      <c r="O44" s="12"/>
      <c r="P44" s="12">
        <f>22/B44*100</f>
        <v>18.64406779661017</v>
      </c>
      <c r="Q44" s="12"/>
      <c r="R44" s="12">
        <f>1/B44*100</f>
        <v>0.847457627118644</v>
      </c>
      <c r="T44" s="12"/>
    </row>
    <row r="45" spans="1:20" ht="12.75" customHeight="1">
      <c r="A45" s="1" t="s">
        <v>52</v>
      </c>
      <c r="B45" s="15">
        <v>2850</v>
      </c>
      <c r="D45" s="12">
        <f>898/B45*100</f>
        <v>31.508771929824565</v>
      </c>
      <c r="E45" s="12"/>
      <c r="F45" s="12">
        <f>918/B45*100</f>
        <v>32.21052631578947</v>
      </c>
      <c r="G45" s="12"/>
      <c r="H45" s="12">
        <f>439/B45*100</f>
        <v>15.403508771929825</v>
      </c>
      <c r="I45" s="12"/>
      <c r="J45" s="12">
        <f>471/B45*100</f>
        <v>16.526315789473685</v>
      </c>
      <c r="K45" s="12"/>
      <c r="L45" s="12">
        <f>15/B45*100</f>
        <v>0.5263157894736842</v>
      </c>
      <c r="M45" s="12"/>
      <c r="N45" s="12">
        <f>105/B45*100</f>
        <v>3.684210526315789</v>
      </c>
      <c r="O45" s="12"/>
      <c r="P45" s="12">
        <f>4/B45*100</f>
        <v>0.14035087719298245</v>
      </c>
      <c r="Q45" s="12"/>
      <c r="R45" s="12">
        <f>0/B45*100</f>
        <v>0</v>
      </c>
      <c r="T45" s="12"/>
    </row>
    <row r="46" spans="1:20" ht="12.75" customHeight="1">
      <c r="A46" s="1" t="s">
        <v>53</v>
      </c>
      <c r="B46" s="15">
        <v>2123</v>
      </c>
      <c r="D46" s="12">
        <f>1796/B46*100</f>
        <v>84.59726801695714</v>
      </c>
      <c r="E46" s="12"/>
      <c r="F46" s="12">
        <f>21/B46*100</f>
        <v>0.9891662741403674</v>
      </c>
      <c r="G46" s="12"/>
      <c r="H46" s="12">
        <f>200/B46*100</f>
        <v>9.420631182289213</v>
      </c>
      <c r="I46" s="12"/>
      <c r="J46" s="12">
        <f>30/B46*100</f>
        <v>1.4130946773433821</v>
      </c>
      <c r="K46" s="12"/>
      <c r="L46" s="12">
        <f>75/B46*100</f>
        <v>3.532736693358455</v>
      </c>
      <c r="M46" s="12"/>
      <c r="N46" s="12">
        <f>0/B46*100</f>
        <v>0</v>
      </c>
      <c r="O46" s="12"/>
      <c r="P46" s="12">
        <f>1/B46*100</f>
        <v>0.047103155911446065</v>
      </c>
      <c r="Q46" s="12"/>
      <c r="R46" s="12">
        <f>0/B46*100</f>
        <v>0</v>
      </c>
      <c r="T46" s="12"/>
    </row>
    <row r="47" spans="1:20" ht="12.75" customHeight="1">
      <c r="A47" s="1" t="s">
        <v>66</v>
      </c>
      <c r="B47" s="15">
        <v>3169</v>
      </c>
      <c r="D47" s="12">
        <f>1487/B47*100</f>
        <v>46.923319659198484</v>
      </c>
      <c r="E47" s="12"/>
      <c r="F47" s="12">
        <f>449/B47*100</f>
        <v>14.168507415588513</v>
      </c>
      <c r="G47" s="12"/>
      <c r="H47" s="12">
        <f>691/B47*100</f>
        <v>21.804985799936887</v>
      </c>
      <c r="I47" s="12"/>
      <c r="J47" s="12">
        <f>159/B47*100</f>
        <v>5.017355632691701</v>
      </c>
      <c r="K47" s="12"/>
      <c r="L47" s="12">
        <f>193/B47*100</f>
        <v>6.090249289996844</v>
      </c>
      <c r="M47" s="12"/>
      <c r="N47" s="12">
        <f>172/B47*100</f>
        <v>5.427579678131903</v>
      </c>
      <c r="O47" s="12"/>
      <c r="P47" s="12">
        <f>16/B47*100</f>
        <v>0.5048911328494794</v>
      </c>
      <c r="Q47" s="12"/>
      <c r="R47" s="12">
        <f>2/B47*100</f>
        <v>0.06311139160618492</v>
      </c>
      <c r="T47" s="12"/>
    </row>
    <row r="48" spans="1:20" ht="12.75" customHeight="1">
      <c r="A48" s="1" t="s">
        <v>54</v>
      </c>
      <c r="B48" s="15">
        <v>10948</v>
      </c>
      <c r="D48" s="12">
        <f>4901/B48*100</f>
        <v>44.76616733649982</v>
      </c>
      <c r="E48" s="12"/>
      <c r="F48" s="12">
        <f>3875/B48*100</f>
        <v>35.39459261965656</v>
      </c>
      <c r="G48" s="12"/>
      <c r="H48" s="12">
        <f>1292/B48*100</f>
        <v>11.801242236024844</v>
      </c>
      <c r="I48" s="12"/>
      <c r="J48" s="12">
        <f>275/B48*100</f>
        <v>2.511874314943369</v>
      </c>
      <c r="K48" s="12"/>
      <c r="L48" s="12">
        <f>440/B48*100</f>
        <v>4.01899890390939</v>
      </c>
      <c r="M48" s="12"/>
      <c r="N48" s="12">
        <f>85/B48*100</f>
        <v>0.7763975155279503</v>
      </c>
      <c r="O48" s="12"/>
      <c r="P48" s="12">
        <f>73/B48*100</f>
        <v>0.6667884545122397</v>
      </c>
      <c r="Q48" s="12"/>
      <c r="R48" s="12">
        <f>7/B48*100</f>
        <v>0.0639386189258312</v>
      </c>
      <c r="T48" s="12"/>
    </row>
    <row r="49" spans="1:20" ht="12.75" customHeight="1">
      <c r="A49" s="1" t="s">
        <v>55</v>
      </c>
      <c r="B49" s="15">
        <v>913</v>
      </c>
      <c r="D49" s="12">
        <f>378/B49*100</f>
        <v>41.40197152245345</v>
      </c>
      <c r="E49" s="12"/>
      <c r="F49" s="12">
        <f>192/B49*100</f>
        <v>21.02957283680175</v>
      </c>
      <c r="G49" s="12"/>
      <c r="H49" s="12">
        <f>151/B49*100</f>
        <v>16.538882803943046</v>
      </c>
      <c r="I49" s="12"/>
      <c r="J49" s="12">
        <f>45/B49*100</f>
        <v>4.928806133625411</v>
      </c>
      <c r="K49" s="12"/>
      <c r="L49" s="12">
        <f>61/B49*100</f>
        <v>6.681270536692223</v>
      </c>
      <c r="M49" s="12"/>
      <c r="N49" s="12">
        <f>76/B49*100</f>
        <v>8.32420591456736</v>
      </c>
      <c r="O49" s="12"/>
      <c r="P49" s="12">
        <f>6/B49*100</f>
        <v>0.6571741511500547</v>
      </c>
      <c r="Q49" s="12"/>
      <c r="R49" s="12">
        <f>4/B49*100</f>
        <v>0.43811610076670315</v>
      </c>
      <c r="T49" s="12"/>
    </row>
    <row r="50" spans="1:20" ht="12.75" customHeight="1">
      <c r="A50" s="1" t="s">
        <v>56</v>
      </c>
      <c r="B50" s="15">
        <v>501</v>
      </c>
      <c r="D50" s="12">
        <f>188/B50*100</f>
        <v>37.5249500998004</v>
      </c>
      <c r="E50" s="12"/>
      <c r="F50" s="12">
        <f>32/B50*100</f>
        <v>6.387225548902195</v>
      </c>
      <c r="G50" s="12"/>
      <c r="H50" s="12">
        <f>206/B50*100</f>
        <v>41.11776447105788</v>
      </c>
      <c r="I50" s="12"/>
      <c r="J50" s="12">
        <f>29/B50*100</f>
        <v>5.788423153692615</v>
      </c>
      <c r="K50" s="12"/>
      <c r="L50" s="12">
        <f>8/B50*100</f>
        <v>1.5968063872255487</v>
      </c>
      <c r="M50" s="12"/>
      <c r="N50" s="12">
        <f>36/B50*100</f>
        <v>7.18562874251497</v>
      </c>
      <c r="O50" s="12"/>
      <c r="P50" s="12">
        <f>2/B50*100</f>
        <v>0.39920159680638717</v>
      </c>
      <c r="Q50" s="12"/>
      <c r="R50" s="12">
        <f>0/B50*100</f>
        <v>0</v>
      </c>
      <c r="T50" s="12"/>
    </row>
    <row r="51" spans="1:20" ht="12.75" customHeight="1">
      <c r="A51" s="1" t="s">
        <v>57</v>
      </c>
      <c r="B51" s="15">
        <v>2045</v>
      </c>
      <c r="D51" s="12">
        <f>486/B51*100</f>
        <v>23.765281173594133</v>
      </c>
      <c r="E51" s="12"/>
      <c r="F51" s="12">
        <f>1065/B51*100</f>
        <v>52.07823960880196</v>
      </c>
      <c r="G51" s="12"/>
      <c r="H51" s="12">
        <f>412/B51*100</f>
        <v>20.146699266503667</v>
      </c>
      <c r="I51" s="12"/>
      <c r="J51" s="12">
        <f>9/B51*100</f>
        <v>0.4400977995110024</v>
      </c>
      <c r="K51" s="12"/>
      <c r="L51" s="12">
        <f>53/B51*100</f>
        <v>2.591687041564792</v>
      </c>
      <c r="M51" s="12"/>
      <c r="N51" s="12">
        <f>7/B51*100</f>
        <v>0.3422982885085574</v>
      </c>
      <c r="O51" s="12"/>
      <c r="P51" s="12">
        <f>9/B51*100</f>
        <v>0.4400977995110024</v>
      </c>
      <c r="Q51" s="12"/>
      <c r="R51" s="12">
        <f>4/B51*100</f>
        <v>0.19559902200488996</v>
      </c>
      <c r="T51" s="12"/>
    </row>
    <row r="52" spans="1:20" ht="12.75" customHeight="1">
      <c r="A52" s="1" t="s">
        <v>58</v>
      </c>
      <c r="B52" s="15">
        <v>2655</v>
      </c>
      <c r="D52" s="12">
        <f>1330/B52*100</f>
        <v>50.09416195856874</v>
      </c>
      <c r="E52" s="12"/>
      <c r="F52" s="12">
        <f>538/B52*100</f>
        <v>20.263653483992467</v>
      </c>
      <c r="G52" s="12"/>
      <c r="H52" s="12">
        <f>368/B52*100</f>
        <v>13.860640301318266</v>
      </c>
      <c r="I52" s="12"/>
      <c r="J52" s="12">
        <f>100/B52*100</f>
        <v>3.766478342749529</v>
      </c>
      <c r="K52" s="12"/>
      <c r="L52" s="12">
        <f>254/B52*100</f>
        <v>9.566854990583803</v>
      </c>
      <c r="M52" s="12"/>
      <c r="N52" s="12">
        <f>38/B52*100</f>
        <v>1.431261770244821</v>
      </c>
      <c r="O52" s="12"/>
      <c r="P52" s="12">
        <f>25/B52*100</f>
        <v>0.9416195856873822</v>
      </c>
      <c r="Q52" s="12"/>
      <c r="R52" s="12">
        <f>2/B52*100</f>
        <v>0.07532956685499058</v>
      </c>
      <c r="T52" s="12"/>
    </row>
    <row r="53" spans="1:20" ht="12.75" customHeight="1">
      <c r="A53" s="1" t="s">
        <v>59</v>
      </c>
      <c r="B53" s="15">
        <v>1538</v>
      </c>
      <c r="D53" s="12">
        <f>684/B53*100</f>
        <v>44.47334200260078</v>
      </c>
      <c r="E53" s="12"/>
      <c r="F53" s="12">
        <f>225/B53*100</f>
        <v>14.629388816644994</v>
      </c>
      <c r="G53" s="12"/>
      <c r="H53" s="12">
        <f>454/B53*100</f>
        <v>29.518855656697006</v>
      </c>
      <c r="I53" s="12"/>
      <c r="J53" s="12">
        <f>25/B53*100</f>
        <v>1.6254876462938883</v>
      </c>
      <c r="K53" s="12"/>
      <c r="L53" s="12">
        <f>122/B53*100</f>
        <v>7.932379713914174</v>
      </c>
      <c r="M53" s="12"/>
      <c r="N53" s="12">
        <f>17/B53*100</f>
        <v>1.1053315994798438</v>
      </c>
      <c r="O53" s="12"/>
      <c r="P53" s="12">
        <f>5/B53*100</f>
        <v>0.3250975292587776</v>
      </c>
      <c r="Q53" s="12"/>
      <c r="R53" s="12">
        <f>6/B53*100</f>
        <v>0.3901170351105332</v>
      </c>
      <c r="T53" s="12"/>
    </row>
    <row r="54" spans="1:20" ht="12.75" customHeight="1">
      <c r="A54" s="1" t="s">
        <v>60</v>
      </c>
      <c r="B54" s="15">
        <v>4136</v>
      </c>
      <c r="D54" s="12">
        <f>1543/B54*100</f>
        <v>37.306576402321085</v>
      </c>
      <c r="E54" s="12"/>
      <c r="F54" s="12">
        <f>667/B54*100</f>
        <v>16.12669245647969</v>
      </c>
      <c r="G54" s="12"/>
      <c r="H54" s="12">
        <f>1119/B54*100</f>
        <v>27.055125725338492</v>
      </c>
      <c r="I54" s="12"/>
      <c r="J54" s="12">
        <f>653/B54*100</f>
        <v>15.788201160541588</v>
      </c>
      <c r="K54" s="12"/>
      <c r="L54" s="12">
        <f>40/B54*100</f>
        <v>0.9671179883945842</v>
      </c>
      <c r="M54" s="12"/>
      <c r="N54" s="12">
        <f>82/B54*100</f>
        <v>1.9825918762088972</v>
      </c>
      <c r="O54" s="12"/>
      <c r="P54" s="12">
        <f>32/B54*100</f>
        <v>0.7736943907156674</v>
      </c>
      <c r="Q54" s="12"/>
      <c r="R54" s="12">
        <f>0/B54*100</f>
        <v>0</v>
      </c>
      <c r="T54" s="12"/>
    </row>
    <row r="55" spans="1:20" ht="12.75" customHeight="1">
      <c r="A55" s="10" t="s">
        <v>61</v>
      </c>
      <c r="B55" s="15">
        <v>395</v>
      </c>
      <c r="D55" s="12">
        <f>124/B55*100</f>
        <v>31.39240506329114</v>
      </c>
      <c r="E55" s="12"/>
      <c r="F55" s="12">
        <f>179/B55*100</f>
        <v>45.31645569620253</v>
      </c>
      <c r="G55" s="12"/>
      <c r="H55" s="12">
        <f>72/B55*100</f>
        <v>18.227848101265824</v>
      </c>
      <c r="I55" s="12"/>
      <c r="J55" s="12">
        <f>8/B55*100</f>
        <v>2.0253164556962027</v>
      </c>
      <c r="K55" s="12"/>
      <c r="L55" s="12">
        <f>10/B55*100</f>
        <v>2.5316455696202533</v>
      </c>
      <c r="M55" s="12"/>
      <c r="N55" s="12">
        <f>1/B55*100</f>
        <v>0.25316455696202533</v>
      </c>
      <c r="O55" s="12"/>
      <c r="P55" s="12">
        <f>1/B55*100</f>
        <v>0.25316455696202533</v>
      </c>
      <c r="Q55" s="12"/>
      <c r="R55" s="12">
        <f>0/B55*100</f>
        <v>0</v>
      </c>
      <c r="T55" s="12"/>
    </row>
    <row r="56" spans="1:20" ht="12.75" customHeight="1">
      <c r="A56" s="5" t="s">
        <v>0</v>
      </c>
      <c r="B56" s="6">
        <v>147681</v>
      </c>
      <c r="C56" s="5"/>
      <c r="D56" s="7">
        <f>64985/B56*100</f>
        <v>44.003629444546014</v>
      </c>
      <c r="E56" s="7"/>
      <c r="F56" s="7">
        <f>36763/B56*100</f>
        <v>24.893520493496116</v>
      </c>
      <c r="G56" s="7"/>
      <c r="H56" s="7">
        <f>25067/B56*100</f>
        <v>16.97374746920728</v>
      </c>
      <c r="I56" s="7"/>
      <c r="J56" s="7">
        <f>11584/B56*100</f>
        <v>7.843933884521367</v>
      </c>
      <c r="K56" s="7"/>
      <c r="L56" s="7">
        <f>4651/B56*100</f>
        <v>3.149355705879565</v>
      </c>
      <c r="M56" s="7"/>
      <c r="N56" s="7">
        <f>2845/B56*100</f>
        <v>1.9264495771290822</v>
      </c>
      <c r="O56" s="7"/>
      <c r="P56" s="7">
        <f>1230/B56*100</f>
        <v>0.8328762670891989</v>
      </c>
      <c r="Q56" s="7"/>
      <c r="R56" s="7">
        <f>556/B56*100</f>
        <v>0.3764871581313778</v>
      </c>
      <c r="S56" s="5"/>
      <c r="T56" s="12"/>
    </row>
    <row r="57" spans="1:20" ht="3" customHeight="1">
      <c r="A57" s="23"/>
      <c r="B57" s="19"/>
      <c r="C57" s="23"/>
      <c r="D57" s="24"/>
      <c r="E57" s="24"/>
      <c r="F57" s="24"/>
      <c r="G57" s="24"/>
      <c r="H57" s="24"/>
      <c r="I57" s="12"/>
      <c r="J57" s="12"/>
      <c r="K57" s="12"/>
      <c r="L57" s="12"/>
      <c r="M57" s="12"/>
      <c r="N57" s="12"/>
      <c r="O57" s="12"/>
      <c r="P57" s="12"/>
      <c r="Q57" s="12"/>
      <c r="R57" s="12"/>
      <c r="T57" s="12">
        <f>D57+F57+H57+J57+L57+N57+P57+R57</f>
        <v>0</v>
      </c>
    </row>
    <row r="58" spans="1:18" ht="12.75" customHeight="1">
      <c r="A58" s="11" t="s">
        <v>12</v>
      </c>
      <c r="B58" s="15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9" customHeight="1">
      <c r="A59" s="11"/>
      <c r="B59" s="1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 customHeight="1">
      <c r="A60" s="31" t="s">
        <v>13</v>
      </c>
      <c r="B60" s="32"/>
      <c r="C60" s="32"/>
      <c r="D60" s="32"/>
      <c r="E60" s="32"/>
      <c r="F60" s="32"/>
      <c r="G60" s="32"/>
      <c r="H60" s="32"/>
      <c r="J60" s="15"/>
      <c r="K60" s="15"/>
      <c r="L60" s="21"/>
      <c r="M60" s="21"/>
      <c r="N60" s="9"/>
      <c r="O60" s="9"/>
      <c r="P60" s="14"/>
      <c r="R60" s="14"/>
    </row>
    <row r="61" spans="1:18" ht="9" customHeight="1">
      <c r="A61" s="3"/>
      <c r="B61" s="18"/>
      <c r="C61" s="18"/>
      <c r="D61" s="18"/>
      <c r="E61" s="18"/>
      <c r="F61" s="18"/>
      <c r="G61" s="18"/>
      <c r="H61" s="18"/>
      <c r="J61" s="15"/>
      <c r="K61" s="15"/>
      <c r="L61" s="21"/>
      <c r="M61" s="21"/>
      <c r="N61" s="9"/>
      <c r="O61" s="9"/>
      <c r="P61" s="14"/>
      <c r="R61" s="14"/>
    </row>
    <row r="62" spans="1:19" ht="27" customHeight="1">
      <c r="A62" s="33" t="s">
        <v>14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6.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8" ht="12.75" customHeight="1">
      <c r="A64" s="20"/>
      <c r="B64" s="15"/>
      <c r="C64" s="15"/>
      <c r="D64" s="21"/>
      <c r="E64" s="21"/>
      <c r="F64" s="9"/>
      <c r="G64" s="9"/>
      <c r="H64" s="14"/>
      <c r="J64" s="15"/>
      <c r="K64" s="15"/>
      <c r="L64" s="21"/>
      <c r="M64" s="21"/>
      <c r="N64" s="9"/>
      <c r="O64" s="9"/>
      <c r="P64" s="14"/>
      <c r="R64" s="14"/>
    </row>
    <row r="65" ht="12.75">
      <c r="A65" s="22"/>
    </row>
  </sheetData>
  <mergeCells count="13">
    <mergeCell ref="R4:S4"/>
    <mergeCell ref="A60:H60"/>
    <mergeCell ref="A62:S62"/>
    <mergeCell ref="A1:S1"/>
    <mergeCell ref="D3:S3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75" right="0.75" top="1" bottom="1" header="0.5" footer="0.5"/>
  <pageSetup horizontalDpi="1200" verticalDpi="1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2007-01-09T14:44:33Z</cp:lastPrinted>
  <dcterms:created xsi:type="dcterms:W3CDTF">1980-01-01T05:00:00Z</dcterms:created>
  <dcterms:modified xsi:type="dcterms:W3CDTF">2007-02-23T16:47:50Z</dcterms:modified>
  <cp:category/>
  <cp:version/>
  <cp:contentType/>
  <cp:contentStatus/>
</cp:coreProperties>
</file>