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2" sheetId="1" r:id="rId1"/>
  </sheets>
  <definedNames>
    <definedName name="_xlnm.Print_Area" localSheetId="0">'D-2'!$A$1:$N$27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<sst xmlns="http://schemas.openxmlformats.org/spreadsheetml/2006/main" count="76" uniqueCount="53">
  <si>
    <t>Transit agencies</t>
  </si>
  <si>
    <t>Modes provided</t>
  </si>
  <si>
    <t>Urbanized area</t>
  </si>
  <si>
    <t>Average weekday unlinked trips (thousands)</t>
  </si>
  <si>
    <t>Annual unlinked passenger trips (thousands)</t>
  </si>
  <si>
    <t>Operating funds expended       ($ millions)</t>
  </si>
  <si>
    <t>Capital funds expended ($ millions)</t>
  </si>
  <si>
    <t>Vehicles available for maximum service</t>
  </si>
  <si>
    <t>Pinellas Suncoast Transit Authority (PSTA)</t>
  </si>
  <si>
    <t>Space Coast Area Transit (SCAT)</t>
  </si>
  <si>
    <t>Gainesville Regional System (RTS)</t>
  </si>
  <si>
    <t>Gainesville</t>
  </si>
  <si>
    <t>Jacksonville Transportation Authority (JTA)</t>
  </si>
  <si>
    <t>Jacksonville</t>
  </si>
  <si>
    <t>Lakeland Area Mass Transit Citrus Connection</t>
  </si>
  <si>
    <t>Lakeland</t>
  </si>
  <si>
    <t>Miami-Dade Transit (MDT)</t>
  </si>
  <si>
    <t>Central Florida Regional Transportation Authority (LYNX)</t>
  </si>
  <si>
    <t>Orlando</t>
  </si>
  <si>
    <t>Bay County Council on Aging Coordinated Transportation (BCCOA)</t>
  </si>
  <si>
    <t>Panama City</t>
  </si>
  <si>
    <t>Pensacola</t>
  </si>
  <si>
    <t>City of Tallahassee-TALTRAN</t>
  </si>
  <si>
    <t>Tallahassee</t>
  </si>
  <si>
    <t>Vero Beach</t>
  </si>
  <si>
    <t>Bus, demand responsive, vanpool</t>
  </si>
  <si>
    <t>Bus, demand responsive, automated guideway</t>
  </si>
  <si>
    <t>Lee County Transit (Lee Tran)</t>
  </si>
  <si>
    <t>Escambia County Area Transit (ECAT)</t>
  </si>
  <si>
    <t>Bus, heavy rail, automated guideway</t>
  </si>
  <si>
    <t>Broward County Mass Transit Division (BCT)</t>
  </si>
  <si>
    <t>Hillsborough Area Regional Transit Authority (HART)</t>
  </si>
  <si>
    <t>Tri-County Commuter Rail (TCRA)</t>
  </si>
  <si>
    <t>Manatee County Area Transit (MCAT)</t>
  </si>
  <si>
    <t>Pasco County Public Transportation (PCPT)</t>
  </si>
  <si>
    <t>Bus, demand responsive</t>
  </si>
  <si>
    <t>Commuter rail</t>
  </si>
  <si>
    <t>Indian River County Council on Aging (Indian River Transit)</t>
  </si>
  <si>
    <t>Palm Tran</t>
  </si>
  <si>
    <t>County of Volusia (VOTRAN)</t>
  </si>
  <si>
    <t>Sarasota County Transportation Authority (SCAT)</t>
  </si>
  <si>
    <t>Miami-Hialeah</t>
  </si>
  <si>
    <t>Sarasota-Bradenton</t>
  </si>
  <si>
    <t>Melbourne-Palm Bay</t>
  </si>
  <si>
    <t>Tampa-St. Petersburg-Clearwater</t>
  </si>
  <si>
    <t>Fort Lauderdale-Hollywood-Pompano Beach</t>
  </si>
  <si>
    <t>West Palm Beach-Boca Raton-Delray Beach</t>
  </si>
  <si>
    <t>Daytona Beach</t>
  </si>
  <si>
    <t>Fort Myers-Cape Coral</t>
  </si>
  <si>
    <t>Table 4-3: Major Urban Transit Agencies in Florida: 2000</t>
  </si>
  <si>
    <r>
      <t>NOTE</t>
    </r>
    <r>
      <rPr>
        <sz val="10"/>
        <rFont val="Futura Md BT"/>
        <family val="2"/>
      </rPr>
      <t>:  Major urban transit agencies defined as agencies providing 200,000 unlinked passenger trips or more annually.</t>
    </r>
  </si>
  <si>
    <r>
      <t xml:space="preserve">SOURCE: </t>
    </r>
    <r>
      <rPr>
        <sz val="10"/>
        <rFont val="Futura Md BT"/>
        <family val="2"/>
      </rPr>
      <t>U.S. Department of Transportation, Federal Transit Administration, National Transit Database, available at http://www.ntdprogram.com/NTD/Profiles.nsf/ProfileInformation?OpenForm&amp;2000&amp;All as of Dec. 6, 2001.</t>
    </r>
  </si>
  <si>
    <t>&lt;1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</si>
</sst>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8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22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3" fillId="0" borderId="2" xfId="22" applyFont="1" applyBorder="1">
      <alignment/>
      <protection/>
    </xf>
    <xf numFmtId="0" fontId="3" fillId="0" borderId="0" xfId="22" applyFont="1" applyBorder="1">
      <alignment/>
      <protection/>
    </xf>
    <xf numFmtId="0" fontId="4" fillId="0" borderId="3" xfId="22" applyFont="1" applyBorder="1" applyAlignment="1">
      <alignment horizontal="left" wrapText="1"/>
      <protection/>
    </xf>
    <xf numFmtId="0" fontId="3" fillId="0" borderId="0" xfId="22" applyFont="1" applyAlignment="1">
      <alignment vertical="top" wrapText="1"/>
      <protection/>
    </xf>
    <xf numFmtId="3" fontId="3" fillId="0" borderId="0" xfId="22" applyNumberFormat="1" applyFont="1" applyAlignment="1">
      <alignment vertical="top"/>
      <protection/>
    </xf>
    <xf numFmtId="0" fontId="3" fillId="0" borderId="3" xfId="22" applyFont="1" applyBorder="1" applyAlignment="1">
      <alignment vertical="top" wrapText="1"/>
      <protection/>
    </xf>
    <xf numFmtId="3" fontId="3" fillId="0" borderId="3" xfId="22" applyNumberFormat="1" applyFont="1" applyBorder="1" applyAlignment="1">
      <alignment vertical="top"/>
      <protection/>
    </xf>
    <xf numFmtId="0" fontId="3" fillId="0" borderId="0" xfId="22" applyFont="1" applyAlignment="1">
      <alignment vertical="top"/>
      <protection/>
    </xf>
    <xf numFmtId="0" fontId="3" fillId="0" borderId="0" xfId="22" applyFont="1" applyBorder="1" applyAlignment="1">
      <alignment vertical="top"/>
      <protection/>
    </xf>
    <xf numFmtId="0" fontId="3" fillId="0" borderId="3" xfId="22" applyFont="1" applyBorder="1" applyAlignment="1">
      <alignment vertical="top"/>
      <protection/>
    </xf>
    <xf numFmtId="0" fontId="4" fillId="0" borderId="0" xfId="22" applyFont="1">
      <alignment/>
      <protection/>
    </xf>
    <xf numFmtId="164" fontId="3" fillId="0" borderId="0" xfId="22" applyNumberFormat="1" applyFont="1" applyAlignment="1">
      <alignment horizontal="right" vertical="top"/>
      <protection/>
    </xf>
    <xf numFmtId="3" fontId="3" fillId="0" borderId="0" xfId="22" applyNumberFormat="1" applyFont="1" applyAlignment="1">
      <alignment horizontal="right" vertical="top"/>
      <protection/>
    </xf>
    <xf numFmtId="164" fontId="3" fillId="0" borderId="3" xfId="22" applyNumberFormat="1" applyFont="1" applyBorder="1" applyAlignment="1">
      <alignment horizontal="right" vertical="top"/>
      <protection/>
    </xf>
    <xf numFmtId="0" fontId="4" fillId="0" borderId="4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3" fillId="0" borderId="0" xfId="22" applyFont="1" applyAlignment="1">
      <alignment wrapText="1"/>
      <protection/>
    </xf>
    <xf numFmtId="0" fontId="0" fillId="0" borderId="0" xfId="0" applyAlignment="1">
      <alignment/>
    </xf>
    <xf numFmtId="0" fontId="0" fillId="0" borderId="0" xfId="22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Transit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tabSelected="1" workbookViewId="0" topLeftCell="A1">
      <selection activeCell="C1" sqref="C1"/>
    </sheetView>
  </sheetViews>
  <sheetFormatPr defaultColWidth="8.796875" defaultRowHeight="15"/>
  <cols>
    <col min="1" max="1" width="45.09765625" style="2" customWidth="1"/>
    <col min="2" max="2" width="20.69921875" style="2" customWidth="1"/>
    <col min="3" max="3" width="0.8984375" style="2" customWidth="1"/>
    <col min="4" max="4" width="24.19921875" style="2" customWidth="1"/>
    <col min="5" max="5" width="8.3984375" style="2" customWidth="1"/>
    <col min="6" max="6" width="2.3984375" style="2" customWidth="1"/>
    <col min="7" max="7" width="7" style="2" customWidth="1"/>
    <col min="8" max="8" width="2.19921875" style="2" customWidth="1"/>
    <col min="9" max="9" width="7.796875" style="2" customWidth="1"/>
    <col min="10" max="10" width="1.796875" style="2" customWidth="1"/>
    <col min="11" max="11" width="6.296875" style="2" customWidth="1"/>
    <col min="12" max="12" width="2.3984375" style="2" customWidth="1"/>
    <col min="13" max="13" width="7.296875" style="2" customWidth="1"/>
    <col min="14" max="14" width="2.19921875" style="2" customWidth="1"/>
    <col min="15" max="16384" width="6.3984375" style="2" customWidth="1"/>
  </cols>
  <sheetData>
    <row r="1" spans="1:4" ht="23.25" customHeight="1">
      <c r="A1" s="1" t="s">
        <v>49</v>
      </c>
      <c r="B1" s="1"/>
      <c r="C1" s="21"/>
      <c r="D1" s="1"/>
    </row>
    <row r="2" spans="1:14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6" customHeight="1">
      <c r="A3" s="5" t="s">
        <v>0</v>
      </c>
      <c r="B3" s="5" t="s">
        <v>1</v>
      </c>
      <c r="C3" s="5"/>
      <c r="D3" s="5" t="s">
        <v>2</v>
      </c>
      <c r="E3" s="17" t="s">
        <v>4</v>
      </c>
      <c r="F3" s="17"/>
      <c r="G3" s="17" t="s">
        <v>3</v>
      </c>
      <c r="H3" s="17"/>
      <c r="I3" s="17" t="s">
        <v>5</v>
      </c>
      <c r="J3" s="17"/>
      <c r="K3" s="17" t="s">
        <v>6</v>
      </c>
      <c r="L3" s="17"/>
      <c r="M3" s="17" t="s">
        <v>7</v>
      </c>
      <c r="N3" s="17"/>
    </row>
    <row r="4" spans="1:17" ht="27" customHeight="1">
      <c r="A4" s="6" t="s">
        <v>16</v>
      </c>
      <c r="B4" s="6" t="s">
        <v>29</v>
      </c>
      <c r="C4" s="6"/>
      <c r="D4" s="6" t="s">
        <v>41</v>
      </c>
      <c r="E4" s="7">
        <v>84131</v>
      </c>
      <c r="F4" s="7"/>
      <c r="G4" s="7">
        <f>(211558+47237+14295)/1000</f>
        <v>273.09</v>
      </c>
      <c r="H4" s="7"/>
      <c r="I4" s="7">
        <f>210511301/1000000</f>
        <v>210.511301</v>
      </c>
      <c r="J4" s="7"/>
      <c r="K4" s="7">
        <f>77950074/1000000</f>
        <v>77.950074</v>
      </c>
      <c r="L4" s="7"/>
      <c r="M4" s="7">
        <f>666+136+29</f>
        <v>831</v>
      </c>
      <c r="N4" s="10"/>
      <c r="O4" s="11"/>
      <c r="P4" s="10"/>
      <c r="Q4" s="10"/>
    </row>
    <row r="5" spans="1:17" ht="27" customHeight="1">
      <c r="A5" s="6" t="s">
        <v>30</v>
      </c>
      <c r="B5" s="6" t="s">
        <v>35</v>
      </c>
      <c r="C5" s="6"/>
      <c r="D5" s="6" t="s">
        <v>45</v>
      </c>
      <c r="E5" s="7">
        <f>(27573149+896759)/1000</f>
        <v>28469.908</v>
      </c>
      <c r="F5" s="7"/>
      <c r="G5" s="7">
        <f>(91787+3130)/1000</f>
        <v>94.917</v>
      </c>
      <c r="H5" s="7"/>
      <c r="I5" s="7">
        <f>65256684/1000000</f>
        <v>65.256684</v>
      </c>
      <c r="J5" s="7"/>
      <c r="K5" s="7">
        <f>23660800/1000000</f>
        <v>23.6608</v>
      </c>
      <c r="L5" s="7"/>
      <c r="M5" s="7">
        <f>281+241</f>
        <v>522</v>
      </c>
      <c r="N5" s="10"/>
      <c r="O5" s="10"/>
      <c r="P5" s="10"/>
      <c r="Q5" s="10"/>
    </row>
    <row r="6" spans="1:17" ht="27" customHeight="1">
      <c r="A6" s="6" t="s">
        <v>17</v>
      </c>
      <c r="B6" s="6" t="s">
        <v>25</v>
      </c>
      <c r="C6" s="6"/>
      <c r="D6" s="6" t="s">
        <v>18</v>
      </c>
      <c r="E6" s="7">
        <f>(20735614+752309+270849)/1000</f>
        <v>21758.772</v>
      </c>
      <c r="F6" s="7"/>
      <c r="G6" s="7">
        <f>(66903+2668+975)/1000</f>
        <v>70.546</v>
      </c>
      <c r="H6" s="7"/>
      <c r="I6" s="7">
        <f>53058582/1000000</f>
        <v>53.058582</v>
      </c>
      <c r="J6" s="7"/>
      <c r="K6" s="7">
        <f>17629080/1000000</f>
        <v>17.62908</v>
      </c>
      <c r="L6" s="7"/>
      <c r="M6" s="7">
        <f>218+186+107</f>
        <v>511</v>
      </c>
      <c r="N6" s="10"/>
      <c r="O6" s="10"/>
      <c r="P6" s="10"/>
      <c r="Q6" s="10"/>
    </row>
    <row r="7" spans="1:17" ht="27" customHeight="1">
      <c r="A7" s="6" t="s">
        <v>8</v>
      </c>
      <c r="B7" s="6" t="s">
        <v>35</v>
      </c>
      <c r="C7" s="6"/>
      <c r="D7" s="6" t="s">
        <v>44</v>
      </c>
      <c r="E7" s="7">
        <f>(9360135+249453)/1000</f>
        <v>9609.588</v>
      </c>
      <c r="F7" s="7"/>
      <c r="G7" s="7">
        <f>(30960+835)/1000</f>
        <v>31.795</v>
      </c>
      <c r="H7" s="7"/>
      <c r="I7" s="7">
        <f>29476427/1000000</f>
        <v>29.476427</v>
      </c>
      <c r="J7" s="7"/>
      <c r="K7" s="7">
        <f>4816169/1000000</f>
        <v>4.816169</v>
      </c>
      <c r="L7" s="7"/>
      <c r="M7" s="7">
        <f>155+97</f>
        <v>252</v>
      </c>
      <c r="N7" s="10"/>
      <c r="O7" s="10"/>
      <c r="P7" s="10"/>
      <c r="Q7" s="10"/>
    </row>
    <row r="8" spans="1:17" ht="27" customHeight="1">
      <c r="A8" s="6" t="s">
        <v>31</v>
      </c>
      <c r="B8" s="6" t="s">
        <v>25</v>
      </c>
      <c r="C8" s="6"/>
      <c r="D8" s="6" t="s">
        <v>44</v>
      </c>
      <c r="E8" s="7">
        <f>(9219738+303721+17424)/1000</f>
        <v>9540.883</v>
      </c>
      <c r="F8" s="7"/>
      <c r="G8" s="7">
        <f>(31196+1033+66)/1000</f>
        <v>32.295</v>
      </c>
      <c r="H8" s="7"/>
      <c r="I8" s="7">
        <f>(28557969/1000000)</f>
        <v>28.557969</v>
      </c>
      <c r="J8" s="7"/>
      <c r="K8" s="7">
        <f>24287512/1000000</f>
        <v>24.287512</v>
      </c>
      <c r="L8" s="7"/>
      <c r="M8" s="7">
        <f>194+104+11</f>
        <v>309</v>
      </c>
      <c r="N8" s="10"/>
      <c r="O8" s="10"/>
      <c r="P8" s="10"/>
      <c r="Q8" s="10"/>
    </row>
    <row r="9" spans="1:17" ht="27" customHeight="1">
      <c r="A9" s="6" t="s">
        <v>12</v>
      </c>
      <c r="B9" s="6" t="s">
        <v>26</v>
      </c>
      <c r="C9" s="6"/>
      <c r="D9" s="6" t="s">
        <v>13</v>
      </c>
      <c r="E9" s="7">
        <f>(8173304+217840+563102)/1000</f>
        <v>8954.246</v>
      </c>
      <c r="F9" s="7"/>
      <c r="G9" s="7">
        <f>(28202+758+2054)/1000</f>
        <v>31.014</v>
      </c>
      <c r="H9" s="7"/>
      <c r="I9" s="7">
        <f>34494321/1000000</f>
        <v>34.494321</v>
      </c>
      <c r="J9" s="7"/>
      <c r="K9" s="7">
        <f>26484452/1000000</f>
        <v>26.484452</v>
      </c>
      <c r="L9" s="7"/>
      <c r="M9" s="7">
        <f>179+46+8</f>
        <v>233</v>
      </c>
      <c r="N9" s="10"/>
      <c r="O9" s="10"/>
      <c r="P9" s="10"/>
      <c r="Q9" s="10"/>
    </row>
    <row r="10" spans="1:17" ht="27" customHeight="1">
      <c r="A10" s="6" t="s">
        <v>38</v>
      </c>
      <c r="B10" s="6" t="s">
        <v>35</v>
      </c>
      <c r="C10" s="6"/>
      <c r="D10" s="6" t="s">
        <v>46</v>
      </c>
      <c r="E10" s="7">
        <f>(6463416+450145)/1000</f>
        <v>6913.561</v>
      </c>
      <c r="F10" s="7"/>
      <c r="G10" s="7">
        <f>(22703+1622)/1000</f>
        <v>24.325</v>
      </c>
      <c r="H10" s="7"/>
      <c r="I10" s="7">
        <f>35990749/1000000</f>
        <v>35.990749</v>
      </c>
      <c r="J10" s="7"/>
      <c r="K10" s="7">
        <f>1967211/1000000</f>
        <v>1.967211</v>
      </c>
      <c r="L10" s="7"/>
      <c r="M10" s="7">
        <f>151+189</f>
        <v>340</v>
      </c>
      <c r="N10" s="10"/>
      <c r="O10" s="10"/>
      <c r="P10" s="10"/>
      <c r="Q10" s="10"/>
    </row>
    <row r="11" spans="1:17" ht="27" customHeight="1">
      <c r="A11" s="6" t="s">
        <v>10</v>
      </c>
      <c r="B11" s="6" t="s">
        <v>35</v>
      </c>
      <c r="C11" s="6"/>
      <c r="D11" s="6" t="s">
        <v>11</v>
      </c>
      <c r="E11" s="7">
        <f>(5180872+22349)/1000</f>
        <v>5203.221</v>
      </c>
      <c r="F11" s="7"/>
      <c r="G11" s="7">
        <f>(19494+81)/1000</f>
        <v>19.575</v>
      </c>
      <c r="H11" s="7"/>
      <c r="I11" s="7">
        <f>7549557/1000000</f>
        <v>7.549557</v>
      </c>
      <c r="J11" s="7"/>
      <c r="K11" s="7">
        <f>1046214/1000000</f>
        <v>1.046214</v>
      </c>
      <c r="L11" s="7"/>
      <c r="M11" s="7">
        <f>72+7</f>
        <v>79</v>
      </c>
      <c r="N11" s="10"/>
      <c r="O11" s="10"/>
      <c r="P11" s="10"/>
      <c r="Q11" s="10"/>
    </row>
    <row r="12" spans="1:17" ht="27" customHeight="1">
      <c r="A12" s="6" t="s">
        <v>39</v>
      </c>
      <c r="B12" s="6" t="s">
        <v>25</v>
      </c>
      <c r="C12" s="6"/>
      <c r="D12" s="6" t="s">
        <v>47</v>
      </c>
      <c r="E12" s="7">
        <f>(4046072+308277+10400)/1000</f>
        <v>4364.749</v>
      </c>
      <c r="F12" s="7"/>
      <c r="G12" s="7">
        <f>(11793+1079+40)/1000</f>
        <v>12.912</v>
      </c>
      <c r="H12" s="7"/>
      <c r="I12" s="7">
        <f>11772580/1000000</f>
        <v>11.77258</v>
      </c>
      <c r="J12" s="7"/>
      <c r="K12" s="7">
        <f>7349327/1000000</f>
        <v>7.349327</v>
      </c>
      <c r="L12" s="7"/>
      <c r="M12" s="7">
        <f>63+80+3</f>
        <v>146</v>
      </c>
      <c r="N12" s="10"/>
      <c r="O12" s="10"/>
      <c r="P12" s="10"/>
      <c r="Q12" s="10"/>
    </row>
    <row r="13" spans="1:17" ht="27" customHeight="1">
      <c r="A13" s="6" t="s">
        <v>22</v>
      </c>
      <c r="B13" s="6" t="s">
        <v>35</v>
      </c>
      <c r="C13" s="6"/>
      <c r="D13" s="6" t="s">
        <v>23</v>
      </c>
      <c r="E13" s="7">
        <v>3971</v>
      </c>
      <c r="F13" s="7"/>
      <c r="G13" s="7">
        <f>(14070+175)/1000</f>
        <v>14.245</v>
      </c>
      <c r="H13" s="7"/>
      <c r="I13" s="7">
        <f>8475418/1000000</f>
        <v>8.475418</v>
      </c>
      <c r="J13" s="7"/>
      <c r="K13" s="14" t="s">
        <v>52</v>
      </c>
      <c r="L13" s="7"/>
      <c r="M13" s="7">
        <f>49+20</f>
        <v>69</v>
      </c>
      <c r="N13" s="10"/>
      <c r="O13" s="10"/>
      <c r="P13" s="10"/>
      <c r="Q13" s="10"/>
    </row>
    <row r="14" spans="1:17" ht="27" customHeight="1">
      <c r="A14" s="6" t="s">
        <v>27</v>
      </c>
      <c r="B14" s="6" t="s">
        <v>25</v>
      </c>
      <c r="C14" s="6"/>
      <c r="D14" s="6" t="s">
        <v>48</v>
      </c>
      <c r="E14" s="7">
        <f>(2271574+82542+2385)/1000</f>
        <v>2356.501</v>
      </c>
      <c r="F14" s="7"/>
      <c r="G14" s="7">
        <f>(7570+298+9)/1000</f>
        <v>7.877</v>
      </c>
      <c r="H14" s="7"/>
      <c r="I14" s="7">
        <f>6552868/1000000</f>
        <v>6.552868</v>
      </c>
      <c r="J14" s="7"/>
      <c r="K14" s="15">
        <f>4703268/1000000</f>
        <v>4.703268</v>
      </c>
      <c r="L14" s="7"/>
      <c r="M14" s="7">
        <f>53+22+2</f>
        <v>77</v>
      </c>
      <c r="N14" s="10"/>
      <c r="O14" s="10"/>
      <c r="P14" s="10"/>
      <c r="Q14" s="10"/>
    </row>
    <row r="15" spans="1:17" ht="27" customHeight="1">
      <c r="A15" s="6" t="s">
        <v>32</v>
      </c>
      <c r="B15" s="6" t="s">
        <v>36</v>
      </c>
      <c r="C15" s="6"/>
      <c r="D15" s="6" t="s">
        <v>45</v>
      </c>
      <c r="E15" s="7">
        <f>2232497/1000</f>
        <v>2232.497</v>
      </c>
      <c r="F15" s="7"/>
      <c r="G15" s="7">
        <f>7381/1000</f>
        <v>7.381</v>
      </c>
      <c r="H15" s="7"/>
      <c r="I15" s="7">
        <f>18742666/1000000</f>
        <v>18.742666</v>
      </c>
      <c r="J15" s="7"/>
      <c r="K15" s="15">
        <f>35184230/1000000</f>
        <v>35.18423</v>
      </c>
      <c r="L15" s="7"/>
      <c r="M15" s="7">
        <v>30</v>
      </c>
      <c r="N15" s="10"/>
      <c r="O15" s="10"/>
      <c r="P15" s="10"/>
      <c r="Q15" s="10"/>
    </row>
    <row r="16" spans="1:17" ht="27" customHeight="1">
      <c r="A16" s="6" t="s">
        <v>40</v>
      </c>
      <c r="B16" s="6" t="s">
        <v>35</v>
      </c>
      <c r="C16" s="6"/>
      <c r="D16" s="6" t="s">
        <v>42</v>
      </c>
      <c r="E16" s="7">
        <f>(1620586+91390)/1000</f>
        <v>1711.976</v>
      </c>
      <c r="F16" s="7"/>
      <c r="G16" s="7">
        <f>(5518+752)/1000</f>
        <v>6.27</v>
      </c>
      <c r="H16" s="7"/>
      <c r="I16" s="7">
        <f>5273556/1000000</f>
        <v>5.273556</v>
      </c>
      <c r="J16" s="7"/>
      <c r="K16" s="15">
        <f>3043431/1000000</f>
        <v>3.043431</v>
      </c>
      <c r="L16" s="7"/>
      <c r="M16" s="7">
        <f>41+69</f>
        <v>110</v>
      </c>
      <c r="N16" s="10"/>
      <c r="O16" s="10"/>
      <c r="P16" s="10"/>
      <c r="Q16" s="10"/>
    </row>
    <row r="17" spans="1:17" ht="27" customHeight="1">
      <c r="A17" s="6" t="s">
        <v>28</v>
      </c>
      <c r="B17" s="6" t="s">
        <v>35</v>
      </c>
      <c r="C17" s="6"/>
      <c r="D17" s="6" t="s">
        <v>21</v>
      </c>
      <c r="E17" s="7">
        <f>(1629206+57641)/1000</f>
        <v>1686.847</v>
      </c>
      <c r="F17" s="7"/>
      <c r="G17" s="7">
        <f>(5358+215)/1000</f>
        <v>5.573</v>
      </c>
      <c r="H17" s="7"/>
      <c r="I17" s="7">
        <f>4521154/1000000</f>
        <v>4.521154</v>
      </c>
      <c r="J17" s="7"/>
      <c r="K17" s="15">
        <f>1614521/1000000</f>
        <v>1.614521</v>
      </c>
      <c r="L17" s="7"/>
      <c r="M17" s="7">
        <f>41+15</f>
        <v>56</v>
      </c>
      <c r="N17" s="10"/>
      <c r="O17" s="10"/>
      <c r="P17" s="10"/>
      <c r="Q17" s="10"/>
    </row>
    <row r="18" spans="1:17" ht="27" customHeight="1">
      <c r="A18" s="6" t="s">
        <v>14</v>
      </c>
      <c r="B18" s="6" t="s">
        <v>35</v>
      </c>
      <c r="C18" s="6"/>
      <c r="D18" s="6" t="s">
        <v>15</v>
      </c>
      <c r="E18" s="7">
        <f>(1358985+112872)/1000</f>
        <v>1471.857</v>
      </c>
      <c r="F18" s="7"/>
      <c r="G18" s="7">
        <f>(4737+414)/1000</f>
        <v>5.151</v>
      </c>
      <c r="H18" s="7"/>
      <c r="I18" s="7">
        <f>4607806/1000000</f>
        <v>4.607806</v>
      </c>
      <c r="J18" s="7"/>
      <c r="K18" s="14" t="s">
        <v>52</v>
      </c>
      <c r="L18" s="7"/>
      <c r="M18" s="7">
        <f>34+13</f>
        <v>47</v>
      </c>
      <c r="N18" s="10"/>
      <c r="O18" s="10"/>
      <c r="P18" s="10"/>
      <c r="Q18" s="10"/>
    </row>
    <row r="19" spans="1:17" ht="27" customHeight="1">
      <c r="A19" s="6" t="s">
        <v>33</v>
      </c>
      <c r="B19" s="6" t="s">
        <v>25</v>
      </c>
      <c r="C19" s="6"/>
      <c r="D19" s="6" t="s">
        <v>42</v>
      </c>
      <c r="E19" s="7">
        <f>(655984+117868+2082)/1000</f>
        <v>775.934</v>
      </c>
      <c r="F19" s="7"/>
      <c r="G19" s="7">
        <f>(2264+458+8)/1000</f>
        <v>2.73</v>
      </c>
      <c r="H19" s="7"/>
      <c r="I19" s="7">
        <f>3930703/1000000</f>
        <v>3.930703</v>
      </c>
      <c r="J19" s="7"/>
      <c r="K19" s="15">
        <f>1159913/1000000</f>
        <v>1.159913</v>
      </c>
      <c r="L19" s="7"/>
      <c r="M19" s="7">
        <f>16+38+2</f>
        <v>56</v>
      </c>
      <c r="N19" s="10"/>
      <c r="O19" s="10"/>
      <c r="P19" s="10"/>
      <c r="Q19" s="10"/>
    </row>
    <row r="20" spans="1:38" ht="27" customHeight="1">
      <c r="A20" s="6" t="s">
        <v>9</v>
      </c>
      <c r="B20" s="6" t="s">
        <v>35</v>
      </c>
      <c r="C20" s="6"/>
      <c r="D20" s="6" t="s">
        <v>43</v>
      </c>
      <c r="E20" s="7">
        <f>(302322+432539)/1000</f>
        <v>734.861</v>
      </c>
      <c r="F20" s="7"/>
      <c r="G20" s="7">
        <v>3</v>
      </c>
      <c r="H20" s="7"/>
      <c r="I20" s="7">
        <f>5591104/1000000</f>
        <v>5.591104</v>
      </c>
      <c r="J20" s="7"/>
      <c r="K20" s="15">
        <f>2637149/1000000</f>
        <v>2.637149</v>
      </c>
      <c r="L20" s="7"/>
      <c r="M20" s="7">
        <f>48+131</f>
        <v>179</v>
      </c>
      <c r="N20" s="10"/>
      <c r="O20" s="11"/>
      <c r="P20" s="11"/>
      <c r="Q20" s="11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17" ht="27" customHeight="1">
      <c r="A21" s="6" t="s">
        <v>37</v>
      </c>
      <c r="B21" s="6" t="s">
        <v>35</v>
      </c>
      <c r="C21" s="6"/>
      <c r="D21" s="6" t="s">
        <v>24</v>
      </c>
      <c r="E21" s="7">
        <f>(153768+250303)/1000</f>
        <v>404.071</v>
      </c>
      <c r="F21" s="7"/>
      <c r="G21" s="7">
        <f>(596+970)/1000</f>
        <v>1.566</v>
      </c>
      <c r="H21" s="7"/>
      <c r="I21" s="7">
        <f>1497013/1000000</f>
        <v>1.497013</v>
      </c>
      <c r="J21" s="7"/>
      <c r="K21" s="15" t="s">
        <v>52</v>
      </c>
      <c r="L21" s="7"/>
      <c r="M21" s="7">
        <v>134</v>
      </c>
      <c r="N21" s="10"/>
      <c r="O21" s="10"/>
      <c r="P21" s="10"/>
      <c r="Q21" s="10"/>
    </row>
    <row r="22" spans="1:17" ht="27" customHeight="1">
      <c r="A22" s="6" t="s">
        <v>19</v>
      </c>
      <c r="B22" s="6" t="s">
        <v>35</v>
      </c>
      <c r="C22" s="6"/>
      <c r="D22" s="6" t="s">
        <v>20</v>
      </c>
      <c r="E22" s="7">
        <f>(66482+164014)/1000</f>
        <v>230.496</v>
      </c>
      <c r="F22" s="7"/>
      <c r="G22" s="7">
        <f>(264+640)/1000</f>
        <v>0.904</v>
      </c>
      <c r="H22" s="7"/>
      <c r="I22" s="7">
        <f>1368965/1000000</f>
        <v>1.368965</v>
      </c>
      <c r="J22" s="7"/>
      <c r="K22" s="15" t="s">
        <v>52</v>
      </c>
      <c r="L22" s="7"/>
      <c r="M22" s="7">
        <v>46</v>
      </c>
      <c r="N22" s="10"/>
      <c r="O22" s="10"/>
      <c r="P22" s="10"/>
      <c r="Q22" s="10"/>
    </row>
    <row r="23" spans="1:17" ht="27" customHeight="1">
      <c r="A23" s="8" t="s">
        <v>34</v>
      </c>
      <c r="B23" s="8" t="s">
        <v>35</v>
      </c>
      <c r="C23" s="8"/>
      <c r="D23" s="8" t="s">
        <v>44</v>
      </c>
      <c r="E23" s="9">
        <f>(136142+86599)/1000</f>
        <v>222.741</v>
      </c>
      <c r="F23" s="9"/>
      <c r="G23" s="9">
        <f>(528+326)/1000</f>
        <v>0.854</v>
      </c>
      <c r="H23" s="9"/>
      <c r="I23" s="9">
        <f>2090795/1000000</f>
        <v>2.090795</v>
      </c>
      <c r="J23" s="9"/>
      <c r="K23" s="16" t="s">
        <v>52</v>
      </c>
      <c r="L23" s="9"/>
      <c r="M23" s="9">
        <f>16+53</f>
        <v>69</v>
      </c>
      <c r="N23" s="12"/>
      <c r="O23" s="10"/>
      <c r="P23" s="10"/>
      <c r="Q23" s="10"/>
    </row>
    <row r="25" ht="12.75">
      <c r="A25" s="13" t="s">
        <v>50</v>
      </c>
    </row>
    <row r="27" spans="1:14" ht="27" customHeight="1">
      <c r="A27" s="18" t="s">
        <v>51</v>
      </c>
      <c r="B27" s="18"/>
      <c r="C27" s="18"/>
      <c r="D27" s="19"/>
      <c r="E27" s="19"/>
      <c r="F27" s="19"/>
      <c r="G27" s="19"/>
      <c r="H27" s="19"/>
      <c r="I27" s="19"/>
      <c r="J27" s="20"/>
      <c r="K27" s="20"/>
      <c r="L27" s="20"/>
      <c r="M27" s="20"/>
      <c r="N27" s="20"/>
    </row>
    <row r="29" ht="25.5" customHeight="1"/>
  </sheetData>
  <mergeCells count="6">
    <mergeCell ref="E3:F3"/>
    <mergeCell ref="A27:N27"/>
    <mergeCell ref="M3:N3"/>
    <mergeCell ref="K3:L3"/>
    <mergeCell ref="I3:J3"/>
    <mergeCell ref="G3:H3"/>
  </mergeCells>
  <printOptions horizontalCentered="1"/>
  <pageMargins left="1" right="1" top="1" bottom="1" header="0.5" footer="0.5"/>
  <pageSetup fitToHeight="1" fitToWidth="1" horizontalDpi="1200" verticalDpi="12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2003-07-14T17:56:31Z</cp:lastPrinted>
  <dcterms:created xsi:type="dcterms:W3CDTF">2001-12-27T18:56:10Z</dcterms:created>
  <dcterms:modified xsi:type="dcterms:W3CDTF">2003-07-15T19:36:18Z</dcterms:modified>
  <cp:category/>
  <cp:version/>
  <cp:contentType/>
  <cp:contentStatus/>
</cp:coreProperties>
</file>