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2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<sst xmlns="http://schemas.openxmlformats.org/spreadsheetml/2006/main" count="85" uniqueCount="56">
  <si>
    <t>Transit agencies</t>
  </si>
  <si>
    <t>Modes provided</t>
  </si>
  <si>
    <t>Urbanized area</t>
  </si>
  <si>
    <r>
      <t>SOURCE</t>
    </r>
    <r>
      <rPr>
        <sz val="10"/>
        <rFont val="Futura Md BT"/>
        <family val="2"/>
      </rPr>
      <t>:  U.S. Department of Transportation, Federal Transit Administration, National Transit Database, available at http://www.ntdprogram.com/NTD/Profiles.nsf/ProfileInformation?OpenForm&amp;2000&amp;All as of Dec. 6, 2001.</t>
    </r>
  </si>
  <si>
    <t>Average weekday unlinked trips (thousands)</t>
  </si>
  <si>
    <t>Annual unlinked passenger trips (thousands)</t>
  </si>
  <si>
    <t>Operating funds expended       ($ millions)</t>
  </si>
  <si>
    <t>Capital funds expended ($ millions)</t>
  </si>
  <si>
    <t>Vehicles available for maximum service</t>
  </si>
  <si>
    <t>Altoona</t>
  </si>
  <si>
    <t>Mid Mon Valley Authority (MMVTA)</t>
  </si>
  <si>
    <t>Bus</t>
  </si>
  <si>
    <t>Monessen</t>
  </si>
  <si>
    <t>Erie Metropolitan Transit Authority (EMTA)</t>
  </si>
  <si>
    <t>Erie</t>
  </si>
  <si>
    <t>Pittsburgh</t>
  </si>
  <si>
    <t>Harrisburg</t>
  </si>
  <si>
    <t>Cumberland-Dauphin-Harrisburg Transit Authority (CAT)</t>
  </si>
  <si>
    <t>Pennsylvania Department of Transportation (PennDOT)</t>
  </si>
  <si>
    <t>Johnstown</t>
  </si>
  <si>
    <t>Luzerne County Transportation Authority (LCTA)</t>
  </si>
  <si>
    <t>Scranton-Wilkes-Barre</t>
  </si>
  <si>
    <t>Red Rose Transit Authority (RRTA)</t>
  </si>
  <si>
    <t>Lancaster</t>
  </si>
  <si>
    <t>Southeastern Pennsylvania Transportation Authority (SEPTA)</t>
  </si>
  <si>
    <t>Port Authority of Allegheny County</t>
  </si>
  <si>
    <t>ACCESS Transportation Systems, Inc.</t>
  </si>
  <si>
    <t>Southwestern Pennsylvania Commission (SPC)</t>
  </si>
  <si>
    <t>Vanpool</t>
  </si>
  <si>
    <t>University of Pittsburgh</t>
  </si>
  <si>
    <t>Berks Area Reading Transportation Authority (BARTA)</t>
  </si>
  <si>
    <t>Reading</t>
  </si>
  <si>
    <t>Beaver County Transit Authority</t>
  </si>
  <si>
    <t>County of Lackawanna Transit System (COLTS)</t>
  </si>
  <si>
    <t>Centre Area Transportation Authority (CATA)</t>
  </si>
  <si>
    <t xml:space="preserve">State College </t>
  </si>
  <si>
    <t>Williamsport Bureau of Transportation (WBT)</t>
  </si>
  <si>
    <t>Williamsport</t>
  </si>
  <si>
    <t>York</t>
  </si>
  <si>
    <t>Table 4-3: Urban Transit Agencies in Pennsylvania: 2000</t>
  </si>
  <si>
    <t>Demand responsive</t>
  </si>
  <si>
    <t>Bus, demand responsive</t>
  </si>
  <si>
    <t>Altoona Metro Transit (AMTRAN)</t>
  </si>
  <si>
    <t>Atlantic Paratrans of PA, Inc.</t>
  </si>
  <si>
    <t>Cambria County Transit Authority (CAMTran)</t>
  </si>
  <si>
    <t>Bus, inclined plane, demand responsive</t>
  </si>
  <si>
    <t>G G and C Bus Company, Inc.</t>
  </si>
  <si>
    <t>Commuter rail</t>
  </si>
  <si>
    <t>Bus, light rail, inclined plane</t>
  </si>
  <si>
    <t>Bus, heavy rail, commuter rail, light rail</t>
  </si>
  <si>
    <t>Lehigh and Northhampton Transportation Authority (LANTA)</t>
  </si>
  <si>
    <t>Philadelphia, PA-NJ</t>
  </si>
  <si>
    <t>York County Authority (Rabbittransit)</t>
  </si>
  <si>
    <t>&lt;1</t>
  </si>
  <si>
    <t>Westmoreland County Transit Authority</t>
  </si>
  <si>
    <t>Allentown-Bethlehem-Easton, PA-NJ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</si>
</sst>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#,##0.000"/>
    <numFmt numFmtId="177" formatCode="#,##0.0000"/>
    <numFmt numFmtId="178" formatCode="#,##0.00000"/>
  </numFmts>
  <fonts count="8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1" applyNumberFormat="0" applyFill="0">
      <alignment horizontal="right"/>
      <protection/>
    </xf>
    <xf numFmtId="0" fontId="6" fillId="0" borderId="1">
      <alignment horizontal="left"/>
      <protection/>
    </xf>
    <xf numFmtId="0" fontId="6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5" fillId="0" borderId="0">
      <alignment horizontal="left" vertical="center"/>
      <protection/>
    </xf>
  </cellStyleXfs>
  <cellXfs count="21">
    <xf numFmtId="0" fontId="0" fillId="0" borderId="0" xfId="0" applyAlignment="1">
      <alignment/>
    </xf>
    <xf numFmtId="0" fontId="2" fillId="0" borderId="0" xfId="22" applyFont="1">
      <alignment/>
      <protection/>
    </xf>
    <xf numFmtId="0" fontId="3" fillId="0" borderId="0" xfId="22" applyFont="1">
      <alignment/>
      <protection/>
    </xf>
    <xf numFmtId="0" fontId="3" fillId="0" borderId="2" xfId="22" applyFont="1" applyBorder="1">
      <alignment/>
      <protection/>
    </xf>
    <xf numFmtId="0" fontId="3" fillId="0" borderId="0" xfId="22" applyFont="1" applyBorder="1">
      <alignment/>
      <protection/>
    </xf>
    <xf numFmtId="0" fontId="4" fillId="0" borderId="3" xfId="22" applyFont="1" applyFill="1" applyBorder="1" applyAlignment="1">
      <alignment horizontal="left" wrapText="1"/>
      <protection/>
    </xf>
    <xf numFmtId="0" fontId="3" fillId="0" borderId="0" xfId="22" applyFont="1" applyFill="1">
      <alignment/>
      <protection/>
    </xf>
    <xf numFmtId="0" fontId="3" fillId="0" borderId="0" xfId="22" applyFont="1" applyFill="1" applyBorder="1" applyAlignment="1">
      <alignment vertical="center" wrapText="1"/>
      <protection/>
    </xf>
    <xf numFmtId="3" fontId="3" fillId="0" borderId="0" xfId="22" applyNumberFormat="1" applyFont="1" applyFill="1" applyBorder="1" applyAlignment="1">
      <alignment vertical="center"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 applyAlignment="1">
      <alignment wrapText="1"/>
      <protection/>
    </xf>
    <xf numFmtId="0" fontId="3" fillId="0" borderId="0" xfId="22" applyFont="1" applyFill="1" applyBorder="1" applyAlignment="1">
      <alignment vertical="top" wrapText="1"/>
      <protection/>
    </xf>
    <xf numFmtId="3" fontId="3" fillId="0" borderId="0" xfId="22" applyNumberFormat="1" applyFont="1" applyFill="1" applyBorder="1" applyAlignment="1">
      <alignment vertical="top" wrapText="1"/>
      <protection/>
    </xf>
    <xf numFmtId="0" fontId="3" fillId="0" borderId="3" xfId="22" applyFont="1" applyFill="1" applyBorder="1" applyAlignment="1">
      <alignment vertical="top" wrapText="1"/>
      <protection/>
    </xf>
    <xf numFmtId="3" fontId="3" fillId="0" borderId="3" xfId="22" applyNumberFormat="1" applyFont="1" applyFill="1" applyBorder="1" applyAlignment="1">
      <alignment vertical="top" wrapText="1"/>
      <protection/>
    </xf>
    <xf numFmtId="3" fontId="3" fillId="0" borderId="0" xfId="22" applyNumberFormat="1" applyFont="1" applyFill="1" applyBorder="1" applyAlignment="1">
      <alignment horizontal="right" vertical="top" wrapText="1"/>
      <protection/>
    </xf>
    <xf numFmtId="164" fontId="3" fillId="0" borderId="0" xfId="22" applyNumberFormat="1" applyFont="1" applyFill="1" applyBorder="1" applyAlignment="1">
      <alignment horizontal="right" vertical="top" wrapText="1"/>
      <protection/>
    </xf>
    <xf numFmtId="164" fontId="3" fillId="0" borderId="3" xfId="22" applyNumberFormat="1" applyFont="1" applyFill="1" applyBorder="1" applyAlignment="1">
      <alignment horizontal="right" vertical="top" wrapText="1"/>
      <protection/>
    </xf>
    <xf numFmtId="0" fontId="4" fillId="0" borderId="0" xfId="22" applyFont="1" applyFill="1" applyAlignment="1">
      <alignment wrapText="1"/>
      <protection/>
    </xf>
    <xf numFmtId="0" fontId="3" fillId="0" borderId="0" xfId="22" applyFont="1" applyFill="1" applyAlignment="1">
      <alignment wrapText="1"/>
      <protection/>
    </xf>
    <xf numFmtId="0" fontId="4" fillId="0" borderId="4" xfId="22" applyFont="1" applyFill="1" applyBorder="1" applyAlignment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Transit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tabSelected="1" workbookViewId="0" topLeftCell="A1">
      <selection activeCell="A1" sqref="A1"/>
    </sheetView>
  </sheetViews>
  <sheetFormatPr defaultColWidth="8.796875" defaultRowHeight="15"/>
  <cols>
    <col min="1" max="1" width="39.69921875" style="2" customWidth="1"/>
    <col min="2" max="2" width="27.19921875" style="2" customWidth="1"/>
    <col min="3" max="3" width="18.09765625" style="2" customWidth="1"/>
    <col min="4" max="4" width="8.3984375" style="2" customWidth="1"/>
    <col min="5" max="5" width="2.296875" style="2" customWidth="1"/>
    <col min="6" max="6" width="7" style="2" customWidth="1"/>
    <col min="7" max="7" width="2.19921875" style="2" customWidth="1"/>
    <col min="8" max="8" width="7.796875" style="2" customWidth="1"/>
    <col min="9" max="9" width="1.796875" style="2" customWidth="1"/>
    <col min="10" max="10" width="5.796875" style="2" customWidth="1"/>
    <col min="11" max="11" width="2.3984375" style="2" customWidth="1"/>
    <col min="12" max="12" width="7.19921875" style="2" customWidth="1"/>
    <col min="13" max="13" width="2.19921875" style="2" customWidth="1"/>
    <col min="14" max="16384" width="6.296875" style="2" customWidth="1"/>
  </cols>
  <sheetData>
    <row r="1" spans="1:3" ht="23.25" customHeight="1">
      <c r="A1" s="1" t="s">
        <v>39</v>
      </c>
      <c r="B1" s="1"/>
      <c r="C1" s="1"/>
    </row>
    <row r="2" spans="1:13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63.75" customHeight="1">
      <c r="A3" s="5" t="s">
        <v>0</v>
      </c>
      <c r="B3" s="5" t="s">
        <v>1</v>
      </c>
      <c r="C3" s="5" t="s">
        <v>2</v>
      </c>
      <c r="D3" s="20" t="s">
        <v>5</v>
      </c>
      <c r="E3" s="20"/>
      <c r="F3" s="20" t="s">
        <v>4</v>
      </c>
      <c r="G3" s="20"/>
      <c r="H3" s="20" t="s">
        <v>6</v>
      </c>
      <c r="I3" s="20"/>
      <c r="J3" s="20" t="s">
        <v>7</v>
      </c>
      <c r="K3" s="20"/>
      <c r="L3" s="20" t="s">
        <v>8</v>
      </c>
      <c r="M3" s="20"/>
      <c r="N3" s="6"/>
    </row>
    <row r="4" spans="1:14" s="4" customFormat="1" ht="19.5" customHeight="1">
      <c r="A4" s="11" t="s">
        <v>24</v>
      </c>
      <c r="B4" s="11" t="s">
        <v>49</v>
      </c>
      <c r="C4" s="11" t="s">
        <v>51</v>
      </c>
      <c r="D4" s="12">
        <v>317254</v>
      </c>
      <c r="E4" s="12"/>
      <c r="F4" s="12">
        <v>1040</v>
      </c>
      <c r="G4" s="12"/>
      <c r="H4" s="12">
        <f>720711909/1000000</f>
        <v>720.711909</v>
      </c>
      <c r="I4" s="12"/>
      <c r="J4" s="12">
        <f>332553716/1000000</f>
        <v>332.553716</v>
      </c>
      <c r="K4" s="12"/>
      <c r="L4" s="12">
        <v>2562</v>
      </c>
      <c r="M4" s="11"/>
      <c r="N4" s="9"/>
    </row>
    <row r="5" spans="1:14" s="4" customFormat="1" ht="19.5" customHeight="1">
      <c r="A5" s="11" t="s">
        <v>25</v>
      </c>
      <c r="B5" s="11" t="s">
        <v>48</v>
      </c>
      <c r="C5" s="11" t="s">
        <v>15</v>
      </c>
      <c r="D5" s="12">
        <f>(66553980+7358650+1217982)/1000</f>
        <v>75130.612</v>
      </c>
      <c r="E5" s="12"/>
      <c r="F5" s="12">
        <f>(222607+24592+3032)/1000</f>
        <v>250.231</v>
      </c>
      <c r="G5" s="12"/>
      <c r="H5" s="12">
        <f>224114752/1000000</f>
        <v>224.114752</v>
      </c>
      <c r="I5" s="12"/>
      <c r="J5" s="12">
        <f>124333522/1000000</f>
        <v>124.333522</v>
      </c>
      <c r="K5" s="12"/>
      <c r="L5" s="12">
        <f>1020+55+4</f>
        <v>1079</v>
      </c>
      <c r="M5" s="11"/>
      <c r="N5" s="9"/>
    </row>
    <row r="6" spans="1:14" s="4" customFormat="1" ht="19.5" customHeight="1">
      <c r="A6" s="11" t="s">
        <v>34</v>
      </c>
      <c r="B6" s="11" t="s">
        <v>41</v>
      </c>
      <c r="C6" s="11" t="s">
        <v>35</v>
      </c>
      <c r="D6" s="12">
        <f>(5331947+29940)/1000</f>
        <v>5361.887</v>
      </c>
      <c r="E6" s="12"/>
      <c r="F6" s="12">
        <f>(18521+97)/1000</f>
        <v>18.618</v>
      </c>
      <c r="G6" s="12"/>
      <c r="H6" s="12">
        <f>5194158/1000000</f>
        <v>5.194158</v>
      </c>
      <c r="I6" s="12"/>
      <c r="J6" s="15" t="s">
        <v>53</v>
      </c>
      <c r="K6" s="12"/>
      <c r="L6" s="12">
        <f>49+8</f>
        <v>57</v>
      </c>
      <c r="M6" s="11"/>
      <c r="N6" s="9"/>
    </row>
    <row r="7" spans="1:14" s="4" customFormat="1" ht="25.5">
      <c r="A7" s="11" t="s">
        <v>50</v>
      </c>
      <c r="B7" s="11" t="s">
        <v>41</v>
      </c>
      <c r="C7" s="11" t="s">
        <v>55</v>
      </c>
      <c r="D7" s="12">
        <f>(3670959+425722)/1000</f>
        <v>4096.681</v>
      </c>
      <c r="E7" s="12"/>
      <c r="F7" s="12">
        <f>(12643+1629)/1000</f>
        <v>14.272</v>
      </c>
      <c r="G7" s="12"/>
      <c r="H7" s="12">
        <f>14536441/1000000</f>
        <v>14.536441</v>
      </c>
      <c r="I7" s="12"/>
      <c r="J7" s="12">
        <f>2337251/1000000</f>
        <v>2.337251</v>
      </c>
      <c r="K7" s="12"/>
      <c r="L7" s="12">
        <f>78+104</f>
        <v>182</v>
      </c>
      <c r="M7" s="11"/>
      <c r="N7" s="9"/>
    </row>
    <row r="8" spans="1:14" s="4" customFormat="1" ht="19.5" customHeight="1">
      <c r="A8" s="11" t="s">
        <v>20</v>
      </c>
      <c r="B8" s="11" t="s">
        <v>41</v>
      </c>
      <c r="C8" s="11" t="s">
        <v>21</v>
      </c>
      <c r="D8" s="12">
        <f>(3296432+8470)/1000</f>
        <v>3304.902</v>
      </c>
      <c r="E8" s="12"/>
      <c r="F8" s="12">
        <f>(11498+30)/1000</f>
        <v>11.528</v>
      </c>
      <c r="G8" s="12"/>
      <c r="H8" s="12">
        <v>4</v>
      </c>
      <c r="I8" s="12"/>
      <c r="J8" s="15" t="s">
        <v>53</v>
      </c>
      <c r="K8" s="12"/>
      <c r="L8" s="12">
        <f>38+25</f>
        <v>63</v>
      </c>
      <c r="M8" s="11"/>
      <c r="N8" s="9"/>
    </row>
    <row r="9" spans="1:14" s="4" customFormat="1" ht="19.5" customHeight="1">
      <c r="A9" s="11" t="s">
        <v>30</v>
      </c>
      <c r="B9" s="11" t="s">
        <v>41</v>
      </c>
      <c r="C9" s="11" t="s">
        <v>31</v>
      </c>
      <c r="D9" s="12">
        <f>(2991545+181185)/1000</f>
        <v>3172.73</v>
      </c>
      <c r="E9" s="12"/>
      <c r="F9" s="12">
        <f>(10380+705)/1000</f>
        <v>11.085</v>
      </c>
      <c r="G9" s="12"/>
      <c r="H9" s="12">
        <f>7406071/1000000</f>
        <v>7.406071</v>
      </c>
      <c r="I9" s="12"/>
      <c r="J9" s="12">
        <f>2440268/1000000</f>
        <v>2.440268</v>
      </c>
      <c r="K9" s="12"/>
      <c r="L9" s="12">
        <f>37+84</f>
        <v>121</v>
      </c>
      <c r="M9" s="11"/>
      <c r="N9" s="9"/>
    </row>
    <row r="10" spans="1:14" s="4" customFormat="1" ht="19.5" customHeight="1">
      <c r="A10" s="11" t="s">
        <v>13</v>
      </c>
      <c r="B10" s="11" t="s">
        <v>41</v>
      </c>
      <c r="C10" s="11" t="s">
        <v>14</v>
      </c>
      <c r="D10" s="12">
        <f>(2682018+181563)/1000</f>
        <v>2863.581</v>
      </c>
      <c r="E10" s="12"/>
      <c r="F10" s="12">
        <f>(9175+657)/1000</f>
        <v>9.832</v>
      </c>
      <c r="G10" s="12"/>
      <c r="H10" s="12">
        <f>8026380/1000000</f>
        <v>8.02638</v>
      </c>
      <c r="I10" s="12"/>
      <c r="J10" s="12">
        <f>4334608/1000000</f>
        <v>4.334608</v>
      </c>
      <c r="K10" s="12"/>
      <c r="L10" s="12">
        <f>64+38</f>
        <v>102</v>
      </c>
      <c r="M10" s="11"/>
      <c r="N10" s="9"/>
    </row>
    <row r="11" spans="1:14" s="4" customFormat="1" ht="19.5" customHeight="1">
      <c r="A11" s="11" t="s">
        <v>22</v>
      </c>
      <c r="B11" s="11" t="s">
        <v>41</v>
      </c>
      <c r="C11" s="11" t="s">
        <v>23</v>
      </c>
      <c r="D11" s="12">
        <f>(2073395+313258)/1000</f>
        <v>2386.653</v>
      </c>
      <c r="E11" s="12"/>
      <c r="F11" s="12">
        <f>(6966+1129)/1000</f>
        <v>8.095</v>
      </c>
      <c r="G11" s="12"/>
      <c r="H11" s="12">
        <f>7717614/1000000</f>
        <v>7.717614</v>
      </c>
      <c r="I11" s="12"/>
      <c r="J11" s="12">
        <f>1518960/1000000</f>
        <v>1.51896</v>
      </c>
      <c r="K11" s="12"/>
      <c r="L11" s="12">
        <f>43+78</f>
        <v>121</v>
      </c>
      <c r="M11" s="11"/>
      <c r="N11" s="9"/>
    </row>
    <row r="12" spans="1:14" s="4" customFormat="1" ht="19.5" customHeight="1">
      <c r="A12" s="11" t="s">
        <v>17</v>
      </c>
      <c r="B12" s="11" t="s">
        <v>41</v>
      </c>
      <c r="C12" s="11" t="s">
        <v>16</v>
      </c>
      <c r="D12" s="12">
        <f>(2087331+220338)/1000</f>
        <v>2307.669</v>
      </c>
      <c r="E12" s="12"/>
      <c r="F12" s="12">
        <f>(7486+811)/1000</f>
        <v>8.297</v>
      </c>
      <c r="G12" s="12"/>
      <c r="H12" s="12">
        <f>8664951/1000000</f>
        <v>8.664951</v>
      </c>
      <c r="I12" s="12"/>
      <c r="J12" s="12">
        <f>3152521/1000000</f>
        <v>3.152521</v>
      </c>
      <c r="K12" s="12"/>
      <c r="L12" s="12">
        <f>71+52</f>
        <v>123</v>
      </c>
      <c r="M12" s="11"/>
      <c r="N12" s="9"/>
    </row>
    <row r="13" spans="1:14" s="4" customFormat="1" ht="19.5" customHeight="1">
      <c r="A13" s="11" t="s">
        <v>26</v>
      </c>
      <c r="B13" s="11" t="s">
        <v>40</v>
      </c>
      <c r="C13" s="11" t="s">
        <v>15</v>
      </c>
      <c r="D13" s="12">
        <f>2082762/1000</f>
        <v>2082.762</v>
      </c>
      <c r="E13" s="12"/>
      <c r="F13" s="12">
        <f>7160/1000</f>
        <v>7.16</v>
      </c>
      <c r="G13" s="12"/>
      <c r="H13" s="12">
        <v>29</v>
      </c>
      <c r="I13" s="12"/>
      <c r="J13" s="12">
        <v>0</v>
      </c>
      <c r="K13" s="12"/>
      <c r="L13" s="12">
        <v>470</v>
      </c>
      <c r="M13" s="11"/>
      <c r="N13" s="9"/>
    </row>
    <row r="14" spans="1:14" s="4" customFormat="1" ht="19.5" customHeight="1">
      <c r="A14" s="11" t="s">
        <v>33</v>
      </c>
      <c r="B14" s="11" t="s">
        <v>41</v>
      </c>
      <c r="C14" s="11" t="s">
        <v>21</v>
      </c>
      <c r="D14" s="12">
        <f>(1571684+5957)/1000</f>
        <v>1577.641</v>
      </c>
      <c r="E14" s="12"/>
      <c r="F14" s="12">
        <f>(5476+23)/1000</f>
        <v>5.499</v>
      </c>
      <c r="G14" s="12"/>
      <c r="H14" s="12">
        <f>4107828/1000000</f>
        <v>4.107828</v>
      </c>
      <c r="I14" s="12"/>
      <c r="J14" s="12">
        <f>3263582/1000000</f>
        <v>3.263582</v>
      </c>
      <c r="K14" s="12"/>
      <c r="L14" s="12">
        <f>36+8</f>
        <v>44</v>
      </c>
      <c r="M14" s="11"/>
      <c r="N14" s="9"/>
    </row>
    <row r="15" spans="1:14" s="4" customFormat="1" ht="19.5" customHeight="1">
      <c r="A15" s="11" t="s">
        <v>44</v>
      </c>
      <c r="B15" s="11" t="s">
        <v>45</v>
      </c>
      <c r="C15" s="11" t="s">
        <v>19</v>
      </c>
      <c r="D15" s="12">
        <f>(1412694+121779+5418)/1000</f>
        <v>1539.891</v>
      </c>
      <c r="E15" s="12"/>
      <c r="F15" s="12">
        <f>(4893+287+21)/1000</f>
        <v>5.201</v>
      </c>
      <c r="G15" s="12"/>
      <c r="H15" s="12">
        <f>4818313/1000000</f>
        <v>4.818313</v>
      </c>
      <c r="I15" s="12"/>
      <c r="J15" s="12">
        <f>4098249/1000000</f>
        <v>4.098249</v>
      </c>
      <c r="K15" s="12"/>
      <c r="L15" s="12">
        <f>29+2+2</f>
        <v>33</v>
      </c>
      <c r="M15" s="11"/>
      <c r="N15" s="9"/>
    </row>
    <row r="16" spans="1:14" s="4" customFormat="1" ht="19.5" customHeight="1">
      <c r="A16" s="11" t="s">
        <v>36</v>
      </c>
      <c r="B16" s="11" t="s">
        <v>41</v>
      </c>
      <c r="C16" s="11" t="s">
        <v>37</v>
      </c>
      <c r="D16" s="12">
        <f>(1178163+3083)/1000</f>
        <v>1181.246</v>
      </c>
      <c r="E16" s="12"/>
      <c r="F16" s="12">
        <f>(4053+10)/1000</f>
        <v>4.063</v>
      </c>
      <c r="G16" s="12"/>
      <c r="H16" s="12">
        <f>2363399/1000000</f>
        <v>2.363399</v>
      </c>
      <c r="I16" s="12"/>
      <c r="J16" s="12">
        <f>5366176/1000000</f>
        <v>5.366176</v>
      </c>
      <c r="K16" s="12"/>
      <c r="L16" s="12">
        <f>23+2</f>
        <v>25</v>
      </c>
      <c r="M16" s="11"/>
      <c r="N16" s="9"/>
    </row>
    <row r="17" spans="1:14" s="4" customFormat="1" ht="19.5" customHeight="1">
      <c r="A17" s="11" t="s">
        <v>52</v>
      </c>
      <c r="B17" s="11" t="s">
        <v>41</v>
      </c>
      <c r="C17" s="11" t="s">
        <v>38</v>
      </c>
      <c r="D17" s="12">
        <f>(982844+169339)/1000</f>
        <v>1152.183</v>
      </c>
      <c r="E17" s="12"/>
      <c r="F17" s="12">
        <f>(3316+627)/1000</f>
        <v>3.943</v>
      </c>
      <c r="G17" s="12"/>
      <c r="H17" s="12">
        <f>4735352/1000000</f>
        <v>4.735352</v>
      </c>
      <c r="I17" s="12"/>
      <c r="J17" s="15" t="s">
        <v>53</v>
      </c>
      <c r="K17" s="12"/>
      <c r="L17" s="12">
        <f>26+53</f>
        <v>79</v>
      </c>
      <c r="M17" s="11"/>
      <c r="N17" s="9"/>
    </row>
    <row r="18" spans="1:14" s="4" customFormat="1" ht="19.5" customHeight="1">
      <c r="A18" s="11" t="s">
        <v>42</v>
      </c>
      <c r="B18" s="11" t="s">
        <v>41</v>
      </c>
      <c r="C18" s="11" t="s">
        <v>9</v>
      </c>
      <c r="D18" s="12">
        <f>(725610+8934)/1000</f>
        <v>734.544</v>
      </c>
      <c r="E18" s="12"/>
      <c r="F18" s="12">
        <f>(2445+31)/1000</f>
        <v>2.476</v>
      </c>
      <c r="G18" s="12"/>
      <c r="H18" s="12">
        <f>2984523/1000000</f>
        <v>2.984523</v>
      </c>
      <c r="I18" s="12"/>
      <c r="J18" s="12">
        <f>1034833/1000000</f>
        <v>1.034833</v>
      </c>
      <c r="K18" s="12"/>
      <c r="L18" s="12">
        <f>31+38</f>
        <v>69</v>
      </c>
      <c r="M18" s="11"/>
      <c r="N18" s="9"/>
    </row>
    <row r="19" spans="1:14" s="4" customFormat="1" ht="19.5" customHeight="1">
      <c r="A19" s="11" t="s">
        <v>43</v>
      </c>
      <c r="B19" s="11" t="s">
        <v>40</v>
      </c>
      <c r="C19" s="11" t="s">
        <v>51</v>
      </c>
      <c r="D19" s="12">
        <v>657</v>
      </c>
      <c r="E19" s="12"/>
      <c r="F19" s="12">
        <v>2</v>
      </c>
      <c r="G19" s="12"/>
      <c r="H19" s="12">
        <v>13</v>
      </c>
      <c r="I19" s="12"/>
      <c r="J19" s="12">
        <v>0</v>
      </c>
      <c r="K19" s="12"/>
      <c r="L19" s="12">
        <v>228</v>
      </c>
      <c r="M19" s="11"/>
      <c r="N19" s="9"/>
    </row>
    <row r="20" spans="1:14" s="4" customFormat="1" ht="19.5" customHeight="1">
      <c r="A20" s="11" t="s">
        <v>32</v>
      </c>
      <c r="B20" s="11" t="s">
        <v>41</v>
      </c>
      <c r="C20" s="11" t="s">
        <v>15</v>
      </c>
      <c r="D20" s="12">
        <f>(405653+161885)/1000</f>
        <v>567.538</v>
      </c>
      <c r="E20" s="12"/>
      <c r="F20" s="12">
        <f>(1502+584)/1000</f>
        <v>2.086</v>
      </c>
      <c r="G20" s="12"/>
      <c r="H20" s="12">
        <f>3790752/1000000</f>
        <v>3.790752</v>
      </c>
      <c r="I20" s="12"/>
      <c r="J20" s="12">
        <f>5059565/1000000</f>
        <v>5.059565</v>
      </c>
      <c r="K20" s="12"/>
      <c r="L20" s="12">
        <f>16+26</f>
        <v>42</v>
      </c>
      <c r="M20" s="11"/>
      <c r="N20" s="9"/>
    </row>
    <row r="21" spans="1:14" s="4" customFormat="1" ht="19.5" customHeight="1">
      <c r="A21" s="11" t="s">
        <v>10</v>
      </c>
      <c r="B21" s="11" t="s">
        <v>11</v>
      </c>
      <c r="C21" s="11" t="s">
        <v>12</v>
      </c>
      <c r="D21" s="12">
        <f>449214/1000</f>
        <v>449.214</v>
      </c>
      <c r="E21" s="12"/>
      <c r="F21" s="12">
        <f>1561/1000</f>
        <v>1.561</v>
      </c>
      <c r="G21" s="12"/>
      <c r="H21" s="12">
        <f>2029439/1000000</f>
        <v>2.029439</v>
      </c>
      <c r="I21" s="12"/>
      <c r="J21" s="12">
        <f>2713266/1000000</f>
        <v>2.713266</v>
      </c>
      <c r="K21" s="12"/>
      <c r="L21" s="12">
        <v>24</v>
      </c>
      <c r="M21" s="11"/>
      <c r="N21" s="9"/>
    </row>
    <row r="22" spans="1:14" s="4" customFormat="1" ht="19.5" customHeight="1">
      <c r="A22" s="11" t="s">
        <v>54</v>
      </c>
      <c r="B22" s="11" t="s">
        <v>41</v>
      </c>
      <c r="C22" s="11" t="s">
        <v>15</v>
      </c>
      <c r="D22" s="12">
        <f>(294551+4134)/1000</f>
        <v>298.685</v>
      </c>
      <c r="E22" s="12"/>
      <c r="F22" s="12">
        <f>(1084+16)/1000</f>
        <v>1.1</v>
      </c>
      <c r="G22" s="12"/>
      <c r="H22" s="12">
        <f>2071535/1000000</f>
        <v>2.071535</v>
      </c>
      <c r="I22" s="12"/>
      <c r="J22" s="16" t="s">
        <v>53</v>
      </c>
      <c r="K22" s="12"/>
      <c r="L22" s="12">
        <f>27+101</f>
        <v>128</v>
      </c>
      <c r="M22" s="11"/>
      <c r="N22" s="9"/>
    </row>
    <row r="23" spans="1:14" s="4" customFormat="1" ht="19.5" customHeight="1">
      <c r="A23" s="11" t="s">
        <v>27</v>
      </c>
      <c r="B23" s="11" t="s">
        <v>28</v>
      </c>
      <c r="C23" s="11" t="s">
        <v>15</v>
      </c>
      <c r="D23" s="12">
        <f>203444/1000</f>
        <v>203.444</v>
      </c>
      <c r="E23" s="12"/>
      <c r="F23" s="12">
        <f>792/1000</f>
        <v>0.792</v>
      </c>
      <c r="G23" s="12"/>
      <c r="H23" s="12">
        <f>511146/1000000</f>
        <v>0.511146</v>
      </c>
      <c r="I23" s="12"/>
      <c r="J23" s="12">
        <f>0</f>
        <v>0</v>
      </c>
      <c r="K23" s="12"/>
      <c r="L23" s="12">
        <v>47</v>
      </c>
      <c r="M23" s="11"/>
      <c r="N23" s="9"/>
    </row>
    <row r="24" spans="1:14" s="4" customFormat="1" ht="19.5" customHeight="1">
      <c r="A24" s="11" t="s">
        <v>18</v>
      </c>
      <c r="B24" s="11" t="s">
        <v>47</v>
      </c>
      <c r="C24" s="11" t="s">
        <v>51</v>
      </c>
      <c r="D24" s="12">
        <f>203430/1000</f>
        <v>203.43</v>
      </c>
      <c r="E24" s="12"/>
      <c r="F24" s="12">
        <f>679/1000</f>
        <v>0.679</v>
      </c>
      <c r="G24" s="12"/>
      <c r="H24" s="12">
        <f>5337930/1000000</f>
        <v>5.33793</v>
      </c>
      <c r="I24" s="12"/>
      <c r="J24" s="12">
        <v>3</v>
      </c>
      <c r="K24" s="12"/>
      <c r="L24" s="12">
        <v>12</v>
      </c>
      <c r="M24" s="11"/>
      <c r="N24" s="9"/>
    </row>
    <row r="25" spans="1:14" s="4" customFormat="1" ht="19.5" customHeight="1">
      <c r="A25" s="11" t="s">
        <v>46</v>
      </c>
      <c r="B25" s="11" t="s">
        <v>41</v>
      </c>
      <c r="C25" s="11" t="s">
        <v>15</v>
      </c>
      <c r="D25" s="12">
        <f>(62354+117258)/1000</f>
        <v>179.612</v>
      </c>
      <c r="E25" s="12"/>
      <c r="F25" s="12">
        <f>(213+401)/1000</f>
        <v>0.614</v>
      </c>
      <c r="G25" s="12"/>
      <c r="H25" s="12">
        <f>1606217/1000000</f>
        <v>1.606217</v>
      </c>
      <c r="I25" s="12"/>
      <c r="J25" s="16" t="s">
        <v>53</v>
      </c>
      <c r="K25" s="12"/>
      <c r="L25" s="12">
        <f>6+25</f>
        <v>31</v>
      </c>
      <c r="M25" s="11"/>
      <c r="N25" s="9"/>
    </row>
    <row r="26" spans="1:14" s="4" customFormat="1" ht="19.5" customHeight="1">
      <c r="A26" s="13" t="s">
        <v>29</v>
      </c>
      <c r="B26" s="13" t="s">
        <v>28</v>
      </c>
      <c r="C26" s="13" t="s">
        <v>15</v>
      </c>
      <c r="D26" s="14">
        <f>94500/1000</f>
        <v>94.5</v>
      </c>
      <c r="E26" s="14"/>
      <c r="F26" s="14">
        <f>375/1000</f>
        <v>0.375</v>
      </c>
      <c r="G26" s="14"/>
      <c r="H26" s="17" t="s">
        <v>53</v>
      </c>
      <c r="I26" s="14"/>
      <c r="J26" s="14">
        <f>0</f>
        <v>0</v>
      </c>
      <c r="K26" s="14"/>
      <c r="L26" s="14">
        <v>22</v>
      </c>
      <c r="M26" s="13"/>
      <c r="N26" s="9"/>
    </row>
    <row r="27" spans="1:14" ht="19.5" customHeight="1">
      <c r="A27" s="7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11"/>
      <c r="N27" s="9"/>
    </row>
    <row r="28" spans="1:14" ht="26.25" customHeight="1">
      <c r="A28" s="18" t="s">
        <v>3</v>
      </c>
      <c r="B28" s="18"/>
      <c r="C28" s="19"/>
      <c r="D28" s="19"/>
      <c r="E28" s="19"/>
      <c r="F28" s="19"/>
      <c r="G28" s="19"/>
      <c r="H28" s="19"/>
      <c r="I28" s="10"/>
      <c r="J28" s="6"/>
      <c r="K28" s="6"/>
      <c r="L28" s="6"/>
      <c r="M28" s="6"/>
      <c r="N28" s="6"/>
    </row>
    <row r="29" spans="1:14" ht="30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3:14" ht="30" customHeight="1">
      <c r="M40" s="6"/>
      <c r="N40" s="6"/>
    </row>
    <row r="41" spans="14:37" ht="30" customHeight="1"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ht="13.5" customHeight="1"/>
    <row r="43" ht="12.75" customHeight="1"/>
    <row r="45" ht="25.5" customHeight="1"/>
  </sheetData>
  <mergeCells count="6">
    <mergeCell ref="A28:H28"/>
    <mergeCell ref="L3:M3"/>
    <mergeCell ref="J3:K3"/>
    <mergeCell ref="H3:I3"/>
    <mergeCell ref="F3:G3"/>
    <mergeCell ref="D3:E3"/>
  </mergeCells>
  <printOptions horizontalCentered="1"/>
  <pageMargins left="1" right="1" top="1" bottom="1" header="0.5" footer="0.5"/>
  <pageSetup fitToHeight="1" fitToWidth="1" horizontalDpi="1200" verticalDpi="12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2002-11-12T14:32:12Z</cp:lastPrinted>
  <dcterms:created xsi:type="dcterms:W3CDTF">2001-12-27T18:56:10Z</dcterms:created>
  <dcterms:modified xsi:type="dcterms:W3CDTF">2004-10-19T15:39:28Z</dcterms:modified>
  <cp:category/>
  <cp:version/>
  <cp:contentType/>
  <cp:contentStatus/>
</cp:coreProperties>
</file>