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8" yWindow="1236" windowWidth="12120" windowHeight="7056" activeTab="0"/>
  </bookViews>
  <sheets>
    <sheet name="4-05" sheetId="1" r:id="rId1"/>
  </sheets>
  <externalReferences>
    <externalReference r:id="rId4"/>
  </externalReferences>
  <definedNames>
    <definedName name="Eno_TM">'[1]1997  Table 1a Modified'!#REF!</definedName>
    <definedName name="Eno_Tons">'[1]1997  Table 1a Modified'!#REF!</definedName>
    <definedName name="_xlnm.Print_Area" localSheetId="0">'4-05'!$A$1:$T$66</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<sst xmlns="http://schemas.openxmlformats.org/spreadsheetml/2006/main" count="107" uniqueCount="85">
  <si>
    <t>Air</t>
  </si>
  <si>
    <t>N</t>
  </si>
  <si>
    <t>Highway</t>
  </si>
  <si>
    <t>Gasoline, diesel and other fuels (million gallons)</t>
  </si>
  <si>
    <t>Electricity (million kWh)</t>
  </si>
  <si>
    <t>Motor fuel (million gallons)</t>
  </si>
  <si>
    <t>Amtrak</t>
  </si>
  <si>
    <t>Electricity  (million kWh)</t>
  </si>
  <si>
    <t>303</t>
  </si>
  <si>
    <t>82</t>
  </si>
  <si>
    <t xml:space="preserve">Water </t>
  </si>
  <si>
    <t>Residual fuel oil (million gallons)</t>
  </si>
  <si>
    <t>Gasoline (million gallons)</t>
  </si>
  <si>
    <t>Pipeline</t>
  </si>
  <si>
    <t>Natural gas (million cubic feet)</t>
  </si>
  <si>
    <t>Air:</t>
  </si>
  <si>
    <t>Certificated air carriers:</t>
  </si>
  <si>
    <t>General aviation:</t>
  </si>
  <si>
    <t>Highway:</t>
  </si>
  <si>
    <t>Transit:</t>
  </si>
  <si>
    <t>Rail:</t>
  </si>
  <si>
    <t>Amtrak:</t>
  </si>
  <si>
    <t>Water:</t>
  </si>
  <si>
    <t>Gasoline:</t>
  </si>
  <si>
    <t>Pipeline:</t>
  </si>
  <si>
    <t>Rail, Class I (in freight service)</t>
  </si>
  <si>
    <t>e</t>
  </si>
  <si>
    <t>Table 4-5:  Fuel Consumption by Mode of Transportation</t>
  </si>
  <si>
    <r>
      <t xml:space="preserve">a </t>
    </r>
    <r>
      <rPr>
        <sz val="9"/>
        <rFont val="Arial"/>
        <family val="2"/>
      </rPr>
      <t xml:space="preserve"> Domestic operations only.</t>
    </r>
  </si>
  <si>
    <r>
      <t>e</t>
    </r>
    <r>
      <rPr>
        <sz val="9"/>
        <rFont val="Arial"/>
        <family val="2"/>
      </rPr>
      <t xml:space="preserve">  Included in single-unit 2-axle 6-tire or more truck category.</t>
    </r>
  </si>
  <si>
    <r>
      <t xml:space="preserve">1960-70: U.S. Department of Transportation, Federal Aviation Administration, </t>
    </r>
    <r>
      <rPr>
        <i/>
        <sz val="9"/>
        <rFont val="Arial"/>
        <family val="2"/>
      </rPr>
      <t>FAA Statistical Handbook of Aviation</t>
    </r>
    <r>
      <rPr>
        <sz val="9"/>
        <rFont val="Arial"/>
        <family val="2"/>
      </rPr>
      <t xml:space="preserve"> </t>
    </r>
    <r>
      <rPr>
        <i/>
        <sz val="9"/>
        <rFont val="Arial"/>
        <family val="2"/>
      </rPr>
      <t xml:space="preserve">- 1972 edition </t>
    </r>
    <r>
      <rPr>
        <sz val="9"/>
        <rFont val="Arial"/>
        <family val="2"/>
      </rPr>
      <t>(Washington, DC:  1973), table 9.12.</t>
    </r>
  </si>
  <si>
    <r>
      <t xml:space="preserve">1960-80: American Petroleum Institute, </t>
    </r>
    <r>
      <rPr>
        <i/>
        <sz val="9"/>
        <rFont val="Arial"/>
        <family val="2"/>
      </rPr>
      <t xml:space="preserve">Basic Petroleum Data Book </t>
    </r>
    <r>
      <rPr>
        <sz val="9"/>
        <rFont val="Arial"/>
        <family val="2"/>
      </rPr>
      <t>(Washington, DC:</t>
    </r>
    <r>
      <rPr>
        <i/>
        <sz val="9"/>
        <rFont val="Arial"/>
        <family val="2"/>
      </rPr>
      <t xml:space="preserve"> </t>
    </r>
    <r>
      <rPr>
        <sz val="9"/>
        <rFont val="Arial"/>
        <family val="2"/>
      </rPr>
      <t>Annual issues), tables 10, 10a, 12, and 12a.</t>
    </r>
  </si>
  <si>
    <r>
      <t xml:space="preserve">b  </t>
    </r>
    <r>
      <rPr>
        <sz val="9"/>
        <rFont val="Arial"/>
        <family val="2"/>
      </rPr>
      <t>Includes fuel used in air taxi operations, but not commuter operations.  Data for 1996 are estimated using new information on nonrespondents and are therefore not comparable to earlier years.  See the accuracy statement in the appendix for more detailed information.</t>
    </r>
  </si>
  <si>
    <r>
      <t xml:space="preserve">1975-93: Ibid., </t>
    </r>
    <r>
      <rPr>
        <i/>
        <sz val="9"/>
        <rFont val="Arial"/>
        <family val="2"/>
      </rPr>
      <t>General Aviation and Air Taxi Activity Survey</t>
    </r>
    <r>
      <rPr>
        <sz val="9"/>
        <rFont val="Arial"/>
        <family val="2"/>
      </rPr>
      <t xml:space="preserve"> (Washington, DC:  Annual issues), table 5.1, and similar tables in earlier editions.</t>
    </r>
  </si>
  <si>
    <r>
      <t>d</t>
    </r>
    <r>
      <rPr>
        <sz val="9"/>
        <rFont val="Arial"/>
        <family val="2"/>
      </rPr>
      <t xml:space="preserve"> Gasoline and all other nondiesel fuels such as liquefied natural gas, methanol, and propane, except compressed natural gas.</t>
    </r>
  </si>
  <si>
    <r>
      <t xml:space="preserve">c  </t>
    </r>
    <r>
      <rPr>
        <sz val="9"/>
        <rFont val="Arial"/>
        <family val="2"/>
      </rPr>
      <t>Prior to 1984, excludes commuter rail, automated guideway, ferryboat, demand responsive vehicles, and most rural and small systems.</t>
    </r>
  </si>
  <si>
    <t>1975-2001: Amtrak, Energy Management Department, personal communication.</t>
  </si>
  <si>
    <t>SOURCES</t>
  </si>
  <si>
    <t>Distillate / diesel fuel (million gallons)</t>
  </si>
  <si>
    <t>Distillate / diesel fuel oil (million gallons)</t>
  </si>
  <si>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 (Revised data obtained from Internet site http://www.fhwa.dot.gov/ohim/ohimstat.htm as of August 2001).</t>
    </r>
  </si>
  <si>
    <t>Electricity / motor fuel / compressed natural gas:</t>
  </si>
  <si>
    <t>Residual and distillate / diesel fuel oil:</t>
  </si>
  <si>
    <t>Jet fuel (million gallons)</t>
  </si>
  <si>
    <t>Aviation gasoline (million gallons)</t>
  </si>
  <si>
    <t>Passenger car and motorcycle</t>
  </si>
  <si>
    <t>Other 2-axle 4-tire vehicle</t>
  </si>
  <si>
    <t>Single-unit 2-axle 6-tire or more truck</t>
  </si>
  <si>
    <t>Combination truck</t>
  </si>
  <si>
    <t>Bus</t>
  </si>
  <si>
    <t xml:space="preserve">Diesel </t>
  </si>
  <si>
    <t>Compressed natural gas</t>
  </si>
  <si>
    <t>1960</t>
  </si>
  <si>
    <t>1965</t>
  </si>
  <si>
    <t>1970</t>
  </si>
  <si>
    <t>1975</t>
  </si>
  <si>
    <t>1980</t>
  </si>
  <si>
    <t>1985</t>
  </si>
  <si>
    <t>1990</t>
  </si>
  <si>
    <t>1991</t>
  </si>
  <si>
    <t>1992</t>
  </si>
  <si>
    <t>1993</t>
  </si>
  <si>
    <t>1994</t>
  </si>
  <si>
    <t>1995</t>
  </si>
  <si>
    <t>1996</t>
  </si>
  <si>
    <t>1997</t>
  </si>
  <si>
    <t>1998</t>
  </si>
  <si>
    <t>1999</t>
  </si>
  <si>
    <t>2000</t>
  </si>
  <si>
    <t>2001</t>
  </si>
  <si>
    <r>
      <t>Certificated carriers</t>
    </r>
    <r>
      <rPr>
        <vertAlign val="superscript"/>
        <sz val="11"/>
        <rFont val="Arial Narrow"/>
        <family val="2"/>
      </rPr>
      <t>a</t>
    </r>
  </si>
  <si>
    <r>
      <t>General aviation</t>
    </r>
    <r>
      <rPr>
        <vertAlign val="superscript"/>
        <sz val="11"/>
        <rFont val="Arial Narrow"/>
        <family val="2"/>
      </rPr>
      <t>b</t>
    </r>
  </si>
  <si>
    <r>
      <t>Transit</t>
    </r>
    <r>
      <rPr>
        <b/>
        <vertAlign val="superscript"/>
        <sz val="11"/>
        <rFont val="Arial Narrow"/>
        <family val="2"/>
      </rPr>
      <t>c</t>
    </r>
  </si>
  <si>
    <r>
      <t>Gasoline and other nondiesel fuels</t>
    </r>
    <r>
      <rPr>
        <vertAlign val="superscript"/>
        <sz val="11"/>
        <rFont val="Arial Narrow"/>
        <family val="2"/>
      </rPr>
      <t>d</t>
    </r>
  </si>
  <si>
    <t>2002</t>
  </si>
  <si>
    <r>
      <t xml:space="preserve">1960-2002: U.S. Department of Energy, </t>
    </r>
    <r>
      <rPr>
        <i/>
        <sz val="9"/>
        <rFont val="Arial"/>
        <family val="2"/>
      </rPr>
      <t>Natural Gas Annual 2002,</t>
    </r>
    <r>
      <rPr>
        <sz val="9"/>
        <rFont val="Arial"/>
        <family val="2"/>
      </rPr>
      <t xml:space="preserve"> DOE/EIA-0131(02) (Washington, DC: January 2004), table 15 and similar tables in earlier editions. </t>
    </r>
  </si>
  <si>
    <r>
      <t xml:space="preserve">1985-2002: U.S. Department of Energy, Energy Information Administration, </t>
    </r>
    <r>
      <rPr>
        <i/>
        <sz val="9"/>
        <rFont val="Arial"/>
        <family val="2"/>
      </rPr>
      <t xml:space="preserve">Fuel Oil and Kerosene Sales </t>
    </r>
    <r>
      <rPr>
        <sz val="9"/>
        <rFont val="Arial"/>
        <family val="2"/>
      </rPr>
      <t>(Washington, DC:  Annual issues), tables 2, 4, and similar tables in earlier editions.</t>
    </r>
  </si>
  <si>
    <r>
      <t xml:space="preserve">1960-2002: American Public Transit Association, </t>
    </r>
    <r>
      <rPr>
        <i/>
        <sz val="9"/>
        <rFont val="Arial"/>
        <family val="2"/>
      </rPr>
      <t xml:space="preserve">Public Transportation Fact Book </t>
    </r>
    <r>
      <rPr>
        <sz val="9"/>
        <rFont val="Arial"/>
        <family val="2"/>
      </rPr>
      <t xml:space="preserve">(Washington, DC: February 2003), tables 33, 34, 35, and similar tables in earlier editions. </t>
    </r>
  </si>
  <si>
    <r>
      <t xml:space="preserve">1995-2002: Ibid., </t>
    </r>
    <r>
      <rPr>
        <i/>
        <sz val="9"/>
        <rFont val="Arial"/>
        <family val="2"/>
      </rPr>
      <t>Highway Statistics</t>
    </r>
    <r>
      <rPr>
        <sz val="9"/>
        <rFont val="Arial"/>
        <family val="2"/>
      </rPr>
      <t xml:space="preserve"> (Washington, DC: Annual issues), table VM-1.</t>
    </r>
  </si>
  <si>
    <r>
      <t xml:space="preserve">1960-2002: Association of American Railroads, </t>
    </r>
    <r>
      <rPr>
        <i/>
        <sz val="9"/>
        <rFont val="Arial"/>
        <family val="2"/>
      </rPr>
      <t>Railroad Facts</t>
    </r>
    <r>
      <rPr>
        <sz val="9"/>
        <rFont val="Arial"/>
        <family val="2"/>
      </rPr>
      <t xml:space="preserve"> (Washington, DC: October 2003), p. 40.</t>
    </r>
  </si>
  <si>
    <t>1960-2002:  U.S. Department of Transportation, Bureau of Transportation Statistics, Office of Airline Information, Internet site http://www.bts.gov/oai/fuel/fuelyearly.html as of June 23, 2004.</t>
  </si>
  <si>
    <t>U</t>
  </si>
  <si>
    <r>
      <t xml:space="preserve">1970-2002: U.S. Department of Transportation, Federal Highway Administration, </t>
    </r>
    <r>
      <rPr>
        <i/>
        <sz val="9"/>
        <rFont val="Arial"/>
        <family val="2"/>
      </rPr>
      <t>Highway Statistics</t>
    </r>
    <r>
      <rPr>
        <sz val="9"/>
        <rFont val="Arial"/>
        <family val="2"/>
      </rPr>
      <t xml:space="preserve"> (Washington, DC: Annual issues), table MF-24 and similar tables in earlier editions.</t>
    </r>
  </si>
  <si>
    <r>
      <t>KEY:</t>
    </r>
    <r>
      <rPr>
        <sz val="9"/>
        <rFont val="Arial"/>
        <family val="2"/>
      </rPr>
      <t xml:space="preserve"> kWh = kilowatt-hour; N = data do not exist; P = preliminary; R = revised; U = data are unavailable.</t>
    </r>
  </si>
  <si>
    <r>
      <t xml:space="preserve">1994-2002: Ibid., </t>
    </r>
    <r>
      <rPr>
        <i/>
        <sz val="9"/>
        <rFont val="Arial"/>
        <family val="2"/>
      </rPr>
      <t xml:space="preserve">FAA Aerospace Forecasts Fiscal Years 2004-2015 </t>
    </r>
    <r>
      <rPr>
        <sz val="9"/>
        <rFont val="Arial"/>
        <family val="2"/>
      </rPr>
      <t>(Washington, DC: March 2004), table 34 and similar tables in earlier editions.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</si>
</sst>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 numFmtId="168" formatCode="&quot;Yes&quot;;&quot;Yes&quot;;&quot;No&quot;"/>
    <numFmt numFmtId="169" formatCode="&quot;True&quot;;&quot;True&quot;;&quot;False&quot;"/>
    <numFmt numFmtId="170" formatCode="&quot;On&quot;;&quot;On&quot;;&quot;Off&quot;"/>
    <numFmt numFmtId="171" formatCode="&quot;(R)&quot;\ #,##0;&quot;(R) -&quot;#,##0;&quot;(R) &quot;\ 0"/>
    <numFmt numFmtId="172" formatCode="&quot;(P)&quot;\ #,##0;&quot;(P) -&quot;#,##0;&quot;(P) &quot;\ 0"/>
    <numFmt numFmtId="173" formatCode="0.0"/>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8"/>
      <name val="Helv"/>
      <family val="0"/>
    </font>
    <font>
      <vertAlign val="superscript"/>
      <sz val="8"/>
      <name val="Helv"/>
      <family val="0"/>
    </font>
    <font>
      <b/>
      <sz val="14"/>
      <name val="Helv"/>
      <family val="0"/>
    </font>
    <font>
      <sz val="9"/>
      <name val="Arial"/>
      <family val="2"/>
    </font>
    <font>
      <sz val="8"/>
      <name val="Arial"/>
      <family val="2"/>
    </font>
    <font>
      <vertAlign val="superscrip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4" fontId="8" fillId="0" borderId="1" applyNumberFormat="0" applyFill="0">
      <alignment horizontal="right"/>
      <protection/>
    </xf>
    <xf numFmtId="165" fontId="6" fillId="0" borderId="1">
      <alignment horizontal="right" vertical="center"/>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9" fillId="0" borderId="1">
      <alignment horizontal="left" vertical="center"/>
      <protection/>
    </xf>
    <xf numFmtId="0" fontId="14" fillId="0" borderId="1">
      <alignment horizontal="left"/>
      <protection/>
    </xf>
    <xf numFmtId="0" fontId="15" fillId="0" borderId="1">
      <alignment horizontal="left" vertical="center"/>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49" fontId="16" fillId="0" borderId="1" applyFill="0">
      <alignment horizontal="left"/>
      <protection/>
    </xf>
    <xf numFmtId="164"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7"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7"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83">
    <xf numFmtId="0" fontId="0" fillId="0" borderId="0" xfId="0"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Alignment="1">
      <alignment/>
    </xf>
    <xf numFmtId="0" fontId="1" fillId="0" borderId="0" xfId="40" applyFont="1" applyFill="1" applyBorder="1" applyAlignment="1">
      <alignment horizontal="center" wrapText="1"/>
      <protection/>
    </xf>
    <xf numFmtId="1" fontId="1" fillId="0" borderId="0" xfId="40" applyNumberFormat="1" applyFont="1" applyFill="1" applyBorder="1" applyAlignment="1">
      <alignment horizontal="center" wrapText="1"/>
      <protection/>
    </xf>
    <xf numFmtId="3" fontId="0" fillId="0" borderId="0" xfId="27" applyNumberFormat="1" applyFont="1" applyFill="1" applyBorder="1" applyAlignment="1">
      <alignment horizontal="right"/>
      <protection/>
    </xf>
    <xf numFmtId="3" fontId="0" fillId="0" borderId="0" xfId="54" applyNumberFormat="1" applyFont="1" applyFill="1" applyBorder="1" applyAlignment="1">
      <alignment horizontal="right"/>
      <protection/>
    </xf>
    <xf numFmtId="165" fontId="0" fillId="0" borderId="0" xfId="27" applyFont="1" applyFill="1" applyBorder="1" applyAlignment="1">
      <alignment horizontal="right"/>
      <protection/>
    </xf>
    <xf numFmtId="165" fontId="0" fillId="0" borderId="0" xfId="27" applyNumberFormat="1" applyFont="1" applyFill="1" applyBorder="1" applyAlignment="1">
      <alignment horizontal="right"/>
      <protection/>
    </xf>
    <xf numFmtId="3" fontId="18" fillId="0" borderId="0" xfId="27" applyNumberFormat="1" applyFont="1" applyFill="1" applyBorder="1" applyAlignment="1">
      <alignment horizontal="right"/>
      <protection/>
    </xf>
    <xf numFmtId="3" fontId="19" fillId="0" borderId="0" xfId="54" applyNumberFormat="1" applyFont="1" applyFill="1" applyBorder="1" applyAlignment="1">
      <alignment horizontal="right"/>
      <protection/>
    </xf>
    <xf numFmtId="0" fontId="0" fillId="0" borderId="0" xfId="0" applyFont="1" applyFill="1" applyBorder="1" applyAlignment="1">
      <alignment/>
    </xf>
    <xf numFmtId="0" fontId="19" fillId="0" borderId="0" xfId="49" applyFont="1" applyFill="1" applyBorder="1" applyAlignment="1">
      <alignment horizontal="left"/>
      <protection/>
    </xf>
    <xf numFmtId="0" fontId="20" fillId="0" borderId="0" xfId="49" applyFont="1" applyFill="1" applyBorder="1" applyAlignment="1">
      <alignment horizontal="left"/>
      <protection/>
    </xf>
    <xf numFmtId="0" fontId="19" fillId="0" borderId="0" xfId="0" applyFont="1" applyFill="1" applyBorder="1" applyAlignment="1">
      <alignment/>
    </xf>
    <xf numFmtId="3" fontId="19" fillId="0" borderId="0" xfId="0" applyNumberFormat="1" applyFont="1" applyFill="1" applyBorder="1" applyAlignment="1">
      <alignment horizontal="right"/>
    </xf>
    <xf numFmtId="0" fontId="19" fillId="0" borderId="0" xfId="0" applyFont="1" applyFill="1" applyAlignment="1">
      <alignment/>
    </xf>
    <xf numFmtId="3" fontId="0" fillId="0" borderId="0" xfId="0" applyNumberFormat="1" applyFont="1" applyFill="1" applyAlignment="1">
      <alignment horizontal="right"/>
    </xf>
    <xf numFmtId="49" fontId="19" fillId="0" borderId="0" xfId="0" applyNumberFormat="1" applyFont="1" applyFill="1" applyAlignment="1">
      <alignment horizontal="left"/>
    </xf>
    <xf numFmtId="0" fontId="21" fillId="0" borderId="0" xfId="39" applyFont="1" applyFill="1" applyBorder="1" applyAlignment="1">
      <alignment horizontal="left"/>
      <protection/>
    </xf>
    <xf numFmtId="3" fontId="22" fillId="0" borderId="0" xfId="23" applyNumberFormat="1" applyFont="1" applyFill="1" applyBorder="1" applyAlignment="1">
      <alignment horizontal="right"/>
      <protection/>
    </xf>
    <xf numFmtId="3" fontId="22" fillId="0" borderId="0" xfId="51" applyNumberFormat="1" applyFont="1" applyFill="1" applyBorder="1" applyAlignment="1">
      <alignment horizontal="right"/>
      <protection/>
    </xf>
    <xf numFmtId="3" fontId="22" fillId="0" borderId="0" xfId="23" applyFont="1" applyFill="1" applyBorder="1" applyAlignment="1">
      <alignment horizontal="right"/>
      <protection/>
    </xf>
    <xf numFmtId="3" fontId="22" fillId="0" borderId="0" xfId="27" applyNumberFormat="1" applyFont="1" applyFill="1" applyBorder="1" applyAlignment="1">
      <alignment horizontal="right"/>
      <protection/>
    </xf>
    <xf numFmtId="0" fontId="22" fillId="0" borderId="0" xfId="37" applyFont="1" applyFill="1" applyBorder="1" applyAlignment="1">
      <alignment horizontal="left"/>
      <protection/>
    </xf>
    <xf numFmtId="3" fontId="22" fillId="0" borderId="0" xfId="0" applyNumberFormat="1" applyFont="1" applyFill="1" applyAlignment="1">
      <alignment/>
    </xf>
    <xf numFmtId="0" fontId="22" fillId="0" borderId="0" xfId="39" applyFont="1" applyFill="1" applyBorder="1" applyAlignment="1">
      <alignment horizontal="left"/>
      <protection/>
    </xf>
    <xf numFmtId="3" fontId="22" fillId="0" borderId="0" xfId="0" applyNumberFormat="1" applyFont="1" applyFill="1" applyBorder="1" applyAlignment="1">
      <alignment/>
    </xf>
    <xf numFmtId="0" fontId="22" fillId="0" borderId="0" xfId="0" applyFont="1" applyFill="1" applyBorder="1" applyAlignment="1">
      <alignment/>
    </xf>
    <xf numFmtId="0" fontId="22" fillId="0" borderId="6" xfId="39" applyFont="1" applyFill="1" applyBorder="1" applyAlignment="1">
      <alignment horizontal="left"/>
      <protection/>
    </xf>
    <xf numFmtId="3" fontId="22" fillId="0" borderId="6" xfId="23" applyNumberFormat="1" applyFont="1" applyFill="1" applyBorder="1" applyAlignment="1">
      <alignment horizontal="right"/>
      <protection/>
    </xf>
    <xf numFmtId="3" fontId="22" fillId="0" borderId="6" xfId="51" applyNumberFormat="1" applyFont="1" applyFill="1" applyBorder="1" applyAlignment="1">
      <alignment horizontal="right"/>
      <protection/>
    </xf>
    <xf numFmtId="3" fontId="22" fillId="0" borderId="6" xfId="0" applyNumberFormat="1" applyFont="1" applyFill="1" applyBorder="1" applyAlignment="1">
      <alignment/>
    </xf>
    <xf numFmtId="3" fontId="22" fillId="0" borderId="0" xfId="0" applyNumberFormat="1" applyFont="1" applyFill="1" applyBorder="1" applyAlignment="1">
      <alignment/>
    </xf>
    <xf numFmtId="0" fontId="25" fillId="0" borderId="0" xfId="49" applyFont="1" applyFill="1" applyAlignment="1">
      <alignment horizontal="left"/>
      <protection/>
    </xf>
    <xf numFmtId="0" fontId="18" fillId="0" borderId="0" xfId="49" applyFont="1" applyFill="1" applyAlignment="1">
      <alignment horizontal="left"/>
      <protection/>
    </xf>
    <xf numFmtId="0" fontId="26" fillId="0" borderId="0" xfId="39" applyFont="1" applyFill="1" applyBorder="1" applyAlignment="1">
      <alignment horizontal="left"/>
      <protection/>
    </xf>
    <xf numFmtId="3" fontId="26" fillId="0" borderId="0" xfId="23" applyNumberFormat="1" applyFont="1" applyFill="1" applyBorder="1" applyAlignment="1">
      <alignment horizontal="right"/>
      <protection/>
    </xf>
    <xf numFmtId="3" fontId="26" fillId="0" borderId="0" xfId="51" applyNumberFormat="1" applyFont="1" applyFill="1" applyBorder="1" applyAlignment="1">
      <alignment horizontal="right"/>
      <protection/>
    </xf>
    <xf numFmtId="0" fontId="27" fillId="0" borderId="0" xfId="49" applyFont="1" applyFill="1" applyBorder="1" applyAlignment="1">
      <alignment horizontal="left"/>
      <protection/>
    </xf>
    <xf numFmtId="0" fontId="27" fillId="0" borderId="0" xfId="0" applyFont="1" applyFill="1" applyAlignment="1">
      <alignment horizontal="left"/>
    </xf>
    <xf numFmtId="0" fontId="18" fillId="0" borderId="0" xfId="0" applyFont="1" applyFill="1" applyAlignment="1">
      <alignment horizontal="left"/>
    </xf>
    <xf numFmtId="0" fontId="27" fillId="0" borderId="0" xfId="49" applyFont="1" applyFill="1" applyAlignment="1">
      <alignment horizontal="left"/>
      <protection/>
    </xf>
    <xf numFmtId="0" fontId="25" fillId="0" borderId="0" xfId="0" applyFont="1" applyFill="1" applyAlignment="1">
      <alignment horizontal="left"/>
    </xf>
    <xf numFmtId="49" fontId="28" fillId="0" borderId="0" xfId="0" applyNumberFormat="1" applyFont="1" applyFill="1" applyAlignment="1">
      <alignment horizontal="left"/>
    </xf>
    <xf numFmtId="49" fontId="18" fillId="0" borderId="0" xfId="0" applyNumberFormat="1" applyFont="1" applyFill="1" applyAlignment="1">
      <alignment horizontal="left"/>
    </xf>
    <xf numFmtId="49" fontId="25" fillId="0" borderId="0" xfId="0" applyNumberFormat="1" applyFont="1" applyFill="1" applyAlignment="1">
      <alignment horizontal="left"/>
    </xf>
    <xf numFmtId="3" fontId="22" fillId="0" borderId="0" xfId="0" applyNumberFormat="1" applyFont="1" applyFill="1" applyBorder="1" applyAlignment="1">
      <alignment horizontal="right"/>
    </xf>
    <xf numFmtId="3" fontId="22" fillId="0" borderId="0" xfId="27" applyNumberFormat="1" applyFont="1" applyFill="1" applyBorder="1" applyAlignment="1">
      <alignment horizontal="right" vertical="top"/>
      <protection/>
    </xf>
    <xf numFmtId="0" fontId="22" fillId="0" borderId="0" xfId="37" applyFont="1" applyFill="1" applyBorder="1" applyAlignment="1">
      <alignment horizontal="left" indent="1"/>
      <protection/>
    </xf>
    <xf numFmtId="0" fontId="22" fillId="0" borderId="0" xfId="37" applyFont="1" applyFill="1" applyBorder="1" applyAlignment="1">
      <alignment horizontal="left" vertical="top" indent="1"/>
      <protection/>
    </xf>
    <xf numFmtId="0" fontId="21" fillId="0" borderId="3" xfId="40" applyFont="1" applyFill="1" applyBorder="1" applyAlignment="1">
      <alignment horizontal="center" wrapText="1"/>
      <protection/>
    </xf>
    <xf numFmtId="49" fontId="21" fillId="0" borderId="3" xfId="40" applyNumberFormat="1" applyFont="1" applyFill="1" applyBorder="1" applyAlignment="1">
      <alignment horizontal="center"/>
      <protection/>
    </xf>
    <xf numFmtId="49" fontId="21" fillId="0" borderId="7" xfId="40" applyNumberFormat="1" applyFont="1" applyFill="1" applyBorder="1" applyAlignment="1">
      <alignment horizontal="center"/>
      <protection/>
    </xf>
    <xf numFmtId="0" fontId="0" fillId="0" borderId="0" xfId="0" applyFont="1" applyFill="1" applyBorder="1" applyAlignment="1">
      <alignment horizontal="center"/>
    </xf>
    <xf numFmtId="0" fontId="0" fillId="0" borderId="0" xfId="0" applyFont="1" applyFill="1" applyAlignment="1">
      <alignment horizontal="center"/>
    </xf>
    <xf numFmtId="1" fontId="22" fillId="0" borderId="0" xfId="0" applyNumberFormat="1" applyFont="1" applyFill="1" applyAlignment="1">
      <alignment/>
    </xf>
    <xf numFmtId="1" fontId="22" fillId="0" borderId="0" xfId="0" applyNumberFormat="1" applyFont="1" applyFill="1" applyBorder="1" applyAlignment="1">
      <alignment/>
    </xf>
    <xf numFmtId="0" fontId="27" fillId="0" borderId="0" xfId="49" applyFont="1" applyFill="1" applyAlignment="1">
      <alignment horizontal="left" wrapText="1"/>
      <protection/>
    </xf>
    <xf numFmtId="171" fontId="22" fillId="0" borderId="0" xfId="23" applyNumberFormat="1" applyFont="1" applyFill="1" applyBorder="1" applyAlignment="1">
      <alignment horizontal="right"/>
      <protection/>
    </xf>
    <xf numFmtId="171" fontId="22" fillId="0" borderId="0" xfId="27" applyNumberFormat="1" applyFont="1" applyFill="1" applyBorder="1" applyAlignment="1">
      <alignment horizontal="right"/>
      <protection/>
    </xf>
    <xf numFmtId="171" fontId="22" fillId="0" borderId="0" xfId="27" applyNumberFormat="1" applyFont="1" applyFill="1" applyBorder="1" applyAlignment="1">
      <alignment horizontal="right" vertical="top"/>
      <protection/>
    </xf>
    <xf numFmtId="172" fontId="22" fillId="0" borderId="0" xfId="27" applyNumberFormat="1" applyFont="1" applyFill="1" applyBorder="1" applyAlignment="1">
      <alignment horizontal="right"/>
      <protection/>
    </xf>
    <xf numFmtId="3" fontId="22" fillId="0" borderId="6" xfId="0" applyNumberFormat="1" applyFont="1" applyFill="1" applyBorder="1" applyAlignment="1">
      <alignment horizontal="right"/>
    </xf>
    <xf numFmtId="171" fontId="22" fillId="0" borderId="6" xfId="0" applyNumberFormat="1" applyFont="1" applyFill="1" applyBorder="1" applyAlignment="1">
      <alignment horizontal="right"/>
    </xf>
    <xf numFmtId="49" fontId="28" fillId="0" borderId="0" xfId="0" applyNumberFormat="1" applyFont="1" applyFill="1" applyAlignment="1">
      <alignment horizontal="left" wrapText="1"/>
    </xf>
    <xf numFmtId="0" fontId="0" fillId="0" borderId="0" xfId="0" applyFont="1" applyFill="1" applyAlignment="1">
      <alignment horizontal="left" wrapText="1"/>
    </xf>
    <xf numFmtId="0" fontId="18" fillId="0" borderId="0" xfId="0" applyNumberFormat="1" applyFont="1" applyFill="1" applyAlignment="1">
      <alignment horizontal="left" wrapText="1"/>
    </xf>
    <xf numFmtId="49" fontId="18" fillId="0" borderId="0" xfId="0" applyNumberFormat="1" applyFont="1" applyFill="1" applyAlignment="1">
      <alignment horizontal="left" wrapText="1"/>
    </xf>
    <xf numFmtId="0" fontId="25" fillId="0" borderId="8" xfId="49" applyFont="1" applyFill="1" applyBorder="1" applyAlignment="1">
      <alignment horizontal="left" wrapText="1"/>
      <protection/>
    </xf>
    <xf numFmtId="0" fontId="0" fillId="0" borderId="8" xfId="0" applyFont="1" applyFill="1" applyBorder="1" applyAlignment="1">
      <alignment horizontal="left" wrapText="1"/>
    </xf>
    <xf numFmtId="0" fontId="27" fillId="0" borderId="0" xfId="49" applyFont="1" applyFill="1" applyBorder="1" applyAlignment="1">
      <alignment horizontal="left" wrapText="1"/>
      <protection/>
    </xf>
    <xf numFmtId="0" fontId="27"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1" fillId="0" borderId="6" xfId="63" applyFont="1" applyFill="1" applyBorder="1" applyAlignment="1">
      <alignment horizontal="left"/>
      <protection/>
    </xf>
    <xf numFmtId="0" fontId="0" fillId="0" borderId="6" xfId="0" applyFont="1" applyFill="1" applyBorder="1" applyAlignment="1">
      <alignment horizontal="left"/>
    </xf>
    <xf numFmtId="0" fontId="0" fillId="0" borderId="6" xfId="0" applyFill="1" applyBorder="1" applyAlignment="1">
      <alignment horizontal="left"/>
    </xf>
    <xf numFmtId="0" fontId="27" fillId="0" borderId="0" xfId="49" applyNumberFormat="1" applyFont="1" applyFill="1" applyAlignment="1">
      <alignment horizontal="left" wrapText="1"/>
      <protection/>
    </xf>
    <xf numFmtId="0" fontId="25" fillId="0" borderId="0" xfId="49" applyFont="1" applyFill="1" applyAlignment="1">
      <alignment horizontal="left" wrapText="1"/>
      <protection/>
    </xf>
    <xf numFmtId="49" fontId="25" fillId="0" borderId="0" xfId="0" applyNumberFormat="1" applyFont="1" applyFill="1" applyAlignment="1">
      <alignment horizontal="left" wrapText="1"/>
    </xf>
    <xf numFmtId="0" fontId="25" fillId="0" borderId="0" xfId="0" applyFont="1" applyFill="1" applyAlignment="1">
      <alignment horizontal="left" wrapText="1"/>
    </xf>
    <xf numFmtId="0" fontId="18" fillId="0" borderId="0" xfId="0" applyFont="1" applyFill="1" applyAlignment="1">
      <alignment horizontal="left" wrapText="1"/>
    </xf>
  </cellXfs>
  <cellStyles count="56">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_Regular" xfId="27"/>
    <cellStyle name="Data-one deci" xfId="28"/>
    <cellStyle name="Date" xfId="29"/>
    <cellStyle name="Fixed" xfId="30"/>
    <cellStyle name="Heading 1" xfId="31"/>
    <cellStyle name="Heading 2" xfId="32"/>
    <cellStyle name="Hed Side" xfId="33"/>
    <cellStyle name="Hed Side bold" xfId="34"/>
    <cellStyle name="Hed Side Indent" xfId="35"/>
    <cellStyle name="Hed Side Regular" xfId="36"/>
    <cellStyle name="Hed Side Regular_Regular" xfId="37"/>
    <cellStyle name="Hed Side_1-1A-Regular" xfId="38"/>
    <cellStyle name="Hed Side_Regular_1" xfId="39"/>
    <cellStyle name="Hed Top" xfId="40"/>
    <cellStyle name="Hed Top - SECTION" xfId="41"/>
    <cellStyle name="Hed Top_3-new4" xfId="42"/>
    <cellStyle name="Percent" xfId="43"/>
    <cellStyle name="Reference" xfId="44"/>
    <cellStyle name="Row heading" xfId="45"/>
    <cellStyle name="Source Hed" xfId="46"/>
    <cellStyle name="Source Letter" xfId="47"/>
    <cellStyle name="Source Superscript" xfId="48"/>
    <cellStyle name="Source Text" xfId="49"/>
    <cellStyle name="State" xfId="50"/>
    <cellStyle name="Superscript" xfId="51"/>
    <cellStyle name="Superscript- regular" xfId="52"/>
    <cellStyle name="Superscript_1-1A-Regular" xfId="53"/>
    <cellStyle name="Superscript_Regular_1" xfId="54"/>
    <cellStyle name="Table Data" xfId="55"/>
    <cellStyle name="Table Head Top" xfId="56"/>
    <cellStyle name="Table Hed Side" xfId="57"/>
    <cellStyle name="Table Title" xfId="58"/>
    <cellStyle name="Title Text" xfId="59"/>
    <cellStyle name="Title Text 1" xfId="60"/>
    <cellStyle name="Title Text 2" xfId="61"/>
    <cellStyle name="Title-1" xfId="62"/>
    <cellStyle name="Title-2" xfId="63"/>
    <cellStyle name="Title-3" xfId="64"/>
    <cellStyle name="Total" xfId="65"/>
    <cellStyle name="Wrap" xfId="66"/>
    <cellStyle name="Wrap Bold" xfId="67"/>
    <cellStyle name="Wrap Title" xfId="68"/>
    <cellStyle name="Wrap_NTS99-~1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73"/>
  <sheetViews>
    <sheetView tabSelected="1" zoomScaleSheetLayoutView="70" workbookViewId="0" topLeftCell="A1">
      <selection activeCell="A1" sqref="A1:T1"/>
    </sheetView>
  </sheetViews>
  <sheetFormatPr defaultColWidth="9.140625" defaultRowHeight="12.75"/>
  <cols>
    <col min="1" max="1" width="39.7109375" style="3" bestFit="1" customWidth="1"/>
    <col min="2" max="4" width="8.7109375" style="3" customWidth="1"/>
    <col min="5" max="5" width="8.7109375" style="18" customWidth="1"/>
    <col min="6" max="18" width="8.7109375" style="3" customWidth="1"/>
    <col min="19" max="19" width="9.28125" style="3" customWidth="1"/>
    <col min="20" max="20" width="8.7109375" style="3" customWidth="1"/>
    <col min="21" max="255" width="8.8515625" style="3" customWidth="1"/>
    <col min="256" max="16384" width="9.140625" style="3" customWidth="1"/>
  </cols>
  <sheetData>
    <row r="1" spans="1:30" ht="15.75" thickBot="1">
      <c r="A1" s="75" t="s">
        <v>27</v>
      </c>
      <c r="B1" s="76"/>
      <c r="C1" s="76"/>
      <c r="D1" s="76"/>
      <c r="E1" s="76"/>
      <c r="F1" s="77"/>
      <c r="G1" s="77"/>
      <c r="H1" s="77"/>
      <c r="I1" s="77"/>
      <c r="J1" s="77"/>
      <c r="K1" s="77"/>
      <c r="L1" s="77"/>
      <c r="M1" s="77"/>
      <c r="N1" s="77"/>
      <c r="O1" s="77"/>
      <c r="P1" s="77"/>
      <c r="Q1" s="77"/>
      <c r="R1" s="77"/>
      <c r="S1" s="77"/>
      <c r="T1" s="77"/>
      <c r="U1" s="1"/>
      <c r="V1" s="1"/>
      <c r="W1" s="2"/>
      <c r="X1" s="1"/>
      <c r="Y1" s="1"/>
      <c r="Z1" s="1"/>
      <c r="AA1" s="1"/>
      <c r="AB1" s="1"/>
      <c r="AC1" s="1"/>
      <c r="AD1" s="1"/>
    </row>
    <row r="2" spans="1:63" s="56" customFormat="1" ht="13.5">
      <c r="A2" s="52"/>
      <c r="B2" s="53" t="s">
        <v>52</v>
      </c>
      <c r="C2" s="53" t="s">
        <v>53</v>
      </c>
      <c r="D2" s="53" t="s">
        <v>54</v>
      </c>
      <c r="E2" s="53" t="s">
        <v>55</v>
      </c>
      <c r="F2" s="53" t="s">
        <v>56</v>
      </c>
      <c r="G2" s="53" t="s">
        <v>57</v>
      </c>
      <c r="H2" s="53" t="s">
        <v>58</v>
      </c>
      <c r="I2" s="53" t="s">
        <v>59</v>
      </c>
      <c r="J2" s="53" t="s">
        <v>60</v>
      </c>
      <c r="K2" s="53" t="s">
        <v>61</v>
      </c>
      <c r="L2" s="53" t="s">
        <v>62</v>
      </c>
      <c r="M2" s="53" t="s">
        <v>63</v>
      </c>
      <c r="N2" s="53" t="s">
        <v>64</v>
      </c>
      <c r="O2" s="53" t="s">
        <v>65</v>
      </c>
      <c r="P2" s="54" t="s">
        <v>66</v>
      </c>
      <c r="Q2" s="54" t="s">
        <v>67</v>
      </c>
      <c r="R2" s="54" t="s">
        <v>68</v>
      </c>
      <c r="S2" s="54" t="s">
        <v>69</v>
      </c>
      <c r="T2" s="54" t="s">
        <v>74</v>
      </c>
      <c r="U2" s="4"/>
      <c r="V2" s="4"/>
      <c r="W2" s="5"/>
      <c r="X2" s="4"/>
      <c r="Y2" s="4"/>
      <c r="Z2" s="4"/>
      <c r="AA2" s="4"/>
      <c r="AB2" s="4"/>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row>
    <row r="3" spans="1:63" ht="13.5">
      <c r="A3" s="20" t="s">
        <v>0</v>
      </c>
      <c r="B3" s="21"/>
      <c r="C3" s="21"/>
      <c r="D3" s="21"/>
      <c r="E3" s="21"/>
      <c r="F3" s="21"/>
      <c r="G3" s="21"/>
      <c r="H3" s="21"/>
      <c r="I3" s="22"/>
      <c r="J3" s="21"/>
      <c r="K3" s="21"/>
      <c r="L3" s="23"/>
      <c r="M3" s="23"/>
      <c r="N3" s="23"/>
      <c r="O3" s="23"/>
      <c r="P3" s="24"/>
      <c r="Q3" s="24"/>
      <c r="R3" s="6"/>
      <c r="S3" s="6"/>
      <c r="T3" s="6"/>
      <c r="U3" s="6"/>
      <c r="V3" s="6"/>
      <c r="W3" s="7"/>
      <c r="X3" s="6"/>
      <c r="Y3" s="6"/>
      <c r="Z3" s="8"/>
      <c r="AA3" s="8"/>
      <c r="AB3" s="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15.75">
      <c r="A4" s="25" t="s">
        <v>70</v>
      </c>
      <c r="B4" s="21"/>
      <c r="C4" s="21"/>
      <c r="D4" s="21"/>
      <c r="E4" s="21"/>
      <c r="F4" s="21"/>
      <c r="G4" s="21"/>
      <c r="H4" s="21"/>
      <c r="I4" s="22"/>
      <c r="J4" s="21"/>
      <c r="K4" s="21"/>
      <c r="L4" s="23"/>
      <c r="M4" s="23"/>
      <c r="N4" s="23"/>
      <c r="O4" s="23"/>
      <c r="P4" s="24"/>
      <c r="Q4" s="24"/>
      <c r="R4" s="6"/>
      <c r="S4" s="6"/>
      <c r="T4" s="6"/>
      <c r="U4" s="6"/>
      <c r="V4" s="6"/>
      <c r="W4" s="7"/>
      <c r="X4" s="6"/>
      <c r="Y4" s="6"/>
      <c r="Z4" s="8"/>
      <c r="AA4" s="8"/>
      <c r="AB4" s="8"/>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63" ht="13.5">
      <c r="A5" s="50" t="s">
        <v>43</v>
      </c>
      <c r="B5" s="21">
        <v>1954</v>
      </c>
      <c r="C5" s="21">
        <v>3889</v>
      </c>
      <c r="D5" s="21">
        <v>7857</v>
      </c>
      <c r="E5" s="21">
        <v>7558</v>
      </c>
      <c r="F5" s="21">
        <f>8519233124/10^6</f>
        <v>8519.233124</v>
      </c>
      <c r="G5" s="21">
        <f>10115007164/10^6</f>
        <v>10115.007164</v>
      </c>
      <c r="H5" s="60">
        <f>12323211661/10^6</f>
        <v>12323.211661</v>
      </c>
      <c r="I5" s="22">
        <f>11506477349/10^6</f>
        <v>11506.477349</v>
      </c>
      <c r="J5" s="21">
        <f>11762851530/10^6</f>
        <v>11762.85153</v>
      </c>
      <c r="K5" s="21">
        <f>11958662813/10^6</f>
        <v>11958.662813</v>
      </c>
      <c r="L5" s="60">
        <f>12384325825/10^6</f>
        <v>12384.325825</v>
      </c>
      <c r="M5" s="60">
        <f>12671541990/10^6</f>
        <v>12671.54199</v>
      </c>
      <c r="N5" s="60">
        <f>13217276114/10^6</f>
        <v>13217.276114</v>
      </c>
      <c r="O5" s="60">
        <f>13562837885/10^6</f>
        <v>13562.837885</v>
      </c>
      <c r="P5" s="61">
        <f>13335267666/10^6</f>
        <v>13335.267666</v>
      </c>
      <c r="Q5" s="24">
        <f>14402126792/10^6</f>
        <v>14402.126792</v>
      </c>
      <c r="R5" s="24">
        <f>14844591570/10^6</f>
        <v>14844.59157</v>
      </c>
      <c r="S5" s="24">
        <f>14017461188/10^6</f>
        <v>14017.461188</v>
      </c>
      <c r="T5" s="24">
        <f>12848329067/10^6</f>
        <v>12848.329067</v>
      </c>
      <c r="U5" s="6"/>
      <c r="V5" s="6"/>
      <c r="W5" s="7"/>
      <c r="X5" s="6"/>
      <c r="Y5" s="6"/>
      <c r="Z5" s="6"/>
      <c r="AA5" s="6"/>
      <c r="AB5" s="8"/>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8" s="1" customFormat="1" ht="15.75">
      <c r="A6" s="25" t="s">
        <v>71</v>
      </c>
      <c r="B6" s="21"/>
      <c r="C6" s="21"/>
      <c r="D6" s="21"/>
      <c r="E6" s="21"/>
      <c r="F6" s="21"/>
      <c r="G6" s="21"/>
      <c r="H6" s="21"/>
      <c r="I6" s="22"/>
      <c r="J6" s="21"/>
      <c r="K6" s="21"/>
      <c r="L6" s="23"/>
      <c r="M6" s="23"/>
      <c r="N6" s="23"/>
      <c r="O6" s="23"/>
      <c r="P6" s="24"/>
      <c r="Q6" s="24"/>
      <c r="R6" s="24"/>
      <c r="S6" s="6"/>
      <c r="T6" s="6"/>
      <c r="U6" s="6"/>
      <c r="V6" s="6"/>
      <c r="W6" s="7"/>
      <c r="X6" s="6"/>
      <c r="Y6" s="6"/>
      <c r="Z6" s="6"/>
      <c r="AA6" s="6"/>
      <c r="AB6" s="8"/>
    </row>
    <row r="7" spans="1:63" ht="13.5">
      <c r="A7" s="50" t="s">
        <v>44</v>
      </c>
      <c r="B7" s="21">
        <v>242</v>
      </c>
      <c r="C7" s="21">
        <v>292</v>
      </c>
      <c r="D7" s="21">
        <v>551</v>
      </c>
      <c r="E7" s="21">
        <v>412</v>
      </c>
      <c r="F7" s="21">
        <v>520</v>
      </c>
      <c r="G7" s="21">
        <v>421</v>
      </c>
      <c r="H7" s="21">
        <v>353</v>
      </c>
      <c r="I7" s="22">
        <v>354</v>
      </c>
      <c r="J7" s="21">
        <v>314</v>
      </c>
      <c r="K7" s="21">
        <v>268</v>
      </c>
      <c r="L7" s="23">
        <v>266</v>
      </c>
      <c r="M7" s="23">
        <v>287</v>
      </c>
      <c r="N7" s="23">
        <v>288.5</v>
      </c>
      <c r="O7" s="23">
        <v>292.2</v>
      </c>
      <c r="P7" s="24">
        <v>311.3</v>
      </c>
      <c r="Q7" s="24">
        <v>345.4</v>
      </c>
      <c r="R7" s="61">
        <v>332.7</v>
      </c>
      <c r="S7" s="62">
        <v>275.2</v>
      </c>
      <c r="T7" s="49">
        <v>277.9</v>
      </c>
      <c r="U7" s="6"/>
      <c r="V7" s="6"/>
      <c r="W7" s="7"/>
      <c r="X7" s="6"/>
      <c r="Y7" s="6"/>
      <c r="Z7" s="6"/>
      <c r="AA7" s="6"/>
      <c r="AB7" s="8"/>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3" ht="13.5">
      <c r="A8" s="50" t="s">
        <v>43</v>
      </c>
      <c r="B8" s="21" t="s">
        <v>1</v>
      </c>
      <c r="C8" s="21">
        <v>56</v>
      </c>
      <c r="D8" s="21">
        <v>208</v>
      </c>
      <c r="E8" s="21">
        <v>453</v>
      </c>
      <c r="F8" s="21">
        <v>766</v>
      </c>
      <c r="G8" s="21">
        <v>691</v>
      </c>
      <c r="H8" s="21">
        <v>663</v>
      </c>
      <c r="I8" s="22">
        <v>577</v>
      </c>
      <c r="J8" s="21">
        <v>494</v>
      </c>
      <c r="K8" s="21">
        <v>454</v>
      </c>
      <c r="L8" s="23">
        <v>464</v>
      </c>
      <c r="M8" s="23">
        <v>560</v>
      </c>
      <c r="N8" s="23">
        <v>607.7</v>
      </c>
      <c r="O8" s="23">
        <v>642</v>
      </c>
      <c r="P8" s="24">
        <v>814.7</v>
      </c>
      <c r="Q8" s="24">
        <v>967.3</v>
      </c>
      <c r="R8" s="61">
        <v>972</v>
      </c>
      <c r="S8" s="62">
        <v>952.8</v>
      </c>
      <c r="T8" s="49">
        <v>984.3</v>
      </c>
      <c r="U8" s="6"/>
      <c r="V8" s="6"/>
      <c r="W8" s="7"/>
      <c r="X8" s="6"/>
      <c r="Y8" s="6"/>
      <c r="Z8" s="6"/>
      <c r="AA8" s="6"/>
      <c r="AB8" s="8"/>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28" s="1" customFormat="1" ht="13.5">
      <c r="A9" s="20" t="s">
        <v>2</v>
      </c>
      <c r="B9" s="21"/>
      <c r="C9" s="21"/>
      <c r="D9" s="21"/>
      <c r="E9" s="21"/>
      <c r="F9" s="21"/>
      <c r="G9" s="21"/>
      <c r="H9" s="21"/>
      <c r="I9" s="22"/>
      <c r="J9" s="21"/>
      <c r="K9" s="21"/>
      <c r="L9" s="23"/>
      <c r="M9" s="23"/>
      <c r="N9" s="23"/>
      <c r="O9" s="23"/>
      <c r="P9" s="24"/>
      <c r="Q9" s="24"/>
      <c r="R9" s="24"/>
      <c r="S9" s="6"/>
      <c r="T9" s="6"/>
      <c r="U9" s="6"/>
      <c r="V9" s="6"/>
      <c r="W9" s="7"/>
      <c r="X9" s="6"/>
      <c r="Y9" s="6"/>
      <c r="Z9" s="6"/>
      <c r="AA9" s="6"/>
      <c r="AB9" s="8"/>
    </row>
    <row r="10" spans="1:28" s="1" customFormat="1" ht="13.5">
      <c r="A10" s="25" t="s">
        <v>3</v>
      </c>
      <c r="B10" s="21"/>
      <c r="C10" s="21"/>
      <c r="D10" s="21"/>
      <c r="E10" s="21"/>
      <c r="F10" s="21"/>
      <c r="G10" s="21"/>
      <c r="H10" s="21"/>
      <c r="I10" s="22"/>
      <c r="J10" s="21"/>
      <c r="K10" s="21"/>
      <c r="L10" s="23"/>
      <c r="M10" s="23"/>
      <c r="N10" s="23"/>
      <c r="O10" s="23"/>
      <c r="P10" s="24"/>
      <c r="Q10" s="24"/>
      <c r="R10" s="24"/>
      <c r="S10" s="6"/>
      <c r="T10" s="6"/>
      <c r="U10" s="6"/>
      <c r="V10" s="6"/>
      <c r="W10" s="7"/>
      <c r="X10" s="6"/>
      <c r="Y10" s="6"/>
      <c r="Z10" s="6"/>
      <c r="AA10" s="6"/>
      <c r="AB10" s="8"/>
    </row>
    <row r="11" spans="1:63" ht="13.5">
      <c r="A11" s="50" t="s">
        <v>45</v>
      </c>
      <c r="B11" s="21">
        <v>41171</v>
      </c>
      <c r="C11" s="21">
        <v>49723</v>
      </c>
      <c r="D11" s="21">
        <v>67879</v>
      </c>
      <c r="E11" s="21">
        <v>74253</v>
      </c>
      <c r="F11" s="21">
        <v>70186</v>
      </c>
      <c r="G11" s="21">
        <v>71700</v>
      </c>
      <c r="H11" s="21">
        <v>69759</v>
      </c>
      <c r="I11" s="22">
        <v>64501</v>
      </c>
      <c r="J11" s="21">
        <v>65627</v>
      </c>
      <c r="K11" s="21">
        <v>67246</v>
      </c>
      <c r="L11" s="23">
        <v>68079</v>
      </c>
      <c r="M11" s="26">
        <f>(68072435+196046)/1000</f>
        <v>68268.481</v>
      </c>
      <c r="N11" s="26">
        <f>(69221022+198400)/1000</f>
        <v>69419.422</v>
      </c>
      <c r="O11" s="24">
        <f>(69892366+201620)/1000</f>
        <v>70093.986</v>
      </c>
      <c r="P11" s="24">
        <v>71901</v>
      </c>
      <c r="Q11" s="24">
        <f>(73282927+211680)/1000</f>
        <v>73494.607</v>
      </c>
      <c r="R11" s="24">
        <f>(73065208+209380)/1000</f>
        <v>73274.588</v>
      </c>
      <c r="S11" s="61">
        <f>(73558790+192780)/1000</f>
        <v>73751.57</v>
      </c>
      <c r="T11" s="24">
        <f>(74948900+191060)/1000</f>
        <v>75139.96</v>
      </c>
      <c r="U11" s="6"/>
      <c r="V11" s="6"/>
      <c r="W11" s="7"/>
      <c r="X11" s="6"/>
      <c r="Y11" s="6"/>
      <c r="Z11" s="6"/>
      <c r="AA11" s="6"/>
      <c r="AB11" s="8"/>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ht="13.5">
      <c r="A12" s="50" t="s">
        <v>46</v>
      </c>
      <c r="B12" s="21" t="s">
        <v>1</v>
      </c>
      <c r="C12" s="21" t="s">
        <v>26</v>
      </c>
      <c r="D12" s="21">
        <v>12313</v>
      </c>
      <c r="E12" s="21">
        <v>19081</v>
      </c>
      <c r="F12" s="21">
        <v>23796</v>
      </c>
      <c r="G12" s="21">
        <v>27363</v>
      </c>
      <c r="H12" s="21">
        <v>35611</v>
      </c>
      <c r="I12" s="22">
        <v>38217</v>
      </c>
      <c r="J12" s="21">
        <v>40929</v>
      </c>
      <c r="K12" s="21">
        <v>42851</v>
      </c>
      <c r="L12" s="23">
        <v>44112</v>
      </c>
      <c r="M12" s="23">
        <f>45604504/1000</f>
        <v>45604.504</v>
      </c>
      <c r="N12" s="23">
        <f>47354029/1000</f>
        <v>47354.029</v>
      </c>
      <c r="O12" s="23">
        <f>49387705/1000</f>
        <v>49387.705</v>
      </c>
      <c r="P12" s="24">
        <v>50462</v>
      </c>
      <c r="Q12" s="24">
        <v>52859</v>
      </c>
      <c r="R12" s="24">
        <v>52938.805</v>
      </c>
      <c r="S12" s="61">
        <v>53521.781</v>
      </c>
      <c r="T12" s="24">
        <v>54840.925</v>
      </c>
      <c r="U12" s="6"/>
      <c r="V12" s="6"/>
      <c r="W12" s="7"/>
      <c r="X12" s="6"/>
      <c r="Y12" s="6"/>
      <c r="Z12" s="6"/>
      <c r="AA12" s="6"/>
      <c r="AB12" s="8"/>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63" ht="13.5">
      <c r="A13" s="50" t="s">
        <v>47</v>
      </c>
      <c r="B13" s="21" t="s">
        <v>1</v>
      </c>
      <c r="C13" s="21">
        <v>13848</v>
      </c>
      <c r="D13" s="21">
        <v>3968</v>
      </c>
      <c r="E13" s="21">
        <v>5420</v>
      </c>
      <c r="F13" s="21">
        <v>6923</v>
      </c>
      <c r="G13" s="21">
        <v>7399</v>
      </c>
      <c r="H13" s="21">
        <v>8357</v>
      </c>
      <c r="I13" s="22">
        <v>8172</v>
      </c>
      <c r="J13" s="21">
        <v>8237</v>
      </c>
      <c r="K13" s="21">
        <v>8488</v>
      </c>
      <c r="L13" s="23">
        <v>9032</v>
      </c>
      <c r="M13" s="23">
        <f>9216070/1000</f>
        <v>9216.07</v>
      </c>
      <c r="N13" s="23">
        <f>9408887/1000</f>
        <v>9408.887</v>
      </c>
      <c r="O13" s="23">
        <f>9576059/1000</f>
        <v>9576.059</v>
      </c>
      <c r="P13" s="24">
        <v>6817</v>
      </c>
      <c r="Q13" s="24">
        <f>9372071/1000</f>
        <v>9372.071</v>
      </c>
      <c r="R13" s="24">
        <f>9563044/1000</f>
        <v>9563.044</v>
      </c>
      <c r="S13" s="61">
        <f>9667248/1000</f>
        <v>9667.248</v>
      </c>
      <c r="T13" s="24">
        <f>10305396/1000</f>
        <v>10305.396</v>
      </c>
      <c r="U13" s="6"/>
      <c r="V13" s="6"/>
      <c r="W13" s="7"/>
      <c r="X13" s="6"/>
      <c r="Y13" s="6"/>
      <c r="Z13" s="6"/>
      <c r="AA13" s="6"/>
      <c r="AB13" s="8"/>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1:63" ht="13.5">
      <c r="A14" s="50" t="s">
        <v>48</v>
      </c>
      <c r="B14" s="21" t="s">
        <v>1</v>
      </c>
      <c r="C14" s="21">
        <v>6658</v>
      </c>
      <c r="D14" s="21">
        <v>7348</v>
      </c>
      <c r="E14" s="21">
        <v>9177</v>
      </c>
      <c r="F14" s="21">
        <v>13037</v>
      </c>
      <c r="G14" s="21">
        <v>14005</v>
      </c>
      <c r="H14" s="21">
        <v>16133</v>
      </c>
      <c r="I14" s="22">
        <v>16809</v>
      </c>
      <c r="J14" s="21">
        <v>17216</v>
      </c>
      <c r="K14" s="21">
        <v>17748</v>
      </c>
      <c r="L14" s="23">
        <v>18653</v>
      </c>
      <c r="M14" s="23">
        <f>19777180/1000</f>
        <v>19777.18</v>
      </c>
      <c r="N14" s="23">
        <f>20192513/1000</f>
        <v>20192.513</v>
      </c>
      <c r="O14" s="23">
        <f>20301693/1000</f>
        <v>20301.693</v>
      </c>
      <c r="P14" s="24">
        <v>25158</v>
      </c>
      <c r="Q14" s="24">
        <f>24537320/1000</f>
        <v>24537.32</v>
      </c>
      <c r="R14" s="24">
        <f>25665693/1000</f>
        <v>25665.693</v>
      </c>
      <c r="S14" s="61">
        <f>25511844/1000</f>
        <v>25511.844</v>
      </c>
      <c r="T14" s="24">
        <f>26450781/1000</f>
        <v>26450.781</v>
      </c>
      <c r="U14" s="6"/>
      <c r="V14" s="6"/>
      <c r="W14" s="7"/>
      <c r="X14" s="6"/>
      <c r="Y14" s="6"/>
      <c r="Z14" s="6"/>
      <c r="AA14" s="6"/>
      <c r="AB14" s="8"/>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28" s="1" customFormat="1" ht="13.5">
      <c r="A15" s="50" t="s">
        <v>49</v>
      </c>
      <c r="B15" s="21">
        <v>827</v>
      </c>
      <c r="C15" s="21">
        <v>875</v>
      </c>
      <c r="D15" s="21">
        <v>820</v>
      </c>
      <c r="E15" s="21">
        <v>1053</v>
      </c>
      <c r="F15" s="21">
        <v>1018</v>
      </c>
      <c r="G15" s="21">
        <v>834</v>
      </c>
      <c r="H15" s="21">
        <v>895</v>
      </c>
      <c r="I15" s="22">
        <v>864</v>
      </c>
      <c r="J15" s="21">
        <v>878</v>
      </c>
      <c r="K15" s="21">
        <v>929</v>
      </c>
      <c r="L15" s="21">
        <v>964</v>
      </c>
      <c r="M15" s="21">
        <f>967653/1000</f>
        <v>967.653</v>
      </c>
      <c r="N15" s="23">
        <f>989934/1000</f>
        <v>989.934</v>
      </c>
      <c r="O15" s="23">
        <f>1026578/1000</f>
        <v>1026.578</v>
      </c>
      <c r="P15" s="24">
        <v>1040</v>
      </c>
      <c r="Q15" s="24">
        <f>1148307/1000</f>
        <v>1148.307</v>
      </c>
      <c r="R15" s="24">
        <f>1112034/1000</f>
        <v>1112.034</v>
      </c>
      <c r="S15" s="61">
        <f>1025899/1000</f>
        <v>1025.899</v>
      </c>
      <c r="T15" s="24">
        <f>993125/1000</f>
        <v>993.125</v>
      </c>
      <c r="U15" s="6"/>
      <c r="V15" s="6"/>
      <c r="W15" s="7"/>
      <c r="X15" s="6"/>
      <c r="Y15" s="6"/>
      <c r="Z15" s="6"/>
      <c r="AA15" s="6"/>
      <c r="AB15" s="6"/>
    </row>
    <row r="16" spans="1:28" s="1" customFormat="1" ht="15.75">
      <c r="A16" s="20" t="s">
        <v>72</v>
      </c>
      <c r="B16" s="21"/>
      <c r="C16" s="21"/>
      <c r="D16" s="21"/>
      <c r="E16" s="21"/>
      <c r="F16" s="21"/>
      <c r="G16" s="21"/>
      <c r="H16" s="21"/>
      <c r="I16" s="22"/>
      <c r="J16" s="21"/>
      <c r="K16" s="21"/>
      <c r="L16" s="23"/>
      <c r="M16" s="23"/>
      <c r="N16" s="23"/>
      <c r="O16" s="23"/>
      <c r="P16" s="49"/>
      <c r="Q16" s="24"/>
      <c r="R16" s="24"/>
      <c r="S16" s="6"/>
      <c r="T16" s="6"/>
      <c r="U16" s="6"/>
      <c r="V16" s="6"/>
      <c r="W16" s="7"/>
      <c r="X16" s="6"/>
      <c r="Y16" s="6"/>
      <c r="Z16" s="6"/>
      <c r="AA16" s="6"/>
      <c r="AB16" s="8"/>
    </row>
    <row r="17" spans="1:63" ht="13.5">
      <c r="A17" s="25" t="s">
        <v>4</v>
      </c>
      <c r="B17" s="21">
        <v>2908</v>
      </c>
      <c r="C17" s="21">
        <v>2584</v>
      </c>
      <c r="D17" s="21">
        <v>2561</v>
      </c>
      <c r="E17" s="21">
        <v>2646</v>
      </c>
      <c r="F17" s="21">
        <v>2446</v>
      </c>
      <c r="G17" s="21">
        <v>4216</v>
      </c>
      <c r="H17" s="21">
        <v>4837</v>
      </c>
      <c r="I17" s="22">
        <v>4853</v>
      </c>
      <c r="J17" s="21">
        <v>4716</v>
      </c>
      <c r="K17" s="21">
        <v>4865</v>
      </c>
      <c r="L17" s="21">
        <v>5081</v>
      </c>
      <c r="M17" s="21">
        <v>5068</v>
      </c>
      <c r="N17" s="21">
        <v>5007</v>
      </c>
      <c r="O17" s="21">
        <v>4988</v>
      </c>
      <c r="P17" s="21">
        <v>5073</v>
      </c>
      <c r="Q17" s="21">
        <v>5237</v>
      </c>
      <c r="R17" s="21">
        <v>5510</v>
      </c>
      <c r="S17" s="24">
        <v>5610</v>
      </c>
      <c r="T17" s="63">
        <v>5649</v>
      </c>
      <c r="U17" s="6"/>
      <c r="V17" s="6"/>
      <c r="W17" s="7"/>
      <c r="X17" s="6"/>
      <c r="Y17" s="6"/>
      <c r="Z17" s="6"/>
      <c r="AA17" s="6"/>
      <c r="AB17" s="6"/>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ht="13.5">
      <c r="A18" s="25" t="s">
        <v>5</v>
      </c>
      <c r="B18" s="21"/>
      <c r="C18" s="21"/>
      <c r="D18" s="21"/>
      <c r="E18" s="21"/>
      <c r="F18" s="21"/>
      <c r="G18" s="21"/>
      <c r="H18" s="21"/>
      <c r="I18" s="22"/>
      <c r="J18" s="21"/>
      <c r="K18" s="21"/>
      <c r="L18" s="23"/>
      <c r="M18" s="23"/>
      <c r="N18" s="23"/>
      <c r="O18" s="23"/>
      <c r="P18" s="49"/>
      <c r="Q18" s="49"/>
      <c r="R18" s="24"/>
      <c r="S18" s="6"/>
      <c r="T18" s="6"/>
      <c r="U18" s="6"/>
      <c r="V18" s="6"/>
      <c r="W18" s="7"/>
      <c r="X18" s="6"/>
      <c r="Y18" s="6"/>
      <c r="Z18" s="6"/>
      <c r="AA18" s="6"/>
      <c r="AB18" s="6"/>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ht="13.5">
      <c r="A19" s="50" t="s">
        <v>50</v>
      </c>
      <c r="B19" s="21">
        <v>208</v>
      </c>
      <c r="C19" s="21">
        <v>248</v>
      </c>
      <c r="D19" s="21">
        <v>271</v>
      </c>
      <c r="E19" s="21">
        <v>365</v>
      </c>
      <c r="F19" s="21">
        <v>431</v>
      </c>
      <c r="G19" s="21">
        <f>608738/1000</f>
        <v>608.738</v>
      </c>
      <c r="H19" s="21">
        <f>651030/1000</f>
        <v>651.03</v>
      </c>
      <c r="I19" s="22">
        <f>665158/1000</f>
        <v>665.158</v>
      </c>
      <c r="J19" s="21">
        <f>684944/1000</f>
        <v>684.944</v>
      </c>
      <c r="K19" s="21">
        <f>678511/1000</f>
        <v>678.511</v>
      </c>
      <c r="L19" s="21">
        <f>678226/1000</f>
        <v>678.226</v>
      </c>
      <c r="M19" s="21">
        <f>678286/1000</f>
        <v>678.286</v>
      </c>
      <c r="N19" s="21">
        <f>692714/1000</f>
        <v>692.714</v>
      </c>
      <c r="O19" s="21">
        <f>716952/1000</f>
        <v>716.952</v>
      </c>
      <c r="P19" s="21">
        <f>739621/1000</f>
        <v>739.621</v>
      </c>
      <c r="Q19" s="21">
        <f>763369/1000</f>
        <v>763.369</v>
      </c>
      <c r="R19" s="57">
        <f>786025/1000</f>
        <v>786.025</v>
      </c>
      <c r="S19" s="49">
        <f>744663/1000</f>
        <v>744.663</v>
      </c>
      <c r="T19" s="63">
        <f>724535/1000</f>
        <v>724.535</v>
      </c>
      <c r="U19" s="6"/>
      <c r="V19" s="6"/>
      <c r="W19" s="7"/>
      <c r="X19" s="6"/>
      <c r="Y19" s="6"/>
      <c r="Z19" s="6"/>
      <c r="AA19" s="6"/>
      <c r="AB19" s="8"/>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row>
    <row r="20" spans="1:63" ht="15.75">
      <c r="A20" s="51" t="s">
        <v>73</v>
      </c>
      <c r="B20" s="21">
        <v>192</v>
      </c>
      <c r="C20" s="21">
        <v>124</v>
      </c>
      <c r="D20" s="21">
        <v>68</v>
      </c>
      <c r="E20" s="21">
        <v>8</v>
      </c>
      <c r="F20" s="21">
        <v>11</v>
      </c>
      <c r="G20" s="21">
        <v>46</v>
      </c>
      <c r="H20" s="21">
        <v>34</v>
      </c>
      <c r="I20" s="22">
        <v>34</v>
      </c>
      <c r="J20" s="22">
        <f>(38188-1009)/1000</f>
        <v>37.179</v>
      </c>
      <c r="K20" s="21">
        <f>(47251-1579)/1000</f>
        <v>45.672</v>
      </c>
      <c r="L20" s="21">
        <f>(64838-4835)/1000</f>
        <v>60.003</v>
      </c>
      <c r="M20" s="21">
        <f>(71407-10740)/1000</f>
        <v>60.667</v>
      </c>
      <c r="N20" s="21">
        <f>(76305-15092)/1000</f>
        <v>61.213</v>
      </c>
      <c r="O20" s="21">
        <f>(83369-23906)/1000</f>
        <v>59.463</v>
      </c>
      <c r="P20" s="21">
        <f>(89883-37268)/1000</f>
        <v>52.615</v>
      </c>
      <c r="Q20" s="21">
        <f>(93092-44398)/1000</f>
        <v>48.694</v>
      </c>
      <c r="R20" s="57">
        <f>(103078-54794)/1000</f>
        <v>48.284</v>
      </c>
      <c r="S20" s="49">
        <f>(112088-66215)/1000</f>
        <v>45.873</v>
      </c>
      <c r="T20" s="63">
        <f>(138175-81051)/1000</f>
        <v>57.124</v>
      </c>
      <c r="U20" s="6"/>
      <c r="V20" s="6"/>
      <c r="W20" s="7"/>
      <c r="X20" s="6"/>
      <c r="Y20" s="6"/>
      <c r="Z20" s="6"/>
      <c r="AA20" s="6"/>
      <c r="AB20" s="8"/>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28" s="1" customFormat="1" ht="13.5">
      <c r="A21" s="50" t="s">
        <v>51</v>
      </c>
      <c r="B21" s="21" t="s">
        <v>1</v>
      </c>
      <c r="C21" s="21" t="s">
        <v>1</v>
      </c>
      <c r="D21" s="21" t="s">
        <v>1</v>
      </c>
      <c r="E21" s="21" t="s">
        <v>1</v>
      </c>
      <c r="F21" s="21" t="s">
        <v>1</v>
      </c>
      <c r="G21" s="21" t="s">
        <v>1</v>
      </c>
      <c r="H21" s="21" t="s">
        <v>1</v>
      </c>
      <c r="I21" s="21" t="s">
        <v>1</v>
      </c>
      <c r="J21" s="21">
        <f>1009/1000</f>
        <v>1.009</v>
      </c>
      <c r="K21" s="21">
        <f>1579/1000</f>
        <v>1.579</v>
      </c>
      <c r="L21" s="21">
        <f>4835/1000</f>
        <v>4.835</v>
      </c>
      <c r="M21" s="21">
        <f>10740/1000</f>
        <v>10.74</v>
      </c>
      <c r="N21" s="21">
        <f>15092/1000</f>
        <v>15.092</v>
      </c>
      <c r="O21" s="21">
        <v>23.906</v>
      </c>
      <c r="P21" s="21">
        <f>37268/1000</f>
        <v>37.268</v>
      </c>
      <c r="Q21" s="21">
        <f>44398/1000</f>
        <v>44.398</v>
      </c>
      <c r="R21" s="58">
        <f>54794/1000</f>
        <v>54.794</v>
      </c>
      <c r="S21" s="49">
        <f>66215/1000</f>
        <v>66.215</v>
      </c>
      <c r="T21" s="63">
        <f>81051/1000</f>
        <v>81.051</v>
      </c>
      <c r="U21" s="6"/>
      <c r="V21" s="6"/>
      <c r="W21" s="7"/>
      <c r="X21" s="6"/>
      <c r="Y21" s="6"/>
      <c r="Z21" s="6"/>
      <c r="AA21" s="6"/>
      <c r="AB21" s="8"/>
    </row>
    <row r="22" spans="1:63" ht="13.5">
      <c r="A22" s="20" t="s">
        <v>25</v>
      </c>
      <c r="B22" s="23"/>
      <c r="C22" s="21"/>
      <c r="D22" s="21"/>
      <c r="E22" s="21"/>
      <c r="F22" s="21"/>
      <c r="G22" s="21"/>
      <c r="H22" s="21"/>
      <c r="I22" s="22"/>
      <c r="J22" s="21"/>
      <c r="K22" s="21"/>
      <c r="L22" s="23"/>
      <c r="M22" s="23"/>
      <c r="N22" s="23"/>
      <c r="O22" s="23"/>
      <c r="P22" s="24"/>
      <c r="Q22" s="24"/>
      <c r="R22" s="24"/>
      <c r="S22" s="6"/>
      <c r="T22" s="6"/>
      <c r="U22" s="6"/>
      <c r="V22" s="6"/>
      <c r="W22" s="7"/>
      <c r="X22" s="6"/>
      <c r="Y22" s="6"/>
      <c r="Z22" s="6"/>
      <c r="AA22" s="6"/>
      <c r="AB22" s="8"/>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ht="13.5">
      <c r="A23" s="27" t="s">
        <v>38</v>
      </c>
      <c r="B23" s="21">
        <v>3463</v>
      </c>
      <c r="C23" s="21">
        <v>3592</v>
      </c>
      <c r="D23" s="21">
        <v>3545</v>
      </c>
      <c r="E23" s="21">
        <v>3657</v>
      </c>
      <c r="F23" s="21">
        <v>3904</v>
      </c>
      <c r="G23" s="21">
        <v>3110</v>
      </c>
      <c r="H23" s="21">
        <v>3115</v>
      </c>
      <c r="I23" s="22">
        <v>2906</v>
      </c>
      <c r="J23" s="21">
        <v>3005</v>
      </c>
      <c r="K23" s="21">
        <v>3088</v>
      </c>
      <c r="L23" s="23">
        <v>3334</v>
      </c>
      <c r="M23" s="23">
        <v>3480</v>
      </c>
      <c r="N23" s="23">
        <v>3579</v>
      </c>
      <c r="O23" s="23">
        <v>3575</v>
      </c>
      <c r="P23" s="24">
        <v>3583</v>
      </c>
      <c r="Q23" s="24">
        <v>3715</v>
      </c>
      <c r="R23" s="24">
        <v>3700</v>
      </c>
      <c r="S23" s="24">
        <v>3710</v>
      </c>
      <c r="T23" s="24">
        <v>3730</v>
      </c>
      <c r="U23" s="6"/>
      <c r="V23" s="6"/>
      <c r="W23" s="7"/>
      <c r="X23" s="6"/>
      <c r="Y23" s="6"/>
      <c r="Z23" s="6"/>
      <c r="AA23" s="6"/>
      <c r="AB23" s="8"/>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row>
    <row r="24" spans="1:28" s="1" customFormat="1" ht="13.5">
      <c r="A24" s="20" t="s">
        <v>6</v>
      </c>
      <c r="B24" s="21"/>
      <c r="C24" s="21"/>
      <c r="D24" s="21"/>
      <c r="E24" s="21"/>
      <c r="F24" s="21"/>
      <c r="G24" s="21"/>
      <c r="H24" s="21"/>
      <c r="I24" s="22"/>
      <c r="J24" s="21"/>
      <c r="K24" s="21"/>
      <c r="L24" s="23"/>
      <c r="M24" s="23"/>
      <c r="N24" s="23"/>
      <c r="O24" s="23"/>
      <c r="P24" s="24"/>
      <c r="Q24" s="24"/>
      <c r="R24" s="24"/>
      <c r="S24" s="6"/>
      <c r="T24" s="6"/>
      <c r="U24" s="6"/>
      <c r="V24" s="6"/>
      <c r="W24" s="7"/>
      <c r="X24" s="6"/>
      <c r="Y24" s="6"/>
      <c r="Z24" s="6"/>
      <c r="AA24" s="6"/>
      <c r="AB24" s="8"/>
    </row>
    <row r="25" spans="1:28" s="1" customFormat="1" ht="13.5">
      <c r="A25" s="25" t="s">
        <v>7</v>
      </c>
      <c r="B25" s="21" t="s">
        <v>1</v>
      </c>
      <c r="C25" s="21" t="s">
        <v>1</v>
      </c>
      <c r="D25" s="21" t="s">
        <v>1</v>
      </c>
      <c r="E25" s="21">
        <v>180</v>
      </c>
      <c r="F25" s="21">
        <v>254</v>
      </c>
      <c r="G25" s="21">
        <v>295</v>
      </c>
      <c r="H25" s="21">
        <v>330</v>
      </c>
      <c r="I25" s="22" t="s">
        <v>8</v>
      </c>
      <c r="J25" s="21">
        <v>300</v>
      </c>
      <c r="K25" s="21">
        <v>301</v>
      </c>
      <c r="L25" s="23">
        <v>309</v>
      </c>
      <c r="M25" s="23">
        <v>304</v>
      </c>
      <c r="N25" s="23">
        <v>293</v>
      </c>
      <c r="O25" s="23">
        <v>282</v>
      </c>
      <c r="P25" s="24">
        <v>275</v>
      </c>
      <c r="Q25" s="24">
        <v>283</v>
      </c>
      <c r="R25" s="24">
        <v>350</v>
      </c>
      <c r="S25" s="24">
        <f>376609508.242/1000000</f>
        <v>376.609508242</v>
      </c>
      <c r="T25" s="24" t="s">
        <v>81</v>
      </c>
      <c r="U25" s="6"/>
      <c r="V25" s="6"/>
      <c r="W25" s="7"/>
      <c r="X25" s="6"/>
      <c r="Y25" s="6"/>
      <c r="Z25" s="6"/>
      <c r="AA25" s="6"/>
      <c r="AB25" s="8"/>
    </row>
    <row r="26" spans="1:63" ht="13.5">
      <c r="A26" s="25" t="s">
        <v>38</v>
      </c>
      <c r="B26" s="21" t="s">
        <v>1</v>
      </c>
      <c r="C26" s="21" t="s">
        <v>1</v>
      </c>
      <c r="D26" s="21" t="s">
        <v>1</v>
      </c>
      <c r="E26" s="21">
        <v>63</v>
      </c>
      <c r="F26" s="21">
        <v>64</v>
      </c>
      <c r="G26" s="21">
        <v>65</v>
      </c>
      <c r="H26" s="21">
        <v>82</v>
      </c>
      <c r="I26" s="22" t="s">
        <v>9</v>
      </c>
      <c r="J26" s="21">
        <v>82</v>
      </c>
      <c r="K26" s="21">
        <v>83</v>
      </c>
      <c r="L26" s="23">
        <v>75</v>
      </c>
      <c r="M26" s="23">
        <v>66</v>
      </c>
      <c r="N26" s="23">
        <v>71</v>
      </c>
      <c r="O26" s="23">
        <v>75</v>
      </c>
      <c r="P26" s="24">
        <v>75</v>
      </c>
      <c r="Q26" s="24">
        <v>74</v>
      </c>
      <c r="R26" s="24">
        <v>76</v>
      </c>
      <c r="S26" s="24">
        <f>74884667/1000000</f>
        <v>74.884667</v>
      </c>
      <c r="T26" s="24" t="s">
        <v>81</v>
      </c>
      <c r="U26" s="6"/>
      <c r="V26" s="6"/>
      <c r="W26" s="7"/>
      <c r="X26" s="6"/>
      <c r="Y26" s="6"/>
      <c r="Z26" s="6"/>
      <c r="AA26" s="6"/>
      <c r="AB26" s="9"/>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28" s="1" customFormat="1" ht="13.5">
      <c r="A27" s="20" t="s">
        <v>10</v>
      </c>
      <c r="B27" s="21"/>
      <c r="C27" s="21"/>
      <c r="D27" s="21"/>
      <c r="E27" s="21"/>
      <c r="F27" s="21"/>
      <c r="G27" s="21"/>
      <c r="H27" s="21"/>
      <c r="I27" s="22"/>
      <c r="J27" s="21"/>
      <c r="K27" s="21"/>
      <c r="L27" s="23"/>
      <c r="M27" s="23"/>
      <c r="N27" s="23"/>
      <c r="O27" s="23"/>
      <c r="P27" s="24"/>
      <c r="Q27" s="24"/>
      <c r="R27" s="24"/>
      <c r="S27" s="6"/>
      <c r="T27" s="6"/>
      <c r="U27" s="6"/>
      <c r="V27" s="6"/>
      <c r="W27" s="7"/>
      <c r="X27" s="6"/>
      <c r="Y27" s="6"/>
      <c r="Z27" s="6"/>
      <c r="AA27" s="6"/>
      <c r="AB27" s="8"/>
    </row>
    <row r="28" spans="1:25" s="1" customFormat="1" ht="13.5">
      <c r="A28" s="25" t="s">
        <v>11</v>
      </c>
      <c r="B28" s="21">
        <v>3952</v>
      </c>
      <c r="C28" s="21">
        <v>3093</v>
      </c>
      <c r="D28" s="21">
        <v>3774</v>
      </c>
      <c r="E28" s="21">
        <v>4060</v>
      </c>
      <c r="F28" s="21">
        <v>8952</v>
      </c>
      <c r="G28" s="21">
        <v>4590</v>
      </c>
      <c r="H28" s="21">
        <v>6326</v>
      </c>
      <c r="I28" s="22">
        <f>6773174/1000</f>
        <v>6773.174</v>
      </c>
      <c r="J28" s="21">
        <f>6563220/1000</f>
        <v>6563.22</v>
      </c>
      <c r="K28" s="21">
        <f>5281869/1000</f>
        <v>5281.869</v>
      </c>
      <c r="L28" s="23">
        <f>5386407/1000</f>
        <v>5386.407</v>
      </c>
      <c r="M28" s="23">
        <f>5886409/1000</f>
        <v>5886.409</v>
      </c>
      <c r="N28" s="23">
        <v>5701.233</v>
      </c>
      <c r="O28" s="23">
        <v>5010.059</v>
      </c>
      <c r="P28" s="24">
        <v>5620.417</v>
      </c>
      <c r="Q28" s="24">
        <v>5838.128</v>
      </c>
      <c r="R28" s="24">
        <v>6409.863</v>
      </c>
      <c r="S28" s="24">
        <v>5409.378</v>
      </c>
      <c r="T28" s="24">
        <v>4847.704</v>
      </c>
      <c r="U28" s="10"/>
      <c r="V28" s="10"/>
      <c r="W28" s="11"/>
      <c r="X28" s="10"/>
      <c r="Y28" s="10"/>
    </row>
    <row r="29" spans="1:63" ht="13.5">
      <c r="A29" s="25" t="s">
        <v>39</v>
      </c>
      <c r="B29" s="21">
        <v>787</v>
      </c>
      <c r="C29" s="21">
        <v>652</v>
      </c>
      <c r="D29" s="21">
        <v>819</v>
      </c>
      <c r="E29" s="21">
        <v>1098</v>
      </c>
      <c r="F29" s="21">
        <v>1478</v>
      </c>
      <c r="G29" s="21">
        <v>1699</v>
      </c>
      <c r="H29" s="21">
        <v>2065</v>
      </c>
      <c r="I29" s="22">
        <f>2046064/1000</f>
        <v>2046.064</v>
      </c>
      <c r="J29" s="21">
        <f>2218592/1000</f>
        <v>2218.592</v>
      </c>
      <c r="K29" s="21">
        <f>2154757/1000</f>
        <v>2154.757</v>
      </c>
      <c r="L29" s="23">
        <f>2189346/1000</f>
        <v>2189.346</v>
      </c>
      <c r="M29" s="23">
        <f>2339010/1000</f>
        <v>2339.01</v>
      </c>
      <c r="N29" s="23">
        <f>2490793/1000</f>
        <v>2490.793</v>
      </c>
      <c r="O29" s="23">
        <f>2573800/1000</f>
        <v>2573.8</v>
      </c>
      <c r="P29" s="24">
        <f>2595076/1000</f>
        <v>2595.076</v>
      </c>
      <c r="Q29" s="24">
        <f>2419336/1000</f>
        <v>2419.336</v>
      </c>
      <c r="R29" s="24">
        <v>2261.422</v>
      </c>
      <c r="S29" s="24">
        <v>2044.049</v>
      </c>
      <c r="T29" s="24">
        <v>2078.921</v>
      </c>
      <c r="U29" s="1"/>
      <c r="V29" s="1"/>
      <c r="W29" s="2"/>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63" ht="13.5">
      <c r="A30" s="25" t="s">
        <v>12</v>
      </c>
      <c r="B30" s="21" t="s">
        <v>1</v>
      </c>
      <c r="C30" s="21" t="s">
        <v>1</v>
      </c>
      <c r="D30" s="21">
        <v>598</v>
      </c>
      <c r="E30" s="21">
        <v>730</v>
      </c>
      <c r="F30" s="21">
        <v>1052</v>
      </c>
      <c r="G30" s="21">
        <v>1053</v>
      </c>
      <c r="H30" s="21">
        <v>1300</v>
      </c>
      <c r="I30" s="22">
        <v>1710</v>
      </c>
      <c r="J30" s="21">
        <f>1316170/1000</f>
        <v>1316.17</v>
      </c>
      <c r="K30" s="21">
        <f>873687/1000</f>
        <v>873.687</v>
      </c>
      <c r="L30" s="21">
        <f>875530/1000</f>
        <v>875.53</v>
      </c>
      <c r="M30" s="21">
        <f>1060394/1000</f>
        <v>1060.394</v>
      </c>
      <c r="N30" s="21">
        <f>993671/1000</f>
        <v>993.671</v>
      </c>
      <c r="O30" s="21">
        <f>987193/1000</f>
        <v>987.193</v>
      </c>
      <c r="P30" s="28">
        <f>956232/1000</f>
        <v>956.232</v>
      </c>
      <c r="Q30" s="28">
        <f>1098137/1000</f>
        <v>1098.137</v>
      </c>
      <c r="R30" s="48">
        <v>1124.269</v>
      </c>
      <c r="S30" s="24">
        <v>993.837</v>
      </c>
      <c r="T30" s="24">
        <v>1081.157</v>
      </c>
      <c r="U30" s="1"/>
      <c r="V30" s="1"/>
      <c r="W30" s="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row>
    <row r="31" spans="1:63" ht="13.5">
      <c r="A31" s="20" t="s">
        <v>13</v>
      </c>
      <c r="B31" s="21"/>
      <c r="C31" s="21"/>
      <c r="D31" s="21"/>
      <c r="E31" s="21"/>
      <c r="F31" s="21"/>
      <c r="G31" s="21"/>
      <c r="H31" s="21"/>
      <c r="I31" s="22"/>
      <c r="J31" s="21"/>
      <c r="K31" s="21"/>
      <c r="L31" s="23"/>
      <c r="M31" s="23"/>
      <c r="N31" s="23"/>
      <c r="O31" s="23"/>
      <c r="P31" s="29"/>
      <c r="Q31" s="29"/>
      <c r="R31" s="29"/>
      <c r="S31" s="12"/>
      <c r="T31" s="12"/>
      <c r="U31" s="12"/>
      <c r="V31" s="12"/>
      <c r="W31" s="12"/>
      <c r="X31" s="12"/>
      <c r="Y31" s="12"/>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row>
    <row r="32" spans="1:63" ht="14.25" thickBot="1">
      <c r="A32" s="30" t="s">
        <v>14</v>
      </c>
      <c r="B32" s="31">
        <v>347075</v>
      </c>
      <c r="C32" s="31">
        <v>500524</v>
      </c>
      <c r="D32" s="31">
        <v>722166</v>
      </c>
      <c r="E32" s="31">
        <v>582963</v>
      </c>
      <c r="F32" s="31">
        <v>634622</v>
      </c>
      <c r="G32" s="31">
        <v>503766</v>
      </c>
      <c r="H32" s="31">
        <v>659816</v>
      </c>
      <c r="I32" s="32">
        <v>601305</v>
      </c>
      <c r="J32" s="31">
        <v>587710</v>
      </c>
      <c r="K32" s="31">
        <v>624308</v>
      </c>
      <c r="L32" s="31">
        <v>685362</v>
      </c>
      <c r="M32" s="31">
        <v>700335</v>
      </c>
      <c r="N32" s="31">
        <v>711446</v>
      </c>
      <c r="O32" s="31">
        <v>751470</v>
      </c>
      <c r="P32" s="33">
        <v>635477</v>
      </c>
      <c r="Q32" s="33">
        <v>645319</v>
      </c>
      <c r="R32" s="64">
        <v>642210</v>
      </c>
      <c r="S32" s="65">
        <v>624964</v>
      </c>
      <c r="T32" s="64">
        <v>667027</v>
      </c>
      <c r="U32" s="1"/>
      <c r="V32" s="1"/>
      <c r="W32" s="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1:63" ht="13.5">
      <c r="A33" s="70" t="s">
        <v>83</v>
      </c>
      <c r="B33" s="71"/>
      <c r="C33" s="71"/>
      <c r="D33" s="71"/>
      <c r="E33" s="71"/>
      <c r="F33" s="71"/>
      <c r="G33" s="71"/>
      <c r="H33" s="71"/>
      <c r="I33" s="36"/>
      <c r="J33" s="36"/>
      <c r="K33" s="36"/>
      <c r="L33" s="36"/>
      <c r="M33" s="36"/>
      <c r="N33" s="36"/>
      <c r="O33" s="36"/>
      <c r="P33" s="34"/>
      <c r="Q33" s="34"/>
      <c r="R33" s="1"/>
      <c r="S33" s="1"/>
      <c r="T33" s="1"/>
      <c r="U33" s="1"/>
      <c r="V33" s="1"/>
      <c r="W33" s="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row>
    <row r="34" spans="1:63" ht="12" customHeight="1">
      <c r="A34" s="37"/>
      <c r="B34" s="38"/>
      <c r="C34" s="38"/>
      <c r="D34" s="38"/>
      <c r="E34" s="38"/>
      <c r="F34" s="38"/>
      <c r="G34" s="38"/>
      <c r="H34" s="38"/>
      <c r="I34" s="39"/>
      <c r="J34" s="38"/>
      <c r="K34" s="38"/>
      <c r="L34" s="38"/>
      <c r="M34" s="38"/>
      <c r="N34" s="38"/>
      <c r="O34" s="38"/>
      <c r="P34" s="34"/>
      <c r="Q34" s="34"/>
      <c r="R34" s="1"/>
      <c r="S34" s="1"/>
      <c r="T34" s="1"/>
      <c r="U34" s="1"/>
      <c r="V34" s="1"/>
      <c r="W34" s="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spans="1:63" ht="13.5">
      <c r="A35" s="72" t="s">
        <v>28</v>
      </c>
      <c r="B35" s="72"/>
      <c r="C35" s="72"/>
      <c r="D35" s="72"/>
      <c r="E35" s="72"/>
      <c r="F35" s="72"/>
      <c r="G35" s="72"/>
      <c r="H35" s="72"/>
      <c r="I35" s="40"/>
      <c r="J35" s="40"/>
      <c r="K35" s="40"/>
      <c r="L35" s="40"/>
      <c r="M35" s="40"/>
      <c r="N35" s="40"/>
      <c r="O35" s="40"/>
      <c r="P35" s="13"/>
      <c r="Q35" s="13"/>
      <c r="R35" s="13"/>
      <c r="S35" s="13"/>
      <c r="T35" s="13"/>
      <c r="U35" s="13"/>
      <c r="V35" s="13"/>
      <c r="W35" s="13"/>
      <c r="X35" s="13"/>
      <c r="Y35" s="14"/>
      <c r="Z35" s="13"/>
      <c r="AA35" s="14"/>
      <c r="AB35" s="14"/>
      <c r="AC35" s="13"/>
      <c r="AD35" s="13"/>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63" ht="37.5" customHeight="1">
      <c r="A36" s="73" t="s">
        <v>32</v>
      </c>
      <c r="B36" s="73"/>
      <c r="C36" s="73"/>
      <c r="D36" s="73"/>
      <c r="E36" s="74"/>
      <c r="F36" s="74"/>
      <c r="G36" s="74"/>
      <c r="H36" s="74"/>
      <c r="I36" s="41"/>
      <c r="J36" s="41"/>
      <c r="K36" s="41"/>
      <c r="L36" s="41"/>
      <c r="M36" s="41"/>
      <c r="N36" s="41"/>
      <c r="O36" s="41"/>
      <c r="P36" s="13"/>
      <c r="Q36" s="13"/>
      <c r="R36" s="13"/>
      <c r="S36" s="13"/>
      <c r="T36" s="13"/>
      <c r="U36" s="13"/>
      <c r="V36" s="13"/>
      <c r="W36" s="13"/>
      <c r="X36" s="13"/>
      <c r="Y36" s="14"/>
      <c r="Z36" s="13"/>
      <c r="AA36" s="14"/>
      <c r="AB36" s="14"/>
      <c r="AC36" s="13"/>
      <c r="AD36" s="13"/>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ht="12.75" customHeight="1">
      <c r="A37" s="78" t="s">
        <v>35</v>
      </c>
      <c r="B37" s="78"/>
      <c r="C37" s="78"/>
      <c r="D37" s="78"/>
      <c r="E37" s="67"/>
      <c r="F37" s="67"/>
      <c r="G37" s="67"/>
      <c r="H37" s="67"/>
      <c r="I37" s="42"/>
      <c r="J37" s="42"/>
      <c r="K37" s="42"/>
      <c r="L37" s="42"/>
      <c r="M37" s="42"/>
      <c r="N37" s="42"/>
      <c r="O37" s="42"/>
      <c r="P37" s="13"/>
      <c r="Q37" s="13"/>
      <c r="R37" s="13"/>
      <c r="S37" s="13"/>
      <c r="T37" s="13"/>
      <c r="U37" s="13"/>
      <c r="V37" s="13"/>
      <c r="W37" s="13"/>
      <c r="X37" s="13"/>
      <c r="Y37" s="14"/>
      <c r="Z37" s="13"/>
      <c r="AA37" s="14"/>
      <c r="AB37" s="14"/>
      <c r="AC37" s="13"/>
      <c r="AD37" s="13"/>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1:63" ht="13.5">
      <c r="A38" s="59" t="s">
        <v>34</v>
      </c>
      <c r="B38" s="59"/>
      <c r="C38" s="59"/>
      <c r="D38" s="59"/>
      <c r="E38" s="59"/>
      <c r="F38" s="59"/>
      <c r="G38" s="59"/>
      <c r="H38" s="59"/>
      <c r="I38" s="43"/>
      <c r="J38" s="43"/>
      <c r="K38" s="43"/>
      <c r="L38" s="43"/>
      <c r="M38" s="43"/>
      <c r="N38" s="43"/>
      <c r="O38" s="43"/>
      <c r="P38" s="13"/>
      <c r="Q38" s="13"/>
      <c r="R38" s="13"/>
      <c r="S38" s="13"/>
      <c r="T38" s="13"/>
      <c r="U38" s="13"/>
      <c r="V38" s="13"/>
      <c r="W38" s="13"/>
      <c r="X38" s="13"/>
      <c r="Y38" s="14"/>
      <c r="Z38" s="13"/>
      <c r="AA38" s="14"/>
      <c r="AB38" s="14"/>
      <c r="AC38" s="13"/>
      <c r="AD38" s="13"/>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1:63" s="17" customFormat="1" ht="12.75">
      <c r="A39" s="59" t="s">
        <v>29</v>
      </c>
      <c r="B39" s="67"/>
      <c r="C39" s="67"/>
      <c r="D39" s="67"/>
      <c r="E39" s="67"/>
      <c r="F39" s="67"/>
      <c r="G39" s="67"/>
      <c r="H39" s="67"/>
      <c r="I39" s="36"/>
      <c r="J39" s="36"/>
      <c r="K39" s="36"/>
      <c r="L39" s="36"/>
      <c r="M39" s="36"/>
      <c r="N39" s="36"/>
      <c r="O39" s="36"/>
      <c r="P39" s="13"/>
      <c r="Q39" s="13"/>
      <c r="R39" s="15"/>
      <c r="S39" s="15"/>
      <c r="T39" s="15"/>
      <c r="U39" s="15"/>
      <c r="V39" s="15"/>
      <c r="W39" s="16"/>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row>
    <row r="40" spans="1:63" s="17" customFormat="1" ht="14.25" customHeight="1">
      <c r="A40" s="42"/>
      <c r="B40" s="43"/>
      <c r="C40" s="43"/>
      <c r="D40" s="43"/>
      <c r="E40" s="43"/>
      <c r="F40" s="43"/>
      <c r="G40" s="43"/>
      <c r="H40" s="43"/>
      <c r="I40" s="43"/>
      <c r="J40" s="43"/>
      <c r="K40" s="43"/>
      <c r="L40" s="43"/>
      <c r="M40" s="43"/>
      <c r="N40" s="43"/>
      <c r="O40" s="43"/>
      <c r="P40" s="15"/>
      <c r="Q40" s="15"/>
      <c r="R40" s="15"/>
      <c r="S40" s="15"/>
      <c r="T40" s="15"/>
      <c r="U40" s="15"/>
      <c r="V40" s="15"/>
      <c r="W40" s="16"/>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row>
    <row r="41" spans="1:63" s="17" customFormat="1" ht="13.5">
      <c r="A41" s="79" t="s">
        <v>37</v>
      </c>
      <c r="B41" s="67"/>
      <c r="C41" s="67"/>
      <c r="D41" s="67"/>
      <c r="E41" s="67"/>
      <c r="F41" s="67"/>
      <c r="G41" s="67"/>
      <c r="H41" s="67"/>
      <c r="I41" s="43"/>
      <c r="J41" s="43"/>
      <c r="K41" s="43"/>
      <c r="L41" s="43"/>
      <c r="M41" s="43"/>
      <c r="N41" s="43"/>
      <c r="O41" s="43"/>
      <c r="P41" s="15"/>
      <c r="Q41" s="15"/>
      <c r="R41" s="15"/>
      <c r="S41" s="15"/>
      <c r="T41" s="15"/>
      <c r="U41" s="15"/>
      <c r="V41" s="15"/>
      <c r="W41" s="16"/>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row>
    <row r="42" spans="1:15" ht="12.75">
      <c r="A42" s="81" t="s">
        <v>15</v>
      </c>
      <c r="B42" s="67"/>
      <c r="C42" s="67"/>
      <c r="D42" s="67"/>
      <c r="E42" s="67"/>
      <c r="F42" s="67"/>
      <c r="G42" s="67"/>
      <c r="H42" s="67"/>
      <c r="I42" s="42"/>
      <c r="J42" s="42"/>
      <c r="K42" s="42"/>
      <c r="L42" s="42"/>
      <c r="M42" s="42"/>
      <c r="N42" s="42"/>
      <c r="O42" s="42"/>
    </row>
    <row r="43" spans="1:63" s="17" customFormat="1" ht="12" customHeight="1">
      <c r="A43" s="66" t="s">
        <v>16</v>
      </c>
      <c r="B43" s="67"/>
      <c r="C43" s="67"/>
      <c r="D43" s="67"/>
      <c r="E43" s="67"/>
      <c r="F43" s="67"/>
      <c r="G43" s="67"/>
      <c r="H43" s="67"/>
      <c r="I43" s="35"/>
      <c r="J43" s="35"/>
      <c r="K43" s="35"/>
      <c r="L43" s="35"/>
      <c r="M43" s="35"/>
      <c r="N43" s="35"/>
      <c r="O43" s="35"/>
      <c r="P43" s="15"/>
      <c r="Q43" s="15"/>
      <c r="R43" s="15"/>
      <c r="S43" s="15"/>
      <c r="T43" s="15"/>
      <c r="U43" s="15"/>
      <c r="V43" s="15"/>
      <c r="W43" s="16"/>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row>
    <row r="44" spans="1:15" ht="24" customHeight="1">
      <c r="A44" s="68" t="s">
        <v>80</v>
      </c>
      <c r="B44" s="68"/>
      <c r="C44" s="68"/>
      <c r="D44" s="68"/>
      <c r="E44" s="67"/>
      <c r="F44" s="67"/>
      <c r="G44" s="67"/>
      <c r="H44" s="67"/>
      <c r="I44" s="44"/>
      <c r="J44" s="44"/>
      <c r="K44" s="44"/>
      <c r="L44" s="44"/>
      <c r="M44" s="44"/>
      <c r="N44" s="44"/>
      <c r="O44" s="44"/>
    </row>
    <row r="45" spans="1:15" ht="12.75">
      <c r="A45" s="66" t="s">
        <v>17</v>
      </c>
      <c r="B45" s="66"/>
      <c r="C45" s="66"/>
      <c r="D45" s="66"/>
      <c r="E45" s="66"/>
      <c r="F45" s="66"/>
      <c r="G45" s="66"/>
      <c r="H45" s="66"/>
      <c r="I45" s="45"/>
      <c r="J45" s="45"/>
      <c r="K45" s="45"/>
      <c r="L45" s="45"/>
      <c r="M45" s="45"/>
      <c r="N45" s="45"/>
      <c r="O45" s="45"/>
    </row>
    <row r="46" spans="1:15" ht="22.5" customHeight="1">
      <c r="A46" s="69" t="s">
        <v>30</v>
      </c>
      <c r="B46" s="69"/>
      <c r="C46" s="69"/>
      <c r="D46" s="69"/>
      <c r="E46" s="69"/>
      <c r="F46" s="69"/>
      <c r="G46" s="69"/>
      <c r="H46" s="69"/>
      <c r="I46" s="46"/>
      <c r="J46" s="46"/>
      <c r="K46" s="46"/>
      <c r="L46" s="46"/>
      <c r="M46" s="46"/>
      <c r="N46" s="46"/>
      <c r="O46" s="46"/>
    </row>
    <row r="47" spans="1:15" ht="12.75">
      <c r="A47" s="69" t="s">
        <v>33</v>
      </c>
      <c r="B47" s="69"/>
      <c r="C47" s="69"/>
      <c r="D47" s="69"/>
      <c r="E47" s="69"/>
      <c r="F47" s="69"/>
      <c r="G47" s="69"/>
      <c r="H47" s="69"/>
      <c r="I47" s="69"/>
      <c r="J47" s="46"/>
      <c r="K47" s="46"/>
      <c r="L47" s="46"/>
      <c r="M47" s="46"/>
      <c r="N47" s="46"/>
      <c r="O47" s="46"/>
    </row>
    <row r="48" spans="1:15" ht="24" customHeight="1">
      <c r="A48" s="82" t="s">
        <v>84</v>
      </c>
      <c r="B48" s="82"/>
      <c r="C48" s="82"/>
      <c r="D48" s="82"/>
      <c r="E48" s="82"/>
      <c r="F48" s="82"/>
      <c r="G48" s="82"/>
      <c r="H48" s="82"/>
      <c r="I48" s="46"/>
      <c r="J48" s="46"/>
      <c r="K48" s="46"/>
      <c r="L48" s="46"/>
      <c r="M48" s="46"/>
      <c r="N48" s="46"/>
      <c r="O48" s="46"/>
    </row>
    <row r="49" spans="1:15" ht="12.75">
      <c r="A49" s="80" t="s">
        <v>18</v>
      </c>
      <c r="B49" s="67"/>
      <c r="C49" s="67"/>
      <c r="D49" s="67"/>
      <c r="E49" s="67"/>
      <c r="F49" s="67"/>
      <c r="G49" s="67"/>
      <c r="H49" s="67"/>
      <c r="I49" s="46"/>
      <c r="J49" s="46"/>
      <c r="K49" s="46"/>
      <c r="L49" s="46"/>
      <c r="M49" s="46"/>
      <c r="N49" s="46"/>
      <c r="O49" s="46"/>
    </row>
    <row r="50" spans="1:15" ht="36.75" customHeight="1">
      <c r="A50" s="68" t="s">
        <v>40</v>
      </c>
      <c r="B50" s="68"/>
      <c r="C50" s="68"/>
      <c r="D50" s="68"/>
      <c r="E50" s="67"/>
      <c r="F50" s="67"/>
      <c r="G50" s="67"/>
      <c r="H50" s="67"/>
      <c r="I50" s="42"/>
      <c r="J50" s="42"/>
      <c r="K50" s="42"/>
      <c r="L50" s="42"/>
      <c r="M50" s="42"/>
      <c r="N50" s="42"/>
      <c r="O50" s="42"/>
    </row>
    <row r="51" spans="1:15" ht="12.75">
      <c r="A51" s="69" t="s">
        <v>78</v>
      </c>
      <c r="B51" s="67"/>
      <c r="C51" s="67"/>
      <c r="D51" s="67"/>
      <c r="E51" s="67"/>
      <c r="F51" s="67"/>
      <c r="G51" s="67"/>
      <c r="H51" s="67"/>
      <c r="I51" s="42"/>
      <c r="J51" s="42"/>
      <c r="K51" s="42"/>
      <c r="L51" s="42"/>
      <c r="M51" s="42"/>
      <c r="N51" s="42"/>
      <c r="O51" s="42"/>
    </row>
    <row r="52" spans="1:15" ht="12.75">
      <c r="A52" s="80" t="s">
        <v>19</v>
      </c>
      <c r="B52" s="80"/>
      <c r="C52" s="80"/>
      <c r="D52" s="80"/>
      <c r="E52" s="80"/>
      <c r="F52" s="80"/>
      <c r="G52" s="80"/>
      <c r="H52" s="80"/>
      <c r="I52" s="47"/>
      <c r="J52" s="47"/>
      <c r="K52" s="47"/>
      <c r="L52" s="47"/>
      <c r="M52" s="47"/>
      <c r="N52" s="47"/>
      <c r="O52" s="47"/>
    </row>
    <row r="53" spans="1:15" ht="12.75">
      <c r="A53" s="66" t="s">
        <v>41</v>
      </c>
      <c r="B53" s="67"/>
      <c r="C53" s="67"/>
      <c r="D53" s="67"/>
      <c r="E53" s="67"/>
      <c r="F53" s="67"/>
      <c r="G53" s="67"/>
      <c r="H53" s="67"/>
      <c r="I53" s="46"/>
      <c r="J53" s="46"/>
      <c r="K53" s="46"/>
      <c r="L53" s="46"/>
      <c r="M53" s="46"/>
      <c r="N53" s="46"/>
      <c r="O53" s="46"/>
    </row>
    <row r="54" spans="1:15" ht="24" customHeight="1">
      <c r="A54" s="69" t="s">
        <v>77</v>
      </c>
      <c r="B54" s="69"/>
      <c r="C54" s="69"/>
      <c r="D54" s="69"/>
      <c r="E54" s="69"/>
      <c r="F54" s="69"/>
      <c r="G54" s="69"/>
      <c r="H54" s="69"/>
      <c r="I54" s="46"/>
      <c r="J54" s="46"/>
      <c r="K54" s="46"/>
      <c r="L54" s="46"/>
      <c r="M54" s="46"/>
      <c r="N54" s="46"/>
      <c r="O54" s="46"/>
    </row>
    <row r="55" spans="1:15" ht="12.75">
      <c r="A55" s="80" t="s">
        <v>20</v>
      </c>
      <c r="B55" s="67"/>
      <c r="C55" s="67"/>
      <c r="D55" s="67"/>
      <c r="E55" s="67"/>
      <c r="F55" s="67"/>
      <c r="G55" s="67"/>
      <c r="H55" s="67"/>
      <c r="I55" s="46"/>
      <c r="J55" s="46"/>
      <c r="K55" s="46"/>
      <c r="L55" s="46"/>
      <c r="M55" s="46"/>
      <c r="N55" s="46"/>
      <c r="O55" s="46"/>
    </row>
    <row r="56" spans="1:15" ht="13.5" customHeight="1">
      <c r="A56" s="69" t="s">
        <v>79</v>
      </c>
      <c r="B56" s="67"/>
      <c r="C56" s="67"/>
      <c r="D56" s="67"/>
      <c r="E56" s="67"/>
      <c r="F56" s="67"/>
      <c r="G56" s="67"/>
      <c r="H56" s="67"/>
      <c r="I56" s="47"/>
      <c r="J56" s="47"/>
      <c r="K56" s="47"/>
      <c r="L56" s="47"/>
      <c r="M56" s="47"/>
      <c r="N56" s="47"/>
      <c r="O56" s="47"/>
    </row>
    <row r="57" spans="1:15" ht="12.75">
      <c r="A57" s="80" t="s">
        <v>21</v>
      </c>
      <c r="B57" s="67"/>
      <c r="C57" s="67"/>
      <c r="D57" s="67"/>
      <c r="E57" s="67"/>
      <c r="F57" s="67"/>
      <c r="G57" s="67"/>
      <c r="H57" s="67"/>
      <c r="I57" s="45"/>
      <c r="J57" s="45"/>
      <c r="K57" s="45"/>
      <c r="L57" s="45"/>
      <c r="M57" s="45"/>
      <c r="N57" s="45"/>
      <c r="O57" s="45"/>
    </row>
    <row r="58" spans="1:15" ht="12.75">
      <c r="A58" s="69" t="s">
        <v>36</v>
      </c>
      <c r="B58" s="69"/>
      <c r="C58" s="69"/>
      <c r="D58" s="69"/>
      <c r="E58" s="69"/>
      <c r="F58" s="69"/>
      <c r="G58" s="69"/>
      <c r="H58" s="69"/>
      <c r="I58" s="46"/>
      <c r="J58" s="46"/>
      <c r="K58" s="46"/>
      <c r="L58" s="46"/>
      <c r="M58" s="46"/>
      <c r="N58" s="46"/>
      <c r="O58" s="46"/>
    </row>
    <row r="59" spans="1:15" ht="12.75">
      <c r="A59" s="80" t="s">
        <v>22</v>
      </c>
      <c r="B59" s="80"/>
      <c r="C59" s="80"/>
      <c r="D59" s="80"/>
      <c r="E59" s="80"/>
      <c r="F59" s="80"/>
      <c r="G59" s="80"/>
      <c r="H59" s="80"/>
      <c r="I59" s="47"/>
      <c r="J59" s="47"/>
      <c r="K59" s="47"/>
      <c r="L59" s="47"/>
      <c r="M59" s="47"/>
      <c r="N59" s="47"/>
      <c r="O59" s="47"/>
    </row>
    <row r="60" spans="1:15" ht="12.75">
      <c r="A60" s="66" t="s">
        <v>42</v>
      </c>
      <c r="B60" s="67"/>
      <c r="C60" s="67"/>
      <c r="D60" s="67"/>
      <c r="E60" s="67"/>
      <c r="F60" s="67"/>
      <c r="G60" s="67"/>
      <c r="H60" s="67"/>
      <c r="I60" s="46"/>
      <c r="J60" s="46"/>
      <c r="K60" s="46"/>
      <c r="L60" s="46"/>
      <c r="M60" s="46"/>
      <c r="N60" s="46"/>
      <c r="O60" s="46"/>
    </row>
    <row r="61" spans="1:15" ht="12.75" customHeight="1">
      <c r="A61" s="69" t="s">
        <v>31</v>
      </c>
      <c r="B61" s="67"/>
      <c r="C61" s="67"/>
      <c r="D61" s="67"/>
      <c r="E61" s="67"/>
      <c r="F61" s="67"/>
      <c r="G61" s="67"/>
      <c r="H61" s="67"/>
      <c r="I61" s="47"/>
      <c r="J61" s="47"/>
      <c r="K61" s="47"/>
      <c r="L61" s="47"/>
      <c r="M61" s="47"/>
      <c r="N61" s="47"/>
      <c r="O61" s="47"/>
    </row>
    <row r="62" spans="1:15" ht="24" customHeight="1">
      <c r="A62" s="68" t="s">
        <v>76</v>
      </c>
      <c r="B62" s="68"/>
      <c r="C62" s="68"/>
      <c r="D62" s="68"/>
      <c r="E62" s="67"/>
      <c r="F62" s="67"/>
      <c r="G62" s="67"/>
      <c r="H62" s="67"/>
      <c r="I62" s="46"/>
      <c r="J62" s="46"/>
      <c r="K62" s="46"/>
      <c r="L62" s="46"/>
      <c r="M62" s="46"/>
      <c r="N62" s="46"/>
      <c r="O62" s="46"/>
    </row>
    <row r="63" spans="1:15" ht="12.75">
      <c r="A63" s="66" t="s">
        <v>23</v>
      </c>
      <c r="B63" s="67"/>
      <c r="C63" s="67"/>
      <c r="D63" s="67"/>
      <c r="E63" s="67"/>
      <c r="F63" s="67"/>
      <c r="G63" s="67"/>
      <c r="H63" s="67"/>
      <c r="I63" s="47"/>
      <c r="J63" s="47"/>
      <c r="K63" s="47"/>
      <c r="L63" s="47"/>
      <c r="M63" s="47"/>
      <c r="N63" s="47"/>
      <c r="O63" s="47"/>
    </row>
    <row r="64" spans="1:15" ht="25.5" customHeight="1">
      <c r="A64" s="68" t="s">
        <v>82</v>
      </c>
      <c r="B64" s="68"/>
      <c r="C64" s="68"/>
      <c r="D64" s="68"/>
      <c r="E64" s="67"/>
      <c r="F64" s="67"/>
      <c r="G64" s="67"/>
      <c r="H64" s="67"/>
      <c r="I64" s="45"/>
      <c r="J64" s="45"/>
      <c r="K64" s="45"/>
      <c r="L64" s="45"/>
      <c r="M64" s="45"/>
      <c r="N64" s="45"/>
      <c r="O64" s="45"/>
    </row>
    <row r="65" spans="1:15" ht="12.75">
      <c r="A65" s="80" t="s">
        <v>24</v>
      </c>
      <c r="B65" s="67"/>
      <c r="C65" s="67"/>
      <c r="D65" s="67"/>
      <c r="E65" s="67"/>
      <c r="F65" s="67"/>
      <c r="G65" s="67"/>
      <c r="H65" s="67"/>
      <c r="I65" s="46"/>
      <c r="J65" s="46"/>
      <c r="K65" s="46"/>
      <c r="L65" s="46"/>
      <c r="M65" s="46"/>
      <c r="N65" s="46"/>
      <c r="O65" s="46"/>
    </row>
    <row r="66" spans="1:15" ht="25.5" customHeight="1">
      <c r="A66" s="69" t="s">
        <v>75</v>
      </c>
      <c r="B66" s="69"/>
      <c r="C66" s="69"/>
      <c r="D66" s="69"/>
      <c r="E66" s="69"/>
      <c r="F66" s="69"/>
      <c r="G66" s="69"/>
      <c r="H66" s="69"/>
      <c r="I66" s="46"/>
      <c r="J66" s="46"/>
      <c r="K66" s="46"/>
      <c r="L66" s="46"/>
      <c r="M66" s="46"/>
      <c r="N66" s="46"/>
      <c r="O66" s="46"/>
    </row>
    <row r="67" spans="1:15" ht="12.75">
      <c r="A67" s="19"/>
      <c r="B67" s="46"/>
      <c r="C67" s="46"/>
      <c r="D67" s="46"/>
      <c r="E67" s="46"/>
      <c r="F67" s="46"/>
      <c r="G67" s="46"/>
      <c r="H67" s="46"/>
      <c r="I67" s="46"/>
      <c r="J67" s="46"/>
      <c r="K67" s="46"/>
      <c r="L67" s="46"/>
      <c r="M67" s="46"/>
      <c r="N67" s="46"/>
      <c r="O67" s="46"/>
    </row>
    <row r="68" spans="2:15" ht="12.75">
      <c r="B68" s="45"/>
      <c r="C68" s="45"/>
      <c r="D68" s="45"/>
      <c r="E68" s="45"/>
      <c r="F68" s="45"/>
      <c r="G68" s="45"/>
      <c r="H68" s="45"/>
      <c r="I68" s="45"/>
      <c r="J68" s="45"/>
      <c r="K68" s="45"/>
      <c r="L68" s="45"/>
      <c r="M68" s="45"/>
      <c r="N68" s="45"/>
      <c r="O68" s="45"/>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7"/>
      <c r="C71" s="47"/>
      <c r="D71" s="47"/>
      <c r="E71" s="47"/>
      <c r="F71" s="47"/>
      <c r="G71" s="47"/>
      <c r="H71" s="47"/>
      <c r="I71" s="47"/>
      <c r="J71" s="47"/>
      <c r="K71" s="47"/>
      <c r="L71" s="47"/>
      <c r="M71" s="47"/>
      <c r="N71" s="47"/>
      <c r="O71" s="47"/>
    </row>
    <row r="72" spans="2:15" ht="12.75">
      <c r="B72" s="46"/>
      <c r="C72" s="46"/>
      <c r="D72" s="46"/>
      <c r="E72" s="46"/>
      <c r="F72" s="46"/>
      <c r="G72" s="46"/>
      <c r="H72" s="46"/>
      <c r="I72" s="46"/>
      <c r="J72" s="46"/>
      <c r="K72" s="46"/>
      <c r="L72" s="46"/>
      <c r="M72" s="46"/>
      <c r="N72" s="46"/>
      <c r="O72" s="46"/>
    </row>
    <row r="73" spans="2:15" ht="12.75">
      <c r="B73" s="19"/>
      <c r="C73" s="19"/>
      <c r="D73" s="19"/>
      <c r="E73" s="19"/>
      <c r="F73" s="19"/>
      <c r="G73" s="19"/>
      <c r="H73" s="19"/>
      <c r="I73" s="19"/>
      <c r="J73" s="19"/>
      <c r="K73" s="19"/>
      <c r="L73" s="19"/>
      <c r="M73" s="19"/>
      <c r="N73" s="19"/>
      <c r="O73" s="19"/>
    </row>
  </sheetData>
  <mergeCells count="33">
    <mergeCell ref="A48:H48"/>
    <mergeCell ref="A63:H63"/>
    <mergeCell ref="A64:H64"/>
    <mergeCell ref="A65:H65"/>
    <mergeCell ref="A55:H55"/>
    <mergeCell ref="A56:H56"/>
    <mergeCell ref="A57:H57"/>
    <mergeCell ref="A58:H58"/>
    <mergeCell ref="A51:H51"/>
    <mergeCell ref="A52:H52"/>
    <mergeCell ref="A66:H66"/>
    <mergeCell ref="A59:H59"/>
    <mergeCell ref="A60:H60"/>
    <mergeCell ref="A61:H61"/>
    <mergeCell ref="A62:H62"/>
    <mergeCell ref="A53:H53"/>
    <mergeCell ref="A54:H54"/>
    <mergeCell ref="A37:H37"/>
    <mergeCell ref="A38:H38"/>
    <mergeCell ref="A39:H39"/>
    <mergeCell ref="A41:H41"/>
    <mergeCell ref="A49:H49"/>
    <mergeCell ref="A50:H50"/>
    <mergeCell ref="A42:H42"/>
    <mergeCell ref="A47:I47"/>
    <mergeCell ref="A33:H33"/>
    <mergeCell ref="A35:H35"/>
    <mergeCell ref="A36:H36"/>
    <mergeCell ref="A1:T1"/>
    <mergeCell ref="A43:H43"/>
    <mergeCell ref="A44:H44"/>
    <mergeCell ref="A45:H45"/>
    <mergeCell ref="A46:H46"/>
  </mergeCells>
  <printOptions/>
  <pageMargins left="0.5" right="0.5" top="0.5" bottom="0.5" header="0.25" footer="0.25"/>
  <pageSetup fitToHeight="0" fitToWidth="1" orientation="landscape" scale="63" r:id="rId1"/>
  <rowBreaks count="2" manualBreakCount="2">
    <brk id="39" max="19" man="1"/>
    <brk id="6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USDOT/RSPA/Volpe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2004-09-17T18:37:55Z</cp:lastPrinted>
  <dcterms:created xsi:type="dcterms:W3CDTF">1999-07-27T00:49:59Z</dcterms:created>
  <dcterms:modified xsi:type="dcterms:W3CDTF">2004-09-30T19:30:17Z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593214257</vt:i4>
  </property>
  <property fmtid="{D5CDD505-2E9C-101B-9397-08002B2CF9AE}" pid="3" name="_EmailSubject">
    <vt:lpwstr>NTS table batch 9-17-04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-728851074</vt:i4>
  </property>
  <property fmtid="{D5CDD505-2E9C-101B-9397-08002B2CF9AE}" pid="7" name="_ReviewingToolsShownOnce">
    <vt:lpwstr/>
  </property>
</Properties>
</file>