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601" activeTab="0"/>
  </bookViews>
  <sheets>
    <sheet name="2-33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HTML_CodePage" hidden="1">1252</definedName>
    <definedName name="HTML_Control" hidden="1">{"'2-33'!$A$1:$T$91"}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tasks\nts2000\nts2000\HTML\Ch2_web\2-33.htm"</definedName>
    <definedName name="HTML_Title" hidden="1">"Table 2-33"</definedName>
    <definedName name="_xlnm.Print_Area" localSheetId="0">'2-33'!$A$1:$L$75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<sst xmlns="http://schemas.openxmlformats.org/spreadsheetml/2006/main" count="84" uniqueCount="42">
  <si>
    <t>Light rail</t>
  </si>
  <si>
    <t>Heavy rail</t>
  </si>
  <si>
    <t>Commuter rail</t>
  </si>
  <si>
    <t>Van pool</t>
  </si>
  <si>
    <t>Automated guideway</t>
  </si>
  <si>
    <t>Demand responsive</t>
  </si>
  <si>
    <t>Injuries:</t>
  </si>
  <si>
    <t>Fatalities:</t>
  </si>
  <si>
    <t>Incidents:</t>
  </si>
  <si>
    <r>
      <t>c</t>
    </r>
    <r>
      <rPr>
        <sz val="9"/>
        <rFont val="Arial"/>
        <family val="2"/>
      </rPr>
      <t xml:space="preserve"> Motor bus also includes trolley bus.</t>
    </r>
  </si>
  <si>
    <r>
      <t xml:space="preserve">KEY:  </t>
    </r>
    <r>
      <rPr>
        <sz val="9"/>
        <rFont val="Arial"/>
        <family val="2"/>
      </rPr>
      <t>R = revised.</t>
    </r>
  </si>
  <si>
    <r>
      <t xml:space="preserve">e  </t>
    </r>
    <r>
      <rPr>
        <sz val="9"/>
        <rFont val="Arial"/>
        <family val="2"/>
      </rPr>
      <t>Rates are based on total incidents including accidents and were calculated by dividing the number of fatalities, injuries, and incidents in this table by the number of unlinked passenger trips.</t>
    </r>
  </si>
  <si>
    <r>
      <t>d</t>
    </r>
    <r>
      <rPr>
        <sz val="9"/>
        <rFont val="Arial"/>
        <family val="2"/>
      </rPr>
      <t xml:space="preserve"> The number of unlinked passenger trips is equivalent to the number of passengers who board public transit vehicles.  Passengers are counted each time they board a vehicle regardless of how many vehicles are necessary for a passenger to get to their destination.</t>
    </r>
  </si>
  <si>
    <t xml:space="preserve">1990 </t>
  </si>
  <si>
    <t xml:space="preserve">1991 </t>
  </si>
  <si>
    <t>2000</t>
  </si>
  <si>
    <r>
      <t xml:space="preserve">Prior to the 2000 edition, </t>
    </r>
    <r>
      <rPr>
        <i/>
        <sz val="9"/>
        <rFont val="Arial"/>
        <family val="2"/>
      </rPr>
      <t xml:space="preserve">Transit Safety and Security Statistics and Analysis Report </t>
    </r>
    <r>
      <rPr>
        <sz val="9"/>
        <rFont val="Arial"/>
        <family val="2"/>
      </rPr>
      <t xml:space="preserve">was entitled </t>
    </r>
    <r>
      <rPr>
        <i/>
        <sz val="9"/>
        <rFont val="Arial"/>
        <family val="2"/>
      </rPr>
      <t>Safety Management Information Statistics</t>
    </r>
    <r>
      <rPr>
        <sz val="9"/>
        <rFont val="Arial"/>
        <family val="2"/>
      </rPr>
      <t xml:space="preserve"> (SAMIS) annual report.</t>
    </r>
  </si>
  <si>
    <r>
      <t xml:space="preserve">U.S. Department of Transportation, Federal Transit Administration, </t>
    </r>
    <r>
      <rPr>
        <i/>
        <sz val="9"/>
        <rFont val="Arial"/>
        <family val="2"/>
      </rPr>
      <t>2000 Transit Safety and Security Statistics and Analysis Report</t>
    </r>
    <r>
      <rPr>
        <sz val="9"/>
        <rFont val="Arial"/>
        <family val="2"/>
      </rPr>
      <t xml:space="preserve"> (Cambridge, MA: 2002). </t>
    </r>
  </si>
  <si>
    <t>SOURCE</t>
  </si>
  <si>
    <t>NOTES</t>
  </si>
  <si>
    <r>
      <t xml:space="preserve">Data are provided only for transit systems that furnished safety data for inclusion in the U.S. Department of Transportation, Federal Transit Administration </t>
    </r>
    <r>
      <rPr>
        <i/>
        <sz val="9"/>
        <rFont val="Arial"/>
        <family val="2"/>
      </rPr>
      <t>Transit Safety and Security Statistics and Analysis</t>
    </r>
    <r>
      <rPr>
        <sz val="9"/>
        <rFont val="Arial"/>
        <family val="2"/>
      </rPr>
      <t xml:space="preserve"> annual reports.  Data covers only direct-operated urban transit systems. Vehicle-miles for all transit systems including nonurban and purchased can be found in the vehicle-miles table in chapter 1.</t>
    </r>
  </si>
  <si>
    <t>Fatalities, total</t>
  </si>
  <si>
    <t>Injured persons, total</t>
  </si>
  <si>
    <t>All incidents, total</t>
  </si>
  <si>
    <t>All incidents, all modes</t>
  </si>
  <si>
    <t>Fatalities, all modes</t>
  </si>
  <si>
    <t>Injured persons, all modes</t>
  </si>
  <si>
    <r>
      <t>Table 2-33:  Transit Safety Data by Mode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for All Reported Incidents</t>
    </r>
    <r>
      <rPr>
        <b/>
        <vertAlign val="superscript"/>
        <sz val="12"/>
        <rFont val="Arial"/>
        <family val="2"/>
      </rPr>
      <t>b</t>
    </r>
  </si>
  <si>
    <t>1992</t>
  </si>
  <si>
    <t>1993</t>
  </si>
  <si>
    <t>1994</t>
  </si>
  <si>
    <t>1995</t>
  </si>
  <si>
    <t>1996</t>
  </si>
  <si>
    <t>1997</t>
  </si>
  <si>
    <t>1998</t>
  </si>
  <si>
    <t>1999</t>
  </si>
  <si>
    <r>
      <t xml:space="preserve">b </t>
    </r>
    <r>
      <rPr>
        <sz val="9"/>
        <rFont val="Arial"/>
        <family val="2"/>
      </rPr>
      <t>Incidents include accidents (collisions with vehicles, objects, people (except suicides), derailments/vehicles going off road), plus personal casualties, fires, and property damage associated with transit agency revenue vehicles and all transit facilities.</t>
    </r>
  </si>
  <si>
    <r>
      <t>Motor bus</t>
    </r>
    <r>
      <rPr>
        <vertAlign val="superscript"/>
        <sz val="11"/>
        <rFont val="Arial"/>
        <family val="2"/>
      </rPr>
      <t>c</t>
    </r>
  </si>
  <si>
    <r>
      <t>Unlinked passenger trips (millions)</t>
    </r>
    <r>
      <rPr>
        <b/>
        <vertAlign val="superscript"/>
        <sz val="11"/>
        <rFont val="Arial"/>
        <family val="2"/>
      </rPr>
      <t>d</t>
    </r>
    <r>
      <rPr>
        <b/>
        <sz val="11"/>
        <rFont val="Arial"/>
        <family val="2"/>
      </rPr>
      <t>, total</t>
    </r>
  </si>
  <si>
    <r>
      <t>Rates per 100 million unlinked passenger trips (millions)</t>
    </r>
    <r>
      <rPr>
        <b/>
        <vertAlign val="superscript"/>
        <sz val="11"/>
        <rFont val="Arial"/>
        <family val="2"/>
      </rPr>
      <t>e</t>
    </r>
  </si>
  <si>
    <r>
      <t>R</t>
    </r>
    <r>
      <rPr>
        <sz val="11"/>
        <rFont val="Arial"/>
        <family val="2"/>
      </rPr>
      <t>461</t>
    </r>
  </si>
  <si>
    <r>
      <t>R</t>
    </r>
    <r>
      <rPr>
        <sz val="11"/>
        <rFont val="Arial"/>
        <family val="2"/>
      </rPr>
      <t>1,366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</si>
</sst>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_)"/>
    <numFmt numFmtId="166" formatCode="#,##0.0"/>
    <numFmt numFmtId="167" formatCode="###0.00_)"/>
    <numFmt numFmtId="168" formatCode="0.0_W"/>
    <numFmt numFmtId="169" formatCode="#,##0.0_);\(#,##0.0\)"/>
    <numFmt numFmtId="170" formatCode="&quot;$&quot;#,##0\ ;\(&quot;$&quot;#,##0\)"/>
    <numFmt numFmtId="171" formatCode="#,##0.000000"/>
    <numFmt numFmtId="172" formatCode="0;[Red]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2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7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7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1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NumberFormat="1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left" wrapText="1"/>
    </xf>
    <xf numFmtId="0" fontId="20" fillId="0" borderId="0" xfId="0" applyNumberFormat="1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1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NumberFormat="1" applyFont="1" applyFill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3" fontId="23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 vertical="top"/>
    </xf>
    <xf numFmtId="0" fontId="23" fillId="0" borderId="6" xfId="0" applyFont="1" applyFill="1" applyBorder="1" applyAlignment="1">
      <alignment horizontal="left"/>
    </xf>
    <xf numFmtId="3" fontId="23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0" fillId="0" borderId="9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0" fillId="0" borderId="0" xfId="0" applyFont="1" applyFill="1" applyAlignment="1">
      <alignment horizontal="left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SheetLayoutView="100" workbookViewId="0" topLeftCell="A1">
      <selection activeCell="A1" sqref="A1:L1"/>
    </sheetView>
  </sheetViews>
  <sheetFormatPr defaultColWidth="9.140625" defaultRowHeight="12.75"/>
  <cols>
    <col min="1" max="1" width="33.00390625" style="1" customWidth="1"/>
    <col min="2" max="4" width="8.421875" style="1" bestFit="1" customWidth="1"/>
    <col min="5" max="5" width="8.421875" style="1" customWidth="1"/>
    <col min="6" max="7" width="8.421875" style="1" bestFit="1" customWidth="1"/>
    <col min="8" max="11" width="7.28125" style="1" bestFit="1" customWidth="1"/>
    <col min="12" max="12" width="7.28125" style="3" bestFit="1" customWidth="1"/>
    <col min="13" max="16384" width="9.140625" style="1" customWidth="1"/>
  </cols>
  <sheetData>
    <row r="1" spans="1:12" ht="19.5" thickBot="1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2" customFormat="1" ht="15">
      <c r="A2" s="31"/>
      <c r="B2" s="31" t="s">
        <v>13</v>
      </c>
      <c r="C2" s="31" t="s">
        <v>14</v>
      </c>
      <c r="D2" s="31" t="s">
        <v>28</v>
      </c>
      <c r="E2" s="31" t="s">
        <v>29</v>
      </c>
      <c r="F2" s="31" t="s">
        <v>30</v>
      </c>
      <c r="G2" s="31" t="s">
        <v>31</v>
      </c>
      <c r="H2" s="31" t="s">
        <v>32</v>
      </c>
      <c r="I2" s="31" t="s">
        <v>33</v>
      </c>
      <c r="J2" s="31" t="s">
        <v>34</v>
      </c>
      <c r="K2" s="31" t="s">
        <v>35</v>
      </c>
      <c r="L2" s="31" t="s">
        <v>15</v>
      </c>
    </row>
    <row r="3" spans="1:12" ht="15">
      <c r="A3" s="32" t="s">
        <v>21</v>
      </c>
      <c r="B3" s="33">
        <f>+SUM(B4:B10)</f>
        <v>339</v>
      </c>
      <c r="C3" s="33">
        <f>+SUM(C4:C10)</f>
        <v>300</v>
      </c>
      <c r="D3" s="33">
        <f>+SUM(D4:D10)</f>
        <v>273</v>
      </c>
      <c r="E3" s="33">
        <f>+SUM(E4:E10)</f>
        <v>281</v>
      </c>
      <c r="F3" s="33">
        <f>+SUM(F4:F10)</f>
        <v>320</v>
      </c>
      <c r="G3" s="33">
        <f>+SUM(G4:G10)</f>
        <v>274</v>
      </c>
      <c r="H3" s="33">
        <f>+SUM(H4:H10)</f>
        <v>264</v>
      </c>
      <c r="I3" s="33">
        <f>+SUM(I4:I10)</f>
        <v>275</v>
      </c>
      <c r="J3" s="33">
        <f>+SUM(J4:J10)</f>
        <v>286</v>
      </c>
      <c r="K3" s="33">
        <f>+SUM(K4:K10)</f>
        <v>299</v>
      </c>
      <c r="L3" s="33">
        <f>+SUM(L4:L10)</f>
        <v>295</v>
      </c>
    </row>
    <row r="4" spans="1:12" ht="16.5">
      <c r="A4" s="34" t="s">
        <v>37</v>
      </c>
      <c r="B4" s="35">
        <v>110</v>
      </c>
      <c r="C4" s="35">
        <v>88</v>
      </c>
      <c r="D4" s="35">
        <v>99</v>
      </c>
      <c r="E4" s="36">
        <f>47+30+6</f>
        <v>83</v>
      </c>
      <c r="F4" s="35">
        <f>45+50+13</f>
        <v>108</v>
      </c>
      <c r="G4" s="35">
        <v>82</v>
      </c>
      <c r="H4" s="35">
        <f>12+5+4+10+30+32+8</f>
        <v>101</v>
      </c>
      <c r="I4" s="35">
        <v>109</v>
      </c>
      <c r="J4" s="35">
        <v>109</v>
      </c>
      <c r="K4" s="35">
        <f>52+26+24</f>
        <v>102</v>
      </c>
      <c r="L4" s="35">
        <f>54+25+11</f>
        <v>90</v>
      </c>
    </row>
    <row r="5" spans="1:12" ht="14.25">
      <c r="A5" s="34" t="s">
        <v>0</v>
      </c>
      <c r="B5" s="35">
        <v>7</v>
      </c>
      <c r="C5" s="35">
        <v>13</v>
      </c>
      <c r="D5" s="35">
        <v>9</v>
      </c>
      <c r="E5" s="36">
        <v>15</v>
      </c>
      <c r="F5" s="35">
        <v>13</v>
      </c>
      <c r="G5" s="35">
        <v>15</v>
      </c>
      <c r="H5" s="35">
        <v>6</v>
      </c>
      <c r="I5" s="35">
        <v>3</v>
      </c>
      <c r="J5" s="35">
        <v>23</v>
      </c>
      <c r="K5" s="35">
        <v>17</v>
      </c>
      <c r="L5" s="35">
        <v>30</v>
      </c>
    </row>
    <row r="6" spans="1:12" ht="14.25">
      <c r="A6" s="34" t="s">
        <v>1</v>
      </c>
      <c r="B6" s="35">
        <v>117</v>
      </c>
      <c r="C6" s="35">
        <v>103</v>
      </c>
      <c r="D6" s="35">
        <v>91</v>
      </c>
      <c r="E6" s="36">
        <v>83</v>
      </c>
      <c r="F6" s="35">
        <v>85</v>
      </c>
      <c r="G6" s="35">
        <v>79</v>
      </c>
      <c r="H6" s="35">
        <v>74</v>
      </c>
      <c r="I6" s="35">
        <v>77</v>
      </c>
      <c r="J6" s="35">
        <v>54</v>
      </c>
      <c r="K6" s="35">
        <v>84</v>
      </c>
      <c r="L6" s="35">
        <v>80</v>
      </c>
    </row>
    <row r="7" spans="1:12" ht="14.25">
      <c r="A7" s="34" t="s">
        <v>2</v>
      </c>
      <c r="B7" s="35">
        <v>104</v>
      </c>
      <c r="C7" s="35">
        <v>93</v>
      </c>
      <c r="D7" s="35">
        <v>74</v>
      </c>
      <c r="E7" s="36">
        <v>98</v>
      </c>
      <c r="F7" s="35">
        <v>112</v>
      </c>
      <c r="G7" s="35">
        <v>92</v>
      </c>
      <c r="H7" s="35">
        <v>72</v>
      </c>
      <c r="I7" s="35">
        <v>79</v>
      </c>
      <c r="J7" s="35">
        <v>94</v>
      </c>
      <c r="K7" s="35">
        <v>95</v>
      </c>
      <c r="L7" s="35">
        <v>87</v>
      </c>
    </row>
    <row r="8" spans="1:12" ht="14.25">
      <c r="A8" s="34" t="s">
        <v>5</v>
      </c>
      <c r="B8" s="35">
        <v>0</v>
      </c>
      <c r="C8" s="35">
        <v>3</v>
      </c>
      <c r="D8" s="35">
        <v>0</v>
      </c>
      <c r="E8" s="36">
        <v>2</v>
      </c>
      <c r="F8" s="35">
        <v>2</v>
      </c>
      <c r="G8" s="35">
        <v>6</v>
      </c>
      <c r="H8" s="35">
        <v>11</v>
      </c>
      <c r="I8" s="35">
        <v>7</v>
      </c>
      <c r="J8" s="35">
        <v>4</v>
      </c>
      <c r="K8" s="35">
        <v>1</v>
      </c>
      <c r="L8" s="35">
        <v>8</v>
      </c>
    </row>
    <row r="9" spans="1:12" ht="14.25">
      <c r="A9" s="34" t="s">
        <v>3</v>
      </c>
      <c r="B9" s="35">
        <v>0</v>
      </c>
      <c r="C9" s="35">
        <v>0</v>
      </c>
      <c r="D9" s="35">
        <v>0</v>
      </c>
      <c r="E9" s="36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</row>
    <row r="10" spans="1:12" ht="14.25">
      <c r="A10" s="34" t="s">
        <v>4</v>
      </c>
      <c r="B10" s="35">
        <v>1</v>
      </c>
      <c r="C10" s="35">
        <v>0</v>
      </c>
      <c r="D10" s="35">
        <v>0</v>
      </c>
      <c r="E10" s="36">
        <v>0</v>
      </c>
      <c r="F10" s="35">
        <v>0</v>
      </c>
      <c r="G10" s="35">
        <v>0</v>
      </c>
      <c r="H10" s="35">
        <v>0</v>
      </c>
      <c r="I10" s="35">
        <v>0</v>
      </c>
      <c r="J10" s="35">
        <v>2</v>
      </c>
      <c r="K10" s="35">
        <v>0</v>
      </c>
      <c r="L10" s="35">
        <v>0</v>
      </c>
    </row>
    <row r="11" spans="1:12" s="2" customFormat="1" ht="15">
      <c r="A11" s="37" t="s">
        <v>22</v>
      </c>
      <c r="B11" s="33">
        <f>+SUM(B12:B18)</f>
        <v>54556</v>
      </c>
      <c r="C11" s="33">
        <f>+SUM(C12:C18)</f>
        <v>52125</v>
      </c>
      <c r="D11" s="33">
        <f>+SUM(D12:D18)</f>
        <v>55089</v>
      </c>
      <c r="E11" s="33">
        <f>+SUM(E12:E18)</f>
        <v>52668</v>
      </c>
      <c r="F11" s="33">
        <f>+SUM(F12:F18)</f>
        <v>58193</v>
      </c>
      <c r="G11" s="33">
        <f>+SUM(G12:G18)</f>
        <v>57196</v>
      </c>
      <c r="H11" s="33">
        <f>+SUM(H12:H18)</f>
        <v>55288</v>
      </c>
      <c r="I11" s="33">
        <f>+SUM(I12:I18)</f>
        <v>56132</v>
      </c>
      <c r="J11" s="33">
        <f>+SUM(J12:J18)</f>
        <v>55990</v>
      </c>
      <c r="K11" s="33">
        <f>SUM(K12:K18)</f>
        <v>55325</v>
      </c>
      <c r="L11" s="33">
        <f>SUM(L12:L18)</f>
        <v>56697</v>
      </c>
    </row>
    <row r="12" spans="1:12" ht="16.5">
      <c r="A12" s="34" t="s">
        <v>37</v>
      </c>
      <c r="B12" s="35">
        <v>40006</v>
      </c>
      <c r="C12" s="35">
        <v>38619</v>
      </c>
      <c r="D12" s="35">
        <v>40090</v>
      </c>
      <c r="E12" s="35">
        <v>38873</v>
      </c>
      <c r="F12" s="35">
        <v>42195</v>
      </c>
      <c r="G12" s="35">
        <f>25284+11756+4257</f>
        <v>41297</v>
      </c>
      <c r="H12" s="35">
        <f>16364+8896+3018+3670+1882+463+4077+1065+274</f>
        <v>39709</v>
      </c>
      <c r="I12" s="35">
        <f>25058+10882+3241</f>
        <v>39181</v>
      </c>
      <c r="J12" s="35">
        <f>26671+11255+3109</f>
        <v>41035</v>
      </c>
      <c r="K12" s="35">
        <f>26360+11527+3334</f>
        <v>41221</v>
      </c>
      <c r="L12" s="35">
        <f>29116+9004+2805</f>
        <v>40925</v>
      </c>
    </row>
    <row r="13" spans="1:12" ht="14.25">
      <c r="A13" s="34" t="s">
        <v>0</v>
      </c>
      <c r="B13" s="35">
        <v>1244</v>
      </c>
      <c r="C13" s="35">
        <v>1251</v>
      </c>
      <c r="D13" s="35">
        <v>1268</v>
      </c>
      <c r="E13" s="35">
        <v>982</v>
      </c>
      <c r="F13" s="35">
        <v>1181</v>
      </c>
      <c r="G13" s="35">
        <v>1319</v>
      </c>
      <c r="H13" s="35">
        <f>1294+197+113</f>
        <v>1604</v>
      </c>
      <c r="I13" s="35">
        <v>1087</v>
      </c>
      <c r="J13" s="35">
        <v>1076</v>
      </c>
      <c r="K13" s="35">
        <v>1271</v>
      </c>
      <c r="L13" s="35">
        <v>1338</v>
      </c>
    </row>
    <row r="14" spans="1:12" ht="14.25">
      <c r="A14" s="34" t="s">
        <v>1</v>
      </c>
      <c r="B14" s="35">
        <v>10036</v>
      </c>
      <c r="C14" s="35">
        <v>9285</v>
      </c>
      <c r="D14" s="35">
        <v>10446</v>
      </c>
      <c r="E14" s="35">
        <v>10532</v>
      </c>
      <c r="F14" s="35">
        <v>11673</v>
      </c>
      <c r="G14" s="35">
        <v>11238</v>
      </c>
      <c r="H14" s="35">
        <f>7566+3500+27</f>
        <v>11093</v>
      </c>
      <c r="I14" s="35">
        <v>12285</v>
      </c>
      <c r="J14" s="35">
        <v>11059</v>
      </c>
      <c r="K14" s="35">
        <v>9665</v>
      </c>
      <c r="L14" s="35">
        <v>10848</v>
      </c>
    </row>
    <row r="15" spans="1:12" ht="14.25">
      <c r="A15" s="34" t="s">
        <v>2</v>
      </c>
      <c r="B15" s="35">
        <v>2438</v>
      </c>
      <c r="C15" s="35">
        <v>2308</v>
      </c>
      <c r="D15" s="35">
        <v>2546</v>
      </c>
      <c r="E15" s="35">
        <v>1560</v>
      </c>
      <c r="F15" s="35">
        <v>2374</v>
      </c>
      <c r="G15" s="35">
        <v>2374</v>
      </c>
      <c r="H15" s="35">
        <f>858+969+126</f>
        <v>1953</v>
      </c>
      <c r="I15" s="35">
        <v>2388</v>
      </c>
      <c r="J15" s="35">
        <v>1677</v>
      </c>
      <c r="K15" s="35">
        <v>1761</v>
      </c>
      <c r="L15" s="35">
        <v>1783</v>
      </c>
    </row>
    <row r="16" spans="1:12" ht="14.25">
      <c r="A16" s="34" t="s">
        <v>5</v>
      </c>
      <c r="B16" s="35">
        <v>807</v>
      </c>
      <c r="C16" s="35">
        <v>622</v>
      </c>
      <c r="D16" s="35">
        <v>713</v>
      </c>
      <c r="E16" s="35">
        <v>652</v>
      </c>
      <c r="F16" s="35">
        <v>731</v>
      </c>
      <c r="G16" s="35">
        <v>935</v>
      </c>
      <c r="H16" s="35">
        <f>563+231+88</f>
        <v>882</v>
      </c>
      <c r="I16" s="35">
        <v>1121</v>
      </c>
      <c r="J16" s="35">
        <v>1064</v>
      </c>
      <c r="K16" s="35">
        <v>1345</v>
      </c>
      <c r="L16" s="35">
        <v>1736</v>
      </c>
    </row>
    <row r="17" spans="1:12" ht="14.25">
      <c r="A17" s="34" t="s">
        <v>3</v>
      </c>
      <c r="B17" s="35">
        <v>21</v>
      </c>
      <c r="C17" s="35">
        <v>40</v>
      </c>
      <c r="D17" s="35">
        <v>19</v>
      </c>
      <c r="E17" s="35">
        <v>59</v>
      </c>
      <c r="F17" s="35">
        <v>29</v>
      </c>
      <c r="G17" s="35">
        <v>25</v>
      </c>
      <c r="H17" s="35">
        <f>23+4</f>
        <v>27</v>
      </c>
      <c r="I17" s="35">
        <v>54</v>
      </c>
      <c r="J17" s="35">
        <v>67</v>
      </c>
      <c r="K17" s="35">
        <v>41</v>
      </c>
      <c r="L17" s="35">
        <v>52</v>
      </c>
    </row>
    <row r="18" spans="1:12" s="20" customFormat="1" ht="14.25">
      <c r="A18" s="34" t="s">
        <v>4</v>
      </c>
      <c r="B18" s="35">
        <v>4</v>
      </c>
      <c r="C18" s="35">
        <v>0</v>
      </c>
      <c r="D18" s="35">
        <v>7</v>
      </c>
      <c r="E18" s="35">
        <v>10</v>
      </c>
      <c r="F18" s="35">
        <v>10</v>
      </c>
      <c r="G18" s="35">
        <v>8</v>
      </c>
      <c r="H18" s="35">
        <v>20</v>
      </c>
      <c r="I18" s="35">
        <v>16</v>
      </c>
      <c r="J18" s="35">
        <v>12</v>
      </c>
      <c r="K18" s="35">
        <v>21</v>
      </c>
      <c r="L18" s="35">
        <v>15</v>
      </c>
    </row>
    <row r="19" spans="1:12" s="2" customFormat="1" ht="15">
      <c r="A19" s="37" t="s">
        <v>23</v>
      </c>
      <c r="B19" s="33">
        <f>+SUM(B20:B26)</f>
        <v>90163</v>
      </c>
      <c r="C19" s="33">
        <f>+SUM(C20:C26)</f>
        <v>83139</v>
      </c>
      <c r="D19" s="33">
        <f>+SUM(D20:D26)</f>
        <v>73831</v>
      </c>
      <c r="E19" s="33">
        <f>+SUM(E20:E26)</f>
        <v>64986</v>
      </c>
      <c r="F19" s="33">
        <f>+SUM(F20:F26)</f>
        <v>70693</v>
      </c>
      <c r="G19" s="33">
        <f>+SUM(G20:G26)</f>
        <v>62471</v>
      </c>
      <c r="H19" s="33">
        <f>+SUM(H20:H26)</f>
        <v>59392</v>
      </c>
      <c r="I19" s="33">
        <f>+SUM(I20:I26)</f>
        <v>61561</v>
      </c>
      <c r="J19" s="33">
        <f>+SUM(J20:J26)</f>
        <v>60094</v>
      </c>
      <c r="K19" s="33">
        <f>+SUM(K20:K26)</f>
        <v>58703</v>
      </c>
      <c r="L19" s="33">
        <f>+SUM(L20:L26)</f>
        <v>59898</v>
      </c>
    </row>
    <row r="20" spans="1:12" ht="16.5">
      <c r="A20" s="34" t="s">
        <v>37</v>
      </c>
      <c r="B20" s="35">
        <v>70437</v>
      </c>
      <c r="C20" s="35">
        <v>63453</v>
      </c>
      <c r="D20" s="35">
        <v>52482</v>
      </c>
      <c r="E20" s="35">
        <v>45580</v>
      </c>
      <c r="F20" s="36">
        <v>49185</v>
      </c>
      <c r="G20" s="36">
        <f>25599+13102+4079</f>
        <v>42780</v>
      </c>
      <c r="H20" s="35">
        <f>23060+13437+3959</f>
        <v>40456</v>
      </c>
      <c r="I20" s="35">
        <f>25833+11423+3268</f>
        <v>40524</v>
      </c>
      <c r="J20" s="35">
        <f>26677+11308+3631</f>
        <v>41616</v>
      </c>
      <c r="K20" s="35">
        <f>26299+10813+3982</f>
        <v>41094</v>
      </c>
      <c r="L20" s="35">
        <f>29179+9198+3300</f>
        <v>41677</v>
      </c>
    </row>
    <row r="21" spans="1:12" ht="14.25">
      <c r="A21" s="34" t="s">
        <v>0</v>
      </c>
      <c r="B21" s="35">
        <v>1465</v>
      </c>
      <c r="C21" s="35">
        <v>1543</v>
      </c>
      <c r="D21" s="35">
        <v>1492</v>
      </c>
      <c r="E21" s="35">
        <v>1136</v>
      </c>
      <c r="F21" s="36">
        <v>1413</v>
      </c>
      <c r="G21" s="36">
        <v>1276</v>
      </c>
      <c r="H21" s="35">
        <v>1350</v>
      </c>
      <c r="I21" s="35">
        <v>1173</v>
      </c>
      <c r="J21" s="35">
        <v>1121</v>
      </c>
      <c r="K21" s="35">
        <v>1182</v>
      </c>
      <c r="L21" s="35">
        <v>1319</v>
      </c>
    </row>
    <row r="22" spans="1:12" ht="14.25">
      <c r="A22" s="34" t="s">
        <v>1</v>
      </c>
      <c r="B22" s="35">
        <v>12178</v>
      </c>
      <c r="C22" s="35">
        <v>14102</v>
      </c>
      <c r="D22" s="35">
        <v>15512</v>
      </c>
      <c r="E22" s="35">
        <v>15082</v>
      </c>
      <c r="F22" s="36">
        <v>15869</v>
      </c>
      <c r="G22" s="36">
        <v>14327</v>
      </c>
      <c r="H22" s="35">
        <v>13748</v>
      </c>
      <c r="I22" s="35">
        <v>15151</v>
      </c>
      <c r="J22" s="35">
        <v>13516</v>
      </c>
      <c r="K22" s="35">
        <v>12196</v>
      </c>
      <c r="L22" s="35">
        <v>12782</v>
      </c>
    </row>
    <row r="23" spans="1:12" ht="14.25">
      <c r="A23" s="34" t="s">
        <v>2</v>
      </c>
      <c r="B23" s="35">
        <v>3031</v>
      </c>
      <c r="C23" s="35">
        <v>2716</v>
      </c>
      <c r="D23" s="35">
        <v>3160</v>
      </c>
      <c r="E23" s="35">
        <v>2111</v>
      </c>
      <c r="F23" s="36">
        <v>3115</v>
      </c>
      <c r="G23" s="36">
        <v>2847</v>
      </c>
      <c r="H23" s="35">
        <v>2449</v>
      </c>
      <c r="I23" s="35">
        <v>3078</v>
      </c>
      <c r="J23" s="35">
        <v>2410</v>
      </c>
      <c r="K23" s="35">
        <v>2499</v>
      </c>
      <c r="L23" s="35">
        <v>2072</v>
      </c>
    </row>
    <row r="24" spans="1:12" ht="14.25">
      <c r="A24" s="34" t="s">
        <v>5</v>
      </c>
      <c r="B24" s="35">
        <v>2965</v>
      </c>
      <c r="C24" s="35">
        <v>1241</v>
      </c>
      <c r="D24" s="35">
        <v>1137</v>
      </c>
      <c r="E24" s="35">
        <v>946</v>
      </c>
      <c r="F24" s="36">
        <v>1062</v>
      </c>
      <c r="G24" s="36">
        <v>1173</v>
      </c>
      <c r="H24" s="35">
        <v>1284</v>
      </c>
      <c r="I24" s="35">
        <v>1454</v>
      </c>
      <c r="J24" s="35">
        <v>1221</v>
      </c>
      <c r="K24" s="35">
        <v>1577</v>
      </c>
      <c r="L24" s="35">
        <v>1871</v>
      </c>
    </row>
    <row r="25" spans="1:12" ht="14.25">
      <c r="A25" s="34" t="s">
        <v>3</v>
      </c>
      <c r="B25" s="35">
        <v>84</v>
      </c>
      <c r="C25" s="35">
        <v>83</v>
      </c>
      <c r="D25" s="35">
        <v>40</v>
      </c>
      <c r="E25" s="35">
        <v>121</v>
      </c>
      <c r="F25" s="36">
        <v>39</v>
      </c>
      <c r="G25" s="36">
        <v>58</v>
      </c>
      <c r="H25" s="35">
        <v>80</v>
      </c>
      <c r="I25" s="35">
        <v>162</v>
      </c>
      <c r="J25" s="35">
        <v>194</v>
      </c>
      <c r="K25" s="35">
        <v>135</v>
      </c>
      <c r="L25" s="35">
        <v>160</v>
      </c>
    </row>
    <row r="26" spans="1:12" s="20" customFormat="1" ht="14.25">
      <c r="A26" s="34" t="s">
        <v>4</v>
      </c>
      <c r="B26" s="35">
        <v>3</v>
      </c>
      <c r="C26" s="35">
        <v>1</v>
      </c>
      <c r="D26" s="35">
        <v>8</v>
      </c>
      <c r="E26" s="35">
        <v>10</v>
      </c>
      <c r="F26" s="36">
        <v>10</v>
      </c>
      <c r="G26" s="36">
        <v>10</v>
      </c>
      <c r="H26" s="35">
        <v>25</v>
      </c>
      <c r="I26" s="35">
        <v>19</v>
      </c>
      <c r="J26" s="35">
        <v>16</v>
      </c>
      <c r="K26" s="35">
        <v>20</v>
      </c>
      <c r="L26" s="35">
        <v>17</v>
      </c>
    </row>
    <row r="27" spans="1:12" s="2" customFormat="1" ht="32.25" customHeight="1">
      <c r="A27" s="38" t="s">
        <v>38</v>
      </c>
      <c r="B27" s="33">
        <f>SUM(B28:B34)</f>
        <v>7645.731070999999</v>
      </c>
      <c r="C27" s="33">
        <f>SUM(C28:C34)</f>
        <v>7380.308119000001</v>
      </c>
      <c r="D27" s="33">
        <f>SUM(D28:D34)</f>
        <v>7317.717869</v>
      </c>
      <c r="E27" s="33">
        <f>SUM(E28:E34)</f>
        <v>7059.066904</v>
      </c>
      <c r="F27" s="33">
        <f>SUM(F28:F34)</f>
        <v>7334.865410000002</v>
      </c>
      <c r="G27" s="33">
        <f>SUM(G28:G34)</f>
        <v>7171.857169999999</v>
      </c>
      <c r="H27" s="33">
        <f>+SUM(H28:H34)</f>
        <v>7210.817303</v>
      </c>
      <c r="I27" s="33">
        <f>+SUM(I28:I34)</f>
        <v>7615.145885000001</v>
      </c>
      <c r="J27" s="33">
        <f>+SUM(J28:J34)</f>
        <v>7773.940276999999</v>
      </c>
      <c r="K27" s="33">
        <f>+SUM(K28:K34)</f>
        <v>8148.742609000001</v>
      </c>
      <c r="L27" s="33">
        <f>+SUM(L28:L34)</f>
        <v>8336.752887</v>
      </c>
    </row>
    <row r="28" spans="1:12" ht="16.5">
      <c r="A28" s="34" t="s">
        <v>37</v>
      </c>
      <c r="B28" s="35">
        <f>3029.861563+1371.209547+510.598687</f>
        <v>4911.669797</v>
      </c>
      <c r="C28" s="35">
        <f>2978.584127+1309.022201+492.859837</f>
        <v>4780.466165</v>
      </c>
      <c r="D28" s="35">
        <f>2915.883332+1334.447953+477.450141</f>
        <v>4727.7814260000005</v>
      </c>
      <c r="E28" s="35">
        <f>2792.806711+1318.147322+473.672717</f>
        <v>4584.62675</v>
      </c>
      <c r="F28" s="35">
        <f>2780.831677+1347.246825+439.024741</f>
        <v>4567.1032430000005</v>
      </c>
      <c r="G28" s="36">
        <f>2772.368139+1337.337941+428.959867</f>
        <v>4538.6659469999995</v>
      </c>
      <c r="H28" s="35">
        <f>2671.080391+1359.830038+433.100865</f>
        <v>4464.011294</v>
      </c>
      <c r="I28" s="35">
        <f>2840.893678+1289.610097+423.496953</f>
        <v>4554.000728</v>
      </c>
      <c r="J28" s="35">
        <f>2928.115946+1322.562433+460.949417</f>
        <v>4711.627796</v>
      </c>
      <c r="K28" s="35">
        <f>3130.028319+1319.065795+477.277374</f>
        <v>4926.371488</v>
      </c>
      <c r="L28" s="35">
        <f>3478.188182+1070.556008+410.73906</f>
        <v>4959.483249999999</v>
      </c>
    </row>
    <row r="29" spans="1:12" ht="14.25">
      <c r="A29" s="34" t="s">
        <v>0</v>
      </c>
      <c r="B29" s="35">
        <v>174.000077</v>
      </c>
      <c r="C29" s="35">
        <v>183.563959</v>
      </c>
      <c r="D29" s="35">
        <v>187.321032</v>
      </c>
      <c r="E29" s="35">
        <v>187.336419</v>
      </c>
      <c r="F29" s="35">
        <v>273.685925</v>
      </c>
      <c r="G29" s="36">
        <v>249.302476</v>
      </c>
      <c r="H29" s="35">
        <v>258.731737</v>
      </c>
      <c r="I29" s="35">
        <v>259.404303</v>
      </c>
      <c r="J29" s="35">
        <v>272.944289</v>
      </c>
      <c r="K29" s="35">
        <v>288.585623</v>
      </c>
      <c r="L29" s="35">
        <v>315.992183</v>
      </c>
    </row>
    <row r="30" spans="1:12" ht="14.25">
      <c r="A30" s="34" t="s">
        <v>1</v>
      </c>
      <c r="B30" s="35">
        <v>2252.462303</v>
      </c>
      <c r="C30" s="35">
        <v>2123.182878</v>
      </c>
      <c r="D30" s="35">
        <v>2118.769679</v>
      </c>
      <c r="E30" s="35">
        <v>1960.305314</v>
      </c>
      <c r="F30" s="35">
        <v>2148.844066</v>
      </c>
      <c r="G30" s="36">
        <v>2033.506007</v>
      </c>
      <c r="H30" s="35">
        <v>2156.893742</v>
      </c>
      <c r="I30" s="35">
        <v>2429.454599</v>
      </c>
      <c r="J30" s="35">
        <v>2392.834927</v>
      </c>
      <c r="K30" s="35">
        <v>2521.38752</v>
      </c>
      <c r="L30" s="35">
        <v>2632.186685</v>
      </c>
    </row>
    <row r="31" spans="1:12" ht="14.25">
      <c r="A31" s="34" t="s">
        <v>2</v>
      </c>
      <c r="B31" s="35">
        <v>285.861662</v>
      </c>
      <c r="C31" s="35">
        <v>273.938924</v>
      </c>
      <c r="D31" s="35">
        <v>261.87004</v>
      </c>
      <c r="E31" s="35">
        <v>302.598857</v>
      </c>
      <c r="F31" s="35">
        <v>317.78628</v>
      </c>
      <c r="G31" s="36">
        <v>321.557484</v>
      </c>
      <c r="H31" s="35">
        <v>302.216283</v>
      </c>
      <c r="I31" s="35">
        <v>310.706887</v>
      </c>
      <c r="J31" s="35">
        <v>359.632938</v>
      </c>
      <c r="K31" s="39">
        <v>374.017383</v>
      </c>
      <c r="L31" s="39">
        <f>388.476149</f>
        <v>388.476149</v>
      </c>
    </row>
    <row r="32" spans="1:12" ht="14.25">
      <c r="A32" s="34" t="s">
        <v>5</v>
      </c>
      <c r="B32" s="35">
        <v>13.829398</v>
      </c>
      <c r="C32" s="35">
        <v>13.296991</v>
      </c>
      <c r="D32" s="35">
        <v>13.22109</v>
      </c>
      <c r="E32" s="35">
        <v>14.814835</v>
      </c>
      <c r="F32" s="35">
        <v>16.651638</v>
      </c>
      <c r="G32" s="36">
        <v>17.687878</v>
      </c>
      <c r="H32" s="35">
        <v>16.797522</v>
      </c>
      <c r="I32" s="35">
        <v>47.992971</v>
      </c>
      <c r="J32" s="35">
        <v>22.071333</v>
      </c>
      <c r="K32" s="35">
        <v>23.006991</v>
      </c>
      <c r="L32" s="35">
        <v>24.406758</v>
      </c>
    </row>
    <row r="33" spans="1:12" ht="14.25">
      <c r="A33" s="34" t="s">
        <v>3</v>
      </c>
      <c r="B33" s="35">
        <v>2.025787</v>
      </c>
      <c r="C33" s="35">
        <v>2.324875</v>
      </c>
      <c r="D33" s="35">
        <v>3.2552</v>
      </c>
      <c r="E33" s="35">
        <v>4.220764</v>
      </c>
      <c r="F33" s="35">
        <v>4.543397</v>
      </c>
      <c r="G33" s="36">
        <v>4.658303</v>
      </c>
      <c r="H33" s="35">
        <v>5.857522</v>
      </c>
      <c r="I33" s="35">
        <v>7.699393</v>
      </c>
      <c r="J33" s="35">
        <v>8.669405</v>
      </c>
      <c r="K33" s="35">
        <v>9.979943</v>
      </c>
      <c r="L33" s="35">
        <v>9.928679</v>
      </c>
    </row>
    <row r="34" spans="1:12" s="20" customFormat="1" ht="14.25">
      <c r="A34" s="34" t="s">
        <v>4</v>
      </c>
      <c r="B34" s="35">
        <v>5.882047</v>
      </c>
      <c r="C34" s="35">
        <v>3.534327</v>
      </c>
      <c r="D34" s="35">
        <v>5.499402</v>
      </c>
      <c r="E34" s="35">
        <v>5.163965</v>
      </c>
      <c r="F34" s="35">
        <v>6.250861</v>
      </c>
      <c r="G34" s="36">
        <v>6.479075</v>
      </c>
      <c r="H34" s="35">
        <v>6.309203</v>
      </c>
      <c r="I34" s="35">
        <v>5.887004</v>
      </c>
      <c r="J34" s="35">
        <v>6.159589</v>
      </c>
      <c r="K34" s="35">
        <v>5.393661</v>
      </c>
      <c r="L34" s="35">
        <v>6.279183</v>
      </c>
    </row>
    <row r="35" spans="1:12" s="2" customFormat="1" ht="17.25">
      <c r="A35" s="50" t="s">
        <v>39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s="2" customFormat="1" ht="15">
      <c r="A36" s="37" t="s">
        <v>25</v>
      </c>
      <c r="B36" s="40">
        <f>B3/B27*100</f>
        <v>4.433846768241896</v>
      </c>
      <c r="C36" s="40">
        <f>C3/C27*100</f>
        <v>4.064870939841582</v>
      </c>
      <c r="D36" s="40">
        <f>D3/D27*100</f>
        <v>3.73067129516578</v>
      </c>
      <c r="E36" s="41">
        <f aca="true" t="shared" si="0" ref="E36:E43">+E3/(E27)*100</f>
        <v>3.9806960866282783</v>
      </c>
      <c r="F36" s="41">
        <f aca="true" t="shared" si="1" ref="F36:F43">+F3/(F27)*100</f>
        <v>4.362724905132239</v>
      </c>
      <c r="G36" s="41">
        <f aca="true" t="shared" si="2" ref="G36:G43">+G3/(G27)*100</f>
        <v>3.820488800950285</v>
      </c>
      <c r="H36" s="41">
        <f>+H3/(H27)*100</f>
        <v>3.6611661189940983</v>
      </c>
      <c r="I36" s="41">
        <f>+I3/(I27)*100</f>
        <v>3.611224317339522</v>
      </c>
      <c r="J36" s="41">
        <f>+J3/(J27)*100</f>
        <v>3.6789580291240522</v>
      </c>
      <c r="K36" s="41">
        <f>+K3/(K27)*100</f>
        <v>3.6692777566659793</v>
      </c>
      <c r="L36" s="41">
        <f>+L3/(L27)*100</f>
        <v>3.538547969437972</v>
      </c>
    </row>
    <row r="37" spans="1:12" ht="16.5">
      <c r="A37" s="34" t="s">
        <v>37</v>
      </c>
      <c r="B37" s="42">
        <f aca="true" t="shared" si="3" ref="B37:B43">B4/B28*100</f>
        <v>2.2395642326604883</v>
      </c>
      <c r="C37" s="42">
        <f aca="true" t="shared" si="4" ref="C37:C43">C4/C28*100</f>
        <v>1.8408246594085034</v>
      </c>
      <c r="D37" s="42">
        <f>D4/D28*100</f>
        <v>2.094005434675101</v>
      </c>
      <c r="E37" s="42">
        <f t="shared" si="0"/>
        <v>1.8103981965380278</v>
      </c>
      <c r="F37" s="42">
        <f t="shared" si="1"/>
        <v>2.364737433197544</v>
      </c>
      <c r="G37" s="43">
        <f t="shared" si="2"/>
        <v>1.8066982888264989</v>
      </c>
      <c r="H37" s="42">
        <f aca="true" t="shared" si="5" ref="H37:J38">+H4/(H28)*100</f>
        <v>2.2625390786029675</v>
      </c>
      <c r="I37" s="42">
        <f t="shared" si="5"/>
        <v>2.3934998369635743</v>
      </c>
      <c r="J37" s="42">
        <f t="shared" si="5"/>
        <v>2.3134255233942085</v>
      </c>
      <c r="K37" s="42">
        <v>2.1</v>
      </c>
      <c r="L37" s="42">
        <f aca="true" t="shared" si="6" ref="L37:L43">+L4/(L28)*100</f>
        <v>1.8147051913120185</v>
      </c>
    </row>
    <row r="38" spans="1:12" ht="14.25">
      <c r="A38" s="34" t="s">
        <v>0</v>
      </c>
      <c r="B38" s="42">
        <f t="shared" si="3"/>
        <v>4.022986725459897</v>
      </c>
      <c r="C38" s="42">
        <f t="shared" si="4"/>
        <v>7.082000230775148</v>
      </c>
      <c r="D38" s="42">
        <f>D5/D29*100</f>
        <v>4.8045859580786425</v>
      </c>
      <c r="E38" s="42">
        <f t="shared" si="0"/>
        <v>8.006985550417722</v>
      </c>
      <c r="F38" s="42">
        <f t="shared" si="1"/>
        <v>4.7499702441767875</v>
      </c>
      <c r="G38" s="43">
        <f t="shared" si="2"/>
        <v>6.016787414498041</v>
      </c>
      <c r="H38" s="42">
        <f t="shared" si="5"/>
        <v>2.319004258839726</v>
      </c>
      <c r="I38" s="42">
        <f t="shared" si="5"/>
        <v>1.1564958504177163</v>
      </c>
      <c r="J38" s="42">
        <f t="shared" si="5"/>
        <v>8.426628043497915</v>
      </c>
      <c r="K38" s="42">
        <v>5.9</v>
      </c>
      <c r="L38" s="42">
        <f t="shared" si="6"/>
        <v>9.493905740066994</v>
      </c>
    </row>
    <row r="39" spans="1:12" ht="14.25">
      <c r="A39" s="34" t="s">
        <v>1</v>
      </c>
      <c r="B39" s="42">
        <f t="shared" si="3"/>
        <v>5.194315564978404</v>
      </c>
      <c r="C39" s="42">
        <f t="shared" si="4"/>
        <v>4.851207169540861</v>
      </c>
      <c r="D39" s="42">
        <f>D6/D30*100</f>
        <v>4.294945359183611</v>
      </c>
      <c r="E39" s="42">
        <f t="shared" si="0"/>
        <v>4.234034331654115</v>
      </c>
      <c r="F39" s="42">
        <f t="shared" si="1"/>
        <v>3.9556150837051938</v>
      </c>
      <c r="G39" s="43">
        <f t="shared" si="2"/>
        <v>3.8849159888417284</v>
      </c>
      <c r="H39" s="42">
        <f>+H6/(H30)*100</f>
        <v>3.430859785025052</v>
      </c>
      <c r="I39" s="42">
        <v>3.169435643361862</v>
      </c>
      <c r="J39" s="42">
        <f>+J6/(J30)*100</f>
        <v>2.2567373699991133</v>
      </c>
      <c r="K39" s="42">
        <v>3.3</v>
      </c>
      <c r="L39" s="42">
        <f t="shared" si="6"/>
        <v>3.039298103584169</v>
      </c>
    </row>
    <row r="40" spans="1:12" ht="14.25">
      <c r="A40" s="34" t="s">
        <v>2</v>
      </c>
      <c r="B40" s="42">
        <f t="shared" si="3"/>
        <v>36.38123394105223</v>
      </c>
      <c r="C40" s="42">
        <f t="shared" si="4"/>
        <v>33.949173283603905</v>
      </c>
      <c r="D40" s="42">
        <f>D7/D31*100</f>
        <v>28.258291784734134</v>
      </c>
      <c r="E40" s="42">
        <f t="shared" si="0"/>
        <v>32.386110433986204</v>
      </c>
      <c r="F40" s="42">
        <f t="shared" si="1"/>
        <v>35.24381228793138</v>
      </c>
      <c r="G40" s="43">
        <f t="shared" si="2"/>
        <v>28.61074755765908</v>
      </c>
      <c r="H40" s="42">
        <f>+H7/(H31)*100</f>
        <v>23.823997597111603</v>
      </c>
      <c r="I40" s="42">
        <f>+I7/(I31)*100</f>
        <v>25.425892796512105</v>
      </c>
      <c r="J40" s="42">
        <f>+J7/(J31)*100</f>
        <v>26.137761608476474</v>
      </c>
      <c r="K40" s="42">
        <v>25.4</v>
      </c>
      <c r="L40" s="42">
        <f t="shared" si="6"/>
        <v>22.395197291764752</v>
      </c>
    </row>
    <row r="41" spans="1:12" ht="14.25">
      <c r="A41" s="34" t="s">
        <v>5</v>
      </c>
      <c r="B41" s="44">
        <f t="shared" si="3"/>
        <v>0</v>
      </c>
      <c r="C41" s="45">
        <f t="shared" si="4"/>
        <v>22.561495303711947</v>
      </c>
      <c r="D41" s="44">
        <f>D8/D32*100</f>
        <v>0</v>
      </c>
      <c r="E41" s="42">
        <f t="shared" si="0"/>
        <v>13.49998160627506</v>
      </c>
      <c r="F41" s="42">
        <f t="shared" si="1"/>
        <v>12.010830405993694</v>
      </c>
      <c r="G41" s="43">
        <f t="shared" si="2"/>
        <v>33.92153654610236</v>
      </c>
      <c r="H41" s="42">
        <f>+H8/(H32)*100</f>
        <v>65.48584963901223</v>
      </c>
      <c r="I41" s="42">
        <f>+I8/(I32)*100</f>
        <v>14.585469192978282</v>
      </c>
      <c r="J41" s="42">
        <f>+J8/(J32)*100</f>
        <v>18.123055820869542</v>
      </c>
      <c r="K41" s="42">
        <v>4.3</v>
      </c>
      <c r="L41" s="42">
        <f t="shared" si="6"/>
        <v>32.77780686808137</v>
      </c>
    </row>
    <row r="42" spans="1:12" ht="14.25">
      <c r="A42" s="34" t="s">
        <v>3</v>
      </c>
      <c r="B42" s="44">
        <f t="shared" si="3"/>
        <v>0</v>
      </c>
      <c r="C42" s="44">
        <f t="shared" si="4"/>
        <v>0</v>
      </c>
      <c r="D42" s="44">
        <f>D9/D33*100</f>
        <v>0</v>
      </c>
      <c r="E42" s="35">
        <f t="shared" si="0"/>
        <v>0</v>
      </c>
      <c r="F42" s="35">
        <f t="shared" si="1"/>
        <v>0</v>
      </c>
      <c r="G42" s="36">
        <f t="shared" si="2"/>
        <v>0</v>
      </c>
      <c r="H42" s="35">
        <f>+H9/(H33)*100</f>
        <v>0</v>
      </c>
      <c r="I42" s="35">
        <f>+I9/(I33)*100</f>
        <v>0</v>
      </c>
      <c r="J42" s="35">
        <f>+J9/(J33)*100</f>
        <v>0</v>
      </c>
      <c r="K42" s="35">
        <v>0</v>
      </c>
      <c r="L42" s="35">
        <f t="shared" si="6"/>
        <v>0</v>
      </c>
    </row>
    <row r="43" spans="1:12" s="20" customFormat="1" ht="14.25">
      <c r="A43" s="34" t="s">
        <v>4</v>
      </c>
      <c r="B43" s="45">
        <f t="shared" si="3"/>
        <v>17.000884215988073</v>
      </c>
      <c r="C43" s="44">
        <f t="shared" si="4"/>
        <v>0</v>
      </c>
      <c r="D43" s="44">
        <f>D10/D34*100</f>
        <v>0</v>
      </c>
      <c r="E43" s="35">
        <f t="shared" si="0"/>
        <v>0</v>
      </c>
      <c r="F43" s="35">
        <f t="shared" si="1"/>
        <v>0</v>
      </c>
      <c r="G43" s="36">
        <f t="shared" si="2"/>
        <v>0</v>
      </c>
      <c r="H43" s="35">
        <f>+H10/(H34)*100</f>
        <v>0</v>
      </c>
      <c r="I43" s="35">
        <f>+I10/(I34)*100</f>
        <v>0</v>
      </c>
      <c r="J43" s="42">
        <f>+J10/(J34)*100</f>
        <v>32.469698871142214</v>
      </c>
      <c r="K43" s="35">
        <v>0</v>
      </c>
      <c r="L43" s="35">
        <f t="shared" si="6"/>
        <v>0</v>
      </c>
    </row>
    <row r="44" spans="1:12" s="19" customFormat="1" ht="15">
      <c r="A44" s="37" t="s">
        <v>26</v>
      </c>
      <c r="B44" s="33">
        <f>B11/B27*100</f>
        <v>713.5485082247932</v>
      </c>
      <c r="C44" s="33">
        <f>C11/C27*100</f>
        <v>706.271325797475</v>
      </c>
      <c r="D44" s="33">
        <f>D11/D27*100</f>
        <v>752.8166702541672</v>
      </c>
      <c r="E44" s="33">
        <f aca="true" t="shared" si="7" ref="E44:E51">+E11/(E27)*100</f>
        <v>746.1042757670398</v>
      </c>
      <c r="F44" s="33">
        <f aca="true" t="shared" si="8" ref="F44:F51">+F11/(F27)*100</f>
        <v>793.3751575136262</v>
      </c>
      <c r="G44" s="33">
        <f aca="true" t="shared" si="9" ref="G44:G51">+G11/(G27)*100</f>
        <v>797.5061221136953</v>
      </c>
      <c r="H44" s="33">
        <f>+H11/(H27)*100</f>
        <v>766.7369408596428</v>
      </c>
      <c r="I44" s="33">
        <f>+I11/(I27)*100</f>
        <v>737.109975930553</v>
      </c>
      <c r="J44" s="33">
        <f>+J11/(J27)*100</f>
        <v>720.2267833939009</v>
      </c>
      <c r="K44" s="33">
        <f>+K11/(K27)*100</f>
        <v>678.9391033028271</v>
      </c>
      <c r="L44" s="33">
        <f>+L11/(L27)*100</f>
        <v>680.0849295702532</v>
      </c>
    </row>
    <row r="45" spans="1:12" ht="16.5">
      <c r="A45" s="34" t="s">
        <v>37</v>
      </c>
      <c r="B45" s="35">
        <f aca="true" t="shared" si="10" ref="B45:B51">B12/B28*100</f>
        <v>814.5091517437771</v>
      </c>
      <c r="C45" s="35">
        <f aca="true" t="shared" si="11" ref="C45:C51">C12/C28*100</f>
        <v>807.8500854738296</v>
      </c>
      <c r="D45" s="35">
        <f>D12/D28*100</f>
        <v>847.9664431931799</v>
      </c>
      <c r="E45" s="35">
        <f t="shared" si="7"/>
        <v>847.898904747262</v>
      </c>
      <c r="F45" s="35">
        <f t="shared" si="8"/>
        <v>923.8897777200959</v>
      </c>
      <c r="G45" s="35">
        <f t="shared" si="9"/>
        <v>909.8929174837551</v>
      </c>
      <c r="H45" s="35">
        <f aca="true" t="shared" si="12" ref="H45:J46">+H12/(H28)*100</f>
        <v>889.53627992322</v>
      </c>
      <c r="I45" s="35">
        <f t="shared" si="12"/>
        <v>860.3643771749524</v>
      </c>
      <c r="J45" s="35">
        <f t="shared" si="12"/>
        <v>870.9304252521225</v>
      </c>
      <c r="K45" s="35">
        <v>837</v>
      </c>
      <c r="L45" s="35">
        <f aca="true" t="shared" si="13" ref="L45:L51">+L12/(L28)*100</f>
        <v>825.1867772716039</v>
      </c>
    </row>
    <row r="46" spans="1:12" ht="14.25">
      <c r="A46" s="34" t="s">
        <v>0</v>
      </c>
      <c r="B46" s="35">
        <f t="shared" si="10"/>
        <v>714.9422123531589</v>
      </c>
      <c r="C46" s="35">
        <f t="shared" si="11"/>
        <v>681.5063298999777</v>
      </c>
      <c r="D46" s="35">
        <f>D13/D29*100</f>
        <v>676.9127772048577</v>
      </c>
      <c r="E46" s="35">
        <f t="shared" si="7"/>
        <v>524.1906540340135</v>
      </c>
      <c r="F46" s="35">
        <f t="shared" si="8"/>
        <v>431.5165275671374</v>
      </c>
      <c r="G46" s="35">
        <f t="shared" si="9"/>
        <v>529.0761733148611</v>
      </c>
      <c r="H46" s="35">
        <f t="shared" si="12"/>
        <v>619.9471385298201</v>
      </c>
      <c r="I46" s="35">
        <f t="shared" si="12"/>
        <v>419.0369964680192</v>
      </c>
      <c r="J46" s="35">
        <f t="shared" si="12"/>
        <v>394.2196423827721</v>
      </c>
      <c r="K46" s="35">
        <v>440</v>
      </c>
      <c r="L46" s="35">
        <f t="shared" si="13"/>
        <v>423.4281960069879</v>
      </c>
    </row>
    <row r="47" spans="1:12" ht="14.25">
      <c r="A47" s="34" t="s">
        <v>1</v>
      </c>
      <c r="B47" s="35">
        <f t="shared" si="10"/>
        <v>445.55684624036974</v>
      </c>
      <c r="C47" s="35">
        <f t="shared" si="11"/>
        <v>437.31513173967863</v>
      </c>
      <c r="D47" s="35">
        <f>D14/D30*100</f>
        <v>493.0219694728792</v>
      </c>
      <c r="E47" s="35">
        <f t="shared" si="7"/>
        <v>537.2632479636283</v>
      </c>
      <c r="F47" s="35">
        <f t="shared" si="8"/>
        <v>543.2222926128321</v>
      </c>
      <c r="G47" s="35">
        <f t="shared" si="9"/>
        <v>552.6415934506753</v>
      </c>
      <c r="H47" s="35">
        <f>+H14/(H30)*100</f>
        <v>514.3044269632824</v>
      </c>
      <c r="I47" s="35">
        <v>505.6690503727334</v>
      </c>
      <c r="J47" s="35">
        <f>+J14/(J30)*100</f>
        <v>462.17145508926285</v>
      </c>
      <c r="K47" s="35">
        <v>383</v>
      </c>
      <c r="L47" s="35">
        <f t="shared" si="13"/>
        <v>412.12882284601324</v>
      </c>
    </row>
    <row r="48" spans="1:12" ht="14.25">
      <c r="A48" s="34" t="s">
        <v>2</v>
      </c>
      <c r="B48" s="35">
        <f t="shared" si="10"/>
        <v>852.8600802719742</v>
      </c>
      <c r="C48" s="35">
        <f t="shared" si="11"/>
        <v>842.5235692318043</v>
      </c>
      <c r="D48" s="35">
        <f>D15/D31*100</f>
        <v>972.2379849180151</v>
      </c>
      <c r="E48" s="35">
        <f t="shared" si="7"/>
        <v>515.5340028267192</v>
      </c>
      <c r="F48" s="35">
        <f t="shared" si="8"/>
        <v>747.042949745974</v>
      </c>
      <c r="G48" s="35">
        <f t="shared" si="9"/>
        <v>738.2816815422029</v>
      </c>
      <c r="H48" s="35">
        <f>+H15/(H31)*100</f>
        <v>646.2259348216522</v>
      </c>
      <c r="I48" s="35">
        <f>+I15/(I31)*100</f>
        <v>768.5700252920367</v>
      </c>
      <c r="J48" s="35">
        <f>+J15/(J31)*100</f>
        <v>466.30878954696857</v>
      </c>
      <c r="K48" s="35">
        <v>471</v>
      </c>
      <c r="L48" s="35">
        <f t="shared" si="13"/>
        <v>458.9728364507649</v>
      </c>
    </row>
    <row r="49" spans="1:12" ht="14.25">
      <c r="A49" s="34" t="s">
        <v>5</v>
      </c>
      <c r="B49" s="35">
        <f t="shared" si="10"/>
        <v>5835.395004178779</v>
      </c>
      <c r="C49" s="35">
        <f t="shared" si="11"/>
        <v>4677.750026302943</v>
      </c>
      <c r="D49" s="35">
        <f>D16/D32*100</f>
        <v>5392.898770071151</v>
      </c>
      <c r="E49" s="35">
        <f t="shared" si="7"/>
        <v>4400.99400364567</v>
      </c>
      <c r="F49" s="35">
        <f t="shared" si="8"/>
        <v>4389.958513390695</v>
      </c>
      <c r="G49" s="35">
        <f t="shared" si="9"/>
        <v>5286.106111767618</v>
      </c>
      <c r="H49" s="35">
        <f>+H16/(H32)*100</f>
        <v>5250.774489237162</v>
      </c>
      <c r="I49" s="35">
        <f>+I16/(I32)*100</f>
        <v>2335.7587093326647</v>
      </c>
      <c r="J49" s="35">
        <f>+J16/(J32)*100</f>
        <v>4820.732848351298</v>
      </c>
      <c r="K49" s="35">
        <v>5846</v>
      </c>
      <c r="L49" s="35">
        <f t="shared" si="13"/>
        <v>7112.784090373659</v>
      </c>
    </row>
    <row r="50" spans="1:12" ht="16.5">
      <c r="A50" s="34" t="s">
        <v>3</v>
      </c>
      <c r="B50" s="35">
        <f t="shared" si="10"/>
        <v>1036.6341574903977</v>
      </c>
      <c r="C50" s="35">
        <f t="shared" si="11"/>
        <v>1720.5226087424055</v>
      </c>
      <c r="D50" s="35">
        <f>D17/D33*100</f>
        <v>583.6814942246252</v>
      </c>
      <c r="E50" s="35">
        <f t="shared" si="7"/>
        <v>1397.851194712616</v>
      </c>
      <c r="F50" s="35">
        <f t="shared" si="8"/>
        <v>638.2889278660879</v>
      </c>
      <c r="G50" s="35">
        <f t="shared" si="9"/>
        <v>536.6761243311137</v>
      </c>
      <c r="H50" s="46" t="s">
        <v>40</v>
      </c>
      <c r="I50" s="35">
        <f>+I17/(I33)*100</f>
        <v>701.3539898534859</v>
      </c>
      <c r="J50" s="35">
        <f>+J17/(J33)*100</f>
        <v>772.8327376561598</v>
      </c>
      <c r="K50" s="35">
        <v>411</v>
      </c>
      <c r="L50" s="35">
        <f t="shared" si="13"/>
        <v>523.7353327668263</v>
      </c>
    </row>
    <row r="51" spans="1:12" ht="14.25">
      <c r="A51" s="34" t="s">
        <v>4</v>
      </c>
      <c r="B51" s="35">
        <f t="shared" si="10"/>
        <v>68.00353686395229</v>
      </c>
      <c r="C51" s="35">
        <f t="shared" si="11"/>
        <v>0</v>
      </c>
      <c r="D51" s="35">
        <f>D18/D34*100</f>
        <v>127.28656679398959</v>
      </c>
      <c r="E51" s="35">
        <f t="shared" si="7"/>
        <v>193.64964712193054</v>
      </c>
      <c r="F51" s="35">
        <f t="shared" si="8"/>
        <v>159.9779614360326</v>
      </c>
      <c r="G51" s="35">
        <f t="shared" si="9"/>
        <v>123.47441571520625</v>
      </c>
      <c r="H51" s="35">
        <f>+H18/(H34)*100</f>
        <v>316.99724989035855</v>
      </c>
      <c r="I51" s="35">
        <f>+I18/(I34)*100</f>
        <v>271.7851049532156</v>
      </c>
      <c r="J51" s="35">
        <f>+J18/(J34)*100</f>
        <v>194.81819322685328</v>
      </c>
      <c r="K51" s="35">
        <v>389</v>
      </c>
      <c r="L51" s="35">
        <f t="shared" si="13"/>
        <v>238.88458100361146</v>
      </c>
    </row>
    <row r="52" spans="1:12" s="2" customFormat="1" ht="15">
      <c r="A52" s="37" t="s">
        <v>24</v>
      </c>
      <c r="B52" s="33">
        <f>+B19/(B27)*100</f>
        <v>1179.2593692182716</v>
      </c>
      <c r="C52" s="33">
        <f>+C19/(C27)*100</f>
        <v>1126.497683558298</v>
      </c>
      <c r="D52" s="33">
        <f>+D19/(D27)*100</f>
        <v>1008.9347706717386</v>
      </c>
      <c r="E52" s="33">
        <f>+E19/(E27)*100</f>
        <v>920.6032593794495</v>
      </c>
      <c r="F52" s="33">
        <f>+F19/(F27)*100</f>
        <v>963.7940991203543</v>
      </c>
      <c r="G52" s="33">
        <f>+G19/(G27)*100</f>
        <v>871.0575032268805</v>
      </c>
      <c r="H52" s="33">
        <f>+H19/(H27)*100</f>
        <v>823.6514323458238</v>
      </c>
      <c r="I52" s="33">
        <f>+I19/(I27)*100</f>
        <v>808.4021098172302</v>
      </c>
      <c r="J52" s="33">
        <f>+J19/(J27)*100</f>
        <v>773.0185447628699</v>
      </c>
      <c r="K52" s="33">
        <f>+K19/(K27)*100</f>
        <v>720.3933516707791</v>
      </c>
      <c r="L52" s="33">
        <f>+L19/(L27)*100</f>
        <v>718.4811738081207</v>
      </c>
    </row>
    <row r="53" spans="1:12" ht="16.5">
      <c r="A53" s="34" t="s">
        <v>37</v>
      </c>
      <c r="B53" s="35">
        <f aca="true" t="shared" si="14" ref="B53:B59">B20/B28*100</f>
        <v>1434.0744168718802</v>
      </c>
      <c r="C53" s="35">
        <f aca="true" t="shared" si="15" ref="C53:C59">C20/C28*100</f>
        <v>1327.3391717437248</v>
      </c>
      <c r="D53" s="35">
        <f>D20/D28*100</f>
        <v>1110.0766992183703</v>
      </c>
      <c r="E53" s="35">
        <f>+E20/(E28)*100</f>
        <v>994.1921662434133</v>
      </c>
      <c r="F53" s="36">
        <f aca="true" t="shared" si="16" ref="F52:F59">+F20/(F28)*100</f>
        <v>1076.940839368715</v>
      </c>
      <c r="G53" s="35">
        <f aca="true" t="shared" si="17" ref="G52:G59">+G20/(G28)*100</f>
        <v>942.5677170243612</v>
      </c>
      <c r="H53" s="35">
        <f aca="true" t="shared" si="18" ref="H53:J57">+H20/(H28)*100</f>
        <v>906.2701085540757</v>
      </c>
      <c r="I53" s="35">
        <f t="shared" si="18"/>
        <v>889.8549302120358</v>
      </c>
      <c r="J53" s="35">
        <f t="shared" si="18"/>
        <v>883.2616200144347</v>
      </c>
      <c r="K53" s="35">
        <v>834</v>
      </c>
      <c r="L53" s="35">
        <f aca="true" t="shared" si="19" ref="L53:L59">+L20/(L28)*100</f>
        <v>840.3496473145665</v>
      </c>
    </row>
    <row r="54" spans="1:12" ht="14.25">
      <c r="A54" s="34" t="s">
        <v>0</v>
      </c>
      <c r="B54" s="35">
        <f t="shared" si="14"/>
        <v>841.9536503998213</v>
      </c>
      <c r="C54" s="35">
        <f t="shared" si="15"/>
        <v>840.578950468158</v>
      </c>
      <c r="D54" s="35">
        <f>D21/D29*100</f>
        <v>796.4935832725927</v>
      </c>
      <c r="E54" s="35">
        <f>+E21/(E29)*100</f>
        <v>606.3957056849688</v>
      </c>
      <c r="F54" s="36">
        <f t="shared" si="16"/>
        <v>516.2852273093694</v>
      </c>
      <c r="G54" s="35">
        <f t="shared" si="17"/>
        <v>511.8280493933001</v>
      </c>
      <c r="H54" s="35">
        <f t="shared" si="18"/>
        <v>521.7759582389384</v>
      </c>
      <c r="I54" s="35">
        <f t="shared" si="18"/>
        <v>452.1898775133271</v>
      </c>
      <c r="J54" s="35">
        <f t="shared" si="18"/>
        <v>410.70652333744187</v>
      </c>
      <c r="K54" s="35">
        <v>410</v>
      </c>
      <c r="L54" s="35">
        <f t="shared" si="19"/>
        <v>417.4153890382788</v>
      </c>
    </row>
    <row r="55" spans="1:12" ht="14.25">
      <c r="A55" s="34" t="s">
        <v>1</v>
      </c>
      <c r="B55" s="35">
        <f t="shared" si="14"/>
        <v>540.6527773530513</v>
      </c>
      <c r="C55" s="35">
        <f t="shared" si="15"/>
        <v>664.1914903384973</v>
      </c>
      <c r="D55" s="35">
        <f>D22/D30*100</f>
        <v>732.1229935346832</v>
      </c>
      <c r="E55" s="35">
        <f>+E22/(E30)*100</f>
        <v>769.3699492771972</v>
      </c>
      <c r="F55" s="36">
        <f t="shared" si="16"/>
        <v>738.4900678037379</v>
      </c>
      <c r="G55" s="35">
        <f t="shared" si="17"/>
        <v>704.5467262295626</v>
      </c>
      <c r="H55" s="35">
        <f t="shared" si="18"/>
        <v>637.3981124935731</v>
      </c>
      <c r="I55" s="35">
        <f t="shared" si="18"/>
        <v>623.6379147087737</v>
      </c>
      <c r="J55" s="35">
        <f t="shared" si="18"/>
        <v>564.8530054242225</v>
      </c>
      <c r="K55" s="35">
        <v>484</v>
      </c>
      <c r="L55" s="35">
        <f t="shared" si="19"/>
        <v>485.60385450016054</v>
      </c>
    </row>
    <row r="56" spans="1:12" ht="14.25">
      <c r="A56" s="34" t="s">
        <v>2</v>
      </c>
      <c r="B56" s="35">
        <f t="shared" si="14"/>
        <v>1060.303077647397</v>
      </c>
      <c r="C56" s="35">
        <f t="shared" si="15"/>
        <v>991.4618778308409</v>
      </c>
      <c r="D56" s="35">
        <f>D23/D31*100</f>
        <v>1206.705432969728</v>
      </c>
      <c r="E56" s="35">
        <f>+E23/(E31)*100</f>
        <v>697.6232563892335</v>
      </c>
      <c r="F56" s="36">
        <f t="shared" si="16"/>
        <v>980.2185292580914</v>
      </c>
      <c r="G56" s="35">
        <f t="shared" si="17"/>
        <v>885.3782423549502</v>
      </c>
      <c r="H56" s="35">
        <f t="shared" si="18"/>
        <v>810.3468071573101</v>
      </c>
      <c r="I56" s="35">
        <f t="shared" si="18"/>
        <v>990.6442788311931</v>
      </c>
      <c r="J56" s="35">
        <f t="shared" si="18"/>
        <v>670.1277178343436</v>
      </c>
      <c r="K56" s="35">
        <v>668</v>
      </c>
      <c r="L56" s="35">
        <f t="shared" si="19"/>
        <v>533.3660780291558</v>
      </c>
    </row>
    <row r="57" spans="1:12" ht="14.25">
      <c r="A57" s="34" t="s">
        <v>5</v>
      </c>
      <c r="B57" s="35">
        <f t="shared" si="14"/>
        <v>21439.83418511782</v>
      </c>
      <c r="C57" s="35">
        <f t="shared" si="15"/>
        <v>9332.938557302174</v>
      </c>
      <c r="D57" s="35">
        <f>D24/D32*100</f>
        <v>8599.8960751345</v>
      </c>
      <c r="E57" s="35">
        <f>+E24/(E32)*100</f>
        <v>6385.491299768104</v>
      </c>
      <c r="F57" s="36">
        <f t="shared" si="16"/>
        <v>6377.750945582651</v>
      </c>
      <c r="G57" s="35">
        <f t="shared" si="17"/>
        <v>6631.660394763011</v>
      </c>
      <c r="H57" s="35">
        <f t="shared" si="18"/>
        <v>7643.984630590154</v>
      </c>
      <c r="I57" s="35">
        <f t="shared" si="18"/>
        <v>3029.610315227203</v>
      </c>
      <c r="J57" s="35">
        <f t="shared" si="18"/>
        <v>5532.062789320427</v>
      </c>
      <c r="K57" s="35">
        <v>6854</v>
      </c>
      <c r="L57" s="35">
        <f t="shared" si="19"/>
        <v>7665.909581272531</v>
      </c>
    </row>
    <row r="58" spans="1:12" ht="16.5">
      <c r="A58" s="34" t="s">
        <v>3</v>
      </c>
      <c r="B58" s="35">
        <f t="shared" si="14"/>
        <v>4146.536629961591</v>
      </c>
      <c r="C58" s="35">
        <f t="shared" si="15"/>
        <v>3570.0844131404915</v>
      </c>
      <c r="D58" s="35">
        <f>D25/D33*100</f>
        <v>1228.8031457360532</v>
      </c>
      <c r="E58" s="35">
        <f>+E25/(E33)*100</f>
        <v>2866.7795688173987</v>
      </c>
      <c r="F58" s="36">
        <f t="shared" si="16"/>
        <v>858.3885581647388</v>
      </c>
      <c r="G58" s="35">
        <f t="shared" si="17"/>
        <v>1245.0886084481838</v>
      </c>
      <c r="H58" s="46" t="s">
        <v>41</v>
      </c>
      <c r="I58" s="35">
        <f>+I25/(I33)*100</f>
        <v>2104.061969560458</v>
      </c>
      <c r="J58" s="35">
        <f>+J25/(J33)*100</f>
        <v>2237.754494108881</v>
      </c>
      <c r="K58" s="35">
        <v>1353</v>
      </c>
      <c r="L58" s="35">
        <f t="shared" si="19"/>
        <v>1611.4933315902344</v>
      </c>
    </row>
    <row r="59" spans="1:12" ht="15" thickBot="1">
      <c r="A59" s="47" t="s">
        <v>4</v>
      </c>
      <c r="B59" s="48">
        <f t="shared" si="14"/>
        <v>51.00265264796422</v>
      </c>
      <c r="C59" s="48">
        <f t="shared" si="15"/>
        <v>28.293929792008495</v>
      </c>
      <c r="D59" s="48">
        <f>D26/D34*100</f>
        <v>145.47036205027385</v>
      </c>
      <c r="E59" s="48">
        <f>+E26/(E34)*100</f>
        <v>193.64964712193054</v>
      </c>
      <c r="F59" s="49">
        <f t="shared" si="16"/>
        <v>159.9779614360326</v>
      </c>
      <c r="G59" s="48">
        <f t="shared" si="17"/>
        <v>154.34301964400782</v>
      </c>
      <c r="H59" s="48">
        <f>+H26/(H34)*100</f>
        <v>396.2465623629482</v>
      </c>
      <c r="I59" s="48">
        <f>+I26/(I34)*100</f>
        <v>322.74481213194355</v>
      </c>
      <c r="J59" s="48">
        <f>+J26/(J34)*100</f>
        <v>259.7575909691377</v>
      </c>
      <c r="K59" s="48">
        <v>371</v>
      </c>
      <c r="L59" s="48">
        <f t="shared" si="19"/>
        <v>270.7358584707597</v>
      </c>
    </row>
    <row r="60" spans="1:12" s="2" customFormat="1" ht="12.75">
      <c r="A60" s="52" t="s">
        <v>10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s="3" customFormat="1" ht="1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3" customFormat="1" ht="15" customHeight="1">
      <c r="A62" s="6"/>
      <c r="B62" s="7">
        <v>1990</v>
      </c>
      <c r="C62" s="7">
        <v>1991</v>
      </c>
      <c r="D62" s="7">
        <v>1992</v>
      </c>
      <c r="E62" s="7">
        <v>1993</v>
      </c>
      <c r="F62" s="7">
        <v>1994</v>
      </c>
      <c r="G62" s="7">
        <v>1995</v>
      </c>
      <c r="H62" s="7">
        <v>1996</v>
      </c>
      <c r="I62" s="7">
        <v>1997</v>
      </c>
      <c r="J62" s="7">
        <v>1998</v>
      </c>
      <c r="K62" s="7">
        <v>1999</v>
      </c>
      <c r="L62" s="16">
        <v>2000</v>
      </c>
    </row>
    <row r="63" spans="1:12" s="3" customFormat="1" ht="15" customHeight="1">
      <c r="A63" s="8" t="s">
        <v>7</v>
      </c>
      <c r="B63" s="8">
        <v>2</v>
      </c>
      <c r="C63" s="8">
        <v>1</v>
      </c>
      <c r="D63" s="8">
        <v>0</v>
      </c>
      <c r="E63" s="8">
        <v>1</v>
      </c>
      <c r="F63" s="8">
        <v>0</v>
      </c>
      <c r="G63" s="8">
        <v>0</v>
      </c>
      <c r="H63" s="8">
        <v>1</v>
      </c>
      <c r="I63" s="8">
        <v>0</v>
      </c>
      <c r="J63" s="8">
        <v>0</v>
      </c>
      <c r="K63" s="8">
        <v>0</v>
      </c>
      <c r="L63" s="17">
        <v>0</v>
      </c>
    </row>
    <row r="64" spans="1:12" s="3" customFormat="1" ht="15" customHeight="1">
      <c r="A64" s="8" t="s">
        <v>6</v>
      </c>
      <c r="B64" s="8">
        <v>378</v>
      </c>
      <c r="C64" s="8">
        <v>327</v>
      </c>
      <c r="D64" s="8">
        <v>399</v>
      </c>
      <c r="E64" s="8">
        <v>383</v>
      </c>
      <c r="F64" s="8">
        <v>616</v>
      </c>
      <c r="G64" s="8">
        <v>598</v>
      </c>
      <c r="H64" s="8">
        <v>354</v>
      </c>
      <c r="I64" s="8">
        <v>357</v>
      </c>
      <c r="J64" s="8">
        <v>379</v>
      </c>
      <c r="K64" s="10">
        <v>1091</v>
      </c>
      <c r="L64" s="18">
        <v>762</v>
      </c>
    </row>
    <row r="65" spans="1:12" s="3" customFormat="1" ht="14.25" customHeight="1">
      <c r="A65" s="8" t="s">
        <v>8</v>
      </c>
      <c r="B65" s="8">
        <v>186</v>
      </c>
      <c r="C65" s="8">
        <v>411</v>
      </c>
      <c r="D65" s="8">
        <v>400</v>
      </c>
      <c r="E65" s="8">
        <v>411</v>
      </c>
      <c r="F65" s="8">
        <v>650</v>
      </c>
      <c r="G65" s="8">
        <v>536</v>
      </c>
      <c r="H65" s="8">
        <v>301</v>
      </c>
      <c r="I65" s="8">
        <v>353</v>
      </c>
      <c r="J65" s="8">
        <v>253</v>
      </c>
      <c r="K65" s="10">
        <v>1078</v>
      </c>
      <c r="L65" s="18">
        <v>745</v>
      </c>
    </row>
    <row r="66" spans="1:12" s="3" customFormat="1" ht="36" customHeight="1">
      <c r="A66" s="25" t="s">
        <v>36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s="3" customFormat="1" ht="13.5">
      <c r="A67" s="28" t="s">
        <v>9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s="3" customFormat="1" ht="36" customHeight="1">
      <c r="A68" s="29" t="s">
        <v>12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s="3" customFormat="1" ht="36" customHeight="1">
      <c r="A69" s="25" t="s">
        <v>11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s="3" customFormat="1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12"/>
    </row>
    <row r="71" spans="1:12" s="3" customFormat="1" ht="12.75">
      <c r="A71" s="24" t="s">
        <v>19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s="15" customFormat="1" ht="12.75">
      <c r="A72" s="23" t="s">
        <v>20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24.75" customHeight="1">
      <c r="A73" s="23" t="s">
        <v>16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s="15" customFormat="1" ht="12" customHeight="1">
      <c r="A74" s="56" t="s">
        <v>18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s="15" customFormat="1" ht="24" customHeight="1">
      <c r="A75" s="30" t="s">
        <v>17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3" customFormat="1" ht="12.75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11"/>
    </row>
    <row r="77" spans="1:12" s="3" customFormat="1" ht="12.75">
      <c r="A77" s="1"/>
      <c r="B77" s="6"/>
      <c r="C77" s="6"/>
      <c r="D77" s="6"/>
      <c r="E77" s="6"/>
      <c r="F77" s="6"/>
      <c r="G77" s="6"/>
      <c r="H77" s="6"/>
      <c r="I77" s="6"/>
      <c r="J77" s="6"/>
      <c r="K77" s="6"/>
      <c r="L77" s="11"/>
    </row>
    <row r="78" spans="1:12" s="3" customFormat="1" ht="22.5" customHeight="1">
      <c r="A78" s="1"/>
      <c r="B78" s="9"/>
      <c r="C78" s="9"/>
      <c r="D78" s="9"/>
      <c r="E78" s="9"/>
      <c r="F78" s="9"/>
      <c r="G78" s="9"/>
      <c r="H78" s="9"/>
      <c r="I78" s="9"/>
      <c r="J78" s="9"/>
      <c r="K78" s="9"/>
      <c r="L78" s="13"/>
    </row>
    <row r="79" spans="1:12" s="3" customFormat="1" ht="12.7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14"/>
    </row>
  </sheetData>
  <mergeCells count="12">
    <mergeCell ref="A1:L1"/>
    <mergeCell ref="A35:L35"/>
    <mergeCell ref="A60:L60"/>
    <mergeCell ref="A66:L66"/>
    <mergeCell ref="A67:L67"/>
    <mergeCell ref="A68:L68"/>
    <mergeCell ref="A69:L69"/>
    <mergeCell ref="A71:L71"/>
    <mergeCell ref="A72:L72"/>
    <mergeCell ref="A73:L73"/>
    <mergeCell ref="A75:L75"/>
    <mergeCell ref="A74:L74"/>
  </mergeCells>
  <printOptions/>
  <pageMargins left="0.5" right="0.5" top="0.5" bottom="0.5" header="0.25" footer="0.25"/>
  <pageSetup fitToHeight="0" fitToWidth="1" horizontalDpi="300" verticalDpi="300" orientation="portrait" scale="66" r:id="rId1"/>
  <headerFooter alignWithMargins="0">
    <oddFooter>&amp;L&amp;D&amp;RNTS 2002, FTA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2002-10-31T23:23:54Z</cp:lastPrinted>
  <dcterms:created xsi:type="dcterms:W3CDTF">1999-07-20T12:04:07Z</dcterms:created>
  <dcterms:modified xsi:type="dcterms:W3CDTF">2002-12-10T18:02:08Z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