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2000" windowHeight="6060" activeTab="0"/>
  </bookViews>
  <sheets>
    <sheet name="Transit profile" sheetId="1" r:id="rId1"/>
  </sheets>
  <definedNames>
    <definedName name="_xlnm.Print_Area" localSheetId="0">'Transit profile'!$A$1:$R$186</definedName>
  </definedNames>
  <calcPr fullCalcOnLoad="1"/>
</workbook>
</file>

<file path=xl/sharedStrings.xml><?xml version="1.0" encoding="utf-8"?>
<sst xmlns="http://schemas.openxmlformats.org/spreadsheetml/2006/main" count="799" uniqueCount="100">
  <si>
    <t>N</t>
  </si>
  <si>
    <t>Federal</t>
  </si>
  <si>
    <t>~</t>
  </si>
  <si>
    <t>+</t>
  </si>
  <si>
    <t>Vanpool</t>
  </si>
  <si>
    <t>U</t>
  </si>
  <si>
    <t>&lt; 1</t>
  </si>
  <si>
    <t>NA</t>
  </si>
  <si>
    <t>Heavy rail</t>
  </si>
  <si>
    <t>Light rail</t>
  </si>
  <si>
    <t>Commuter rail</t>
  </si>
  <si>
    <t>Motor bus</t>
  </si>
  <si>
    <t>Trolley bus</t>
  </si>
  <si>
    <t>State and local</t>
  </si>
  <si>
    <t>Compressed natural gas</t>
  </si>
  <si>
    <t>Transit Profile</t>
  </si>
  <si>
    <t xml:space="preserve">N  </t>
  </si>
  <si>
    <t>Demand responsive</t>
  </si>
  <si>
    <t>Unless otherwise noted, refer to chapter tables for sources.</t>
  </si>
  <si>
    <t>SOURCES</t>
  </si>
  <si>
    <t>1960</t>
  </si>
  <si>
    <t>1970</t>
  </si>
  <si>
    <t>1980</t>
  </si>
  <si>
    <t>1990</t>
  </si>
  <si>
    <t>1994</t>
  </si>
  <si>
    <t>1995</t>
  </si>
  <si>
    <t>1996</t>
  </si>
  <si>
    <t>1997</t>
  </si>
  <si>
    <t xml:space="preserve">1998 </t>
  </si>
  <si>
    <t>1999</t>
  </si>
  <si>
    <r>
      <t>Other</t>
    </r>
    <r>
      <rPr>
        <vertAlign val="superscript"/>
        <sz val="11"/>
        <rFont val="Arial Narrow"/>
        <family val="2"/>
      </rPr>
      <t>b</t>
    </r>
  </si>
  <si>
    <r>
      <t>Ferryboat</t>
    </r>
    <r>
      <rPr>
        <vertAlign val="superscript"/>
        <sz val="11"/>
        <rFont val="Arial Narrow"/>
        <family val="2"/>
      </rPr>
      <t>a</t>
    </r>
  </si>
  <si>
    <r>
      <t>Operating assistance</t>
    </r>
    <r>
      <rPr>
        <vertAlign val="superscript"/>
        <sz val="11"/>
        <rFont val="Arial Narrow"/>
        <family val="2"/>
      </rPr>
      <t>c</t>
    </r>
    <r>
      <rPr>
        <sz val="11"/>
        <rFont val="Arial Narrow"/>
        <family val="2"/>
      </rPr>
      <t>, total</t>
    </r>
  </si>
  <si>
    <t>Operating revenues, total</t>
  </si>
  <si>
    <t>FINANCIAL</t>
  </si>
  <si>
    <t>INVENTORY</t>
  </si>
  <si>
    <t>PERFORMANCE</t>
  </si>
  <si>
    <r>
      <t>2000</t>
    </r>
  </si>
  <si>
    <r>
      <t>Passenger operating revenues</t>
    </r>
    <r>
      <rPr>
        <b/>
        <vertAlign val="superscript"/>
        <sz val="11"/>
        <rFont val="Arial Narrow"/>
        <family val="2"/>
      </rPr>
      <t>1</t>
    </r>
    <r>
      <rPr>
        <b/>
        <sz val="11"/>
        <rFont val="Arial Narrow"/>
        <family val="2"/>
      </rPr>
      <t>, total ($ millions)</t>
    </r>
  </si>
  <si>
    <t>Other operating revenue</t>
  </si>
  <si>
    <r>
      <t>Operating expenses</t>
    </r>
    <r>
      <rPr>
        <b/>
        <vertAlign val="superscript"/>
        <sz val="11"/>
        <rFont val="Arial Narrow"/>
        <family val="2"/>
      </rPr>
      <t>2</t>
    </r>
    <r>
      <rPr>
        <b/>
        <sz val="11"/>
        <rFont val="Arial Narrow"/>
        <family val="2"/>
      </rPr>
      <t>, total ($ millions)</t>
    </r>
  </si>
  <si>
    <r>
      <t>Average passenger revenue per passenger-mile</t>
    </r>
    <r>
      <rPr>
        <b/>
        <vertAlign val="superscript"/>
        <sz val="11"/>
        <rFont val="Arial Narrow"/>
        <family val="2"/>
      </rPr>
      <t>3</t>
    </r>
    <r>
      <rPr>
        <b/>
        <sz val="11"/>
        <rFont val="Arial Narrow"/>
        <family val="2"/>
      </rPr>
      <t>, all modes ($)</t>
    </r>
  </si>
  <si>
    <r>
      <t>Average passenger fare, per unlinked trip</t>
    </r>
    <r>
      <rPr>
        <b/>
        <vertAlign val="superscript"/>
        <sz val="11"/>
        <rFont val="Arial Narrow"/>
        <family val="2"/>
      </rPr>
      <t>4</t>
    </r>
    <r>
      <rPr>
        <b/>
        <sz val="11"/>
        <rFont val="Arial Narrow"/>
        <family val="2"/>
      </rPr>
      <t>, all modes ($)</t>
    </r>
  </si>
  <si>
    <r>
      <t>Vehicle-miles</t>
    </r>
    <r>
      <rPr>
        <b/>
        <vertAlign val="superscript"/>
        <sz val="11"/>
        <rFont val="Arial Narrow"/>
        <family val="2"/>
      </rPr>
      <t>8</t>
    </r>
    <r>
      <rPr>
        <b/>
        <sz val="11"/>
        <rFont val="Arial Narrow"/>
        <family val="2"/>
      </rPr>
      <t>, total (millions)</t>
    </r>
  </si>
  <si>
    <r>
      <t>Unlinked passenger trips</t>
    </r>
    <r>
      <rPr>
        <b/>
        <vertAlign val="superscript"/>
        <sz val="11"/>
        <rFont val="Arial Narrow"/>
        <family val="2"/>
      </rPr>
      <t>9</t>
    </r>
    <r>
      <rPr>
        <b/>
        <sz val="11"/>
        <rFont val="Arial Narrow"/>
        <family val="2"/>
      </rPr>
      <t>, total (millions)</t>
    </r>
  </si>
  <si>
    <r>
      <t>Passenger-miles</t>
    </r>
    <r>
      <rPr>
        <b/>
        <vertAlign val="superscript"/>
        <sz val="11"/>
        <rFont val="Arial Narrow"/>
        <family val="2"/>
      </rPr>
      <t>10</t>
    </r>
    <r>
      <rPr>
        <b/>
        <sz val="11"/>
        <rFont val="Arial Narrow"/>
        <family val="2"/>
      </rPr>
      <t>, total (millions)</t>
    </r>
  </si>
  <si>
    <r>
      <t>Average trip length</t>
    </r>
    <r>
      <rPr>
        <b/>
        <vertAlign val="superscript"/>
        <sz val="11"/>
        <rFont val="Arial Narrow"/>
        <family val="2"/>
      </rPr>
      <t>11</t>
    </r>
    <r>
      <rPr>
        <b/>
        <sz val="11"/>
        <rFont val="Arial Narrow"/>
        <family val="2"/>
      </rPr>
      <t>, all modes (miles)</t>
    </r>
  </si>
  <si>
    <r>
      <t>Average vehicle speed</t>
    </r>
    <r>
      <rPr>
        <b/>
        <vertAlign val="superscript"/>
        <sz val="11"/>
        <rFont val="Arial Narrow"/>
        <family val="2"/>
      </rPr>
      <t>12</t>
    </r>
    <r>
      <rPr>
        <b/>
        <sz val="11"/>
        <rFont val="Arial Narrow"/>
        <family val="2"/>
      </rPr>
      <t>, all modes (miles per hour)</t>
    </r>
  </si>
  <si>
    <r>
      <t>Energy consumption, diesel</t>
    </r>
    <r>
      <rPr>
        <b/>
        <vertAlign val="superscript"/>
        <sz val="11"/>
        <rFont val="Arial Narrow"/>
        <family val="2"/>
      </rPr>
      <t>13</t>
    </r>
    <r>
      <rPr>
        <b/>
        <sz val="11"/>
        <rFont val="Arial Narrow"/>
        <family val="2"/>
      </rPr>
      <t>, total (million gallons)</t>
    </r>
  </si>
  <si>
    <r>
      <t>Energy consumption, other</t>
    </r>
    <r>
      <rPr>
        <b/>
        <vertAlign val="superscript"/>
        <sz val="11"/>
        <rFont val="Arial Narrow"/>
        <family val="2"/>
      </rPr>
      <t>14</t>
    </r>
    <r>
      <rPr>
        <b/>
        <sz val="11"/>
        <rFont val="Arial Narrow"/>
        <family val="2"/>
      </rPr>
      <t>, total (million gallons)</t>
    </r>
  </si>
  <si>
    <r>
      <t>Energy consumption, electric power</t>
    </r>
    <r>
      <rPr>
        <b/>
        <vertAlign val="superscript"/>
        <sz val="11"/>
        <rFont val="Arial Narrow"/>
        <family val="2"/>
      </rPr>
      <t>15</t>
    </r>
    <r>
      <rPr>
        <b/>
        <sz val="11"/>
        <rFont val="Arial Narrow"/>
        <family val="2"/>
      </rPr>
      <t>, total (million kWh)</t>
    </r>
  </si>
  <si>
    <t>2001</t>
  </si>
  <si>
    <t>Passenger fares, total</t>
  </si>
  <si>
    <r>
      <t>Fatalities, all modes</t>
    </r>
    <r>
      <rPr>
        <b/>
        <vertAlign val="superscript"/>
        <sz val="11"/>
        <rFont val="Arial Narrow"/>
        <family val="2"/>
      </rPr>
      <t>16</t>
    </r>
  </si>
  <si>
    <r>
      <t>Incidents, all modes</t>
    </r>
    <r>
      <rPr>
        <b/>
        <vertAlign val="superscript"/>
        <sz val="11"/>
        <rFont val="Arial Narrow"/>
        <family val="2"/>
      </rPr>
      <t>16</t>
    </r>
  </si>
  <si>
    <r>
      <t>Number of vehicles</t>
    </r>
    <r>
      <rPr>
        <b/>
        <vertAlign val="superscript"/>
        <sz val="11"/>
        <rFont val="Arial Narrow"/>
        <family val="2"/>
      </rPr>
      <t xml:space="preserve"> 6</t>
    </r>
    <r>
      <rPr>
        <b/>
        <sz val="11"/>
        <rFont val="Arial Narrow"/>
        <family val="2"/>
      </rPr>
      <t>, total</t>
    </r>
  </si>
  <si>
    <r>
      <t>Number of systems</t>
    </r>
    <r>
      <rPr>
        <b/>
        <vertAlign val="superscript"/>
        <sz val="11"/>
        <rFont val="Arial Narrow"/>
        <family val="2"/>
      </rPr>
      <t>d, 5</t>
    </r>
    <r>
      <rPr>
        <b/>
        <sz val="11"/>
        <rFont val="Arial Narrow"/>
        <family val="2"/>
      </rPr>
      <t>, total</t>
    </r>
  </si>
  <si>
    <r>
      <t>Commuter rail</t>
    </r>
    <r>
      <rPr>
        <vertAlign val="superscript"/>
        <sz val="11"/>
        <rFont val="Arial Narrow"/>
        <family val="2"/>
      </rPr>
      <t>e</t>
    </r>
  </si>
  <si>
    <r>
      <t>Number of employees</t>
    </r>
    <r>
      <rPr>
        <b/>
        <vertAlign val="superscript"/>
        <sz val="11"/>
        <rFont val="Arial Narrow"/>
        <family val="2"/>
      </rPr>
      <t>f, 7</t>
    </r>
    <r>
      <rPr>
        <b/>
        <sz val="11"/>
        <rFont val="Arial Narrow"/>
        <family val="2"/>
      </rPr>
      <t>, total</t>
    </r>
  </si>
  <si>
    <r>
      <t>Other</t>
    </r>
    <r>
      <rPr>
        <vertAlign val="superscript"/>
        <sz val="11"/>
        <rFont val="Arial Narrow"/>
        <family val="2"/>
      </rPr>
      <t>g</t>
    </r>
  </si>
  <si>
    <r>
      <t>Gasoline and other nondiesel fuels</t>
    </r>
    <r>
      <rPr>
        <vertAlign val="superscript"/>
        <sz val="11"/>
        <rFont val="Arial Narrow"/>
        <family val="2"/>
      </rPr>
      <t>h</t>
    </r>
  </si>
  <si>
    <t>Other transit fatalities</t>
  </si>
  <si>
    <t>Other transit injuries</t>
  </si>
  <si>
    <t>Other transit incidents</t>
  </si>
  <si>
    <r>
      <t>Injured persons, all modes</t>
    </r>
    <r>
      <rPr>
        <b/>
        <vertAlign val="superscript"/>
        <sz val="11"/>
        <rFont val="Arial Narrow"/>
        <family val="2"/>
      </rPr>
      <t>i, 16</t>
    </r>
  </si>
  <si>
    <r>
      <t>a</t>
    </r>
    <r>
      <rPr>
        <sz val="9"/>
        <rFont val="Arial"/>
        <family val="2"/>
      </rPr>
      <t xml:space="preserve"> Excludes international, rural, rural interstate, island and urban park ferries.</t>
    </r>
  </si>
  <si>
    <r>
      <t>b</t>
    </r>
    <r>
      <rPr>
        <sz val="9"/>
        <rFont val="Arial"/>
        <family val="2"/>
      </rPr>
      <t xml:space="preserve"> Includes cable car, inclined plane, aerial tramway, monorail, vanpool, and automated guideway.</t>
    </r>
  </si>
  <si>
    <r>
      <t>c</t>
    </r>
    <r>
      <rPr>
        <sz val="9"/>
        <rFont val="Arial"/>
        <family val="2"/>
      </rPr>
      <t xml:space="preserve"> Beginning in 1992, local operating assistance and other revenue declined by about $500 million due to change in accounting procedures at the New York City Transit Authority. Beginning in 1992, total operating expense declined by about $400 million due to a change in accounting procedures at the New York City Transit Authority.</t>
    </r>
  </si>
  <si>
    <r>
      <t xml:space="preserve">d </t>
    </r>
    <r>
      <rPr>
        <sz val="9"/>
        <rFont val="Arial"/>
        <family val="2"/>
      </rPr>
      <t>The total figure represents the number of transit agencies.  It is not the sum of all modes since many agencies operate more than one mode.</t>
    </r>
  </si>
  <si>
    <r>
      <t xml:space="preserve">e  </t>
    </r>
    <r>
      <rPr>
        <sz val="9"/>
        <rFont val="Arial"/>
        <family val="2"/>
      </rPr>
      <t>Includes locomotives which make up roughly 10 percent of commuter rail vehicles.</t>
    </r>
  </si>
  <si>
    <r>
      <t xml:space="preserve">f  </t>
    </r>
    <r>
      <rPr>
        <sz val="9"/>
        <rFont val="Arial"/>
        <family val="2"/>
      </rPr>
      <t xml:space="preserve">Based on employee equivalents of 2,080 hours equals one employee; beginning in 1993, based on number of actual employees. </t>
    </r>
  </si>
  <si>
    <r>
      <t xml:space="preserve">g  </t>
    </r>
    <r>
      <rPr>
        <sz val="9"/>
        <rFont val="Arial"/>
        <family val="2"/>
      </rPr>
      <t>Includes cable car, inclined plane, aerial tramway, monorail, and automated guideway.</t>
    </r>
  </si>
  <si>
    <r>
      <t>h</t>
    </r>
    <r>
      <rPr>
        <sz val="9"/>
        <rFont val="Arial"/>
        <family val="2"/>
      </rPr>
      <t xml:space="preserve"> Liquefied natural gas, liquefied petroleum gas, methanol, propane, and other nondiesel fuels, except compressed natural gas.</t>
    </r>
  </si>
  <si>
    <r>
      <t xml:space="preserve">i </t>
    </r>
    <r>
      <rPr>
        <sz val="9"/>
        <rFont val="Arial"/>
        <family val="2"/>
      </rPr>
      <t xml:space="preserve">Beginning in 2002, the Federal Transit Administration changed the reporting threshold for injuries.  Before 2002, essentially all injuries had to be reported to the National Transit Database.  Beginning in 2002, only those injuries requiring immediate medical attention away from the scene of the incident are required to be reported.  </t>
    </r>
  </si>
  <si>
    <r>
      <t xml:space="preserve">j  </t>
    </r>
    <r>
      <rPr>
        <sz val="9"/>
        <rFont val="Arial"/>
        <family val="2"/>
      </rPr>
      <t>In 2002, the Federal Transit Administration defined major incidents as safety and/or security incidents resulting in: a fatality, two or more injuries transported for immediate medical treatment, property damage exceeding $25,000 (all property), main-line derailments, evacuations due to life safety, grade crossing collisions with injury or $7,500 damage, or rail transit vehicle collisions resulting in one or more injuries.</t>
    </r>
  </si>
  <si>
    <r>
      <t>5</t>
    </r>
    <r>
      <rPr>
        <sz val="9"/>
        <rFont val="Arial"/>
        <family val="2"/>
      </rPr>
      <t xml:space="preserve"> Ibid., table 2 and similar tables for prior years.</t>
    </r>
  </si>
  <si>
    <r>
      <t>SAFETY</t>
    </r>
    <r>
      <rPr>
        <b/>
        <vertAlign val="superscript"/>
        <sz val="11"/>
        <rFont val="Arial Narrow"/>
        <family val="2"/>
      </rPr>
      <t>k</t>
    </r>
  </si>
  <si>
    <r>
      <t>Transit highway-rail grade crossing fatalities</t>
    </r>
    <r>
      <rPr>
        <vertAlign val="superscript"/>
        <sz val="11"/>
        <rFont val="Arial Narrow"/>
        <family val="2"/>
      </rPr>
      <t>l, 17</t>
    </r>
  </si>
  <si>
    <r>
      <t>Transit highway-rail grade crossing injuries</t>
    </r>
    <r>
      <rPr>
        <vertAlign val="superscript"/>
        <sz val="11"/>
        <rFont val="Arial Narrow"/>
        <family val="2"/>
      </rPr>
      <t>l, 17</t>
    </r>
  </si>
  <si>
    <r>
      <t>Transit highway-rail grade crossing incidents</t>
    </r>
    <r>
      <rPr>
        <vertAlign val="superscript"/>
        <sz val="11"/>
        <rFont val="Arial Narrow"/>
        <family val="2"/>
      </rPr>
      <t>l, 17</t>
    </r>
  </si>
  <si>
    <r>
      <t xml:space="preserve">l </t>
    </r>
    <r>
      <rPr>
        <sz val="9"/>
        <rFont val="Arial"/>
        <family val="2"/>
      </rPr>
      <t>Transit highway-rail grade crossing fatalities, injuries, and incidents are the result of public transit rail mode operations excluding commuter rail. Almost all transit highway-rail crossings are light rail crossings. The heavy rail system in Chicago has 5 crossings. For the most part heavy rail operates on rights-of-way that do not include crossings.</t>
    </r>
  </si>
  <si>
    <r>
      <t>k</t>
    </r>
    <r>
      <rPr>
        <sz val="9"/>
        <rFont val="Arial"/>
        <family val="2"/>
      </rPr>
      <t>These data are for motor bus, commuter rail, heavy rail, light rail, automated guideway, demand response, and vanpool.</t>
    </r>
  </si>
  <si>
    <r>
      <t>Major incidents</t>
    </r>
    <r>
      <rPr>
        <vertAlign val="superscript"/>
        <sz val="11"/>
        <rFont val="Arial Narrow"/>
        <family val="2"/>
      </rPr>
      <t>j</t>
    </r>
  </si>
  <si>
    <r>
      <t>4</t>
    </r>
    <r>
      <rPr>
        <sz val="9"/>
        <rFont val="Arial"/>
        <family val="2"/>
      </rPr>
      <t xml:space="preserve"> Ibid., table 49 and similar tables in earlier years.</t>
    </r>
  </si>
  <si>
    <r>
      <t>11</t>
    </r>
    <r>
      <rPr>
        <sz val="9"/>
        <rFont val="Arial"/>
        <family val="2"/>
      </rPr>
      <t xml:space="preserve"> Ibid., table 9 and similar tables in earlier years.</t>
    </r>
  </si>
  <si>
    <r>
      <t>13</t>
    </r>
    <r>
      <rPr>
        <sz val="9"/>
        <rFont val="Arial"/>
        <family val="2"/>
      </rPr>
      <t xml:space="preserve"> Ibid., table 27 and similar tables in earlier years.</t>
    </r>
  </si>
  <si>
    <r>
      <t>14</t>
    </r>
    <r>
      <rPr>
        <sz val="9"/>
        <rFont val="Arial"/>
        <family val="2"/>
      </rPr>
      <t xml:space="preserve"> Ibid., table 28 and similar tables in earlier years. </t>
    </r>
  </si>
  <si>
    <r>
      <t>15</t>
    </r>
    <r>
      <rPr>
        <sz val="9"/>
        <rFont val="Arial"/>
        <family val="2"/>
      </rPr>
      <t xml:space="preserve"> Ibid., table 26 and similar tables in earlier years.</t>
    </r>
  </si>
  <si>
    <r>
      <t>3</t>
    </r>
    <r>
      <rPr>
        <sz val="9"/>
        <rFont val="Arial"/>
        <family val="2"/>
      </rPr>
      <t xml:space="preserve"> Ibid., tables 10, 48, 76 and similar tables in earlier years.</t>
    </r>
  </si>
  <si>
    <r>
      <t>KEY:</t>
    </r>
    <r>
      <rPr>
        <sz val="9"/>
        <rFont val="Arial"/>
        <family val="2"/>
      </rPr>
      <t xml:space="preserve">  ~ = included in heavy rail figure; + = included in motor bus figure; kWh = kilowatt hours; N = data do not exist; NA = not applicable; P = preliminary; R = revised; U = data are not available.</t>
    </r>
  </si>
  <si>
    <r>
      <t>16</t>
    </r>
    <r>
      <rPr>
        <sz val="9"/>
        <rFont val="Arial"/>
        <family val="2"/>
      </rPr>
      <t xml:space="preserve"> U.S. Department of Transportation, Federal Transit Administration, </t>
    </r>
    <r>
      <rPr>
        <i/>
        <sz val="9"/>
        <rFont val="Arial"/>
        <family val="2"/>
      </rPr>
      <t>Transit Safety and Security Statistics and Analysis Annual Report</t>
    </r>
    <r>
      <rPr>
        <sz val="9"/>
        <rFont val="Arial"/>
        <family val="2"/>
      </rPr>
      <t xml:space="preserve"> (previously Safety Management Information Statistics - SAMIS), Internet site http://transit-safety.volpe.dot.gov/Data/samis/default.asp Sept. 27. 2007. </t>
    </r>
  </si>
  <si>
    <r>
      <t>1</t>
    </r>
    <r>
      <rPr>
        <sz val="9"/>
        <rFont val="Arial"/>
        <family val="2"/>
      </rPr>
      <t xml:space="preserve"> American Public Transit Association, </t>
    </r>
    <r>
      <rPr>
        <i/>
        <sz val="9"/>
        <rFont val="Arial"/>
        <family val="2"/>
      </rPr>
      <t>Public Transportation Fact Book 2007</t>
    </r>
    <r>
      <rPr>
        <sz val="9"/>
        <rFont val="Arial"/>
        <family val="2"/>
      </rPr>
      <t>, (Washington, DC:  2007), tables 50, 52, 66 and similar tables in earlier years.</t>
    </r>
  </si>
  <si>
    <r>
      <t>2</t>
    </r>
    <r>
      <rPr>
        <sz val="9"/>
        <rFont val="Arial"/>
        <family val="2"/>
      </rPr>
      <t xml:space="preserve"> Ibid., tables 48, 66 and similar tables in earlier years.</t>
    </r>
  </si>
  <si>
    <r>
      <t xml:space="preserve">12 </t>
    </r>
    <r>
      <rPr>
        <sz val="9"/>
        <rFont val="Arial"/>
        <family val="2"/>
      </rPr>
      <t>Ibid., 13 and similar tables in earlier years.</t>
    </r>
  </si>
  <si>
    <r>
      <t>10</t>
    </r>
    <r>
      <rPr>
        <sz val="9"/>
        <rFont val="Arial"/>
        <family val="2"/>
      </rPr>
      <t xml:space="preserve"> Ibid., tables 7, 66 and similar tables in earlier years.</t>
    </r>
  </si>
  <si>
    <r>
      <t>9</t>
    </r>
    <r>
      <rPr>
        <sz val="9"/>
        <rFont val="Arial"/>
        <family val="2"/>
      </rPr>
      <t xml:space="preserve"> Ibid., tables 6, 66 and similar tables in earlier years.</t>
    </r>
  </si>
  <si>
    <r>
      <t>8</t>
    </r>
    <r>
      <rPr>
        <sz val="9"/>
        <rFont val="Arial"/>
        <family val="2"/>
      </rPr>
      <t xml:space="preserve"> Ibid., tables 11, 66 and similar tables in earlier years.</t>
    </r>
  </si>
  <si>
    <r>
      <t>7</t>
    </r>
    <r>
      <rPr>
        <sz val="9"/>
        <rFont val="Arial"/>
        <family val="2"/>
      </rPr>
      <t xml:space="preserve"> Ibid., tables 22, 66 and similar tables in earlier years.</t>
    </r>
  </si>
  <si>
    <r>
      <t>6</t>
    </r>
    <r>
      <rPr>
        <sz val="9"/>
        <rFont val="Arial"/>
        <family val="2"/>
      </rPr>
      <t xml:space="preserve"> Ibid., tables 17, 66 and similar tables in earlier years.</t>
    </r>
  </si>
  <si>
    <r>
      <t>17</t>
    </r>
    <r>
      <rPr>
        <sz val="9"/>
        <rFont val="Arial"/>
        <family val="2"/>
      </rPr>
      <t xml:space="preserve"> U.S. Department of Transportation, Federal Transit Administration, Office of Program Management, personal communication as of Sept. 5, 2007. </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</si>
</sst>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
    <numFmt numFmtId="166" formatCode="#,##0.0"/>
    <numFmt numFmtId="167" formatCode="_(* #,##0.0_);_(* \(#,##0.0\);_(* &quot;-&quot;??_);_(@_)"/>
    <numFmt numFmtId="168" formatCode="_(* #,##0_);_(* \(#,##0\);_(* &quot;-&quot;??_);_(@_)"/>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quot;(R)&quot;\ #,##0.00;&quot;(R) -&quot;#,##0.00;&quot;(R) &quot;\ 0.00"/>
    <numFmt numFmtId="175" formatCode="&quot;(R)&quot;\ #,##0;&quot;(R) -&quot;#,##0;&quot;(R) &quot;\ 0"/>
    <numFmt numFmtId="176" formatCode="&quot;(P)&quot;\ #,##0;&quot;(P) -&quot;#,##0;&quot;(P) &quot;\ 0"/>
    <numFmt numFmtId="177" formatCode="&quot;(P)&quot;\ ###0;&quot;(P) -&quot;#,##0;&quot;(P) &quot;\ 0"/>
    <numFmt numFmtId="178" formatCode="&quot;(P)&quot;\ ###0;&quot;(P) -&quot;###0;&quot;(P) &quot;\ 0"/>
    <numFmt numFmtId="179" formatCode="&quot;(R) &quot;#,##0;&quot;(R) &quot;\-#,##0;&quot;(R) &quot;0"/>
    <numFmt numFmtId="180" formatCode="#,##0.000"/>
    <numFmt numFmtId="181" formatCode="#,##0.0000000000000"/>
    <numFmt numFmtId="182" formatCode="#,##0.000000000000"/>
    <numFmt numFmtId="183" formatCode="#,##0.00000000000"/>
    <numFmt numFmtId="184" formatCode="#,##0.0000000000"/>
    <numFmt numFmtId="185" formatCode="#,##0.000000000"/>
    <numFmt numFmtId="186" formatCode="#,##0.00000000"/>
    <numFmt numFmtId="187" formatCode="#,##0.0000000"/>
    <numFmt numFmtId="188" formatCode="#,##0.000000"/>
    <numFmt numFmtId="189" formatCode="#,##0.00000"/>
    <numFmt numFmtId="190" formatCode="#,##0.0000"/>
  </numFmts>
  <fonts count="31">
    <font>
      <sz val="10"/>
      <name val="Arial"/>
      <family val="0"/>
    </font>
    <font>
      <b/>
      <sz val="10"/>
      <name val="Arial"/>
      <family val="0"/>
    </font>
    <font>
      <i/>
      <sz val="10"/>
      <name val="Arial"/>
      <family val="0"/>
    </font>
    <font>
      <b/>
      <i/>
      <sz val="10"/>
      <name val="Arial"/>
      <family val="0"/>
    </font>
    <font>
      <sz val="8"/>
      <name val="Helv"/>
      <family val="0"/>
    </font>
    <font>
      <vertAlign val="superscript"/>
      <sz val="12"/>
      <name val="Helv"/>
      <family val="0"/>
    </font>
    <font>
      <sz val="9"/>
      <name val="Helv"/>
      <family val="0"/>
    </font>
    <font>
      <b/>
      <sz val="9"/>
      <name val="Helv"/>
      <family val="0"/>
    </font>
    <font>
      <b/>
      <sz val="14"/>
      <name val="Helv"/>
      <family val="0"/>
    </font>
    <font>
      <b/>
      <sz val="10"/>
      <name val="Helv"/>
      <family val="0"/>
    </font>
    <font>
      <b/>
      <sz val="12"/>
      <name val="Helv"/>
      <family val="0"/>
    </font>
    <font>
      <sz val="10"/>
      <name val="Helv"/>
      <family val="0"/>
    </font>
    <font>
      <vertAlign val="superscript"/>
      <sz val="10"/>
      <name val="Helv"/>
      <family val="0"/>
    </font>
    <font>
      <b/>
      <sz val="8"/>
      <name val="Helv"/>
      <family val="0"/>
    </font>
    <font>
      <b/>
      <sz val="11"/>
      <name val="Arial Narrow"/>
      <family val="2"/>
    </font>
    <font>
      <b/>
      <vertAlign val="superscript"/>
      <sz val="11"/>
      <name val="Arial Narrow"/>
      <family val="2"/>
    </font>
    <font>
      <sz val="11"/>
      <name val="Arial Narrow"/>
      <family val="2"/>
    </font>
    <font>
      <vertAlign val="superscript"/>
      <sz val="11"/>
      <name val="Arial Narrow"/>
      <family val="2"/>
    </font>
    <font>
      <b/>
      <sz val="11"/>
      <name val="Arial"/>
      <family val="2"/>
    </font>
    <font>
      <sz val="11"/>
      <name val="Arial"/>
      <family val="2"/>
    </font>
    <font>
      <vertAlign val="superscript"/>
      <sz val="11"/>
      <name val="Arial"/>
      <family val="2"/>
    </font>
    <font>
      <i/>
      <sz val="11"/>
      <name val="Arial"/>
      <family val="0"/>
    </font>
    <font>
      <sz val="11"/>
      <name val="Times New Roman"/>
      <family val="1"/>
    </font>
    <font>
      <b/>
      <sz val="9"/>
      <name val="Arial"/>
      <family val="2"/>
    </font>
    <font>
      <sz val="9"/>
      <name val="Arial"/>
      <family val="2"/>
    </font>
    <font>
      <vertAlign val="superscript"/>
      <sz val="9"/>
      <name val="Arial"/>
      <family val="2"/>
    </font>
    <font>
      <i/>
      <sz val="9"/>
      <name val="Arial"/>
      <family val="2"/>
    </font>
    <font>
      <u val="single"/>
      <sz val="10"/>
      <color indexed="12"/>
      <name val="Arial"/>
      <family val="0"/>
    </font>
    <font>
      <u val="single"/>
      <sz val="10"/>
      <color indexed="36"/>
      <name val="Arial"/>
      <family val="0"/>
    </font>
    <font>
      <b/>
      <sz val="12"/>
      <name val="Arial"/>
      <family val="2"/>
    </font>
    <font>
      <sz val="12"/>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10">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mediu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lignment horizontal="right"/>
      <protection/>
    </xf>
    <xf numFmtId="0" fontId="28" fillId="0" borderId="0" applyNumberFormat="0" applyFill="0" applyBorder="0" applyAlignment="0" applyProtection="0"/>
    <xf numFmtId="0" fontId="9" fillId="0" borderId="2">
      <alignment horizontal="left" vertical="center"/>
      <protection/>
    </xf>
    <xf numFmtId="0" fontId="9" fillId="2" borderId="0">
      <alignment horizontal="centerContinuous" wrapText="1"/>
      <protection/>
    </xf>
    <xf numFmtId="49" fontId="7" fillId="2" borderId="3">
      <alignment horizontal="left" vertical="center"/>
      <protection/>
    </xf>
    <xf numFmtId="0" fontId="27" fillId="0" borderId="0" applyNumberFormat="0" applyFill="0" applyBorder="0" applyAlignment="0" applyProtection="0"/>
    <xf numFmtId="9" fontId="0" fillId="0" borderId="0" applyFont="0" applyFill="0" applyBorder="0" applyAlignment="0" applyProtection="0"/>
    <xf numFmtId="0" fontId="4" fillId="0" borderId="0">
      <alignment horizontal="right"/>
      <protection/>
    </xf>
    <xf numFmtId="49" fontId="4" fillId="0" borderId="0">
      <alignment horizontal="center"/>
      <protection/>
    </xf>
    <xf numFmtId="0" fontId="5" fillId="0" borderId="0">
      <alignment horizontal="right"/>
      <protection/>
    </xf>
    <xf numFmtId="0" fontId="4" fillId="0" borderId="0">
      <alignment horizontal="left"/>
      <protection/>
    </xf>
    <xf numFmtId="49" fontId="12" fillId="0" borderId="1" applyFill="0">
      <alignment horizontal="left"/>
      <protection/>
    </xf>
    <xf numFmtId="164" fontId="6" fillId="0" borderId="0" applyNumberFormat="0">
      <alignment horizontal="right"/>
      <protection/>
    </xf>
    <xf numFmtId="4" fontId="6" fillId="0" borderId="2">
      <alignment horizontal="right"/>
      <protection/>
    </xf>
    <xf numFmtId="0" fontId="7" fillId="3" borderId="0">
      <alignment horizontal="centerContinuous" vertical="center" wrapText="1"/>
      <protection/>
    </xf>
    <xf numFmtId="0" fontId="7" fillId="0" borderId="4">
      <alignment horizontal="left" vertical="center"/>
      <protection/>
    </xf>
    <xf numFmtId="0" fontId="8" fillId="0" borderId="0">
      <alignment horizontal="left" vertical="top"/>
      <protection/>
    </xf>
    <xf numFmtId="0" fontId="9" fillId="0" borderId="0">
      <alignment horizontal="left"/>
      <protection/>
    </xf>
    <xf numFmtId="0" fontId="10" fillId="0" borderId="0">
      <alignment horizontal="left"/>
      <protection/>
    </xf>
    <xf numFmtId="0" fontId="11" fillId="0" borderId="0">
      <alignment horizontal="left"/>
      <protection/>
    </xf>
    <xf numFmtId="0" fontId="8" fillId="0" borderId="0">
      <alignment horizontal="left" vertical="top"/>
      <protection/>
    </xf>
    <xf numFmtId="0" fontId="10" fillId="0" borderId="0">
      <alignment horizontal="left"/>
      <protection/>
    </xf>
    <xf numFmtId="0" fontId="11" fillId="0" borderId="0">
      <alignment horizontal="left"/>
      <protection/>
    </xf>
    <xf numFmtId="49" fontId="4" fillId="0" borderId="1">
      <alignment horizontal="left"/>
      <protection/>
    </xf>
    <xf numFmtId="0" fontId="13" fillId="0" borderId="1">
      <alignment horizontal="left"/>
      <protection/>
    </xf>
    <xf numFmtId="0" fontId="9" fillId="0" borderId="0">
      <alignment horizontal="left" vertical="center"/>
      <protection/>
    </xf>
  </cellStyleXfs>
  <cellXfs count="93">
    <xf numFmtId="0" fontId="0" fillId="0" borderId="0" xfId="0" applyAlignment="1">
      <alignment/>
    </xf>
    <xf numFmtId="3" fontId="16" fillId="0" borderId="0" xfId="19" applyFont="1" applyFill="1" applyBorder="1">
      <alignment horizontal="right"/>
      <protection/>
    </xf>
    <xf numFmtId="3" fontId="16" fillId="0" borderId="0" xfId="19" applyNumberFormat="1" applyFont="1" applyFill="1" applyBorder="1">
      <alignment horizontal="right"/>
      <protection/>
    </xf>
    <xf numFmtId="3" fontId="16" fillId="0" borderId="5" xfId="19" applyFont="1" applyFill="1" applyBorder="1" applyAlignment="1">
      <alignment horizontal="right" vertical="center"/>
      <protection/>
    </xf>
    <xf numFmtId="0" fontId="16" fillId="0" borderId="5" xfId="0" applyFont="1" applyFill="1" applyBorder="1" applyAlignment="1">
      <alignment/>
    </xf>
    <xf numFmtId="3" fontId="16" fillId="0" borderId="5" xfId="0" applyNumberFormat="1" applyFont="1" applyFill="1" applyBorder="1" applyAlignment="1">
      <alignment/>
    </xf>
    <xf numFmtId="3" fontId="16" fillId="0" borderId="0" xfId="19" applyFont="1" applyFill="1" applyBorder="1" applyAlignment="1">
      <alignment horizontal="right"/>
      <protection/>
    </xf>
    <xf numFmtId="3" fontId="16" fillId="0" borderId="0" xfId="0" applyNumberFormat="1" applyFont="1" applyFill="1" applyBorder="1" applyAlignment="1">
      <alignment horizontal="right"/>
    </xf>
    <xf numFmtId="0" fontId="16" fillId="0" borderId="5" xfId="0" applyFont="1" applyFill="1" applyBorder="1" applyAlignment="1">
      <alignment vertical="center"/>
    </xf>
    <xf numFmtId="49" fontId="14" fillId="0" borderId="3" xfId="42" applyFont="1" applyFill="1" applyBorder="1" applyAlignment="1">
      <alignment horizontal="left" vertical="center"/>
      <protection/>
    </xf>
    <xf numFmtId="49" fontId="16" fillId="0" borderId="0" xfId="42" applyFont="1" applyFill="1" applyBorder="1" applyAlignment="1">
      <alignment horizontal="left" indent="1"/>
      <protection/>
    </xf>
    <xf numFmtId="49" fontId="14" fillId="0" borderId="6" xfId="42" applyFont="1" applyFill="1" applyBorder="1">
      <alignment horizontal="left"/>
      <protection/>
    </xf>
    <xf numFmtId="49" fontId="16" fillId="0" borderId="0" xfId="42" applyFont="1" applyFill="1" applyBorder="1" applyAlignment="1">
      <alignment horizontal="left" indent="2"/>
      <protection/>
    </xf>
    <xf numFmtId="49" fontId="16" fillId="0" borderId="0" xfId="42" applyFont="1" applyFill="1" applyBorder="1" applyAlignment="1">
      <alignment horizontal="left" indent="3"/>
      <protection/>
    </xf>
    <xf numFmtId="49" fontId="14" fillId="0" borderId="0" xfId="42" applyFont="1" applyFill="1" applyBorder="1">
      <alignment horizontal="left"/>
      <protection/>
    </xf>
    <xf numFmtId="49" fontId="16" fillId="0" borderId="0" xfId="42" applyFont="1" applyFill="1" applyBorder="1" applyAlignment="1">
      <alignment horizontal="left" vertical="top" indent="2"/>
      <protection/>
    </xf>
    <xf numFmtId="49" fontId="16" fillId="0" borderId="0" xfId="42" applyFont="1" applyFill="1" applyBorder="1" applyAlignment="1">
      <alignment horizontal="left" vertical="top" indent="1"/>
      <protection/>
    </xf>
    <xf numFmtId="2" fontId="16" fillId="0" borderId="0" xfId="42" applyNumberFormat="1" applyFont="1" applyFill="1" applyBorder="1" applyAlignment="1">
      <alignment horizontal="left" vertical="top" indent="2"/>
      <protection/>
    </xf>
    <xf numFmtId="49" fontId="16" fillId="0" borderId="0" xfId="42" applyFont="1" applyFill="1" applyBorder="1" applyAlignment="1">
      <alignment horizontal="left" vertical="top" indent="3"/>
      <protection/>
    </xf>
    <xf numFmtId="49" fontId="14" fillId="0" borderId="5" xfId="42" applyFont="1" applyFill="1" applyBorder="1" applyAlignment="1">
      <alignment horizontal="left" vertical="top"/>
      <protection/>
    </xf>
    <xf numFmtId="49" fontId="14" fillId="0" borderId="0" xfId="42" applyFont="1" applyFill="1" applyBorder="1" applyAlignment="1">
      <alignment horizontal="left"/>
      <protection/>
    </xf>
    <xf numFmtId="2" fontId="16" fillId="0" borderId="0" xfId="42" applyNumberFormat="1" applyFont="1" applyFill="1" applyBorder="1" applyAlignment="1">
      <alignment horizontal="left" vertical="top" indent="1"/>
      <protection/>
    </xf>
    <xf numFmtId="49" fontId="16" fillId="0" borderId="3" xfId="42" applyFont="1" applyFill="1" applyBorder="1" applyAlignment="1">
      <alignment horizontal="left" vertical="top" indent="1"/>
      <protection/>
    </xf>
    <xf numFmtId="2" fontId="16" fillId="0" borderId="0" xfId="42" applyNumberFormat="1" applyFont="1" applyFill="1" applyBorder="1" applyAlignment="1">
      <alignment horizontal="left" indent="1"/>
      <protection/>
    </xf>
    <xf numFmtId="2" fontId="16" fillId="0" borderId="3" xfId="42" applyNumberFormat="1" applyFont="1" applyFill="1" applyBorder="1" applyAlignment="1">
      <alignment horizontal="left" vertical="top" indent="1"/>
      <protection/>
    </xf>
    <xf numFmtId="2" fontId="14" fillId="0" borderId="6" xfId="42" applyNumberFormat="1" applyFont="1" applyFill="1" applyBorder="1">
      <alignment horizontal="left"/>
      <protection/>
    </xf>
    <xf numFmtId="2" fontId="14" fillId="0" borderId="0" xfId="42" applyNumberFormat="1" applyFont="1" applyFill="1" applyBorder="1">
      <alignment horizontal="left"/>
      <protection/>
    </xf>
    <xf numFmtId="0" fontId="16" fillId="0" borderId="0" xfId="0" applyFont="1" applyFill="1" applyBorder="1" applyAlignment="1">
      <alignment/>
    </xf>
    <xf numFmtId="0" fontId="19" fillId="0" borderId="0" xfId="0" applyFont="1" applyFill="1" applyBorder="1" applyAlignment="1">
      <alignment/>
    </xf>
    <xf numFmtId="0" fontId="19" fillId="0" borderId="0" xfId="0" applyFont="1" applyFill="1" applyBorder="1" applyAlignment="1" applyProtection="1">
      <alignment/>
      <protection/>
    </xf>
    <xf numFmtId="0" fontId="18" fillId="0" borderId="0" xfId="0" applyFont="1" applyFill="1" applyBorder="1" applyAlignment="1">
      <alignment/>
    </xf>
    <xf numFmtId="0" fontId="19" fillId="0" borderId="0" xfId="0" applyFont="1" applyFill="1" applyBorder="1" applyAlignment="1">
      <alignment horizontal="left"/>
    </xf>
    <xf numFmtId="2" fontId="19" fillId="0" borderId="0" xfId="0" applyNumberFormat="1" applyFont="1" applyFill="1" applyBorder="1" applyAlignment="1">
      <alignment/>
    </xf>
    <xf numFmtId="0" fontId="19" fillId="0" borderId="1" xfId="0" applyFont="1" applyFill="1" applyBorder="1" applyAlignment="1">
      <alignment/>
    </xf>
    <xf numFmtId="0" fontId="19" fillId="0" borderId="5" xfId="0" applyFont="1" applyFill="1" applyBorder="1" applyAlignment="1">
      <alignment/>
    </xf>
    <xf numFmtId="3" fontId="19" fillId="0" borderId="0" xfId="19" applyFont="1" applyFill="1" applyBorder="1">
      <alignment horizontal="right"/>
      <protection/>
    </xf>
    <xf numFmtId="0" fontId="21" fillId="0" borderId="0" xfId="0" applyFont="1" applyFill="1" applyAlignment="1">
      <alignment/>
    </xf>
    <xf numFmtId="0" fontId="22" fillId="0" borderId="0" xfId="0" applyFont="1" applyFill="1" applyBorder="1" applyAlignment="1">
      <alignment/>
    </xf>
    <xf numFmtId="0" fontId="22" fillId="0" borderId="0" xfId="0" applyFont="1" applyFill="1" applyBorder="1" applyAlignment="1">
      <alignment/>
    </xf>
    <xf numFmtId="3" fontId="22" fillId="0" borderId="0" xfId="0" applyNumberFormat="1" applyFont="1" applyFill="1" applyBorder="1" applyAlignment="1">
      <alignment/>
    </xf>
    <xf numFmtId="0" fontId="19" fillId="0" borderId="7" xfId="0" applyFont="1" applyFill="1" applyBorder="1" applyAlignment="1">
      <alignment/>
    </xf>
    <xf numFmtId="0" fontId="20" fillId="0" borderId="0" xfId="0" applyFont="1" applyFill="1" applyBorder="1" applyAlignment="1">
      <alignment horizontal="left"/>
    </xf>
    <xf numFmtId="49" fontId="14" fillId="0" borderId="3" xfId="23" applyFont="1" applyFill="1" applyBorder="1" applyAlignment="1" applyProtection="1">
      <alignment horizontal="left"/>
      <protection/>
    </xf>
    <xf numFmtId="0" fontId="16" fillId="0" borderId="0" xfId="0" applyFont="1" applyFill="1" applyBorder="1" applyAlignment="1">
      <alignment horizontal="left"/>
    </xf>
    <xf numFmtId="1" fontId="14" fillId="0" borderId="8" xfId="0" applyNumberFormat="1" applyFont="1" applyFill="1" applyBorder="1" applyAlignment="1" applyProtection="1">
      <alignment horizontal="center"/>
      <protection/>
    </xf>
    <xf numFmtId="1" fontId="14" fillId="0" borderId="3" xfId="22" applyNumberFormat="1" applyFont="1" applyFill="1" applyBorder="1" applyAlignment="1" applyProtection="1">
      <alignment horizontal="center"/>
      <protection/>
    </xf>
    <xf numFmtId="1" fontId="16" fillId="0" borderId="0" xfId="19" applyNumberFormat="1" applyFont="1" applyFill="1" applyBorder="1">
      <alignment horizontal="right"/>
      <protection/>
    </xf>
    <xf numFmtId="1" fontId="16" fillId="0" borderId="0" xfId="19" applyNumberFormat="1" applyFont="1" applyFill="1" applyBorder="1" applyAlignment="1">
      <alignment horizontal="right"/>
      <protection/>
    </xf>
    <xf numFmtId="1" fontId="16" fillId="0" borderId="0" xfId="0" applyNumberFormat="1" applyFont="1" applyFill="1" applyBorder="1" applyAlignment="1">
      <alignment horizontal="right"/>
    </xf>
    <xf numFmtId="1" fontId="14" fillId="0" borderId="5" xfId="22" applyNumberFormat="1" applyFont="1" applyFill="1" applyBorder="1" applyAlignment="1" applyProtection="1">
      <alignment horizontal="right" vertical="center"/>
      <protection/>
    </xf>
    <xf numFmtId="1" fontId="15" fillId="0" borderId="5" xfId="0" applyNumberFormat="1" applyFont="1" applyFill="1" applyBorder="1" applyAlignment="1" applyProtection="1">
      <alignment horizontal="center" vertical="top"/>
      <protection/>
    </xf>
    <xf numFmtId="1" fontId="16" fillId="0" borderId="3" xfId="0" applyNumberFormat="1" applyFont="1" applyFill="1" applyBorder="1" applyAlignment="1">
      <alignment/>
    </xf>
    <xf numFmtId="1" fontId="19" fillId="0" borderId="3" xfId="0" applyNumberFormat="1" applyFont="1" applyFill="1" applyBorder="1" applyAlignment="1">
      <alignment/>
    </xf>
    <xf numFmtId="2" fontId="16" fillId="0" borderId="0" xfId="19" applyNumberFormat="1" applyFont="1" applyFill="1" applyBorder="1">
      <alignment horizontal="right"/>
      <protection/>
    </xf>
    <xf numFmtId="2" fontId="16" fillId="0" borderId="0" xfId="0" applyNumberFormat="1" applyFont="1" applyFill="1" applyBorder="1" applyAlignment="1">
      <alignment horizontal="right"/>
    </xf>
    <xf numFmtId="3" fontId="16" fillId="0" borderId="0" xfId="19" applyNumberFormat="1" applyFont="1" applyFill="1" applyBorder="1" applyAlignment="1">
      <alignment horizontal="right"/>
      <protection/>
    </xf>
    <xf numFmtId="3" fontId="16" fillId="0" borderId="0" xfId="0" applyNumberFormat="1" applyFont="1" applyFill="1" applyBorder="1" applyAlignment="1">
      <alignment/>
    </xf>
    <xf numFmtId="3" fontId="16" fillId="0" borderId="3" xfId="19" applyNumberFormat="1" applyFont="1" applyFill="1" applyBorder="1">
      <alignment horizontal="right"/>
      <protection/>
    </xf>
    <xf numFmtId="3" fontId="16" fillId="0" borderId="3" xfId="19" applyNumberFormat="1" applyFont="1" applyFill="1" applyBorder="1" applyAlignment="1">
      <alignment horizontal="right"/>
      <protection/>
    </xf>
    <xf numFmtId="3" fontId="16" fillId="0" borderId="3" xfId="0" applyNumberFormat="1" applyFont="1" applyFill="1" applyBorder="1" applyAlignment="1">
      <alignment horizontal="right"/>
    </xf>
    <xf numFmtId="2" fontId="16" fillId="0" borderId="0" xfId="0" applyNumberFormat="1" applyFont="1" applyFill="1" applyBorder="1" applyAlignment="1">
      <alignment/>
    </xf>
    <xf numFmtId="2" fontId="16" fillId="0" borderId="3" xfId="0" applyNumberFormat="1" applyFont="1" applyFill="1" applyBorder="1" applyAlignment="1">
      <alignment/>
    </xf>
    <xf numFmtId="49" fontId="14" fillId="0" borderId="0" xfId="42" applyFont="1" applyFill="1" applyBorder="1" applyAlignment="1">
      <alignment horizontal="left" vertical="top"/>
      <protection/>
    </xf>
    <xf numFmtId="3" fontId="16" fillId="0" borderId="3" xfId="0" applyNumberFormat="1" applyFont="1" applyFill="1" applyBorder="1" applyAlignment="1">
      <alignment/>
    </xf>
    <xf numFmtId="1" fontId="16" fillId="0" borderId="0" xfId="0" applyNumberFormat="1" applyFont="1" applyFill="1" applyBorder="1" applyAlignment="1">
      <alignment/>
    </xf>
    <xf numFmtId="3" fontId="16" fillId="0" borderId="9" xfId="0" applyNumberFormat="1" applyFont="1" applyFill="1" applyBorder="1" applyAlignment="1">
      <alignment horizontal="right"/>
    </xf>
    <xf numFmtId="0" fontId="23" fillId="0" borderId="0" xfId="0" applyFont="1" applyFill="1" applyAlignment="1">
      <alignment wrapText="1"/>
    </xf>
    <xf numFmtId="4" fontId="16" fillId="0" borderId="0" xfId="42" applyNumberFormat="1" applyFont="1" applyFill="1" applyBorder="1" applyAlignment="1">
      <alignment horizontal="left" indent="1"/>
      <protection/>
    </xf>
    <xf numFmtId="0" fontId="16" fillId="0" borderId="0" xfId="0" applyFont="1" applyFill="1" applyBorder="1" applyAlignment="1">
      <alignment horizontal="right"/>
    </xf>
    <xf numFmtId="180" fontId="19" fillId="0" borderId="0" xfId="0" applyNumberFormat="1" applyFont="1" applyFill="1" applyBorder="1" applyAlignment="1">
      <alignment/>
    </xf>
    <xf numFmtId="175" fontId="16" fillId="0" borderId="0" xfId="0" applyNumberFormat="1" applyFont="1" applyFill="1" applyBorder="1" applyAlignment="1">
      <alignment/>
    </xf>
    <xf numFmtId="179" fontId="16" fillId="0" borderId="0" xfId="0" applyNumberFormat="1" applyFont="1" applyFill="1" applyBorder="1" applyAlignment="1">
      <alignment/>
    </xf>
    <xf numFmtId="3" fontId="16" fillId="0" borderId="0" xfId="0" applyNumberFormat="1" applyFont="1" applyFill="1" applyBorder="1" applyAlignment="1">
      <alignment/>
    </xf>
    <xf numFmtId="2" fontId="16" fillId="0" borderId="0" xfId="19" applyNumberFormat="1" applyFont="1" applyFill="1" applyBorder="1" applyAlignment="1">
      <alignment horizontal="right"/>
      <protection/>
    </xf>
    <xf numFmtId="2" fontId="16" fillId="0" borderId="3" xfId="0" applyNumberFormat="1" applyFont="1" applyFill="1" applyBorder="1" applyAlignment="1">
      <alignment horizontal="right"/>
    </xf>
    <xf numFmtId="1" fontId="16" fillId="0" borderId="3" xfId="0" applyNumberFormat="1" applyFont="1" applyFill="1" applyBorder="1" applyAlignment="1">
      <alignment horizontal="right"/>
    </xf>
    <xf numFmtId="0" fontId="16" fillId="0" borderId="5" xfId="0" applyFont="1" applyFill="1" applyBorder="1" applyAlignment="1">
      <alignment horizontal="right"/>
    </xf>
    <xf numFmtId="3" fontId="19" fillId="0" borderId="0" xfId="0" applyNumberFormat="1" applyFont="1" applyFill="1" applyBorder="1" applyAlignment="1">
      <alignment/>
    </xf>
    <xf numFmtId="166" fontId="19" fillId="0" borderId="0" xfId="0" applyNumberFormat="1" applyFont="1" applyFill="1" applyBorder="1" applyAlignment="1">
      <alignment/>
    </xf>
    <xf numFmtId="175" fontId="16" fillId="0" borderId="3" xfId="0" applyNumberFormat="1" applyFont="1" applyFill="1" applyBorder="1" applyAlignment="1">
      <alignment/>
    </xf>
    <xf numFmtId="0" fontId="29" fillId="0" borderId="9" xfId="39" applyFont="1" applyFill="1" applyBorder="1" applyAlignment="1">
      <alignment wrapText="1"/>
      <protection/>
    </xf>
    <xf numFmtId="0" fontId="30" fillId="0" borderId="9" xfId="0" applyFont="1" applyFill="1" applyBorder="1" applyAlignment="1">
      <alignment wrapText="1"/>
    </xf>
    <xf numFmtId="0" fontId="0" fillId="0" borderId="9" xfId="0" applyFill="1" applyBorder="1" applyAlignment="1">
      <alignment wrapText="1"/>
    </xf>
    <xf numFmtId="2" fontId="23" fillId="0" borderId="7" xfId="42" applyNumberFormat="1" applyFont="1" applyFill="1" applyBorder="1" applyAlignment="1">
      <alignment wrapText="1"/>
      <protection/>
    </xf>
    <xf numFmtId="0" fontId="24" fillId="0" borderId="7" xfId="0" applyFont="1" applyFill="1" applyBorder="1" applyAlignment="1">
      <alignment wrapText="1"/>
    </xf>
    <xf numFmtId="0" fontId="0" fillId="0" borderId="7" xfId="0" applyFill="1" applyBorder="1" applyAlignment="1">
      <alignment wrapText="1"/>
    </xf>
    <xf numFmtId="0" fontId="25" fillId="0" borderId="0" xfId="0" applyFont="1" applyFill="1" applyBorder="1" applyAlignment="1">
      <alignment wrapText="1"/>
    </xf>
    <xf numFmtId="0" fontId="24" fillId="0" borderId="0" xfId="0" applyFont="1" applyFill="1" applyAlignment="1">
      <alignment wrapText="1"/>
    </xf>
    <xf numFmtId="0" fontId="0" fillId="0" borderId="0" xfId="0" applyFill="1" applyAlignment="1">
      <alignment wrapText="1"/>
    </xf>
    <xf numFmtId="0" fontId="22" fillId="0" borderId="0" xfId="0" applyFont="1" applyFill="1" applyBorder="1" applyAlignment="1">
      <alignment wrapText="1"/>
    </xf>
    <xf numFmtId="0" fontId="24" fillId="0" borderId="0" xfId="0" applyFont="1" applyFill="1" applyBorder="1" applyAlignment="1">
      <alignment wrapText="1"/>
    </xf>
    <xf numFmtId="3" fontId="25" fillId="0" borderId="0" xfId="0" applyNumberFormat="1" applyFont="1" applyFill="1" applyBorder="1" applyAlignment="1">
      <alignment wrapText="1"/>
    </xf>
    <xf numFmtId="0" fontId="23" fillId="0" borderId="0" xfId="0" applyFont="1" applyFill="1" applyBorder="1" applyAlignment="1">
      <alignment wrapText="1"/>
    </xf>
  </cellXfs>
  <cellStyles count="31">
    <cellStyle name="Normal" xfId="0"/>
    <cellStyle name="Comma" xfId="15"/>
    <cellStyle name="Comma [0]" xfId="16"/>
    <cellStyle name="Currency" xfId="17"/>
    <cellStyle name="Currency [0]" xfId="18"/>
    <cellStyle name="Data" xfId="19"/>
    <cellStyle name="Followed Hyperlink" xfId="20"/>
    <cellStyle name="Hed Side" xfId="21"/>
    <cellStyle name="Hed Top" xfId="22"/>
    <cellStyle name="Hed Top - SECTION" xfId="23"/>
    <cellStyle name="Hyperlink" xfId="24"/>
    <cellStyle name="Percent" xfId="25"/>
    <cellStyle name="Source Hed" xfId="26"/>
    <cellStyle name="Source Letter" xfId="27"/>
    <cellStyle name="Source Superscript" xfId="28"/>
    <cellStyle name="Source Text" xfId="29"/>
    <cellStyle name="Superscript" xfId="30"/>
    <cellStyle name="Table Data" xfId="31"/>
    <cellStyle name="Table Data Decimal"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G192"/>
  <sheetViews>
    <sheetView tabSelected="1" zoomScaleSheetLayoutView="100" workbookViewId="0" topLeftCell="A1">
      <selection activeCell="A1" sqref="A1:R1"/>
    </sheetView>
  </sheetViews>
  <sheetFormatPr defaultColWidth="9.140625" defaultRowHeight="12" customHeight="1"/>
  <cols>
    <col min="1" max="1" width="54.28125" style="37" customWidth="1"/>
    <col min="2" max="3" width="9.7109375" style="37" customWidth="1"/>
    <col min="4" max="4" width="9.7109375" style="38" customWidth="1"/>
    <col min="5" max="5" width="9.7109375" style="39" customWidth="1"/>
    <col min="6" max="14" width="9.7109375" style="37" customWidth="1"/>
    <col min="15" max="15" width="10.28125" style="27" bestFit="1" customWidth="1"/>
    <col min="16" max="17" width="9.7109375" style="27" customWidth="1"/>
    <col min="18" max="18" width="9.7109375" style="68" customWidth="1"/>
    <col min="19" max="19" width="8.8515625" style="37" customWidth="1"/>
    <col min="20" max="21" width="17.8515625" style="37" customWidth="1"/>
    <col min="22" max="241" width="8.8515625" style="37" customWidth="1"/>
    <col min="242" max="16384" width="9.140625" style="37" customWidth="1"/>
  </cols>
  <sheetData>
    <row r="1" spans="1:18" s="28" customFormat="1" ht="18" customHeight="1" thickBot="1">
      <c r="A1" s="80" t="s">
        <v>15</v>
      </c>
      <c r="B1" s="81"/>
      <c r="C1" s="81"/>
      <c r="D1" s="81"/>
      <c r="E1" s="81"/>
      <c r="F1" s="81"/>
      <c r="G1" s="81"/>
      <c r="H1" s="81"/>
      <c r="I1" s="81"/>
      <c r="J1" s="81"/>
      <c r="K1" s="81"/>
      <c r="L1" s="81"/>
      <c r="M1" s="81"/>
      <c r="N1" s="81"/>
      <c r="O1" s="81"/>
      <c r="P1" s="82"/>
      <c r="Q1" s="82"/>
      <c r="R1" s="82"/>
    </row>
    <row r="2" spans="1:18" s="29" customFormat="1" ht="18">
      <c r="A2" s="42" t="s">
        <v>34</v>
      </c>
      <c r="B2" s="45" t="s">
        <v>20</v>
      </c>
      <c r="C2" s="45" t="s">
        <v>21</v>
      </c>
      <c r="D2" s="45" t="s">
        <v>22</v>
      </c>
      <c r="E2" s="45" t="s">
        <v>23</v>
      </c>
      <c r="F2" s="45" t="s">
        <v>24</v>
      </c>
      <c r="G2" s="45" t="s">
        <v>25</v>
      </c>
      <c r="H2" s="45" t="s">
        <v>26</v>
      </c>
      <c r="I2" s="45" t="s">
        <v>27</v>
      </c>
      <c r="J2" s="45" t="s">
        <v>28</v>
      </c>
      <c r="K2" s="44" t="s">
        <v>29</v>
      </c>
      <c r="L2" s="44" t="s">
        <v>37</v>
      </c>
      <c r="M2" s="44" t="s">
        <v>51</v>
      </c>
      <c r="N2" s="44">
        <v>2002</v>
      </c>
      <c r="O2" s="44">
        <v>2003</v>
      </c>
      <c r="P2" s="44">
        <v>2004</v>
      </c>
      <c r="Q2" s="44">
        <v>2005</v>
      </c>
      <c r="R2" s="44">
        <v>2006</v>
      </c>
    </row>
    <row r="3" spans="1:18" s="28" customFormat="1" ht="18">
      <c r="A3" s="11" t="s">
        <v>38</v>
      </c>
      <c r="B3" s="2">
        <v>1407</v>
      </c>
      <c r="C3" s="2">
        <v>1707</v>
      </c>
      <c r="D3" s="2">
        <f>+D15+D4</f>
        <v>6510</v>
      </c>
      <c r="E3" s="2">
        <v>16053.2</v>
      </c>
      <c r="F3" s="2">
        <v>17967.8</v>
      </c>
      <c r="G3" s="2">
        <v>18240.6</v>
      </c>
      <c r="H3" s="2">
        <v>19151.2</v>
      </c>
      <c r="I3" s="2">
        <v>19514.9</v>
      </c>
      <c r="J3" s="2">
        <v>21061.8</v>
      </c>
      <c r="K3" s="2">
        <v>22220.2</v>
      </c>
      <c r="L3" s="2">
        <v>24242.6</v>
      </c>
      <c r="M3" s="2">
        <v>25288</v>
      </c>
      <c r="N3" s="2">
        <v>26632.4</v>
      </c>
      <c r="O3" s="56">
        <v>28021.2</v>
      </c>
      <c r="P3" s="56">
        <v>29718.1</v>
      </c>
      <c r="Q3" s="56">
        <v>31707.8</v>
      </c>
      <c r="R3" s="7" t="s">
        <v>5</v>
      </c>
    </row>
    <row r="4" spans="1:20" s="28" customFormat="1" ht="16.5">
      <c r="A4" s="10" t="s">
        <v>33</v>
      </c>
      <c r="B4" s="2">
        <f>+B14+B5</f>
        <v>1407</v>
      </c>
      <c r="C4" s="2">
        <f>+C14+C5</f>
        <v>1707</v>
      </c>
      <c r="D4" s="2">
        <v>2805</v>
      </c>
      <c r="E4" s="2">
        <v>6785.8</v>
      </c>
      <c r="F4" s="2">
        <v>9026.6</v>
      </c>
      <c r="G4" s="2">
        <v>9613.1</v>
      </c>
      <c r="H4" s="2">
        <v>10344.5</v>
      </c>
      <c r="I4" s="2">
        <v>10854.1</v>
      </c>
      <c r="J4" s="2">
        <v>11654.3</v>
      </c>
      <c r="K4" s="2">
        <v>11930</v>
      </c>
      <c r="L4" s="2">
        <v>12962.5</v>
      </c>
      <c r="M4" s="2">
        <v>12470.6</v>
      </c>
      <c r="N4" s="2">
        <v>13250.5</v>
      </c>
      <c r="O4" s="2">
        <v>14214.5</v>
      </c>
      <c r="P4" s="56">
        <v>14734.8</v>
      </c>
      <c r="Q4" s="56">
        <v>15252.2</v>
      </c>
      <c r="R4" s="7" t="s">
        <v>5</v>
      </c>
      <c r="T4" s="77"/>
    </row>
    <row r="5" spans="1:21" s="28" customFormat="1" ht="16.5">
      <c r="A5" s="15" t="s">
        <v>52</v>
      </c>
      <c r="B5" s="2">
        <v>1335</v>
      </c>
      <c r="C5" s="2">
        <v>1639</v>
      </c>
      <c r="D5" s="2">
        <v>2556</v>
      </c>
      <c r="E5" s="2">
        <v>5890.8</v>
      </c>
      <c r="F5" s="2">
        <v>6756</v>
      </c>
      <c r="G5" s="2">
        <v>6800.9</v>
      </c>
      <c r="H5" s="2">
        <v>7416.3</v>
      </c>
      <c r="I5" s="2">
        <v>7545.7</v>
      </c>
      <c r="J5" s="55">
        <v>7969.6</v>
      </c>
      <c r="K5" s="7">
        <v>8282.4</v>
      </c>
      <c r="L5" s="55">
        <v>8745.8</v>
      </c>
      <c r="M5" s="55">
        <v>8891.1</v>
      </c>
      <c r="N5" s="55">
        <v>8648.9</v>
      </c>
      <c r="O5" s="56">
        <v>9149.3</v>
      </c>
      <c r="P5" s="56">
        <v>9774.6</v>
      </c>
      <c r="Q5" s="56">
        <v>10269.1</v>
      </c>
      <c r="R5" s="7" t="s">
        <v>5</v>
      </c>
      <c r="T5" s="78"/>
      <c r="U5" s="78"/>
    </row>
    <row r="6" spans="1:18" s="28" customFormat="1" ht="16.5">
      <c r="A6" s="13" t="s">
        <v>11</v>
      </c>
      <c r="B6" s="2" t="s">
        <v>0</v>
      </c>
      <c r="C6" s="2" t="s">
        <v>0</v>
      </c>
      <c r="D6" s="2" t="s">
        <v>0</v>
      </c>
      <c r="E6" s="2">
        <v>2966.8</v>
      </c>
      <c r="F6" s="2">
        <v>3249.5</v>
      </c>
      <c r="G6" s="2">
        <v>3287.2</v>
      </c>
      <c r="H6" s="2">
        <v>3515</v>
      </c>
      <c r="I6" s="2">
        <v>3557.8</v>
      </c>
      <c r="J6" s="55">
        <v>3991.2</v>
      </c>
      <c r="K6" s="7">
        <v>4175</v>
      </c>
      <c r="L6" s="55">
        <v>4375.5</v>
      </c>
      <c r="M6" s="55">
        <v>4356.7</v>
      </c>
      <c r="N6" s="55">
        <v>4106.2</v>
      </c>
      <c r="O6" s="56">
        <v>4269.6</v>
      </c>
      <c r="P6" s="56">
        <v>4546.5</v>
      </c>
      <c r="Q6" s="56">
        <v>4764</v>
      </c>
      <c r="R6" s="7" t="s">
        <v>5</v>
      </c>
    </row>
    <row r="7" spans="1:18" s="28" customFormat="1" ht="16.5">
      <c r="A7" s="13" t="s">
        <v>8</v>
      </c>
      <c r="B7" s="2" t="s">
        <v>0</v>
      </c>
      <c r="C7" s="2" t="s">
        <v>0</v>
      </c>
      <c r="D7" s="2" t="s">
        <v>0</v>
      </c>
      <c r="E7" s="2">
        <v>1740.8</v>
      </c>
      <c r="F7" s="2">
        <v>1975.7</v>
      </c>
      <c r="G7" s="55">
        <v>2018.2</v>
      </c>
      <c r="H7" s="2">
        <v>2321.5</v>
      </c>
      <c r="I7" s="2">
        <v>2350.9</v>
      </c>
      <c r="J7" s="7">
        <v>2297.4</v>
      </c>
      <c r="K7" s="7">
        <v>2323.3</v>
      </c>
      <c r="L7" s="55">
        <v>2482.7</v>
      </c>
      <c r="M7" s="55">
        <v>2532.6</v>
      </c>
      <c r="N7" s="55">
        <v>2492.5</v>
      </c>
      <c r="O7" s="56">
        <v>2654.3</v>
      </c>
      <c r="P7" s="56">
        <v>2902.8</v>
      </c>
      <c r="Q7" s="56">
        <v>3006.9</v>
      </c>
      <c r="R7" s="7" t="s">
        <v>5</v>
      </c>
    </row>
    <row r="8" spans="1:18" s="28" customFormat="1" ht="16.5">
      <c r="A8" s="13" t="s">
        <v>9</v>
      </c>
      <c r="B8" s="2" t="s">
        <v>0</v>
      </c>
      <c r="C8" s="2" t="s">
        <v>0</v>
      </c>
      <c r="D8" s="2" t="s">
        <v>0</v>
      </c>
      <c r="E8" s="2">
        <v>82.6</v>
      </c>
      <c r="F8" s="2">
        <v>135.1</v>
      </c>
      <c r="G8" s="2">
        <v>126.5</v>
      </c>
      <c r="H8" s="2">
        <v>144.2</v>
      </c>
      <c r="I8" s="2">
        <v>138.6</v>
      </c>
      <c r="J8" s="7">
        <v>149.7</v>
      </c>
      <c r="K8" s="7">
        <v>163.5</v>
      </c>
      <c r="L8" s="55">
        <v>181.2</v>
      </c>
      <c r="M8" s="55">
        <v>203.8</v>
      </c>
      <c r="N8" s="55">
        <v>226.1</v>
      </c>
      <c r="O8" s="56">
        <v>229.1</v>
      </c>
      <c r="P8" s="56">
        <v>232.8</v>
      </c>
      <c r="Q8" s="56">
        <v>248.7</v>
      </c>
      <c r="R8" s="7" t="s">
        <v>5</v>
      </c>
    </row>
    <row r="9" spans="1:18" s="30" customFormat="1" ht="16.5">
      <c r="A9" s="13" t="s">
        <v>12</v>
      </c>
      <c r="B9" s="2" t="s">
        <v>0</v>
      </c>
      <c r="C9" s="2" t="s">
        <v>0</v>
      </c>
      <c r="D9" s="2" t="s">
        <v>0</v>
      </c>
      <c r="E9" s="2">
        <v>45.8</v>
      </c>
      <c r="F9" s="2">
        <v>54.5</v>
      </c>
      <c r="G9" s="2">
        <v>54</v>
      </c>
      <c r="H9" s="2">
        <v>54.7</v>
      </c>
      <c r="I9" s="2">
        <v>56.9</v>
      </c>
      <c r="J9" s="7">
        <v>55.3</v>
      </c>
      <c r="K9" s="7">
        <v>59.5</v>
      </c>
      <c r="L9" s="7">
        <v>59.5</v>
      </c>
      <c r="M9" s="7">
        <v>59.5</v>
      </c>
      <c r="N9" s="7">
        <v>59.4</v>
      </c>
      <c r="O9" s="56">
        <v>53.5</v>
      </c>
      <c r="P9" s="56">
        <v>55.3</v>
      </c>
      <c r="Q9" s="56">
        <v>57.3</v>
      </c>
      <c r="R9" s="7" t="s">
        <v>5</v>
      </c>
    </row>
    <row r="10" spans="1:18" s="28" customFormat="1" ht="16.5">
      <c r="A10" s="13" t="s">
        <v>17</v>
      </c>
      <c r="B10" s="2" t="s">
        <v>0</v>
      </c>
      <c r="C10" s="2" t="s">
        <v>0</v>
      </c>
      <c r="D10" s="2" t="s">
        <v>0</v>
      </c>
      <c r="E10" s="2">
        <v>40.9</v>
      </c>
      <c r="F10" s="2">
        <v>170.7</v>
      </c>
      <c r="G10" s="2">
        <v>146.3</v>
      </c>
      <c r="H10" s="2">
        <v>156.9</v>
      </c>
      <c r="I10" s="2">
        <v>170.4</v>
      </c>
      <c r="J10" s="55">
        <v>141.5</v>
      </c>
      <c r="K10" s="7">
        <v>158.6</v>
      </c>
      <c r="L10" s="55">
        <v>171.6</v>
      </c>
      <c r="M10" s="55">
        <v>181.5</v>
      </c>
      <c r="N10" s="55">
        <v>193.5</v>
      </c>
      <c r="O10" s="56">
        <v>244</v>
      </c>
      <c r="P10" s="56">
        <v>253.5</v>
      </c>
      <c r="Q10" s="56">
        <v>286.3</v>
      </c>
      <c r="R10" s="7" t="s">
        <v>5</v>
      </c>
    </row>
    <row r="11" spans="1:18" s="28" customFormat="1" ht="18">
      <c r="A11" s="18" t="s">
        <v>31</v>
      </c>
      <c r="B11" s="2" t="s">
        <v>0</v>
      </c>
      <c r="C11" s="2" t="s">
        <v>0</v>
      </c>
      <c r="D11" s="2" t="s">
        <v>0</v>
      </c>
      <c r="E11" s="2">
        <v>56</v>
      </c>
      <c r="F11" s="2">
        <v>41</v>
      </c>
      <c r="G11" s="2">
        <v>60</v>
      </c>
      <c r="H11" s="2">
        <v>54</v>
      </c>
      <c r="I11" s="2">
        <v>51</v>
      </c>
      <c r="J11" s="55">
        <v>41</v>
      </c>
      <c r="K11" s="7">
        <v>48.175</v>
      </c>
      <c r="L11" s="55">
        <v>60</v>
      </c>
      <c r="M11" s="55">
        <v>71</v>
      </c>
      <c r="N11" s="55">
        <v>78.136</v>
      </c>
      <c r="O11" s="56">
        <v>99.385</v>
      </c>
      <c r="P11" s="56">
        <v>111.442</v>
      </c>
      <c r="Q11" s="56">
        <v>114.242</v>
      </c>
      <c r="R11" s="7" t="s">
        <v>5</v>
      </c>
    </row>
    <row r="12" spans="1:18" s="28" customFormat="1" ht="16.5">
      <c r="A12" s="13" t="s">
        <v>10</v>
      </c>
      <c r="B12" s="2" t="s">
        <v>0</v>
      </c>
      <c r="C12" s="2" t="s">
        <v>0</v>
      </c>
      <c r="D12" s="2" t="s">
        <v>0</v>
      </c>
      <c r="E12" s="2">
        <v>952.2</v>
      </c>
      <c r="F12" s="2">
        <v>1083.1</v>
      </c>
      <c r="G12" s="2">
        <v>1077.5</v>
      </c>
      <c r="H12" s="2">
        <v>1145.6</v>
      </c>
      <c r="I12" s="2">
        <v>1177.6</v>
      </c>
      <c r="J12" s="7">
        <v>1255.2</v>
      </c>
      <c r="K12" s="7">
        <v>1308.7</v>
      </c>
      <c r="L12" s="55">
        <v>1374.6</v>
      </c>
      <c r="M12" s="55">
        <v>1438.7</v>
      </c>
      <c r="N12" s="55">
        <v>1447.4</v>
      </c>
      <c r="O12" s="56">
        <v>1552.2</v>
      </c>
      <c r="P12" s="56">
        <v>1614.7</v>
      </c>
      <c r="Q12" s="56">
        <v>1727.9</v>
      </c>
      <c r="R12" s="7" t="s">
        <v>5</v>
      </c>
    </row>
    <row r="13" spans="1:18" s="28" customFormat="1" ht="18">
      <c r="A13" s="18" t="s">
        <v>30</v>
      </c>
      <c r="B13" s="2" t="s">
        <v>0</v>
      </c>
      <c r="C13" s="2" t="s">
        <v>0</v>
      </c>
      <c r="D13" s="2" t="s">
        <v>0</v>
      </c>
      <c r="E13" s="2">
        <f>61.7-E11</f>
        <v>5.700000000000003</v>
      </c>
      <c r="F13" s="2">
        <f>87.4-F11</f>
        <v>46.400000000000006</v>
      </c>
      <c r="G13" s="2">
        <f>91.2-G11</f>
        <v>31.200000000000003</v>
      </c>
      <c r="H13" s="2">
        <f>78.4-H11</f>
        <v>24.400000000000006</v>
      </c>
      <c r="I13" s="2">
        <f>93.5-I11</f>
        <v>42.5</v>
      </c>
      <c r="J13" s="55">
        <f>79.3-J11</f>
        <v>38.3</v>
      </c>
      <c r="K13" s="7">
        <f>93.8-K11</f>
        <v>45.625</v>
      </c>
      <c r="L13" s="7">
        <f>100.7-L11</f>
        <v>40.7</v>
      </c>
      <c r="M13" s="7">
        <f>118.3-M11</f>
        <v>47.3</v>
      </c>
      <c r="N13" s="7">
        <f>123.8-N11</f>
        <v>45.664</v>
      </c>
      <c r="O13" s="56">
        <f>146.7-O11</f>
        <v>47.31499999999998</v>
      </c>
      <c r="P13" s="56">
        <f>168.8-P11</f>
        <v>57.35800000000002</v>
      </c>
      <c r="Q13" s="56">
        <f>Q5-SUM(Q6:Q12)</f>
        <v>63.75800000000163</v>
      </c>
      <c r="R13" s="7" t="s">
        <v>5</v>
      </c>
    </row>
    <row r="14" spans="1:18" s="28" customFormat="1" ht="16.5">
      <c r="A14" s="12" t="s">
        <v>39</v>
      </c>
      <c r="B14" s="2">
        <v>72</v>
      </c>
      <c r="C14" s="2">
        <v>68</v>
      </c>
      <c r="D14" s="2">
        <v>248</v>
      </c>
      <c r="E14" s="2">
        <v>895</v>
      </c>
      <c r="F14" s="2">
        <v>2270.6</v>
      </c>
      <c r="G14" s="2">
        <v>2812.2</v>
      </c>
      <c r="H14" s="2">
        <v>2928.2</v>
      </c>
      <c r="I14" s="2">
        <v>3308.4</v>
      </c>
      <c r="J14" s="55">
        <v>3684.7</v>
      </c>
      <c r="K14" s="7">
        <v>3647.6</v>
      </c>
      <c r="L14" s="55">
        <v>4216.7</v>
      </c>
      <c r="M14" s="55">
        <v>3579.5</v>
      </c>
      <c r="N14" s="55">
        <v>4601.6</v>
      </c>
      <c r="O14" s="56">
        <v>5065.2</v>
      </c>
      <c r="P14" s="56">
        <v>4960.2</v>
      </c>
      <c r="Q14" s="56">
        <v>4983.1</v>
      </c>
      <c r="R14" s="7" t="s">
        <v>5</v>
      </c>
    </row>
    <row r="15" spans="1:18" s="28" customFormat="1" ht="18">
      <c r="A15" s="16" t="s">
        <v>32</v>
      </c>
      <c r="B15" s="2" t="s">
        <v>0</v>
      </c>
      <c r="C15" s="2" t="s">
        <v>0</v>
      </c>
      <c r="D15" s="2">
        <v>3705</v>
      </c>
      <c r="E15" s="2">
        <v>9267.4</v>
      </c>
      <c r="F15" s="2">
        <v>8941.2</v>
      </c>
      <c r="G15" s="2">
        <v>8627.5</v>
      </c>
      <c r="H15" s="2">
        <v>8806.7</v>
      </c>
      <c r="I15" s="55">
        <v>8660.8</v>
      </c>
      <c r="J15" s="55">
        <v>9407.5</v>
      </c>
      <c r="K15" s="7">
        <v>10290.2</v>
      </c>
      <c r="L15" s="7">
        <v>11280.1</v>
      </c>
      <c r="M15" s="7">
        <v>12817.4</v>
      </c>
      <c r="N15" s="7">
        <v>13381.9</v>
      </c>
      <c r="O15" s="56">
        <v>13806.7</v>
      </c>
      <c r="P15" s="56">
        <v>14983.4</v>
      </c>
      <c r="Q15" s="56">
        <v>16455.7</v>
      </c>
      <c r="R15" s="7" t="s">
        <v>5</v>
      </c>
    </row>
    <row r="16" spans="1:18" s="30" customFormat="1" ht="16.5">
      <c r="A16" s="12" t="s">
        <v>13</v>
      </c>
      <c r="B16" s="2" t="s">
        <v>0</v>
      </c>
      <c r="C16" s="2" t="s">
        <v>0</v>
      </c>
      <c r="D16" s="2">
        <v>2611</v>
      </c>
      <c r="E16" s="2">
        <f>5326.8+2970.6</f>
        <v>8297.4</v>
      </c>
      <c r="F16" s="2">
        <f>4171.2+3854.4</f>
        <v>8025.6</v>
      </c>
      <c r="G16" s="2">
        <f>3980.9+3829.6</f>
        <v>7810.5</v>
      </c>
      <c r="H16" s="2">
        <f>4128.5+4081.8</f>
        <v>8210.3</v>
      </c>
      <c r="I16" s="55">
        <f>4095.1+3918.7</f>
        <v>8013.799999999999</v>
      </c>
      <c r="J16" s="55">
        <f>4376.9+4279.4</f>
        <v>8656.3</v>
      </c>
      <c r="K16" s="7">
        <f>4539.8+4878.6</f>
        <v>9418.400000000001</v>
      </c>
      <c r="L16" s="7">
        <f>5318.8+4967.1</f>
        <v>10285.900000000001</v>
      </c>
      <c r="M16" s="7">
        <f>5986.6+5700.9</f>
        <v>11687.5</v>
      </c>
      <c r="N16" s="7">
        <f>5343.9+6718.6</f>
        <v>12062.5</v>
      </c>
      <c r="O16" s="56">
        <f>5557.6+6632.8</f>
        <v>12190.400000000001</v>
      </c>
      <c r="P16" s="56">
        <f>6184.3+6713.2</f>
        <v>12897.5</v>
      </c>
      <c r="Q16" s="56">
        <f>7494.5+6657.8</f>
        <v>14152.3</v>
      </c>
      <c r="R16" s="7" t="s">
        <v>5</v>
      </c>
    </row>
    <row r="17" spans="1:18" s="28" customFormat="1" ht="16.5">
      <c r="A17" s="12" t="s">
        <v>1</v>
      </c>
      <c r="B17" s="2" t="s">
        <v>0</v>
      </c>
      <c r="C17" s="2" t="s">
        <v>0</v>
      </c>
      <c r="D17" s="2">
        <v>1093</v>
      </c>
      <c r="E17" s="2">
        <v>970</v>
      </c>
      <c r="F17" s="2">
        <v>915.6</v>
      </c>
      <c r="G17" s="2">
        <v>817</v>
      </c>
      <c r="H17" s="2">
        <v>596.4</v>
      </c>
      <c r="I17" s="55">
        <v>647</v>
      </c>
      <c r="J17" s="55">
        <v>751.2</v>
      </c>
      <c r="K17" s="7">
        <v>871.8</v>
      </c>
      <c r="L17" s="7">
        <v>994.2</v>
      </c>
      <c r="M17" s="7">
        <v>1129.9</v>
      </c>
      <c r="N17" s="7">
        <v>1319.4</v>
      </c>
      <c r="O17" s="56">
        <v>1616.2</v>
      </c>
      <c r="P17" s="56">
        <v>2085.9</v>
      </c>
      <c r="Q17" s="56">
        <v>2303.4</v>
      </c>
      <c r="R17" s="7" t="s">
        <v>5</v>
      </c>
    </row>
    <row r="18" spans="1:18" s="31" customFormat="1" ht="18">
      <c r="A18" s="20" t="s">
        <v>40</v>
      </c>
      <c r="B18" s="2">
        <v>1377</v>
      </c>
      <c r="C18" s="2">
        <v>1996</v>
      </c>
      <c r="D18" s="2">
        <v>6711</v>
      </c>
      <c r="E18" s="2">
        <v>15742.1</v>
      </c>
      <c r="F18" s="2">
        <v>17919.9</v>
      </c>
      <c r="G18" s="2">
        <v>17848.7</v>
      </c>
      <c r="H18" s="55">
        <v>18340.7</v>
      </c>
      <c r="I18" s="55">
        <v>18936.1</v>
      </c>
      <c r="J18" s="55">
        <v>19738.5</v>
      </c>
      <c r="K18" s="7">
        <v>20512.1</v>
      </c>
      <c r="L18" s="7">
        <v>22645.5</v>
      </c>
      <c r="M18" s="7">
        <v>23516.9</v>
      </c>
      <c r="N18" s="7">
        <v>24834</v>
      </c>
      <c r="O18" s="56">
        <v>26851.6</v>
      </c>
      <c r="P18" s="7">
        <v>28505.8</v>
      </c>
      <c r="Q18" s="7">
        <v>30294.9</v>
      </c>
      <c r="R18" s="7" t="s">
        <v>5</v>
      </c>
    </row>
    <row r="19" spans="1:18" s="28" customFormat="1" ht="16.5">
      <c r="A19" s="12" t="s">
        <v>11</v>
      </c>
      <c r="B19" s="2" t="s">
        <v>0</v>
      </c>
      <c r="C19" s="2" t="s">
        <v>0</v>
      </c>
      <c r="D19" s="2" t="s">
        <v>0</v>
      </c>
      <c r="E19" s="2">
        <v>8903.1</v>
      </c>
      <c r="F19" s="2">
        <v>10144.1</v>
      </c>
      <c r="G19" s="2">
        <v>10320.5</v>
      </c>
      <c r="H19" s="55">
        <v>10574.9</v>
      </c>
      <c r="I19" s="55">
        <v>10944</v>
      </c>
      <c r="J19" s="55">
        <v>11428.9</v>
      </c>
      <c r="K19" s="7">
        <v>11713.8</v>
      </c>
      <c r="L19" s="7">
        <v>12966.2</v>
      </c>
      <c r="M19" s="7">
        <v>13335.2</v>
      </c>
      <c r="N19" s="7">
        <v>14065.6</v>
      </c>
      <c r="O19" s="56">
        <v>15240.3</v>
      </c>
      <c r="P19" s="56">
        <v>16021.5</v>
      </c>
      <c r="Q19" s="56">
        <v>16786.8</v>
      </c>
      <c r="R19" s="7" t="s">
        <v>5</v>
      </c>
    </row>
    <row r="20" spans="1:18" s="28" customFormat="1" ht="16.5">
      <c r="A20" s="12" t="s">
        <v>8</v>
      </c>
      <c r="B20" s="2" t="s">
        <v>0</v>
      </c>
      <c r="C20" s="2" t="s">
        <v>0</v>
      </c>
      <c r="D20" s="2" t="s">
        <v>0</v>
      </c>
      <c r="E20" s="2">
        <v>3825</v>
      </c>
      <c r="F20" s="2">
        <v>3786.2</v>
      </c>
      <c r="G20" s="2">
        <v>3522.9</v>
      </c>
      <c r="H20" s="55">
        <v>3401.9</v>
      </c>
      <c r="I20" s="55">
        <v>3473.7</v>
      </c>
      <c r="J20" s="7">
        <v>3529.6</v>
      </c>
      <c r="K20" s="7">
        <v>3693.4</v>
      </c>
      <c r="L20" s="7">
        <v>3930.8</v>
      </c>
      <c r="M20" s="7">
        <v>4180.1</v>
      </c>
      <c r="N20" s="7">
        <v>4267.5</v>
      </c>
      <c r="O20" s="56">
        <v>4446.2</v>
      </c>
      <c r="P20" s="56">
        <v>4734.1</v>
      </c>
      <c r="Q20" s="56">
        <v>5144.8</v>
      </c>
      <c r="R20" s="7" t="s">
        <v>5</v>
      </c>
    </row>
    <row r="21" spans="1:18" s="28" customFormat="1" ht="16.5">
      <c r="A21" s="12" t="s">
        <v>9</v>
      </c>
      <c r="B21" s="2" t="s">
        <v>0</v>
      </c>
      <c r="C21" s="2" t="s">
        <v>0</v>
      </c>
      <c r="D21" s="2" t="s">
        <v>0</v>
      </c>
      <c r="E21" s="2">
        <v>237.1</v>
      </c>
      <c r="F21" s="2">
        <v>412.8</v>
      </c>
      <c r="G21" s="2">
        <v>376.1</v>
      </c>
      <c r="H21" s="55">
        <v>441.6</v>
      </c>
      <c r="I21" s="55">
        <v>472.5</v>
      </c>
      <c r="J21" s="55">
        <v>500.2</v>
      </c>
      <c r="K21" s="7">
        <v>545.6</v>
      </c>
      <c r="L21" s="7">
        <v>606.4</v>
      </c>
      <c r="M21" s="7">
        <v>682.2</v>
      </c>
      <c r="N21" s="7">
        <v>778.3</v>
      </c>
      <c r="O21" s="56">
        <v>815.2</v>
      </c>
      <c r="P21" s="56">
        <v>887.4</v>
      </c>
      <c r="Q21" s="56">
        <v>978.1</v>
      </c>
      <c r="R21" s="7" t="s">
        <v>5</v>
      </c>
    </row>
    <row r="22" spans="1:18" s="28" customFormat="1" ht="16.5">
      <c r="A22" s="12" t="s">
        <v>12</v>
      </c>
      <c r="B22" s="2" t="s">
        <v>0</v>
      </c>
      <c r="C22" s="2" t="s">
        <v>0</v>
      </c>
      <c r="D22" s="2" t="s">
        <v>0</v>
      </c>
      <c r="E22" s="2">
        <v>108.6</v>
      </c>
      <c r="F22" s="2">
        <v>132.9</v>
      </c>
      <c r="G22" s="2">
        <v>138.9</v>
      </c>
      <c r="H22" s="55">
        <v>134.6</v>
      </c>
      <c r="I22" s="55">
        <v>140.2</v>
      </c>
      <c r="J22" s="7">
        <v>146.5</v>
      </c>
      <c r="K22" s="7">
        <v>166.9</v>
      </c>
      <c r="L22" s="7">
        <v>177.6</v>
      </c>
      <c r="M22" s="7">
        <v>172.4</v>
      </c>
      <c r="N22" s="7">
        <v>186.7</v>
      </c>
      <c r="O22" s="56">
        <v>182.7</v>
      </c>
      <c r="P22" s="56">
        <v>184.9</v>
      </c>
      <c r="Q22" s="56">
        <v>195.7</v>
      </c>
      <c r="R22" s="7" t="s">
        <v>5</v>
      </c>
    </row>
    <row r="23" spans="1:18" s="28" customFormat="1" ht="16.5">
      <c r="A23" s="12" t="s">
        <v>17</v>
      </c>
      <c r="B23" s="2" t="s">
        <v>0</v>
      </c>
      <c r="C23" s="2" t="s">
        <v>0</v>
      </c>
      <c r="D23" s="2" t="s">
        <v>0</v>
      </c>
      <c r="E23" s="2">
        <v>517.8</v>
      </c>
      <c r="F23" s="2">
        <v>942.7</v>
      </c>
      <c r="G23" s="2">
        <v>1000.4</v>
      </c>
      <c r="H23" s="55">
        <v>1186.6</v>
      </c>
      <c r="I23" s="55">
        <v>1284.5</v>
      </c>
      <c r="J23" s="55">
        <v>1405.4</v>
      </c>
      <c r="K23" s="7">
        <v>1419.3</v>
      </c>
      <c r="L23" s="7">
        <v>1804.9</v>
      </c>
      <c r="M23" s="7">
        <v>1754</v>
      </c>
      <c r="N23" s="7">
        <v>1949.4</v>
      </c>
      <c r="O23" s="56">
        <v>2363.4</v>
      </c>
      <c r="P23" s="56">
        <v>2523.9</v>
      </c>
      <c r="Q23" s="56">
        <v>2828.4</v>
      </c>
      <c r="R23" s="7" t="s">
        <v>5</v>
      </c>
    </row>
    <row r="24" spans="1:18" s="28" customFormat="1" ht="18">
      <c r="A24" s="17" t="s">
        <v>31</v>
      </c>
      <c r="B24" s="2" t="s">
        <v>0</v>
      </c>
      <c r="C24" s="2" t="s">
        <v>0</v>
      </c>
      <c r="D24" s="2" t="s">
        <v>0</v>
      </c>
      <c r="E24" s="2">
        <v>171</v>
      </c>
      <c r="F24" s="2">
        <v>200</v>
      </c>
      <c r="G24" s="2">
        <v>210</v>
      </c>
      <c r="H24" s="55">
        <v>183</v>
      </c>
      <c r="I24" s="55">
        <v>221</v>
      </c>
      <c r="J24" s="55">
        <v>214</v>
      </c>
      <c r="K24" s="7">
        <v>238.383</v>
      </c>
      <c r="L24" s="7">
        <v>268.4</v>
      </c>
      <c r="M24" s="7">
        <v>324</v>
      </c>
      <c r="N24" s="7">
        <v>354.057</v>
      </c>
      <c r="O24" s="56">
        <v>355.181</v>
      </c>
      <c r="P24" s="56">
        <v>358.352</v>
      </c>
      <c r="Q24" s="56">
        <v>349.811</v>
      </c>
      <c r="R24" s="7" t="s">
        <v>5</v>
      </c>
    </row>
    <row r="25" spans="1:18" s="28" customFormat="1" ht="16.5">
      <c r="A25" s="12" t="s">
        <v>10</v>
      </c>
      <c r="B25" s="2" t="s">
        <v>0</v>
      </c>
      <c r="C25" s="2" t="s">
        <v>0</v>
      </c>
      <c r="D25" s="2" t="s">
        <v>0</v>
      </c>
      <c r="E25" s="2">
        <v>1938.5</v>
      </c>
      <c r="F25" s="2">
        <v>2227.8</v>
      </c>
      <c r="G25" s="2">
        <v>2211.2</v>
      </c>
      <c r="H25" s="55">
        <v>2294.1</v>
      </c>
      <c r="I25" s="55">
        <v>2278.1</v>
      </c>
      <c r="J25" s="55">
        <v>2360.6</v>
      </c>
      <c r="K25" s="7">
        <v>2574.9</v>
      </c>
      <c r="L25" s="7">
        <v>2685.3</v>
      </c>
      <c r="M25" s="7">
        <v>2860.8</v>
      </c>
      <c r="N25" s="7">
        <v>3003.2</v>
      </c>
      <c r="O25" s="56">
        <v>3178.5</v>
      </c>
      <c r="P25" s="56">
        <v>3442.4</v>
      </c>
      <c r="Q25" s="56">
        <v>3663.2</v>
      </c>
      <c r="R25" s="7" t="s">
        <v>5</v>
      </c>
    </row>
    <row r="26" spans="1:19" s="28" customFormat="1" ht="18">
      <c r="A26" s="17" t="s">
        <v>30</v>
      </c>
      <c r="B26" s="2" t="s">
        <v>0</v>
      </c>
      <c r="C26" s="2" t="s">
        <v>0</v>
      </c>
      <c r="D26" s="2" t="s">
        <v>0</v>
      </c>
      <c r="E26" s="2">
        <f>212-E24</f>
        <v>41</v>
      </c>
      <c r="F26" s="2">
        <f>273.4-F24</f>
        <v>73.39999999999998</v>
      </c>
      <c r="G26" s="2">
        <f>278.7-G24</f>
        <v>68.69999999999999</v>
      </c>
      <c r="H26" s="55">
        <f>307-H24</f>
        <v>124</v>
      </c>
      <c r="I26" s="55">
        <f>343.1-I24</f>
        <v>122.10000000000002</v>
      </c>
      <c r="J26" s="55">
        <f>367.3-J24</f>
        <v>153.3</v>
      </c>
      <c r="K26" s="7">
        <f>398.2-238.383</f>
        <v>159.81699999999998</v>
      </c>
      <c r="L26" s="7">
        <f>474.3-L24</f>
        <v>205.90000000000003</v>
      </c>
      <c r="M26" s="7">
        <f>532.2-M24</f>
        <v>208.20000000000005</v>
      </c>
      <c r="N26" s="56">
        <f>583.3-N24</f>
        <v>229.24299999999994</v>
      </c>
      <c r="O26" s="71">
        <f>625.3-O24</f>
        <v>270.11899999999997</v>
      </c>
      <c r="P26" s="56">
        <f>711.5-P24</f>
        <v>353.148</v>
      </c>
      <c r="Q26" s="56">
        <f>Q18-SUM(Q19:Q25)</f>
        <v>348.08899999999994</v>
      </c>
      <c r="R26" s="7" t="s">
        <v>5</v>
      </c>
      <c r="S26" s="69"/>
    </row>
    <row r="27" spans="1:18" s="28" customFormat="1" ht="18">
      <c r="A27" s="14" t="s">
        <v>41</v>
      </c>
      <c r="B27" s="53" t="s">
        <v>0</v>
      </c>
      <c r="C27" s="53" t="s">
        <v>0</v>
      </c>
      <c r="D27" s="53" t="s">
        <v>0</v>
      </c>
      <c r="E27" s="53">
        <f aca="true" t="shared" si="0" ref="E27:P27">SUM(E6:E13)/E92</f>
        <v>0.14317866951850863</v>
      </c>
      <c r="F27" s="53">
        <f t="shared" si="0"/>
        <v>0.17067070860174308</v>
      </c>
      <c r="G27" s="53">
        <f t="shared" si="0"/>
        <v>0.17084254421221864</v>
      </c>
      <c r="H27" s="53">
        <f t="shared" si="0"/>
        <v>0.17923292570931412</v>
      </c>
      <c r="I27" s="53">
        <f t="shared" si="0"/>
        <v>0.1782210255320154</v>
      </c>
      <c r="J27" s="53">
        <f t="shared" si="0"/>
        <v>0.18060188542422045</v>
      </c>
      <c r="K27" s="53">
        <f t="shared" si="0"/>
        <v>0.1806136467714853</v>
      </c>
      <c r="L27" s="53">
        <f t="shared" si="0"/>
        <v>0.18348088784458527</v>
      </c>
      <c r="M27" s="53">
        <f t="shared" si="0"/>
        <v>0.18119217444467084</v>
      </c>
      <c r="N27" s="53">
        <f t="shared" si="0"/>
        <v>0.1789773197582982</v>
      </c>
      <c r="O27" s="53">
        <f t="shared" si="0"/>
        <v>0.1909984760870927</v>
      </c>
      <c r="P27" s="53">
        <f t="shared" si="0"/>
        <v>0.19918081225928722</v>
      </c>
      <c r="Q27" s="53">
        <f>SUM(Q6:Q13)/Q92</f>
        <v>0.20671323322194937</v>
      </c>
      <c r="R27" s="73" t="s">
        <v>5</v>
      </c>
    </row>
    <row r="28" spans="1:18" s="28" customFormat="1" ht="16.5">
      <c r="A28" s="10" t="s">
        <v>11</v>
      </c>
      <c r="B28" s="53" t="s">
        <v>0</v>
      </c>
      <c r="C28" s="53" t="s">
        <v>0</v>
      </c>
      <c r="D28" s="53" t="s">
        <v>0</v>
      </c>
      <c r="E28" s="53">
        <f aca="true" t="shared" si="1" ref="E28:P28">+E6/E93</f>
        <v>0.14140412754396836</v>
      </c>
      <c r="F28" s="53">
        <f t="shared" si="1"/>
        <v>0.17255203908241293</v>
      </c>
      <c r="G28" s="53">
        <f t="shared" si="1"/>
        <v>0.1746838133701775</v>
      </c>
      <c r="H28" s="53">
        <f t="shared" si="1"/>
        <v>0.18406996229576875</v>
      </c>
      <c r="I28" s="53">
        <f t="shared" si="1"/>
        <v>0.18148337074066517</v>
      </c>
      <c r="J28" s="53">
        <f t="shared" si="1"/>
        <v>0.19603143418467583</v>
      </c>
      <c r="K28" s="53">
        <f t="shared" si="1"/>
        <v>0.19688752652676256</v>
      </c>
      <c r="L28" s="53">
        <f t="shared" si="1"/>
        <v>0.20599312650063556</v>
      </c>
      <c r="M28" s="53">
        <f t="shared" si="1"/>
        <v>0.19783398419762055</v>
      </c>
      <c r="N28" s="53">
        <f t="shared" si="1"/>
        <v>0.18800421226134334</v>
      </c>
      <c r="O28" s="53">
        <f t="shared" si="1"/>
        <v>0.20080895494309098</v>
      </c>
      <c r="P28" s="53">
        <f t="shared" si="1"/>
        <v>0.21268185432941947</v>
      </c>
      <c r="Q28" s="53">
        <f>+Q6/Q93</f>
        <v>0.21828178694158076</v>
      </c>
      <c r="R28" s="73" t="s">
        <v>5</v>
      </c>
    </row>
    <row r="29" spans="1:18" s="28" customFormat="1" ht="16.5">
      <c r="A29" s="10" t="s">
        <v>8</v>
      </c>
      <c r="B29" s="53" t="s">
        <v>0</v>
      </c>
      <c r="C29" s="53" t="s">
        <v>0</v>
      </c>
      <c r="D29" s="53" t="s">
        <v>0</v>
      </c>
      <c r="E29" s="53">
        <f aca="true" t="shared" si="2" ref="E29:Q29">+E7/E94</f>
        <v>0.1517037037037037</v>
      </c>
      <c r="F29" s="53">
        <f t="shared" si="2"/>
        <v>0.1851987251593551</v>
      </c>
      <c r="G29" s="53">
        <f t="shared" si="2"/>
        <v>0.19113552419736718</v>
      </c>
      <c r="H29" s="53">
        <f t="shared" si="2"/>
        <v>0.20134431916738943</v>
      </c>
      <c r="I29" s="53">
        <f t="shared" si="2"/>
        <v>0.19499834107498343</v>
      </c>
      <c r="J29" s="53">
        <f t="shared" si="2"/>
        <v>0.18702377075871052</v>
      </c>
      <c r="K29" s="53">
        <f t="shared" si="2"/>
        <v>0.18007285692140754</v>
      </c>
      <c r="L29" s="53">
        <f t="shared" si="2"/>
        <v>0.17933400751227968</v>
      </c>
      <c r="M29" s="53">
        <f t="shared" si="2"/>
        <v>0.17862886161658909</v>
      </c>
      <c r="N29" s="53">
        <f t="shared" si="2"/>
        <v>0.18242699260777281</v>
      </c>
      <c r="O29" s="53">
        <f t="shared" si="2"/>
        <v>0.19508305159488462</v>
      </c>
      <c r="P29" s="53">
        <f t="shared" si="2"/>
        <v>0.20222934373693746</v>
      </c>
      <c r="Q29" s="53">
        <f t="shared" si="2"/>
        <v>0.2085518102372035</v>
      </c>
      <c r="R29" s="73" t="s">
        <v>5</v>
      </c>
    </row>
    <row r="30" spans="1:18" s="28" customFormat="1" ht="16.5">
      <c r="A30" s="10" t="s">
        <v>9</v>
      </c>
      <c r="B30" s="53" t="s">
        <v>0</v>
      </c>
      <c r="C30" s="53" t="s">
        <v>0</v>
      </c>
      <c r="D30" s="53" t="s">
        <v>0</v>
      </c>
      <c r="E30" s="53">
        <f aca="true" t="shared" si="3" ref="E30:Q30">+E8/E95</f>
        <v>0.1446584938704028</v>
      </c>
      <c r="F30" s="53">
        <f t="shared" si="3"/>
        <v>0.16218487394957984</v>
      </c>
      <c r="G30" s="53">
        <f t="shared" si="3"/>
        <v>0.14709302325581394</v>
      </c>
      <c r="H30" s="53">
        <f t="shared" si="3"/>
        <v>0.15067920585161965</v>
      </c>
      <c r="I30" s="53">
        <f t="shared" si="3"/>
        <v>0.13391304347826086</v>
      </c>
      <c r="J30" s="53">
        <f t="shared" si="3"/>
        <v>0.1327127659574468</v>
      </c>
      <c r="K30" s="53">
        <f t="shared" si="3"/>
        <v>0.13557213930348258</v>
      </c>
      <c r="L30" s="53">
        <f t="shared" si="3"/>
        <v>0.1336283185840708</v>
      </c>
      <c r="M30" s="53">
        <f t="shared" si="3"/>
        <v>0.1418232428670842</v>
      </c>
      <c r="N30" s="53">
        <f t="shared" si="3"/>
        <v>0.15789106145251397</v>
      </c>
      <c r="O30" s="53">
        <f t="shared" si="3"/>
        <v>0.15521680216802167</v>
      </c>
      <c r="P30" s="53">
        <f t="shared" si="3"/>
        <v>0.14771573604060914</v>
      </c>
      <c r="Q30" s="53">
        <f t="shared" si="3"/>
        <v>0.14629411764705882</v>
      </c>
      <c r="R30" s="73" t="s">
        <v>5</v>
      </c>
    </row>
    <row r="31" spans="1:18" s="28" customFormat="1" ht="16.5">
      <c r="A31" s="10" t="s">
        <v>12</v>
      </c>
      <c r="B31" s="53" t="s">
        <v>0</v>
      </c>
      <c r="C31" s="53" t="s">
        <v>0</v>
      </c>
      <c r="D31" s="53" t="s">
        <v>0</v>
      </c>
      <c r="E31" s="53">
        <f aca="true" t="shared" si="4" ref="E31:Q31">+E9/E96</f>
        <v>0.23730569948186528</v>
      </c>
      <c r="F31" s="53">
        <f t="shared" si="4"/>
        <v>0.2914438502673797</v>
      </c>
      <c r="G31" s="53">
        <f t="shared" si="4"/>
        <v>0.2887700534759358</v>
      </c>
      <c r="H31" s="53">
        <f t="shared" si="4"/>
        <v>0.2972826086956522</v>
      </c>
      <c r="I31" s="53">
        <f t="shared" si="4"/>
        <v>0.301058201058201</v>
      </c>
      <c r="J31" s="53">
        <f t="shared" si="4"/>
        <v>0.3038461538461538</v>
      </c>
      <c r="K31" s="53">
        <f t="shared" si="4"/>
        <v>0.31989247311827956</v>
      </c>
      <c r="L31" s="53">
        <f t="shared" si="4"/>
        <v>0.3098958333333333</v>
      </c>
      <c r="M31" s="53">
        <f t="shared" si="4"/>
        <v>0.3181818181818182</v>
      </c>
      <c r="N31" s="53">
        <f t="shared" si="4"/>
        <v>0.3159574468085106</v>
      </c>
      <c r="O31" s="53">
        <f t="shared" si="4"/>
        <v>0.3039772727272727</v>
      </c>
      <c r="P31" s="53">
        <f t="shared" si="4"/>
        <v>0.3196531791907514</v>
      </c>
      <c r="Q31" s="53">
        <f t="shared" si="4"/>
        <v>0.3312138728323699</v>
      </c>
      <c r="R31" s="73" t="s">
        <v>5</v>
      </c>
    </row>
    <row r="32" spans="1:18" s="28" customFormat="1" ht="16.5">
      <c r="A32" s="10" t="s">
        <v>17</v>
      </c>
      <c r="B32" s="53" t="s">
        <v>0</v>
      </c>
      <c r="C32" s="53" t="s">
        <v>0</v>
      </c>
      <c r="D32" s="53" t="s">
        <v>0</v>
      </c>
      <c r="E32" s="53">
        <f aca="true" t="shared" si="5" ref="E32:Q32">+E10/E97</f>
        <v>0.09489559164733179</v>
      </c>
      <c r="F32" s="53">
        <f t="shared" si="5"/>
        <v>0.29584055459272096</v>
      </c>
      <c r="G32" s="53">
        <f t="shared" si="5"/>
        <v>0.2410214168039539</v>
      </c>
      <c r="H32" s="53">
        <f t="shared" si="5"/>
        <v>0.2391768292682927</v>
      </c>
      <c r="I32" s="53">
        <f t="shared" si="5"/>
        <v>0.2259946949602122</v>
      </c>
      <c r="J32" s="53">
        <f t="shared" si="5"/>
        <v>0.19251700680272107</v>
      </c>
      <c r="K32" s="53">
        <f t="shared" si="5"/>
        <v>0.195079950799508</v>
      </c>
      <c r="L32" s="53">
        <f t="shared" si="5"/>
        <v>0.20452920143027412</v>
      </c>
      <c r="M32" s="53">
        <f t="shared" si="5"/>
        <v>0.21228070175438596</v>
      </c>
      <c r="N32" s="53">
        <f t="shared" si="5"/>
        <v>0.2268464243845252</v>
      </c>
      <c r="O32" s="53">
        <f t="shared" si="5"/>
        <v>0.2623655913978495</v>
      </c>
      <c r="P32" s="53">
        <f t="shared" si="5"/>
        <v>0.2635135135135135</v>
      </c>
      <c r="Q32" s="53">
        <f t="shared" si="5"/>
        <v>0.26807116104868917</v>
      </c>
      <c r="R32" s="73" t="s">
        <v>5</v>
      </c>
    </row>
    <row r="33" spans="1:18" s="28" customFormat="1" ht="18">
      <c r="A33" s="21" t="s">
        <v>31</v>
      </c>
      <c r="B33" s="53" t="s">
        <v>0</v>
      </c>
      <c r="C33" s="53" t="s">
        <v>0</v>
      </c>
      <c r="D33" s="53" t="s">
        <v>0</v>
      </c>
      <c r="E33" s="53">
        <f aca="true" t="shared" si="6" ref="E33:Q33">+E11/E98</f>
        <v>0.1958041958041958</v>
      </c>
      <c r="F33" s="53">
        <f t="shared" si="6"/>
        <v>0.1576923076923077</v>
      </c>
      <c r="G33" s="53">
        <f t="shared" si="6"/>
        <v>0.23076923076923078</v>
      </c>
      <c r="H33" s="53">
        <f t="shared" si="6"/>
        <v>0.2109375</v>
      </c>
      <c r="I33" s="53">
        <f t="shared" si="6"/>
        <v>0.17346938775510204</v>
      </c>
      <c r="J33" s="53">
        <f t="shared" si="6"/>
        <v>0.13945578231292516</v>
      </c>
      <c r="K33" s="53">
        <f t="shared" si="6"/>
        <v>0.15550756636711083</v>
      </c>
      <c r="L33" s="53">
        <f t="shared" si="6"/>
        <v>0.18181818181818182</v>
      </c>
      <c r="M33" s="53">
        <f t="shared" si="6"/>
        <v>0.21846153846153846</v>
      </c>
      <c r="N33" s="53">
        <f t="shared" si="6"/>
        <v>0.2348648120594556</v>
      </c>
      <c r="O33" s="53">
        <f t="shared" si="6"/>
        <v>0.25227500602860736</v>
      </c>
      <c r="P33" s="53">
        <f t="shared" si="6"/>
        <v>0.2834426575578689</v>
      </c>
      <c r="Q33" s="53">
        <f t="shared" si="6"/>
        <v>0.2899373894417331</v>
      </c>
      <c r="R33" s="73" t="s">
        <v>5</v>
      </c>
    </row>
    <row r="34" spans="1:18" s="28" customFormat="1" ht="16.5">
      <c r="A34" s="10" t="s">
        <v>10</v>
      </c>
      <c r="B34" s="53" t="s">
        <v>0</v>
      </c>
      <c r="C34" s="53" t="s">
        <v>0</v>
      </c>
      <c r="D34" s="53" t="s">
        <v>0</v>
      </c>
      <c r="E34" s="53">
        <f aca="true" t="shared" si="7" ref="E34:Q34">+E12/E99</f>
        <v>0.13445354419655464</v>
      </c>
      <c r="F34" s="53">
        <f t="shared" si="7"/>
        <v>0.1354552276138069</v>
      </c>
      <c r="G34" s="53">
        <f t="shared" si="7"/>
        <v>0.1307011159631247</v>
      </c>
      <c r="H34" s="53">
        <f t="shared" si="7"/>
        <v>0.13718117590707699</v>
      </c>
      <c r="I34" s="53">
        <f t="shared" si="7"/>
        <v>0.1465041054988803</v>
      </c>
      <c r="J34" s="53">
        <f t="shared" si="7"/>
        <v>0.14420955882352943</v>
      </c>
      <c r="K34" s="53">
        <f t="shared" si="7"/>
        <v>0.14929272187999088</v>
      </c>
      <c r="L34" s="53">
        <f t="shared" si="7"/>
        <v>0.14620293554562858</v>
      </c>
      <c r="M34" s="53">
        <f t="shared" si="7"/>
        <v>0.15068077084206116</v>
      </c>
      <c r="N34" s="53">
        <f t="shared" si="7"/>
        <v>0.15229377104377106</v>
      </c>
      <c r="O34" s="53">
        <f t="shared" si="7"/>
        <v>0.16238100219688253</v>
      </c>
      <c r="P34" s="53">
        <f t="shared" si="7"/>
        <v>0.16613849161436361</v>
      </c>
      <c r="Q34" s="53">
        <f t="shared" si="7"/>
        <v>0.18240261796685317</v>
      </c>
      <c r="R34" s="73" t="s">
        <v>5</v>
      </c>
    </row>
    <row r="35" spans="1:18" s="28" customFormat="1" ht="18">
      <c r="A35" s="21" t="s">
        <v>30</v>
      </c>
      <c r="B35" s="53" t="s">
        <v>0</v>
      </c>
      <c r="C35" s="53" t="s">
        <v>0</v>
      </c>
      <c r="D35" s="53" t="s">
        <v>0</v>
      </c>
      <c r="E35" s="53">
        <f aca="true" t="shared" si="8" ref="E35:P35">+E13/E100</f>
        <v>0.04596774193548389</v>
      </c>
      <c r="F35" s="53">
        <f t="shared" si="8"/>
        <v>0.2</v>
      </c>
      <c r="G35" s="53">
        <f t="shared" si="8"/>
        <v>0.1142857142857143</v>
      </c>
      <c r="H35" s="53">
        <f t="shared" si="8"/>
        <v>0.07011494252873565</v>
      </c>
      <c r="I35" s="53">
        <f t="shared" si="8"/>
        <v>0.11517615176151762</v>
      </c>
      <c r="J35" s="53">
        <f t="shared" si="8"/>
        <v>0.08684807256235827</v>
      </c>
      <c r="K35" s="53">
        <f t="shared" si="8"/>
        <v>0.09723832500724625</v>
      </c>
      <c r="L35" s="53">
        <f t="shared" si="8"/>
        <v>0.0880952380952381</v>
      </c>
      <c r="M35" s="53">
        <f t="shared" si="8"/>
        <v>0.09131274131274131</v>
      </c>
      <c r="N35" s="53">
        <f t="shared" si="8"/>
        <v>0.08948198661610966</v>
      </c>
      <c r="O35" s="53">
        <f t="shared" si="8"/>
        <v>0.0948110891803344</v>
      </c>
      <c r="P35" s="53">
        <f t="shared" si="8"/>
        <v>0.11076672324927055</v>
      </c>
      <c r="Q35" s="53">
        <f>+Q13/Q100</f>
        <v>0.09978136928246499</v>
      </c>
      <c r="R35" s="73" t="s">
        <v>5</v>
      </c>
    </row>
    <row r="36" spans="1:18" s="28" customFormat="1" ht="18">
      <c r="A36" s="14" t="s">
        <v>42</v>
      </c>
      <c r="B36" s="53">
        <v>0.14</v>
      </c>
      <c r="C36" s="53">
        <v>0.22</v>
      </c>
      <c r="D36" s="53">
        <v>0.3</v>
      </c>
      <c r="E36" s="53">
        <v>0.67</v>
      </c>
      <c r="F36" s="53">
        <v>0.85</v>
      </c>
      <c r="G36" s="53">
        <v>0.87</v>
      </c>
      <c r="H36" s="53">
        <v>0.93</v>
      </c>
      <c r="I36" s="53">
        <v>0.89</v>
      </c>
      <c r="J36" s="53">
        <v>0.91</v>
      </c>
      <c r="K36" s="54">
        <v>0.9</v>
      </c>
      <c r="L36" s="54">
        <v>0.93</v>
      </c>
      <c r="M36" s="54">
        <v>0.92</v>
      </c>
      <c r="N36" s="54">
        <v>0.89</v>
      </c>
      <c r="O36" s="54">
        <v>0.97</v>
      </c>
      <c r="P36" s="54">
        <v>1.02</v>
      </c>
      <c r="Q36" s="54">
        <v>1.02</v>
      </c>
      <c r="R36" s="54" t="s">
        <v>5</v>
      </c>
    </row>
    <row r="37" spans="1:18" s="32" customFormat="1" ht="16.5">
      <c r="A37" s="10" t="s">
        <v>11</v>
      </c>
      <c r="B37" s="53" t="s">
        <v>0</v>
      </c>
      <c r="C37" s="53" t="s">
        <v>0</v>
      </c>
      <c r="D37" s="53" t="s">
        <v>0</v>
      </c>
      <c r="E37" s="53">
        <v>0.52</v>
      </c>
      <c r="F37" s="53">
        <v>0.62</v>
      </c>
      <c r="G37" s="53">
        <v>0.66</v>
      </c>
      <c r="H37" s="53">
        <v>0.7</v>
      </c>
      <c r="I37" s="53">
        <v>0.7</v>
      </c>
      <c r="J37" s="53">
        <v>0.74</v>
      </c>
      <c r="K37" s="54">
        <v>0.74</v>
      </c>
      <c r="L37" s="54">
        <v>0.77</v>
      </c>
      <c r="M37" s="54">
        <v>0.74</v>
      </c>
      <c r="N37" s="54">
        <v>0.7</v>
      </c>
      <c r="O37" s="60">
        <v>0.72</v>
      </c>
      <c r="P37" s="60">
        <v>0.75</v>
      </c>
      <c r="Q37" s="60">
        <v>0.78</v>
      </c>
      <c r="R37" s="54" t="s">
        <v>5</v>
      </c>
    </row>
    <row r="38" spans="1:18" s="32" customFormat="1" ht="16.5">
      <c r="A38" s="10" t="s">
        <v>8</v>
      </c>
      <c r="B38" s="53" t="s">
        <v>0</v>
      </c>
      <c r="C38" s="53" t="s">
        <v>0</v>
      </c>
      <c r="D38" s="53" t="s">
        <v>0</v>
      </c>
      <c r="E38" s="53">
        <v>0.74</v>
      </c>
      <c r="F38" s="53">
        <v>0.9</v>
      </c>
      <c r="G38" s="53">
        <v>0.99</v>
      </c>
      <c r="H38" s="53">
        <v>1.08</v>
      </c>
      <c r="I38" s="53">
        <v>0.97</v>
      </c>
      <c r="J38" s="53">
        <v>0.9600501462599248</v>
      </c>
      <c r="K38" s="54">
        <v>0.92</v>
      </c>
      <c r="L38" s="54">
        <v>0.94</v>
      </c>
      <c r="M38" s="54">
        <v>0.93</v>
      </c>
      <c r="N38" s="54">
        <v>0.93</v>
      </c>
      <c r="O38" s="60">
        <v>1</v>
      </c>
      <c r="P38" s="60">
        <v>1.06</v>
      </c>
      <c r="Q38" s="60">
        <v>1.07</v>
      </c>
      <c r="R38" s="54" t="s">
        <v>5</v>
      </c>
    </row>
    <row r="39" spans="1:18" s="32" customFormat="1" ht="16.5">
      <c r="A39" s="10" t="s">
        <v>9</v>
      </c>
      <c r="B39" s="53" t="s">
        <v>0</v>
      </c>
      <c r="C39" s="53" t="s">
        <v>0</v>
      </c>
      <c r="D39" s="53" t="s">
        <v>0</v>
      </c>
      <c r="E39" s="53">
        <v>0.47</v>
      </c>
      <c r="F39" s="53">
        <v>0.66</v>
      </c>
      <c r="G39" s="53">
        <v>0.5</v>
      </c>
      <c r="H39" s="53">
        <v>0.55</v>
      </c>
      <c r="I39" s="53">
        <v>0.53</v>
      </c>
      <c r="J39" s="53">
        <v>0.54</v>
      </c>
      <c r="K39" s="54">
        <v>0.56</v>
      </c>
      <c r="L39" s="54">
        <v>0.57</v>
      </c>
      <c r="M39" s="54">
        <v>0.61</v>
      </c>
      <c r="N39" s="54">
        <v>0.67</v>
      </c>
      <c r="O39" s="60">
        <v>0.68</v>
      </c>
      <c r="P39" s="60">
        <v>0.67</v>
      </c>
      <c r="Q39" s="60">
        <v>0.65</v>
      </c>
      <c r="R39" s="54" t="s">
        <v>5</v>
      </c>
    </row>
    <row r="40" spans="1:18" s="32" customFormat="1" ht="16.5">
      <c r="A40" s="10" t="s">
        <v>12</v>
      </c>
      <c r="B40" s="53" t="s">
        <v>0</v>
      </c>
      <c r="C40" s="53" t="s">
        <v>0</v>
      </c>
      <c r="D40" s="53" t="s">
        <v>0</v>
      </c>
      <c r="E40" s="53">
        <v>0.36</v>
      </c>
      <c r="F40" s="53">
        <v>0.47</v>
      </c>
      <c r="G40" s="53">
        <v>0.45</v>
      </c>
      <c r="H40" s="53">
        <v>0.47</v>
      </c>
      <c r="I40" s="53">
        <v>0.47</v>
      </c>
      <c r="J40" s="53">
        <v>0.47264957264957264</v>
      </c>
      <c r="K40" s="54">
        <v>0.5</v>
      </c>
      <c r="L40" s="54">
        <v>0.49</v>
      </c>
      <c r="M40" s="54">
        <v>0.5</v>
      </c>
      <c r="N40" s="54">
        <v>0.46</v>
      </c>
      <c r="O40" s="60">
        <v>0.49</v>
      </c>
      <c r="P40" s="60">
        <v>0.52</v>
      </c>
      <c r="Q40" s="60">
        <v>0.54</v>
      </c>
      <c r="R40" s="54" t="s">
        <v>5</v>
      </c>
    </row>
    <row r="41" spans="1:18" s="32" customFormat="1" ht="16.5">
      <c r="A41" s="10" t="s">
        <v>17</v>
      </c>
      <c r="B41" s="53" t="s">
        <v>0</v>
      </c>
      <c r="C41" s="53" t="s">
        <v>0</v>
      </c>
      <c r="D41" s="53" t="s">
        <v>0</v>
      </c>
      <c r="E41" s="53">
        <v>0.6</v>
      </c>
      <c r="F41" s="53">
        <v>2.04</v>
      </c>
      <c r="G41" s="53">
        <v>2.26</v>
      </c>
      <c r="H41" s="53">
        <v>2.21</v>
      </c>
      <c r="I41" s="53">
        <v>1.83</v>
      </c>
      <c r="J41" s="53">
        <v>1.49</v>
      </c>
      <c r="K41" s="54">
        <v>1.59</v>
      </c>
      <c r="L41" s="54">
        <v>1.64</v>
      </c>
      <c r="M41" s="54">
        <v>1.73</v>
      </c>
      <c r="N41" s="54">
        <v>1.87</v>
      </c>
      <c r="O41" s="60">
        <v>2.14</v>
      </c>
      <c r="P41" s="60">
        <v>2.17</v>
      </c>
      <c r="Q41" s="60">
        <v>2.22</v>
      </c>
      <c r="R41" s="54" t="s">
        <v>5</v>
      </c>
    </row>
    <row r="42" spans="1:18" s="32" customFormat="1" ht="18">
      <c r="A42" s="16" t="s">
        <v>31</v>
      </c>
      <c r="B42" s="53" t="s">
        <v>0</v>
      </c>
      <c r="C42" s="53" t="s">
        <v>0</v>
      </c>
      <c r="D42" s="53" t="s">
        <v>0</v>
      </c>
      <c r="E42" s="53">
        <v>1.11</v>
      </c>
      <c r="F42" s="53">
        <v>0.87</v>
      </c>
      <c r="G42" s="53">
        <v>1.31</v>
      </c>
      <c r="H42" s="53">
        <v>1.12</v>
      </c>
      <c r="I42" s="53">
        <v>0.99</v>
      </c>
      <c r="J42" s="53">
        <v>0.8</v>
      </c>
      <c r="K42" s="54">
        <v>0.91</v>
      </c>
      <c r="L42" s="54">
        <v>1.13</v>
      </c>
      <c r="M42" s="54">
        <v>1.32</v>
      </c>
      <c r="N42" s="54">
        <v>1.36</v>
      </c>
      <c r="O42" s="60">
        <v>1.5</v>
      </c>
      <c r="P42" s="60">
        <v>1.69</v>
      </c>
      <c r="Q42" s="60">
        <v>1.69</v>
      </c>
      <c r="R42" s="54" t="s">
        <v>5</v>
      </c>
    </row>
    <row r="43" spans="1:18" s="32" customFormat="1" ht="16.5">
      <c r="A43" s="10" t="s">
        <v>10</v>
      </c>
      <c r="B43" s="53" t="s">
        <v>0</v>
      </c>
      <c r="C43" s="53" t="s">
        <v>0</v>
      </c>
      <c r="D43" s="53" t="s">
        <v>0</v>
      </c>
      <c r="E43" s="53">
        <v>2.9</v>
      </c>
      <c r="F43" s="53">
        <v>3.19</v>
      </c>
      <c r="G43" s="53">
        <v>3.13</v>
      </c>
      <c r="H43" s="53">
        <v>3.24</v>
      </c>
      <c r="I43" s="53">
        <v>3.3</v>
      </c>
      <c r="J43" s="53">
        <v>3.29</v>
      </c>
      <c r="K43" s="54">
        <v>3.31</v>
      </c>
      <c r="L43" s="54">
        <v>3.32</v>
      </c>
      <c r="M43" s="54">
        <v>3.44</v>
      </c>
      <c r="N43" s="54">
        <v>3.49</v>
      </c>
      <c r="O43" s="60">
        <v>3.79</v>
      </c>
      <c r="P43" s="60">
        <v>3.9</v>
      </c>
      <c r="Q43" s="60">
        <v>4.08</v>
      </c>
      <c r="R43" s="54" t="s">
        <v>5</v>
      </c>
    </row>
    <row r="44" spans="1:18" s="32" customFormat="1" ht="18">
      <c r="A44" s="22" t="s">
        <v>30</v>
      </c>
      <c r="B44" s="53" t="s">
        <v>0</v>
      </c>
      <c r="C44" s="53" t="s">
        <v>0</v>
      </c>
      <c r="D44" s="53" t="s">
        <v>0</v>
      </c>
      <c r="E44" s="53">
        <v>0.9</v>
      </c>
      <c r="F44" s="53">
        <v>1.28</v>
      </c>
      <c r="G44" s="53">
        <v>1.57</v>
      </c>
      <c r="H44" s="53">
        <v>1.33</v>
      </c>
      <c r="I44" s="53">
        <v>0.66</v>
      </c>
      <c r="J44" s="53">
        <v>1.02</v>
      </c>
      <c r="K44" s="54">
        <v>0.76</v>
      </c>
      <c r="L44" s="54">
        <v>0.66</v>
      </c>
      <c r="M44" s="54">
        <v>0.75</v>
      </c>
      <c r="N44" s="54">
        <v>0.77</v>
      </c>
      <c r="O44" s="61">
        <v>0.91</v>
      </c>
      <c r="P44" s="61">
        <v>1.04</v>
      </c>
      <c r="Q44" s="61">
        <v>1.02</v>
      </c>
      <c r="R44" s="74" t="s">
        <v>5</v>
      </c>
    </row>
    <row r="45" spans="1:18" s="28" customFormat="1" ht="18">
      <c r="A45" s="9" t="s">
        <v>35</v>
      </c>
      <c r="B45" s="49"/>
      <c r="C45" s="49"/>
      <c r="D45" s="49"/>
      <c r="E45" s="49"/>
      <c r="F45" s="49"/>
      <c r="G45" s="49"/>
      <c r="H45" s="49"/>
      <c r="I45" s="49"/>
      <c r="J45" s="49"/>
      <c r="K45" s="50"/>
      <c r="L45" s="50"/>
      <c r="M45" s="50"/>
      <c r="N45" s="50"/>
      <c r="O45" s="51"/>
      <c r="P45" s="51"/>
      <c r="Q45" s="51"/>
      <c r="R45" s="75"/>
    </row>
    <row r="46" spans="1:18" s="28" customFormat="1" ht="18">
      <c r="A46" s="11" t="s">
        <v>56</v>
      </c>
      <c r="B46" s="2">
        <v>1286</v>
      </c>
      <c r="C46" s="2">
        <v>1096</v>
      </c>
      <c r="D46" s="2">
        <v>1055</v>
      </c>
      <c r="E46" s="2">
        <v>5078</v>
      </c>
      <c r="F46" s="2">
        <v>5973</v>
      </c>
      <c r="G46" s="2">
        <v>5973</v>
      </c>
      <c r="H46" s="2">
        <v>5973</v>
      </c>
      <c r="I46" s="55">
        <v>5975</v>
      </c>
      <c r="J46" s="7">
        <v>6000</v>
      </c>
      <c r="K46" s="7">
        <v>6000</v>
      </c>
      <c r="L46" s="55">
        <v>6000</v>
      </c>
      <c r="M46" s="55">
        <v>6000</v>
      </c>
      <c r="N46" s="55">
        <v>6000</v>
      </c>
      <c r="O46" s="56">
        <v>5804</v>
      </c>
      <c r="P46" s="56">
        <v>6429</v>
      </c>
      <c r="Q46" s="56">
        <v>6429</v>
      </c>
      <c r="R46" s="7" t="s">
        <v>5</v>
      </c>
    </row>
    <row r="47" spans="1:18" s="28" customFormat="1" ht="16.5">
      <c r="A47" s="23" t="s">
        <v>11</v>
      </c>
      <c r="B47" s="2">
        <v>1236</v>
      </c>
      <c r="C47" s="2">
        <v>1075</v>
      </c>
      <c r="D47" s="2">
        <v>1022</v>
      </c>
      <c r="E47" s="2">
        <v>2685</v>
      </c>
      <c r="F47" s="2">
        <v>2250</v>
      </c>
      <c r="G47" s="2">
        <v>2250</v>
      </c>
      <c r="H47" s="2">
        <v>2250</v>
      </c>
      <c r="I47" s="55">
        <v>2250</v>
      </c>
      <c r="J47" s="7">
        <v>2262</v>
      </c>
      <c r="K47" s="7">
        <v>2262</v>
      </c>
      <c r="L47" s="55">
        <v>2262</v>
      </c>
      <c r="M47" s="55">
        <v>2264</v>
      </c>
      <c r="N47" s="55">
        <v>2264</v>
      </c>
      <c r="O47" s="56">
        <v>1982</v>
      </c>
      <c r="P47" s="56">
        <v>1500</v>
      </c>
      <c r="Q47" s="56">
        <v>1500</v>
      </c>
      <c r="R47" s="7" t="s">
        <v>5</v>
      </c>
    </row>
    <row r="48" spans="1:18" s="28" customFormat="1" ht="16.5">
      <c r="A48" s="23" t="s">
        <v>8</v>
      </c>
      <c r="B48" s="2">
        <v>31</v>
      </c>
      <c r="C48" s="2">
        <v>15</v>
      </c>
      <c r="D48" s="2">
        <v>11</v>
      </c>
      <c r="E48" s="2">
        <v>12</v>
      </c>
      <c r="F48" s="2">
        <v>14</v>
      </c>
      <c r="G48" s="2">
        <v>14</v>
      </c>
      <c r="H48" s="2">
        <v>14</v>
      </c>
      <c r="I48" s="55">
        <v>14</v>
      </c>
      <c r="J48" s="7">
        <v>14</v>
      </c>
      <c r="K48" s="7">
        <v>14</v>
      </c>
      <c r="L48" s="55">
        <v>14</v>
      </c>
      <c r="M48" s="55">
        <v>14</v>
      </c>
      <c r="N48" s="55">
        <v>14</v>
      </c>
      <c r="O48" s="56">
        <v>14</v>
      </c>
      <c r="P48" s="56">
        <v>14</v>
      </c>
      <c r="Q48" s="56">
        <v>15</v>
      </c>
      <c r="R48" s="7" t="s">
        <v>5</v>
      </c>
    </row>
    <row r="49" spans="1:18" s="28" customFormat="1" ht="16.5">
      <c r="A49" s="23" t="s">
        <v>9</v>
      </c>
      <c r="B49" s="2" t="s">
        <v>2</v>
      </c>
      <c r="C49" s="2" t="s">
        <v>2</v>
      </c>
      <c r="D49" s="2">
        <v>9</v>
      </c>
      <c r="E49" s="2">
        <v>17</v>
      </c>
      <c r="F49" s="2">
        <v>22</v>
      </c>
      <c r="G49" s="2">
        <v>22</v>
      </c>
      <c r="H49" s="2">
        <v>22</v>
      </c>
      <c r="I49" s="55">
        <v>22</v>
      </c>
      <c r="J49" s="7">
        <v>23</v>
      </c>
      <c r="K49" s="7">
        <v>24</v>
      </c>
      <c r="L49" s="55">
        <v>25</v>
      </c>
      <c r="M49" s="55">
        <v>26</v>
      </c>
      <c r="N49" s="55">
        <v>27</v>
      </c>
      <c r="O49" s="56">
        <v>27</v>
      </c>
      <c r="P49" s="56">
        <v>29</v>
      </c>
      <c r="Q49" s="56">
        <v>29</v>
      </c>
      <c r="R49" s="7" t="s">
        <v>5</v>
      </c>
    </row>
    <row r="50" spans="1:18" s="28" customFormat="1" ht="16.5">
      <c r="A50" s="23" t="s">
        <v>12</v>
      </c>
      <c r="B50" s="2">
        <v>19</v>
      </c>
      <c r="C50" s="2">
        <v>6</v>
      </c>
      <c r="D50" s="2">
        <v>5</v>
      </c>
      <c r="E50" s="2">
        <v>5</v>
      </c>
      <c r="F50" s="2">
        <v>5</v>
      </c>
      <c r="G50" s="2">
        <v>5</v>
      </c>
      <c r="H50" s="2">
        <v>5</v>
      </c>
      <c r="I50" s="55">
        <v>5</v>
      </c>
      <c r="J50" s="7">
        <v>5</v>
      </c>
      <c r="K50" s="7">
        <v>5</v>
      </c>
      <c r="L50" s="55">
        <v>5</v>
      </c>
      <c r="M50" s="55">
        <v>5</v>
      </c>
      <c r="N50" s="55">
        <v>5</v>
      </c>
      <c r="O50" s="56">
        <v>4</v>
      </c>
      <c r="P50" s="56">
        <v>4</v>
      </c>
      <c r="Q50" s="56">
        <v>4</v>
      </c>
      <c r="R50" s="7" t="s">
        <v>5</v>
      </c>
    </row>
    <row r="51" spans="1:18" s="28" customFormat="1" ht="16.5">
      <c r="A51" s="23" t="s">
        <v>17</v>
      </c>
      <c r="B51" s="2" t="s">
        <v>0</v>
      </c>
      <c r="C51" s="2" t="s">
        <v>0</v>
      </c>
      <c r="D51" s="2" t="s">
        <v>0</v>
      </c>
      <c r="E51" s="2">
        <v>3193</v>
      </c>
      <c r="F51" s="2">
        <v>5214</v>
      </c>
      <c r="G51" s="2">
        <v>5214</v>
      </c>
      <c r="H51" s="2">
        <v>5214</v>
      </c>
      <c r="I51" s="55">
        <v>5214</v>
      </c>
      <c r="J51" s="7">
        <v>5254</v>
      </c>
      <c r="K51" s="7">
        <v>5252</v>
      </c>
      <c r="L51" s="55">
        <v>5252</v>
      </c>
      <c r="M51" s="55">
        <v>5251</v>
      </c>
      <c r="N51" s="55">
        <v>5251</v>
      </c>
      <c r="O51" s="56">
        <v>5346</v>
      </c>
      <c r="P51" s="56">
        <v>5960</v>
      </c>
      <c r="Q51" s="56">
        <v>5960</v>
      </c>
      <c r="R51" s="7" t="s">
        <v>5</v>
      </c>
    </row>
    <row r="52" spans="1:18" s="28" customFormat="1" ht="18">
      <c r="A52" s="21" t="s">
        <v>31</v>
      </c>
      <c r="B52" s="2" t="s">
        <v>0</v>
      </c>
      <c r="C52" s="2" t="s">
        <v>0</v>
      </c>
      <c r="D52" s="2">
        <v>16</v>
      </c>
      <c r="E52" s="2">
        <v>27</v>
      </c>
      <c r="F52" s="2">
        <v>25</v>
      </c>
      <c r="G52" s="2">
        <v>25</v>
      </c>
      <c r="H52" s="2">
        <v>25</v>
      </c>
      <c r="I52" s="55">
        <v>25</v>
      </c>
      <c r="J52" s="7">
        <v>28</v>
      </c>
      <c r="K52" s="7">
        <v>30</v>
      </c>
      <c r="L52" s="55">
        <v>33</v>
      </c>
      <c r="M52" s="55">
        <v>42</v>
      </c>
      <c r="N52" s="55">
        <v>42</v>
      </c>
      <c r="O52" s="56">
        <v>46</v>
      </c>
      <c r="P52" s="56">
        <v>47</v>
      </c>
      <c r="Q52" s="56">
        <v>47</v>
      </c>
      <c r="R52" s="7" t="s">
        <v>5</v>
      </c>
    </row>
    <row r="53" spans="1:18" s="28" customFormat="1" ht="16.5">
      <c r="A53" s="23" t="s">
        <v>10</v>
      </c>
      <c r="B53" s="2" t="s">
        <v>0</v>
      </c>
      <c r="C53" s="2" t="s">
        <v>0</v>
      </c>
      <c r="D53" s="2">
        <v>18</v>
      </c>
      <c r="E53" s="2">
        <v>14</v>
      </c>
      <c r="F53" s="2">
        <v>16</v>
      </c>
      <c r="G53" s="2">
        <v>16</v>
      </c>
      <c r="H53" s="2">
        <v>16</v>
      </c>
      <c r="I53" s="55">
        <v>18</v>
      </c>
      <c r="J53" s="7">
        <v>18</v>
      </c>
      <c r="K53" s="7">
        <v>20</v>
      </c>
      <c r="L53" s="55">
        <v>19</v>
      </c>
      <c r="M53" s="55">
        <v>21</v>
      </c>
      <c r="N53" s="55">
        <v>20</v>
      </c>
      <c r="O53" s="56">
        <v>21</v>
      </c>
      <c r="P53" s="56">
        <v>21</v>
      </c>
      <c r="Q53" s="56">
        <v>22</v>
      </c>
      <c r="R53" s="7" t="s">
        <v>5</v>
      </c>
    </row>
    <row r="54" spans="1:18" s="28" customFormat="1" ht="18">
      <c r="A54" s="21" t="s">
        <v>30</v>
      </c>
      <c r="B54" s="2" t="s">
        <v>0</v>
      </c>
      <c r="C54" s="2" t="s">
        <v>0</v>
      </c>
      <c r="D54" s="2">
        <v>5</v>
      </c>
      <c r="E54" s="2">
        <v>35</v>
      </c>
      <c r="F54" s="2">
        <v>69</v>
      </c>
      <c r="G54" s="2">
        <v>69</v>
      </c>
      <c r="H54" s="2">
        <v>69</v>
      </c>
      <c r="I54" s="55">
        <v>70</v>
      </c>
      <c r="J54" s="7">
        <v>72</v>
      </c>
      <c r="K54" s="7">
        <v>81</v>
      </c>
      <c r="L54" s="55">
        <v>81</v>
      </c>
      <c r="M54" s="55">
        <v>82</v>
      </c>
      <c r="N54" s="55">
        <f>2+6+1+4+1+68</f>
        <v>82</v>
      </c>
      <c r="O54" s="56">
        <f>2+7+1+4+2+70</f>
        <v>86</v>
      </c>
      <c r="P54" s="56">
        <v>85</v>
      </c>
      <c r="Q54" s="56">
        <v>87</v>
      </c>
      <c r="R54" s="7" t="s">
        <v>5</v>
      </c>
    </row>
    <row r="55" spans="1:18" s="27" customFormat="1" ht="18">
      <c r="A55" s="14" t="s">
        <v>55</v>
      </c>
      <c r="B55" s="56">
        <f aca="true" t="shared" si="9" ref="B55:P55">SUM(B56:B63)</f>
        <v>65292</v>
      </c>
      <c r="C55" s="56">
        <f t="shared" si="9"/>
        <v>61298</v>
      </c>
      <c r="D55" s="56">
        <f t="shared" si="9"/>
        <v>75388</v>
      </c>
      <c r="E55" s="56">
        <f>SUM(E56:E63)</f>
        <v>93430</v>
      </c>
      <c r="F55" s="56">
        <f t="shared" si="9"/>
        <v>116416</v>
      </c>
      <c r="G55" s="56">
        <f t="shared" si="9"/>
        <v>116341</v>
      </c>
      <c r="H55" s="56">
        <f t="shared" si="9"/>
        <v>122750</v>
      </c>
      <c r="I55" s="56">
        <f t="shared" si="9"/>
        <v>126473</v>
      </c>
      <c r="J55" s="56">
        <f t="shared" si="9"/>
        <v>124048</v>
      </c>
      <c r="K55" s="56">
        <f t="shared" si="9"/>
        <v>128937</v>
      </c>
      <c r="L55" s="56">
        <f t="shared" si="9"/>
        <v>131241</v>
      </c>
      <c r="M55" s="56">
        <f t="shared" si="9"/>
        <v>134789</v>
      </c>
      <c r="N55" s="56">
        <f t="shared" si="9"/>
        <v>135107</v>
      </c>
      <c r="O55" s="56">
        <f t="shared" si="9"/>
        <v>138290</v>
      </c>
      <c r="P55" s="56">
        <f t="shared" si="9"/>
        <v>143822</v>
      </c>
      <c r="Q55" s="56">
        <v>150827</v>
      </c>
      <c r="R55" s="7" t="s">
        <v>5</v>
      </c>
    </row>
    <row r="56" spans="1:18" s="28" customFormat="1" ht="16.5">
      <c r="A56" s="23" t="s">
        <v>11</v>
      </c>
      <c r="B56" s="2">
        <v>49600</v>
      </c>
      <c r="C56" s="2">
        <v>49700</v>
      </c>
      <c r="D56" s="2">
        <v>59411</v>
      </c>
      <c r="E56" s="2">
        <v>58714</v>
      </c>
      <c r="F56" s="55">
        <v>68123</v>
      </c>
      <c r="G56" s="55">
        <v>67107</v>
      </c>
      <c r="H56" s="55">
        <v>71678</v>
      </c>
      <c r="I56" s="55">
        <v>72770</v>
      </c>
      <c r="J56" s="55">
        <v>72142</v>
      </c>
      <c r="K56" s="7">
        <v>74228</v>
      </c>
      <c r="L56" s="55">
        <v>75013</v>
      </c>
      <c r="M56" s="55">
        <v>76075</v>
      </c>
      <c r="N56" s="55">
        <v>76190</v>
      </c>
      <c r="O56" s="56">
        <v>77328</v>
      </c>
      <c r="P56" s="56">
        <v>81033</v>
      </c>
      <c r="Q56" s="56">
        <v>82027</v>
      </c>
      <c r="R56" s="7" t="s">
        <v>5</v>
      </c>
    </row>
    <row r="57" spans="1:18" s="28" customFormat="1" ht="16.5">
      <c r="A57" s="23" t="s">
        <v>8</v>
      </c>
      <c r="B57" s="2">
        <v>9010</v>
      </c>
      <c r="C57" s="2">
        <v>9286</v>
      </c>
      <c r="D57" s="2">
        <v>9641</v>
      </c>
      <c r="E57" s="56">
        <v>10567</v>
      </c>
      <c r="F57" s="56">
        <v>10282</v>
      </c>
      <c r="G57" s="56">
        <v>10166</v>
      </c>
      <c r="H57" s="56">
        <v>10243</v>
      </c>
      <c r="I57" s="56">
        <v>10228</v>
      </c>
      <c r="J57" s="56">
        <v>10296</v>
      </c>
      <c r="K57" s="56">
        <v>10362</v>
      </c>
      <c r="L57" s="56">
        <v>10311</v>
      </c>
      <c r="M57" s="56">
        <v>10718</v>
      </c>
      <c r="N57" s="56">
        <v>10849</v>
      </c>
      <c r="O57" s="56">
        <v>10754</v>
      </c>
      <c r="P57" s="56">
        <v>10858</v>
      </c>
      <c r="Q57" s="56">
        <v>11110</v>
      </c>
      <c r="R57" s="7" t="s">
        <v>5</v>
      </c>
    </row>
    <row r="58" spans="1:18" s="28" customFormat="1" ht="16.5">
      <c r="A58" s="23" t="s">
        <v>9</v>
      </c>
      <c r="B58" s="2">
        <v>2856</v>
      </c>
      <c r="C58" s="2">
        <v>1262</v>
      </c>
      <c r="D58" s="2">
        <v>1013</v>
      </c>
      <c r="E58" s="56">
        <v>910</v>
      </c>
      <c r="F58" s="56">
        <v>1051</v>
      </c>
      <c r="G58" s="56">
        <v>1048</v>
      </c>
      <c r="H58" s="56">
        <v>1114</v>
      </c>
      <c r="I58" s="56">
        <v>1078</v>
      </c>
      <c r="J58" s="56">
        <v>1076</v>
      </c>
      <c r="K58" s="56">
        <v>1180</v>
      </c>
      <c r="L58" s="56">
        <v>1327</v>
      </c>
      <c r="M58" s="56">
        <v>1371</v>
      </c>
      <c r="N58" s="56">
        <v>1448</v>
      </c>
      <c r="O58" s="56">
        <v>1482</v>
      </c>
      <c r="P58" s="56">
        <v>1622</v>
      </c>
      <c r="Q58" s="56">
        <v>1645</v>
      </c>
      <c r="R58" s="7" t="s">
        <v>5</v>
      </c>
    </row>
    <row r="59" spans="1:18" s="28" customFormat="1" ht="16.5">
      <c r="A59" s="23" t="s">
        <v>12</v>
      </c>
      <c r="B59" s="2">
        <v>3826</v>
      </c>
      <c r="C59" s="2">
        <v>1050</v>
      </c>
      <c r="D59" s="2">
        <v>823</v>
      </c>
      <c r="E59" s="56">
        <v>610</v>
      </c>
      <c r="F59" s="56">
        <v>643</v>
      </c>
      <c r="G59" s="56">
        <v>695</v>
      </c>
      <c r="H59" s="56">
        <v>675</v>
      </c>
      <c r="I59" s="56">
        <v>655</v>
      </c>
      <c r="J59" s="56">
        <v>646</v>
      </c>
      <c r="K59" s="56">
        <v>657</v>
      </c>
      <c r="L59" s="56">
        <v>652</v>
      </c>
      <c r="M59" s="56">
        <v>600</v>
      </c>
      <c r="N59" s="56">
        <v>616</v>
      </c>
      <c r="O59" s="56">
        <v>672</v>
      </c>
      <c r="P59" s="56">
        <v>597</v>
      </c>
      <c r="Q59" s="56">
        <v>615</v>
      </c>
      <c r="R59" s="7" t="s">
        <v>5</v>
      </c>
    </row>
    <row r="60" spans="1:18" s="28" customFormat="1" ht="16.5">
      <c r="A60" s="23" t="s">
        <v>17</v>
      </c>
      <c r="B60" s="2" t="s">
        <v>0</v>
      </c>
      <c r="C60" s="2" t="s">
        <v>0</v>
      </c>
      <c r="D60" s="2" t="s">
        <v>0</v>
      </c>
      <c r="E60" s="56">
        <v>16471</v>
      </c>
      <c r="F60" s="56">
        <v>28729</v>
      </c>
      <c r="G60" s="56">
        <v>29352</v>
      </c>
      <c r="H60" s="56">
        <v>30804</v>
      </c>
      <c r="I60" s="56">
        <v>32509</v>
      </c>
      <c r="J60" s="56">
        <v>29646</v>
      </c>
      <c r="K60" s="56">
        <v>31884</v>
      </c>
      <c r="L60" s="56">
        <v>33080</v>
      </c>
      <c r="M60" s="56">
        <v>34661</v>
      </c>
      <c r="N60" s="56">
        <v>34699</v>
      </c>
      <c r="O60" s="56">
        <v>35954</v>
      </c>
      <c r="P60" s="56">
        <v>37078</v>
      </c>
      <c r="Q60" s="56">
        <v>41958</v>
      </c>
      <c r="R60" s="7" t="s">
        <v>5</v>
      </c>
    </row>
    <row r="61" spans="1:18" s="28" customFormat="1" ht="18">
      <c r="A61" s="21" t="s">
        <v>31</v>
      </c>
      <c r="B61" s="2" t="s">
        <v>0</v>
      </c>
      <c r="C61" s="2" t="s">
        <v>0</v>
      </c>
      <c r="D61" s="2" t="s">
        <v>0</v>
      </c>
      <c r="E61" s="56">
        <v>108</v>
      </c>
      <c r="F61" s="56">
        <v>110</v>
      </c>
      <c r="G61" s="56">
        <v>110</v>
      </c>
      <c r="H61" s="56">
        <v>109</v>
      </c>
      <c r="I61" s="56">
        <v>134</v>
      </c>
      <c r="J61" s="56">
        <v>113</v>
      </c>
      <c r="K61" s="56">
        <v>112</v>
      </c>
      <c r="L61" s="56">
        <v>119</v>
      </c>
      <c r="M61" s="56">
        <v>125</v>
      </c>
      <c r="N61" s="56">
        <v>125</v>
      </c>
      <c r="O61" s="56">
        <v>131</v>
      </c>
      <c r="P61" s="56">
        <v>160</v>
      </c>
      <c r="Q61" s="56">
        <v>171</v>
      </c>
      <c r="R61" s="7" t="s">
        <v>5</v>
      </c>
    </row>
    <row r="62" spans="1:18" s="28" customFormat="1" ht="18">
      <c r="A62" s="23" t="s">
        <v>57</v>
      </c>
      <c r="B62" s="2" t="s">
        <v>0</v>
      </c>
      <c r="C62" s="2" t="s">
        <v>0</v>
      </c>
      <c r="D62" s="2">
        <v>4500</v>
      </c>
      <c r="E62" s="56">
        <v>4982</v>
      </c>
      <c r="F62" s="56">
        <v>5126</v>
      </c>
      <c r="G62" s="56">
        <v>5164</v>
      </c>
      <c r="H62" s="56">
        <v>5240</v>
      </c>
      <c r="I62" s="56">
        <v>5426</v>
      </c>
      <c r="J62" s="56">
        <v>5536</v>
      </c>
      <c r="K62" s="56">
        <v>5550</v>
      </c>
      <c r="L62" s="56">
        <v>5498</v>
      </c>
      <c r="M62" s="56">
        <v>5572</v>
      </c>
      <c r="N62" s="56">
        <v>5724</v>
      </c>
      <c r="O62" s="56">
        <v>5959</v>
      </c>
      <c r="P62" s="56">
        <v>6228</v>
      </c>
      <c r="Q62" s="56">
        <v>6392</v>
      </c>
      <c r="R62" s="7" t="s">
        <v>5</v>
      </c>
    </row>
    <row r="63" spans="1:18" s="28" customFormat="1" ht="18">
      <c r="A63" s="21" t="s">
        <v>30</v>
      </c>
      <c r="B63" s="2" t="s">
        <v>0</v>
      </c>
      <c r="C63" s="2" t="s">
        <v>0</v>
      </c>
      <c r="D63" s="2" t="s">
        <v>0</v>
      </c>
      <c r="E63" s="56">
        <f>1176-E61</f>
        <v>1068</v>
      </c>
      <c r="F63" s="56">
        <f>2462-F61</f>
        <v>2352</v>
      </c>
      <c r="G63" s="56">
        <f>2809-G61</f>
        <v>2699</v>
      </c>
      <c r="H63" s="56">
        <f>2996-H61</f>
        <v>2887</v>
      </c>
      <c r="I63" s="56">
        <f>3807-I61</f>
        <v>3673</v>
      </c>
      <c r="J63" s="56">
        <f>4706-J61</f>
        <v>4593</v>
      </c>
      <c r="K63" s="56">
        <f>5076-K61</f>
        <v>4964</v>
      </c>
      <c r="L63" s="56">
        <f>5360-L61</f>
        <v>5241</v>
      </c>
      <c r="M63" s="56">
        <f>5792-M61</f>
        <v>5667</v>
      </c>
      <c r="N63" s="56">
        <f>5581-N61</f>
        <v>5456</v>
      </c>
      <c r="O63" s="56">
        <f>6141-O61</f>
        <v>6010</v>
      </c>
      <c r="P63" s="56">
        <f>6406-P61</f>
        <v>6246</v>
      </c>
      <c r="Q63" s="56">
        <f>Q55-SUM(Q56:Q62)</f>
        <v>6909</v>
      </c>
      <c r="R63" s="7" t="s">
        <v>5</v>
      </c>
    </row>
    <row r="64" spans="1:18" s="27" customFormat="1" ht="18">
      <c r="A64" s="62" t="s">
        <v>58</v>
      </c>
      <c r="B64" s="56">
        <f>SUM(B65:B72)</f>
        <v>156400</v>
      </c>
      <c r="C64" s="56">
        <f>SUM(C65:C72)</f>
        <v>138040</v>
      </c>
      <c r="D64" s="2">
        <v>189300</v>
      </c>
      <c r="E64" s="56">
        <f aca="true" t="shared" si="10" ref="E64:L64">SUM(E65:E72)</f>
        <v>262176</v>
      </c>
      <c r="F64" s="56">
        <f t="shared" si="10"/>
        <v>294087</v>
      </c>
      <c r="G64" s="56">
        <f t="shared" si="10"/>
        <v>300491</v>
      </c>
      <c r="H64" s="56">
        <f t="shared" si="10"/>
        <v>314944</v>
      </c>
      <c r="I64" s="56">
        <f t="shared" si="10"/>
        <v>320759</v>
      </c>
      <c r="J64" s="56">
        <f t="shared" si="10"/>
        <v>327752</v>
      </c>
      <c r="K64" s="56">
        <f t="shared" si="10"/>
        <v>337885</v>
      </c>
      <c r="L64" s="56">
        <f t="shared" si="10"/>
        <v>347841</v>
      </c>
      <c r="M64" s="56">
        <v>357266</v>
      </c>
      <c r="N64" s="56">
        <v>360722</v>
      </c>
      <c r="O64" s="70">
        <v>337982</v>
      </c>
      <c r="P64" s="56">
        <v>345871</v>
      </c>
      <c r="Q64" s="56">
        <v>345458</v>
      </c>
      <c r="R64" s="7" t="s">
        <v>5</v>
      </c>
    </row>
    <row r="65" spans="1:18" s="28" customFormat="1" ht="16.5">
      <c r="A65" s="23" t="s">
        <v>11</v>
      </c>
      <c r="B65" s="2">
        <v>121300</v>
      </c>
      <c r="C65" s="2">
        <v>101598</v>
      </c>
      <c r="D65" s="2" t="s">
        <v>0</v>
      </c>
      <c r="E65" s="2">
        <v>162189</v>
      </c>
      <c r="F65" s="55">
        <v>174373</v>
      </c>
      <c r="G65" s="55">
        <v>181973</v>
      </c>
      <c r="H65" s="55">
        <v>190152</v>
      </c>
      <c r="I65" s="55">
        <v>196861</v>
      </c>
      <c r="J65" s="55">
        <v>198644</v>
      </c>
      <c r="K65" s="7">
        <v>204179</v>
      </c>
      <c r="L65" s="55">
        <v>211095</v>
      </c>
      <c r="M65" s="55">
        <v>214674</v>
      </c>
      <c r="N65" s="55">
        <v>214825</v>
      </c>
      <c r="O65" s="56">
        <v>205478</v>
      </c>
      <c r="P65" s="56">
        <v>212122</v>
      </c>
      <c r="Q65" s="56">
        <v>217332</v>
      </c>
      <c r="R65" s="7" t="s">
        <v>5</v>
      </c>
    </row>
    <row r="66" spans="1:18" s="28" customFormat="1" ht="16.5">
      <c r="A66" s="23" t="s">
        <v>8</v>
      </c>
      <c r="B66" s="2">
        <v>35100</v>
      </c>
      <c r="C66" s="2">
        <v>36442</v>
      </c>
      <c r="D66" s="2" t="s">
        <v>0</v>
      </c>
      <c r="E66" s="2">
        <v>46102</v>
      </c>
      <c r="F66" s="55">
        <v>51062</v>
      </c>
      <c r="G66" s="55">
        <v>45644</v>
      </c>
      <c r="H66" s="55">
        <v>45793</v>
      </c>
      <c r="I66" s="55">
        <v>45935</v>
      </c>
      <c r="J66" s="55">
        <v>45163</v>
      </c>
      <c r="K66" s="7">
        <v>46311</v>
      </c>
      <c r="L66" s="55">
        <v>47087</v>
      </c>
      <c r="M66" s="55">
        <v>47865</v>
      </c>
      <c r="N66" s="55">
        <v>48464</v>
      </c>
      <c r="O66" s="56">
        <v>48327</v>
      </c>
      <c r="P66" s="56">
        <v>47211</v>
      </c>
      <c r="Q66" s="56">
        <v>47806</v>
      </c>
      <c r="R66" s="7" t="s">
        <v>5</v>
      </c>
    </row>
    <row r="67" spans="1:18" s="28" customFormat="1" ht="16.5">
      <c r="A67" s="23" t="s">
        <v>9</v>
      </c>
      <c r="B67" s="2" t="s">
        <v>3</v>
      </c>
      <c r="C67" s="2" t="s">
        <v>3</v>
      </c>
      <c r="D67" s="2" t="s">
        <v>0</v>
      </c>
      <c r="E67" s="2">
        <v>4066</v>
      </c>
      <c r="F67" s="55">
        <v>5140</v>
      </c>
      <c r="G67" s="55">
        <v>4935</v>
      </c>
      <c r="H67" s="55">
        <v>5728</v>
      </c>
      <c r="I67" s="55">
        <v>5940</v>
      </c>
      <c r="J67" s="55">
        <v>6024</v>
      </c>
      <c r="K67" s="7">
        <v>6058</v>
      </c>
      <c r="L67" s="55">
        <v>6572</v>
      </c>
      <c r="M67" s="55">
        <v>7021</v>
      </c>
      <c r="N67" s="55">
        <v>7598</v>
      </c>
      <c r="O67" s="56">
        <v>7619</v>
      </c>
      <c r="P67" s="56">
        <v>8184</v>
      </c>
      <c r="Q67" s="56">
        <v>8181</v>
      </c>
      <c r="R67" s="7" t="s">
        <v>5</v>
      </c>
    </row>
    <row r="68" spans="1:18" s="28" customFormat="1" ht="16.5">
      <c r="A68" s="23" t="s">
        <v>12</v>
      </c>
      <c r="B68" s="2" t="s">
        <v>3</v>
      </c>
      <c r="C68" s="2" t="s">
        <v>3</v>
      </c>
      <c r="D68" s="2" t="s">
        <v>0</v>
      </c>
      <c r="E68" s="2">
        <v>1925</v>
      </c>
      <c r="F68" s="55">
        <v>1848</v>
      </c>
      <c r="G68" s="55">
        <v>1871</v>
      </c>
      <c r="H68" s="55">
        <v>2084</v>
      </c>
      <c r="I68" s="55">
        <v>2037</v>
      </c>
      <c r="J68" s="55">
        <v>2053</v>
      </c>
      <c r="K68" s="7">
        <v>2140</v>
      </c>
      <c r="L68" s="55">
        <v>2223</v>
      </c>
      <c r="M68" s="55">
        <v>2008</v>
      </c>
      <c r="N68" s="55">
        <v>2027</v>
      </c>
      <c r="O68" s="56">
        <v>1964</v>
      </c>
      <c r="P68" s="56">
        <v>1928</v>
      </c>
      <c r="Q68" s="56">
        <v>1942</v>
      </c>
      <c r="R68" s="7" t="s">
        <v>5</v>
      </c>
    </row>
    <row r="69" spans="1:18" s="28" customFormat="1" ht="16.5">
      <c r="A69" s="23" t="s">
        <v>17</v>
      </c>
      <c r="B69" s="2" t="s">
        <v>0</v>
      </c>
      <c r="C69" s="2" t="s">
        <v>0</v>
      </c>
      <c r="D69" s="2" t="s">
        <v>0</v>
      </c>
      <c r="E69" s="2">
        <v>22740</v>
      </c>
      <c r="F69" s="55">
        <v>35450</v>
      </c>
      <c r="G69" s="55">
        <v>39882</v>
      </c>
      <c r="H69" s="55">
        <v>44667</v>
      </c>
      <c r="I69" s="55">
        <v>44029</v>
      </c>
      <c r="J69" s="55">
        <v>48406</v>
      </c>
      <c r="K69" s="7">
        <v>51186</v>
      </c>
      <c r="L69" s="55">
        <v>52021</v>
      </c>
      <c r="M69" s="55">
        <v>55846</v>
      </c>
      <c r="N69" s="55">
        <v>56746</v>
      </c>
      <c r="O69" s="56">
        <v>42935</v>
      </c>
      <c r="P69" s="56">
        <v>43642</v>
      </c>
      <c r="Q69" s="56">
        <v>46624</v>
      </c>
      <c r="R69" s="7" t="s">
        <v>5</v>
      </c>
    </row>
    <row r="70" spans="1:18" s="28" customFormat="1" ht="18">
      <c r="A70" s="21" t="s">
        <v>31</v>
      </c>
      <c r="B70" s="2" t="s">
        <v>0</v>
      </c>
      <c r="C70" s="2" t="s">
        <v>0</v>
      </c>
      <c r="D70" s="2" t="s">
        <v>0</v>
      </c>
      <c r="E70" s="2">
        <v>2813</v>
      </c>
      <c r="F70" s="55">
        <v>2764</v>
      </c>
      <c r="G70" s="55">
        <v>2697</v>
      </c>
      <c r="H70" s="55">
        <v>2830</v>
      </c>
      <c r="I70" s="55">
        <v>3166</v>
      </c>
      <c r="J70" s="55">
        <v>3894</v>
      </c>
      <c r="K70" s="7">
        <v>4024</v>
      </c>
      <c r="L70" s="55">
        <v>2682</v>
      </c>
      <c r="M70" s="55">
        <v>4731</v>
      </c>
      <c r="N70" s="55">
        <v>5336</v>
      </c>
      <c r="O70" s="56">
        <v>5434</v>
      </c>
      <c r="P70" s="56">
        <v>5862</v>
      </c>
      <c r="Q70" s="56">
        <v>5737</v>
      </c>
      <c r="R70" s="7" t="s">
        <v>5</v>
      </c>
    </row>
    <row r="71" spans="1:18" s="28" customFormat="1" ht="16.5">
      <c r="A71" s="23" t="s">
        <v>10</v>
      </c>
      <c r="B71" s="2" t="s">
        <v>0</v>
      </c>
      <c r="C71" s="2" t="s">
        <v>0</v>
      </c>
      <c r="D71" s="2" t="s">
        <v>0</v>
      </c>
      <c r="E71" s="2">
        <v>21443</v>
      </c>
      <c r="F71" s="55">
        <v>22596</v>
      </c>
      <c r="G71" s="55">
        <v>22320</v>
      </c>
      <c r="H71" s="55">
        <v>22604</v>
      </c>
      <c r="I71" s="55">
        <v>21651</v>
      </c>
      <c r="J71" s="55">
        <v>22488</v>
      </c>
      <c r="K71" s="7">
        <v>22896</v>
      </c>
      <c r="L71" s="55">
        <v>23518</v>
      </c>
      <c r="M71" s="55">
        <v>23851</v>
      </c>
      <c r="N71" s="55">
        <v>24391</v>
      </c>
      <c r="O71" s="56">
        <v>24813</v>
      </c>
      <c r="P71" s="56">
        <v>25296</v>
      </c>
      <c r="Q71" s="56">
        <v>25321</v>
      </c>
      <c r="R71" s="7" t="s">
        <v>5</v>
      </c>
    </row>
    <row r="72" spans="1:18" s="27" customFormat="1" ht="18">
      <c r="A72" s="24" t="s">
        <v>30</v>
      </c>
      <c r="B72" s="57" t="s">
        <v>0</v>
      </c>
      <c r="C72" s="57" t="s">
        <v>0</v>
      </c>
      <c r="D72" s="57" t="s">
        <v>0</v>
      </c>
      <c r="E72" s="57">
        <f>3711-E70</f>
        <v>898</v>
      </c>
      <c r="F72" s="58">
        <f>3618-F70</f>
        <v>854</v>
      </c>
      <c r="G72" s="58">
        <f>3866-G70</f>
        <v>1169</v>
      </c>
      <c r="H72" s="58">
        <f>3916-H70</f>
        <v>1086</v>
      </c>
      <c r="I72" s="58">
        <f>4306-I70</f>
        <v>1140</v>
      </c>
      <c r="J72" s="58">
        <f>4974-J70</f>
        <v>1080</v>
      </c>
      <c r="K72" s="59">
        <f>5115-K70</f>
        <v>1091</v>
      </c>
      <c r="L72" s="59">
        <f>5325-L70</f>
        <v>2643</v>
      </c>
      <c r="M72" s="59">
        <f>6001-M70</f>
        <v>1270</v>
      </c>
      <c r="N72" s="59">
        <f>6671-N70</f>
        <v>1335</v>
      </c>
      <c r="O72" s="79">
        <f>6848-O70</f>
        <v>1414</v>
      </c>
      <c r="P72" s="63">
        <f>7488-P70</f>
        <v>1626</v>
      </c>
      <c r="Q72" s="63">
        <f>7253-(Q70)</f>
        <v>1516</v>
      </c>
      <c r="R72" s="59" t="s">
        <v>5</v>
      </c>
    </row>
    <row r="73" spans="1:18" s="28" customFormat="1" ht="16.5">
      <c r="A73" s="9" t="s">
        <v>36</v>
      </c>
      <c r="B73" s="52"/>
      <c r="C73" s="52"/>
      <c r="D73" s="52"/>
      <c r="E73" s="52"/>
      <c r="F73" s="52"/>
      <c r="G73" s="52"/>
      <c r="H73" s="52"/>
      <c r="I73" s="52"/>
      <c r="J73" s="52"/>
      <c r="K73" s="52"/>
      <c r="L73" s="52"/>
      <c r="M73" s="52"/>
      <c r="N73" s="52"/>
      <c r="O73" s="51"/>
      <c r="P73" s="51"/>
      <c r="Q73" s="51"/>
      <c r="R73" s="75"/>
    </row>
    <row r="74" spans="1:18" s="28" customFormat="1" ht="18">
      <c r="A74" s="11" t="s">
        <v>43</v>
      </c>
      <c r="B74" s="2">
        <v>2143</v>
      </c>
      <c r="C74" s="2">
        <v>1883</v>
      </c>
      <c r="D74" s="2">
        <v>2287</v>
      </c>
      <c r="E74" s="2">
        <v>3241.5</v>
      </c>
      <c r="F74" s="2">
        <v>3467.5</v>
      </c>
      <c r="G74" s="2">
        <v>3550.2</v>
      </c>
      <c r="H74" s="2">
        <v>3650.3</v>
      </c>
      <c r="I74" s="55">
        <v>3745.8</v>
      </c>
      <c r="J74" s="55">
        <v>3793.6</v>
      </c>
      <c r="K74" s="7">
        <v>3972.2</v>
      </c>
      <c r="L74" s="55">
        <v>4080.8</v>
      </c>
      <c r="M74" s="55">
        <v>4196.2</v>
      </c>
      <c r="N74" s="55">
        <v>4276.7</v>
      </c>
      <c r="O74" s="56">
        <v>4363.4</v>
      </c>
      <c r="P74" s="56">
        <v>4470.8</v>
      </c>
      <c r="Q74" s="56">
        <v>4601.4</v>
      </c>
      <c r="R74" s="7" t="s">
        <v>5</v>
      </c>
    </row>
    <row r="75" spans="1:18" s="28" customFormat="1" ht="16.5">
      <c r="A75" s="23" t="s">
        <v>11</v>
      </c>
      <c r="B75" s="2">
        <v>1576</v>
      </c>
      <c r="C75" s="2">
        <v>1409</v>
      </c>
      <c r="D75" s="2">
        <v>1677</v>
      </c>
      <c r="E75" s="2">
        <v>2129.9</v>
      </c>
      <c r="F75" s="2">
        <v>2162</v>
      </c>
      <c r="G75" s="2">
        <v>2183.7</v>
      </c>
      <c r="H75" s="2">
        <v>2220.5</v>
      </c>
      <c r="I75" s="55">
        <v>2244.6</v>
      </c>
      <c r="J75" s="55">
        <v>2174.6</v>
      </c>
      <c r="K75" s="7">
        <v>2275.9</v>
      </c>
      <c r="L75" s="55">
        <v>2314.8</v>
      </c>
      <c r="M75" s="55">
        <v>2376.5</v>
      </c>
      <c r="N75" s="55">
        <v>2411.1</v>
      </c>
      <c r="O75" s="56">
        <v>2420.8</v>
      </c>
      <c r="P75" s="56">
        <v>2471</v>
      </c>
      <c r="Q75" s="56">
        <v>2484.8</v>
      </c>
      <c r="R75" s="7" t="s">
        <v>5</v>
      </c>
    </row>
    <row r="76" spans="1:18" s="28" customFormat="1" ht="16.5">
      <c r="A76" s="23" t="s">
        <v>8</v>
      </c>
      <c r="B76" s="2">
        <v>391</v>
      </c>
      <c r="C76" s="2">
        <v>407</v>
      </c>
      <c r="D76" s="2">
        <v>385</v>
      </c>
      <c r="E76" s="2">
        <v>536.7</v>
      </c>
      <c r="F76" s="2">
        <v>531.8</v>
      </c>
      <c r="G76" s="2">
        <v>537.2</v>
      </c>
      <c r="H76" s="2">
        <v>543.1</v>
      </c>
      <c r="I76" s="55">
        <v>557.7</v>
      </c>
      <c r="J76" s="7">
        <v>565.7</v>
      </c>
      <c r="K76" s="7">
        <v>577.7</v>
      </c>
      <c r="L76" s="55">
        <v>595.2</v>
      </c>
      <c r="M76" s="55">
        <v>608.1</v>
      </c>
      <c r="N76" s="55">
        <v>620.9</v>
      </c>
      <c r="O76" s="56">
        <v>629.9</v>
      </c>
      <c r="P76" s="56">
        <v>642.4</v>
      </c>
      <c r="Q76" s="56">
        <v>646.2</v>
      </c>
      <c r="R76" s="7" t="s">
        <v>5</v>
      </c>
    </row>
    <row r="77" spans="1:18" s="28" customFormat="1" ht="16.5">
      <c r="A77" s="23" t="s">
        <v>9</v>
      </c>
      <c r="B77" s="2">
        <v>75</v>
      </c>
      <c r="C77" s="2">
        <v>34</v>
      </c>
      <c r="D77" s="2">
        <v>18</v>
      </c>
      <c r="E77" s="2">
        <v>24.2</v>
      </c>
      <c r="F77" s="2">
        <v>34</v>
      </c>
      <c r="G77" s="2">
        <v>34.6</v>
      </c>
      <c r="H77" s="2">
        <v>37.6</v>
      </c>
      <c r="I77" s="55">
        <v>41.2</v>
      </c>
      <c r="J77" s="55">
        <v>43.8</v>
      </c>
      <c r="K77" s="7">
        <v>48.7</v>
      </c>
      <c r="L77" s="55">
        <v>52.8</v>
      </c>
      <c r="M77" s="55">
        <v>54.3</v>
      </c>
      <c r="N77" s="55">
        <v>61</v>
      </c>
      <c r="O77" s="56">
        <v>64.3</v>
      </c>
      <c r="P77" s="56">
        <v>67.4</v>
      </c>
      <c r="Q77" s="56">
        <v>69.2</v>
      </c>
      <c r="R77" s="7" t="s">
        <v>5</v>
      </c>
    </row>
    <row r="78" spans="1:18" s="28" customFormat="1" ht="16.5">
      <c r="A78" s="23" t="s">
        <v>12</v>
      </c>
      <c r="B78" s="2">
        <v>101</v>
      </c>
      <c r="C78" s="2">
        <v>33</v>
      </c>
      <c r="D78" s="2">
        <v>13</v>
      </c>
      <c r="E78" s="2">
        <v>13.8</v>
      </c>
      <c r="F78" s="2">
        <v>13.7</v>
      </c>
      <c r="G78" s="2">
        <v>13.8</v>
      </c>
      <c r="H78" s="2">
        <v>13.7</v>
      </c>
      <c r="I78" s="55">
        <v>14</v>
      </c>
      <c r="J78" s="7">
        <v>13.6</v>
      </c>
      <c r="K78" s="7">
        <v>14.2</v>
      </c>
      <c r="L78" s="55">
        <v>14.5</v>
      </c>
      <c r="M78" s="55">
        <v>12.8</v>
      </c>
      <c r="N78" s="55">
        <v>13.9</v>
      </c>
      <c r="O78" s="56">
        <v>13.8</v>
      </c>
      <c r="P78" s="56">
        <v>13.4</v>
      </c>
      <c r="Q78" s="56">
        <v>12.9</v>
      </c>
      <c r="R78" s="7" t="s">
        <v>5</v>
      </c>
    </row>
    <row r="79" spans="1:241" s="33" customFormat="1" ht="16.5">
      <c r="A79" s="23" t="s">
        <v>17</v>
      </c>
      <c r="B79" s="2" t="s">
        <v>0</v>
      </c>
      <c r="C79" s="2" t="s">
        <v>0</v>
      </c>
      <c r="D79" s="55" t="s">
        <v>16</v>
      </c>
      <c r="E79" s="2">
        <v>305.9</v>
      </c>
      <c r="F79" s="2">
        <v>463.7</v>
      </c>
      <c r="G79" s="2">
        <v>506.5</v>
      </c>
      <c r="H79" s="2">
        <v>548.3</v>
      </c>
      <c r="I79" s="55">
        <v>585.3</v>
      </c>
      <c r="J79" s="55">
        <v>670.9</v>
      </c>
      <c r="K79" s="7">
        <v>718.4</v>
      </c>
      <c r="L79" s="55">
        <v>758.9</v>
      </c>
      <c r="M79" s="55">
        <v>789.3</v>
      </c>
      <c r="N79" s="55">
        <v>802.6</v>
      </c>
      <c r="O79" s="56">
        <v>864</v>
      </c>
      <c r="P79" s="56">
        <v>889.5</v>
      </c>
      <c r="Q79" s="56">
        <v>978.3</v>
      </c>
      <c r="R79" s="7" t="s">
        <v>5</v>
      </c>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c r="FJ79" s="28"/>
      <c r="FK79" s="28"/>
      <c r="FL79" s="28"/>
      <c r="FM79" s="28"/>
      <c r="FN79" s="28"/>
      <c r="FO79" s="28"/>
      <c r="FP79" s="28"/>
      <c r="FQ79" s="28"/>
      <c r="FR79" s="28"/>
      <c r="FS79" s="28"/>
      <c r="FT79" s="28"/>
      <c r="FU79" s="28"/>
      <c r="FV79" s="28"/>
      <c r="FW79" s="28"/>
      <c r="FX79" s="28"/>
      <c r="FY79" s="28"/>
      <c r="FZ79" s="28"/>
      <c r="GA79" s="28"/>
      <c r="GB79" s="28"/>
      <c r="GC79" s="28"/>
      <c r="GD79" s="28"/>
      <c r="GE79" s="28"/>
      <c r="GF79" s="28"/>
      <c r="GG79" s="28"/>
      <c r="GH79" s="28"/>
      <c r="GI79" s="28"/>
      <c r="GJ79" s="28"/>
      <c r="GK79" s="28"/>
      <c r="GL79" s="28"/>
      <c r="GM79" s="28"/>
      <c r="GN79" s="28"/>
      <c r="GO79" s="28"/>
      <c r="GP79" s="28"/>
      <c r="GQ79" s="28"/>
      <c r="GR79" s="28"/>
      <c r="GS79" s="28"/>
      <c r="GT79" s="28"/>
      <c r="GU79" s="28"/>
      <c r="GV79" s="28"/>
      <c r="GW79" s="28"/>
      <c r="GX79" s="28"/>
      <c r="GY79" s="28"/>
      <c r="GZ79" s="28"/>
      <c r="HA79" s="28"/>
      <c r="HB79" s="28"/>
      <c r="HC79" s="28"/>
      <c r="HD79" s="28"/>
      <c r="HE79" s="28"/>
      <c r="HF79" s="28"/>
      <c r="HG79" s="28"/>
      <c r="HH79" s="28"/>
      <c r="HI79" s="28"/>
      <c r="HJ79" s="28"/>
      <c r="HK79" s="28"/>
      <c r="HL79" s="28"/>
      <c r="HM79" s="28"/>
      <c r="HN79" s="28"/>
      <c r="HO79" s="28"/>
      <c r="HP79" s="28"/>
      <c r="HQ79" s="28"/>
      <c r="HR79" s="28"/>
      <c r="HS79" s="28"/>
      <c r="HT79" s="28"/>
      <c r="HU79" s="28"/>
      <c r="HV79" s="28"/>
      <c r="HW79" s="28"/>
      <c r="HX79" s="28"/>
      <c r="HY79" s="28"/>
      <c r="HZ79" s="28"/>
      <c r="IA79" s="28"/>
      <c r="IB79" s="28"/>
      <c r="IC79" s="28"/>
      <c r="ID79" s="28"/>
      <c r="IE79" s="28"/>
      <c r="IF79" s="28"/>
      <c r="IG79" s="28"/>
    </row>
    <row r="80" spans="1:18" s="28" customFormat="1" ht="18">
      <c r="A80" s="21" t="s">
        <v>31</v>
      </c>
      <c r="B80" s="2" t="s">
        <v>0</v>
      </c>
      <c r="C80" s="2" t="s">
        <v>0</v>
      </c>
      <c r="D80" s="2">
        <v>2</v>
      </c>
      <c r="E80" s="2">
        <v>2</v>
      </c>
      <c r="F80" s="2">
        <v>2</v>
      </c>
      <c r="G80" s="2">
        <v>3</v>
      </c>
      <c r="H80" s="2">
        <v>3</v>
      </c>
      <c r="I80" s="55">
        <v>3</v>
      </c>
      <c r="J80" s="55">
        <v>3</v>
      </c>
      <c r="K80" s="7">
        <v>2.791</v>
      </c>
      <c r="L80" s="55">
        <v>3</v>
      </c>
      <c r="M80" s="55">
        <v>2.945</v>
      </c>
      <c r="N80" s="55">
        <v>3.322</v>
      </c>
      <c r="O80" s="56">
        <v>3.594</v>
      </c>
      <c r="P80" s="56">
        <v>4.074</v>
      </c>
      <c r="Q80" s="56">
        <v>3.647</v>
      </c>
      <c r="R80" s="7" t="s">
        <v>5</v>
      </c>
    </row>
    <row r="81" spans="1:18" s="28" customFormat="1" ht="16.5">
      <c r="A81" s="23" t="s">
        <v>10</v>
      </c>
      <c r="B81" s="2" t="s">
        <v>0</v>
      </c>
      <c r="C81" s="2" t="s">
        <v>0</v>
      </c>
      <c r="D81" s="2">
        <v>179</v>
      </c>
      <c r="E81" s="2">
        <v>212.7</v>
      </c>
      <c r="F81" s="2">
        <v>230.8</v>
      </c>
      <c r="G81" s="2">
        <v>237.7</v>
      </c>
      <c r="H81" s="2">
        <v>241.9</v>
      </c>
      <c r="I81" s="55">
        <v>250.7</v>
      </c>
      <c r="J81" s="55">
        <v>259.5</v>
      </c>
      <c r="K81" s="7">
        <v>265.9</v>
      </c>
      <c r="L81" s="55">
        <v>270.9</v>
      </c>
      <c r="M81" s="55">
        <v>277.3</v>
      </c>
      <c r="N81" s="55">
        <v>283.7</v>
      </c>
      <c r="O81" s="56">
        <v>286</v>
      </c>
      <c r="P81" s="56">
        <v>294.7</v>
      </c>
      <c r="Q81" s="56">
        <v>303.4</v>
      </c>
      <c r="R81" s="7" t="s">
        <v>5</v>
      </c>
    </row>
    <row r="82" spans="1:18" s="28" customFormat="1" ht="18">
      <c r="A82" s="21" t="s">
        <v>30</v>
      </c>
      <c r="B82" s="2" t="s">
        <v>0</v>
      </c>
      <c r="C82" s="2" t="s">
        <v>0</v>
      </c>
      <c r="D82" s="2">
        <v>13</v>
      </c>
      <c r="E82" s="2">
        <f>18.3-E80</f>
        <v>16.3</v>
      </c>
      <c r="F82" s="2">
        <f>31.5-F80</f>
        <v>29.5</v>
      </c>
      <c r="G82" s="2">
        <f>36.7-G80</f>
        <v>33.7</v>
      </c>
      <c r="H82" s="2">
        <f>45.2-H80</f>
        <v>42.2</v>
      </c>
      <c r="I82" s="55">
        <f>52.3-I80</f>
        <v>49.3</v>
      </c>
      <c r="J82" s="55">
        <f>65.5-J80</f>
        <v>62.5</v>
      </c>
      <c r="K82" s="7">
        <f>71.4-K80</f>
        <v>68.60900000000001</v>
      </c>
      <c r="L82" s="7">
        <f>73.7-L80</f>
        <v>70.7</v>
      </c>
      <c r="M82" s="7">
        <f>77.9-M80</f>
        <v>74.95500000000001</v>
      </c>
      <c r="N82" s="7">
        <f>83.5-N80</f>
        <v>80.178</v>
      </c>
      <c r="O82" s="7">
        <f>84.6-O80</f>
        <v>81.006</v>
      </c>
      <c r="P82" s="56">
        <f>92.4-P80</f>
        <v>88.32600000000001</v>
      </c>
      <c r="Q82" s="56">
        <f>106.6-Q80</f>
        <v>102.95299999999999</v>
      </c>
      <c r="R82" s="7" t="s">
        <v>5</v>
      </c>
    </row>
    <row r="83" spans="1:18" s="28" customFormat="1" ht="18">
      <c r="A83" s="14" t="s">
        <v>44</v>
      </c>
      <c r="B83" s="2" t="s">
        <v>0</v>
      </c>
      <c r="C83" s="2">
        <v>7332</v>
      </c>
      <c r="D83" s="2">
        <v>8567</v>
      </c>
      <c r="E83" s="2">
        <v>8799</v>
      </c>
      <c r="F83" s="2">
        <v>7949</v>
      </c>
      <c r="G83" s="2">
        <v>7763</v>
      </c>
      <c r="H83" s="2">
        <v>7948</v>
      </c>
      <c r="I83" s="2">
        <v>8374</v>
      </c>
      <c r="J83" s="55">
        <v>8750</v>
      </c>
      <c r="K83" s="7">
        <v>9168</v>
      </c>
      <c r="L83" s="55">
        <v>9363</v>
      </c>
      <c r="M83" s="55">
        <v>9653</v>
      </c>
      <c r="N83" s="55">
        <v>9623</v>
      </c>
      <c r="O83" s="56">
        <v>9434</v>
      </c>
      <c r="P83" s="56">
        <v>9575</v>
      </c>
      <c r="Q83" s="56">
        <v>9815</v>
      </c>
      <c r="R83" s="7" t="s">
        <v>5</v>
      </c>
    </row>
    <row r="84" spans="1:18" s="28" customFormat="1" ht="16.5">
      <c r="A84" s="23" t="s">
        <v>11</v>
      </c>
      <c r="B84" s="2" t="s">
        <v>0</v>
      </c>
      <c r="C84" s="2">
        <v>5034</v>
      </c>
      <c r="D84" s="2">
        <v>5837</v>
      </c>
      <c r="E84" s="2">
        <v>5677</v>
      </c>
      <c r="F84" s="2">
        <v>4871</v>
      </c>
      <c r="G84" s="2">
        <v>4848</v>
      </c>
      <c r="H84" s="2">
        <v>4887</v>
      </c>
      <c r="I84" s="2">
        <v>5013</v>
      </c>
      <c r="J84" s="55">
        <v>5399</v>
      </c>
      <c r="K84" s="7">
        <v>5648</v>
      </c>
      <c r="L84" s="55">
        <v>5678</v>
      </c>
      <c r="M84" s="55">
        <v>5849</v>
      </c>
      <c r="N84" s="55">
        <v>5868</v>
      </c>
      <c r="O84" s="56">
        <v>5692</v>
      </c>
      <c r="P84" s="56">
        <v>5731</v>
      </c>
      <c r="Q84" s="56">
        <v>5855</v>
      </c>
      <c r="R84" s="7" t="s">
        <v>5</v>
      </c>
    </row>
    <row r="85" spans="1:18" s="28" customFormat="1" ht="16.5">
      <c r="A85" s="23" t="s">
        <v>8</v>
      </c>
      <c r="B85" s="2" t="s">
        <v>0</v>
      </c>
      <c r="C85" s="2">
        <v>1881</v>
      </c>
      <c r="D85" s="2">
        <v>2108</v>
      </c>
      <c r="E85" s="2">
        <v>2346</v>
      </c>
      <c r="F85" s="2">
        <v>2169</v>
      </c>
      <c r="G85" s="2">
        <v>2033</v>
      </c>
      <c r="H85" s="2">
        <v>2157</v>
      </c>
      <c r="I85" s="2">
        <v>2430</v>
      </c>
      <c r="J85" s="55">
        <v>2393</v>
      </c>
      <c r="K85" s="7">
        <v>2521</v>
      </c>
      <c r="L85" s="55">
        <v>2632</v>
      </c>
      <c r="M85" s="55">
        <v>2728</v>
      </c>
      <c r="N85" s="55">
        <v>2688</v>
      </c>
      <c r="O85" s="56">
        <v>2667</v>
      </c>
      <c r="P85" s="56">
        <v>2748</v>
      </c>
      <c r="Q85" s="56">
        <v>2808</v>
      </c>
      <c r="R85" s="7" t="s">
        <v>5</v>
      </c>
    </row>
    <row r="86" spans="1:18" s="28" customFormat="1" ht="16.5">
      <c r="A86" s="23" t="s">
        <v>9</v>
      </c>
      <c r="B86" s="2" t="s">
        <v>0</v>
      </c>
      <c r="C86" s="2">
        <v>124</v>
      </c>
      <c r="D86" s="2">
        <v>133</v>
      </c>
      <c r="E86" s="2">
        <v>175</v>
      </c>
      <c r="F86" s="2">
        <v>284</v>
      </c>
      <c r="G86" s="2">
        <v>251</v>
      </c>
      <c r="H86" s="2">
        <v>261</v>
      </c>
      <c r="I86" s="2">
        <v>262</v>
      </c>
      <c r="J86" s="55">
        <v>276</v>
      </c>
      <c r="K86" s="7">
        <v>292</v>
      </c>
      <c r="L86" s="55">
        <v>320</v>
      </c>
      <c r="M86" s="55">
        <v>336</v>
      </c>
      <c r="N86" s="55">
        <v>337</v>
      </c>
      <c r="O86" s="56">
        <v>338</v>
      </c>
      <c r="P86" s="56">
        <v>350</v>
      </c>
      <c r="Q86" s="56">
        <v>381</v>
      </c>
      <c r="R86" s="7" t="s">
        <v>5</v>
      </c>
    </row>
    <row r="87" spans="1:18" s="28" customFormat="1" ht="16.5">
      <c r="A87" s="23" t="s">
        <v>12</v>
      </c>
      <c r="B87" s="2" t="s">
        <v>0</v>
      </c>
      <c r="C87" s="2">
        <v>182</v>
      </c>
      <c r="D87" s="2">
        <v>142</v>
      </c>
      <c r="E87" s="2">
        <v>126</v>
      </c>
      <c r="F87" s="2">
        <v>118</v>
      </c>
      <c r="G87" s="2">
        <v>119</v>
      </c>
      <c r="H87" s="2">
        <v>117</v>
      </c>
      <c r="I87" s="2">
        <v>121</v>
      </c>
      <c r="J87" s="55">
        <v>117</v>
      </c>
      <c r="K87" s="7">
        <v>120</v>
      </c>
      <c r="L87" s="55">
        <v>122</v>
      </c>
      <c r="M87" s="55">
        <v>119</v>
      </c>
      <c r="N87" s="55">
        <v>116</v>
      </c>
      <c r="O87" s="56">
        <v>109</v>
      </c>
      <c r="P87" s="56">
        <v>106</v>
      </c>
      <c r="Q87" s="56">
        <v>107</v>
      </c>
      <c r="R87" s="7" t="s">
        <v>5</v>
      </c>
    </row>
    <row r="88" spans="1:18" s="28" customFormat="1" ht="16.5">
      <c r="A88" s="23" t="s">
        <v>17</v>
      </c>
      <c r="B88" s="2" t="s">
        <v>0</v>
      </c>
      <c r="C88" s="2" t="s">
        <v>0</v>
      </c>
      <c r="D88" s="2" t="s">
        <v>0</v>
      </c>
      <c r="E88" s="2">
        <v>68</v>
      </c>
      <c r="F88" s="2">
        <v>88</v>
      </c>
      <c r="G88" s="2">
        <v>88</v>
      </c>
      <c r="H88" s="2">
        <v>93</v>
      </c>
      <c r="I88" s="2">
        <v>99</v>
      </c>
      <c r="J88" s="55">
        <v>95</v>
      </c>
      <c r="K88" s="7">
        <v>100</v>
      </c>
      <c r="L88" s="55">
        <v>105</v>
      </c>
      <c r="M88" s="55">
        <v>105</v>
      </c>
      <c r="N88" s="55">
        <v>103</v>
      </c>
      <c r="O88" s="56">
        <v>111</v>
      </c>
      <c r="P88" s="56">
        <v>114</v>
      </c>
      <c r="Q88" s="56">
        <v>125</v>
      </c>
      <c r="R88" s="7" t="s">
        <v>5</v>
      </c>
    </row>
    <row r="89" spans="1:18" s="28" customFormat="1" ht="18">
      <c r="A89" s="21" t="s">
        <v>31</v>
      </c>
      <c r="B89" s="2" t="s">
        <v>0</v>
      </c>
      <c r="C89" s="2" t="s">
        <v>0</v>
      </c>
      <c r="D89" s="2">
        <v>63</v>
      </c>
      <c r="E89" s="2">
        <v>50</v>
      </c>
      <c r="F89" s="2">
        <v>47</v>
      </c>
      <c r="G89" s="2">
        <v>47</v>
      </c>
      <c r="H89" s="2">
        <v>48</v>
      </c>
      <c r="I89" s="2">
        <v>51</v>
      </c>
      <c r="J89" s="55">
        <v>52</v>
      </c>
      <c r="K89" s="7">
        <v>53.081</v>
      </c>
      <c r="L89" s="55">
        <v>53</v>
      </c>
      <c r="M89" s="55">
        <v>53.943</v>
      </c>
      <c r="N89" s="55">
        <v>57.379</v>
      </c>
      <c r="O89" s="56">
        <v>66.335</v>
      </c>
      <c r="P89" s="56">
        <v>64.865</v>
      </c>
      <c r="Q89" s="56">
        <v>65.637</v>
      </c>
      <c r="R89" s="7" t="s">
        <v>5</v>
      </c>
    </row>
    <row r="90" spans="1:18" s="28" customFormat="1" ht="16.5">
      <c r="A90" s="23" t="s">
        <v>10</v>
      </c>
      <c r="B90" s="2" t="s">
        <v>0</v>
      </c>
      <c r="C90" s="2" t="s">
        <v>0</v>
      </c>
      <c r="D90" s="2">
        <v>280</v>
      </c>
      <c r="E90" s="2">
        <v>328</v>
      </c>
      <c r="F90" s="2">
        <v>339</v>
      </c>
      <c r="G90" s="2">
        <v>344</v>
      </c>
      <c r="H90" s="2">
        <v>352</v>
      </c>
      <c r="I90" s="2">
        <v>357</v>
      </c>
      <c r="J90" s="55">
        <v>381</v>
      </c>
      <c r="K90" s="7">
        <v>396</v>
      </c>
      <c r="L90" s="55">
        <v>413</v>
      </c>
      <c r="M90" s="55">
        <v>419</v>
      </c>
      <c r="N90" s="55">
        <v>414</v>
      </c>
      <c r="O90" s="56">
        <v>410</v>
      </c>
      <c r="P90" s="56">
        <v>414</v>
      </c>
      <c r="Q90" s="56">
        <v>423</v>
      </c>
      <c r="R90" s="7" t="s">
        <v>5</v>
      </c>
    </row>
    <row r="91" spans="1:18" s="28" customFormat="1" ht="18">
      <c r="A91" s="21" t="s">
        <v>30</v>
      </c>
      <c r="B91" s="2" t="s">
        <v>0</v>
      </c>
      <c r="C91" s="2" t="s">
        <v>0</v>
      </c>
      <c r="D91" s="2">
        <v>4</v>
      </c>
      <c r="E91" s="2">
        <f>79-E89</f>
        <v>29</v>
      </c>
      <c r="F91" s="2">
        <f>80-F89</f>
        <v>33</v>
      </c>
      <c r="G91" s="2">
        <f>80-G89</f>
        <v>33</v>
      </c>
      <c r="H91" s="2">
        <f>81-H89</f>
        <v>33</v>
      </c>
      <c r="I91" s="2">
        <f>92-I89</f>
        <v>41</v>
      </c>
      <c r="J91" s="55">
        <f>89-J89</f>
        <v>37</v>
      </c>
      <c r="K91" s="7">
        <f>91-K89</f>
        <v>37.919</v>
      </c>
      <c r="L91" s="55">
        <f>93-L89</f>
        <v>40</v>
      </c>
      <c r="M91" s="55">
        <f>97-M89</f>
        <v>43.057</v>
      </c>
      <c r="N91" s="55">
        <f>97-N89</f>
        <v>39.621</v>
      </c>
      <c r="O91" s="55">
        <f>109-O89</f>
        <v>42.665000000000006</v>
      </c>
      <c r="P91" s="56">
        <f>112-P89</f>
        <v>47.135000000000005</v>
      </c>
      <c r="Q91" s="56">
        <f>117-Q89</f>
        <v>51.363</v>
      </c>
      <c r="R91" s="7" t="s">
        <v>5</v>
      </c>
    </row>
    <row r="92" spans="1:18" s="28" customFormat="1" ht="18">
      <c r="A92" s="14" t="s">
        <v>45</v>
      </c>
      <c r="B92" s="2" t="s">
        <v>0</v>
      </c>
      <c r="C92" s="2" t="s">
        <v>0</v>
      </c>
      <c r="D92" s="2">
        <v>39854</v>
      </c>
      <c r="E92" s="2">
        <v>41143</v>
      </c>
      <c r="F92" s="2">
        <v>39585</v>
      </c>
      <c r="G92" s="2">
        <v>39808</v>
      </c>
      <c r="H92" s="2">
        <v>41378</v>
      </c>
      <c r="I92" s="2">
        <v>42339</v>
      </c>
      <c r="J92" s="55">
        <v>44128</v>
      </c>
      <c r="K92" s="7">
        <v>45857</v>
      </c>
      <c r="L92" s="55">
        <v>47666</v>
      </c>
      <c r="M92" s="55">
        <v>49070</v>
      </c>
      <c r="N92" s="55">
        <v>48324</v>
      </c>
      <c r="O92" s="56">
        <v>47903</v>
      </c>
      <c r="P92" s="56">
        <v>49073</v>
      </c>
      <c r="Q92" s="56">
        <v>49678</v>
      </c>
      <c r="R92" s="7" t="s">
        <v>5</v>
      </c>
    </row>
    <row r="93" spans="1:18" s="28" customFormat="1" ht="16.5">
      <c r="A93" s="23" t="s">
        <v>11</v>
      </c>
      <c r="B93" s="2" t="s">
        <v>0</v>
      </c>
      <c r="C93" s="2" t="s">
        <v>0</v>
      </c>
      <c r="D93" s="2">
        <v>21790</v>
      </c>
      <c r="E93" s="2">
        <v>20981</v>
      </c>
      <c r="F93" s="2">
        <v>18832</v>
      </c>
      <c r="G93" s="2">
        <v>18818</v>
      </c>
      <c r="H93" s="2">
        <v>19096</v>
      </c>
      <c r="I93" s="2">
        <v>19604</v>
      </c>
      <c r="J93" s="55">
        <v>20360</v>
      </c>
      <c r="K93" s="7">
        <v>21205</v>
      </c>
      <c r="L93" s="55">
        <v>21241</v>
      </c>
      <c r="M93" s="55">
        <v>22022</v>
      </c>
      <c r="N93" s="55">
        <v>21841</v>
      </c>
      <c r="O93" s="56">
        <v>21262</v>
      </c>
      <c r="P93" s="56">
        <v>21377</v>
      </c>
      <c r="Q93" s="56">
        <v>21825</v>
      </c>
      <c r="R93" s="7" t="s">
        <v>5</v>
      </c>
    </row>
    <row r="94" spans="1:18" s="28" customFormat="1" ht="16.5">
      <c r="A94" s="23" t="s">
        <v>8</v>
      </c>
      <c r="B94" s="2" t="s">
        <v>0</v>
      </c>
      <c r="C94" s="2" t="s">
        <v>0</v>
      </c>
      <c r="D94" s="2">
        <v>10558</v>
      </c>
      <c r="E94" s="2">
        <v>11475</v>
      </c>
      <c r="F94" s="2">
        <v>10668</v>
      </c>
      <c r="G94" s="2">
        <v>10559</v>
      </c>
      <c r="H94" s="2">
        <v>11530</v>
      </c>
      <c r="I94" s="2">
        <v>12056</v>
      </c>
      <c r="J94" s="55">
        <v>12284</v>
      </c>
      <c r="K94" s="7">
        <v>12902</v>
      </c>
      <c r="L94" s="55">
        <v>13844</v>
      </c>
      <c r="M94" s="55">
        <v>14178</v>
      </c>
      <c r="N94" s="55">
        <v>13663</v>
      </c>
      <c r="O94" s="56">
        <v>13606</v>
      </c>
      <c r="P94" s="56">
        <v>14354</v>
      </c>
      <c r="Q94" s="56">
        <v>14418</v>
      </c>
      <c r="R94" s="7" t="s">
        <v>5</v>
      </c>
    </row>
    <row r="95" spans="1:18" s="28" customFormat="1" ht="16.5">
      <c r="A95" s="23" t="s">
        <v>9</v>
      </c>
      <c r="B95" s="2" t="s">
        <v>0</v>
      </c>
      <c r="C95" s="2" t="s">
        <v>0</v>
      </c>
      <c r="D95" s="2">
        <v>381</v>
      </c>
      <c r="E95" s="2">
        <v>571</v>
      </c>
      <c r="F95" s="2">
        <v>833</v>
      </c>
      <c r="G95" s="2">
        <v>860</v>
      </c>
      <c r="H95" s="2">
        <v>957</v>
      </c>
      <c r="I95" s="2">
        <v>1035</v>
      </c>
      <c r="J95" s="55">
        <v>1128</v>
      </c>
      <c r="K95" s="7">
        <v>1206</v>
      </c>
      <c r="L95" s="55">
        <v>1356</v>
      </c>
      <c r="M95" s="55">
        <v>1437</v>
      </c>
      <c r="N95" s="55">
        <v>1432</v>
      </c>
      <c r="O95" s="56">
        <v>1476</v>
      </c>
      <c r="P95" s="56">
        <v>1576</v>
      </c>
      <c r="Q95" s="56">
        <v>1700</v>
      </c>
      <c r="R95" s="7" t="s">
        <v>5</v>
      </c>
    </row>
    <row r="96" spans="1:18" s="28" customFormat="1" ht="16.5">
      <c r="A96" s="23" t="s">
        <v>12</v>
      </c>
      <c r="B96" s="2" t="s">
        <v>0</v>
      </c>
      <c r="C96" s="2" t="s">
        <v>0</v>
      </c>
      <c r="D96" s="2">
        <v>219</v>
      </c>
      <c r="E96" s="2">
        <v>193</v>
      </c>
      <c r="F96" s="2">
        <v>187</v>
      </c>
      <c r="G96" s="2">
        <v>187</v>
      </c>
      <c r="H96" s="2">
        <v>184</v>
      </c>
      <c r="I96" s="2">
        <v>189</v>
      </c>
      <c r="J96" s="55">
        <v>182</v>
      </c>
      <c r="K96" s="7">
        <v>186</v>
      </c>
      <c r="L96" s="55">
        <v>192</v>
      </c>
      <c r="M96" s="55">
        <v>187</v>
      </c>
      <c r="N96" s="55">
        <v>188</v>
      </c>
      <c r="O96" s="56">
        <v>176</v>
      </c>
      <c r="P96" s="56">
        <v>173</v>
      </c>
      <c r="Q96" s="56">
        <v>173</v>
      </c>
      <c r="R96" s="7" t="s">
        <v>5</v>
      </c>
    </row>
    <row r="97" spans="1:18" s="28" customFormat="1" ht="16.5">
      <c r="A97" s="23" t="s">
        <v>17</v>
      </c>
      <c r="B97" s="2" t="s">
        <v>0</v>
      </c>
      <c r="C97" s="2" t="s">
        <v>0</v>
      </c>
      <c r="D97" s="2" t="s">
        <v>0</v>
      </c>
      <c r="E97" s="2">
        <v>431</v>
      </c>
      <c r="F97" s="2">
        <v>577</v>
      </c>
      <c r="G97" s="2">
        <v>607</v>
      </c>
      <c r="H97" s="2">
        <v>656</v>
      </c>
      <c r="I97" s="2">
        <v>754</v>
      </c>
      <c r="J97" s="55">
        <v>735</v>
      </c>
      <c r="K97" s="7">
        <v>813</v>
      </c>
      <c r="L97" s="55">
        <v>839</v>
      </c>
      <c r="M97" s="55">
        <v>855</v>
      </c>
      <c r="N97" s="55">
        <v>853</v>
      </c>
      <c r="O97" s="56">
        <v>930</v>
      </c>
      <c r="P97" s="56">
        <v>962</v>
      </c>
      <c r="Q97" s="56">
        <v>1068</v>
      </c>
      <c r="R97" s="7" t="s">
        <v>5</v>
      </c>
    </row>
    <row r="98" spans="1:18" s="28" customFormat="1" ht="18">
      <c r="A98" s="21" t="s">
        <v>31</v>
      </c>
      <c r="B98" s="2" t="s">
        <v>0</v>
      </c>
      <c r="C98" s="2" t="s">
        <v>0</v>
      </c>
      <c r="D98" s="2" t="s">
        <v>0</v>
      </c>
      <c r="E98" s="2">
        <v>286</v>
      </c>
      <c r="F98" s="2">
        <v>260</v>
      </c>
      <c r="G98" s="2">
        <v>260</v>
      </c>
      <c r="H98" s="2">
        <v>256</v>
      </c>
      <c r="I98" s="2">
        <v>294</v>
      </c>
      <c r="J98" s="55">
        <v>294</v>
      </c>
      <c r="K98" s="7">
        <v>309.792</v>
      </c>
      <c r="L98" s="55">
        <v>330</v>
      </c>
      <c r="M98" s="55">
        <v>325</v>
      </c>
      <c r="N98" s="55">
        <v>332.685</v>
      </c>
      <c r="O98" s="56">
        <v>393.955</v>
      </c>
      <c r="P98" s="56">
        <v>393.173</v>
      </c>
      <c r="Q98" s="56">
        <v>394.023</v>
      </c>
      <c r="R98" s="7" t="s">
        <v>5</v>
      </c>
    </row>
    <row r="99" spans="1:18" s="28" customFormat="1" ht="16.5">
      <c r="A99" s="23" t="s">
        <v>10</v>
      </c>
      <c r="B99" s="2" t="s">
        <v>0</v>
      </c>
      <c r="C99" s="2" t="s">
        <v>0</v>
      </c>
      <c r="D99" s="2">
        <v>6516</v>
      </c>
      <c r="E99" s="2">
        <v>7082</v>
      </c>
      <c r="F99" s="2">
        <v>7996</v>
      </c>
      <c r="G99" s="2">
        <v>8244</v>
      </c>
      <c r="H99" s="2">
        <v>8351</v>
      </c>
      <c r="I99" s="2">
        <v>8038</v>
      </c>
      <c r="J99" s="55">
        <v>8704</v>
      </c>
      <c r="K99" s="7">
        <v>8766</v>
      </c>
      <c r="L99" s="55">
        <v>9402</v>
      </c>
      <c r="M99" s="55">
        <v>9548</v>
      </c>
      <c r="N99" s="55">
        <v>9504</v>
      </c>
      <c r="O99" s="56">
        <v>9559</v>
      </c>
      <c r="P99" s="56">
        <v>9719</v>
      </c>
      <c r="Q99" s="56">
        <v>9473</v>
      </c>
      <c r="R99" s="7" t="s">
        <v>5</v>
      </c>
    </row>
    <row r="100" spans="1:18" s="28" customFormat="1" ht="18">
      <c r="A100" s="21" t="s">
        <v>30</v>
      </c>
      <c r="B100" s="2" t="s">
        <v>0</v>
      </c>
      <c r="C100" s="2" t="s">
        <v>0</v>
      </c>
      <c r="D100" s="2">
        <v>390</v>
      </c>
      <c r="E100" s="55">
        <f>410-E98</f>
        <v>124</v>
      </c>
      <c r="F100" s="55">
        <f>492-F98</f>
        <v>232</v>
      </c>
      <c r="G100" s="55">
        <f>533-G98</f>
        <v>273</v>
      </c>
      <c r="H100" s="55">
        <f>604-H98</f>
        <v>348</v>
      </c>
      <c r="I100" s="55">
        <f>663-I98</f>
        <v>369</v>
      </c>
      <c r="J100" s="55">
        <f>735-J98</f>
        <v>441</v>
      </c>
      <c r="K100" s="7">
        <f>779-K98</f>
        <v>469.208</v>
      </c>
      <c r="L100" s="55">
        <f>792-L98</f>
        <v>462</v>
      </c>
      <c r="M100" s="55">
        <f>843-M98</f>
        <v>518</v>
      </c>
      <c r="N100" s="55">
        <f>843-N98</f>
        <v>510.315</v>
      </c>
      <c r="O100" s="55">
        <f>893-O98</f>
        <v>499.045</v>
      </c>
      <c r="P100" s="56">
        <f>911-P98</f>
        <v>517.827</v>
      </c>
      <c r="Q100" s="56">
        <f>1033-Q98</f>
        <v>638.977</v>
      </c>
      <c r="R100" s="7" t="s">
        <v>5</v>
      </c>
    </row>
    <row r="101" spans="1:18" s="28" customFormat="1" ht="18">
      <c r="A101" s="14" t="s">
        <v>46</v>
      </c>
      <c r="B101" s="46" t="s">
        <v>0</v>
      </c>
      <c r="C101" s="46" t="s">
        <v>0</v>
      </c>
      <c r="D101" s="46" t="s">
        <v>0</v>
      </c>
      <c r="E101" s="46" t="s">
        <v>0</v>
      </c>
      <c r="F101" s="46">
        <v>4.9</v>
      </c>
      <c r="G101" s="46">
        <v>5</v>
      </c>
      <c r="H101" s="46">
        <v>5</v>
      </c>
      <c r="I101" s="46">
        <v>5</v>
      </c>
      <c r="J101" s="48">
        <v>5</v>
      </c>
      <c r="K101" s="48">
        <v>5</v>
      </c>
      <c r="L101" s="48">
        <v>5</v>
      </c>
      <c r="M101" s="48">
        <v>5.1</v>
      </c>
      <c r="N101" s="48">
        <v>5</v>
      </c>
      <c r="O101" s="64">
        <v>5.1</v>
      </c>
      <c r="P101" s="64">
        <v>5.1</v>
      </c>
      <c r="Q101" s="64">
        <v>5.1</v>
      </c>
      <c r="R101" s="48" t="s">
        <v>5</v>
      </c>
    </row>
    <row r="102" spans="1:18" s="28" customFormat="1" ht="16.5">
      <c r="A102" s="23" t="s">
        <v>11</v>
      </c>
      <c r="B102" s="46" t="s">
        <v>0</v>
      </c>
      <c r="C102" s="46" t="s">
        <v>0</v>
      </c>
      <c r="D102" s="46" t="s">
        <v>0</v>
      </c>
      <c r="E102" s="46" t="s">
        <v>0</v>
      </c>
      <c r="F102" s="46">
        <v>3.7</v>
      </c>
      <c r="G102" s="46">
        <v>4</v>
      </c>
      <c r="H102" s="46">
        <v>4</v>
      </c>
      <c r="I102" s="46">
        <v>4</v>
      </c>
      <c r="J102" s="48">
        <v>4</v>
      </c>
      <c r="K102" s="48">
        <v>3.8</v>
      </c>
      <c r="L102" s="48">
        <v>4</v>
      </c>
      <c r="M102" s="48">
        <v>3.8</v>
      </c>
      <c r="N102" s="48">
        <v>3.7</v>
      </c>
      <c r="O102" s="64">
        <v>3.7</v>
      </c>
      <c r="P102" s="64">
        <v>3.7</v>
      </c>
      <c r="Q102" s="64">
        <v>3.7</v>
      </c>
      <c r="R102" s="48" t="s">
        <v>5</v>
      </c>
    </row>
    <row r="103" spans="1:18" s="28" customFormat="1" ht="16.5">
      <c r="A103" s="23" t="s">
        <v>8</v>
      </c>
      <c r="B103" s="46" t="s">
        <v>0</v>
      </c>
      <c r="C103" s="46" t="s">
        <v>0</v>
      </c>
      <c r="D103" s="46" t="s">
        <v>0</v>
      </c>
      <c r="E103" s="46" t="s">
        <v>0</v>
      </c>
      <c r="F103" s="46">
        <v>4.9</v>
      </c>
      <c r="G103" s="46">
        <v>5</v>
      </c>
      <c r="H103" s="46">
        <v>5</v>
      </c>
      <c r="I103" s="46">
        <v>5</v>
      </c>
      <c r="J103" s="48">
        <v>5</v>
      </c>
      <c r="K103" s="48">
        <v>5.1</v>
      </c>
      <c r="L103" s="48">
        <v>5</v>
      </c>
      <c r="M103" s="48">
        <v>5.2</v>
      </c>
      <c r="N103" s="48">
        <v>5.1</v>
      </c>
      <c r="O103" s="64">
        <v>5.1</v>
      </c>
      <c r="P103" s="64">
        <v>5.2</v>
      </c>
      <c r="Q103" s="64">
        <v>5.1</v>
      </c>
      <c r="R103" s="48" t="s">
        <v>5</v>
      </c>
    </row>
    <row r="104" spans="1:18" s="28" customFormat="1" ht="16.5">
      <c r="A104" s="23" t="s">
        <v>9</v>
      </c>
      <c r="B104" s="46" t="s">
        <v>0</v>
      </c>
      <c r="C104" s="46" t="s">
        <v>0</v>
      </c>
      <c r="D104" s="46" t="s">
        <v>0</v>
      </c>
      <c r="E104" s="46" t="s">
        <v>0</v>
      </c>
      <c r="F104" s="46">
        <v>3.6</v>
      </c>
      <c r="G104" s="46">
        <v>3</v>
      </c>
      <c r="H104" s="46">
        <v>4</v>
      </c>
      <c r="I104" s="46">
        <v>4</v>
      </c>
      <c r="J104" s="48">
        <v>4</v>
      </c>
      <c r="K104" s="48">
        <v>4.1</v>
      </c>
      <c r="L104" s="48">
        <v>4</v>
      </c>
      <c r="M104" s="48">
        <v>4.3</v>
      </c>
      <c r="N104" s="48">
        <v>4.3</v>
      </c>
      <c r="O104" s="64">
        <v>4.4</v>
      </c>
      <c r="P104" s="64">
        <v>4.5</v>
      </c>
      <c r="Q104" s="64">
        <v>4.5</v>
      </c>
      <c r="R104" s="48" t="s">
        <v>5</v>
      </c>
    </row>
    <row r="105" spans="1:18" s="28" customFormat="1" ht="16.5">
      <c r="A105" s="23" t="s">
        <v>12</v>
      </c>
      <c r="B105" s="46" t="s">
        <v>0</v>
      </c>
      <c r="C105" s="46" t="s">
        <v>0</v>
      </c>
      <c r="D105" s="46" t="s">
        <v>0</v>
      </c>
      <c r="E105" s="46" t="s">
        <v>0</v>
      </c>
      <c r="F105" s="46">
        <v>1.6</v>
      </c>
      <c r="G105" s="46">
        <v>2</v>
      </c>
      <c r="H105" s="46">
        <v>2</v>
      </c>
      <c r="I105" s="46">
        <v>2</v>
      </c>
      <c r="J105" s="48">
        <v>2</v>
      </c>
      <c r="K105" s="48">
        <v>1.6</v>
      </c>
      <c r="L105" s="48">
        <v>2</v>
      </c>
      <c r="M105" s="48">
        <v>1.6</v>
      </c>
      <c r="N105" s="48">
        <v>1.6</v>
      </c>
      <c r="O105" s="64">
        <v>1.6</v>
      </c>
      <c r="P105" s="64">
        <v>1.6</v>
      </c>
      <c r="Q105" s="64">
        <v>1.6</v>
      </c>
      <c r="R105" s="48" t="s">
        <v>5</v>
      </c>
    </row>
    <row r="106" spans="1:18" s="28" customFormat="1" ht="16.5">
      <c r="A106" s="23" t="s">
        <v>17</v>
      </c>
      <c r="B106" s="46" t="s">
        <v>0</v>
      </c>
      <c r="C106" s="46" t="s">
        <v>0</v>
      </c>
      <c r="D106" s="46" t="s">
        <v>0</v>
      </c>
      <c r="E106" s="46" t="s">
        <v>0</v>
      </c>
      <c r="F106" s="46">
        <v>7.3</v>
      </c>
      <c r="G106" s="46">
        <v>8</v>
      </c>
      <c r="H106" s="46">
        <v>9</v>
      </c>
      <c r="I106" s="46">
        <v>10</v>
      </c>
      <c r="J106" s="47">
        <v>8</v>
      </c>
      <c r="K106" s="48">
        <v>8.1</v>
      </c>
      <c r="L106" s="48">
        <v>8</v>
      </c>
      <c r="M106" s="48">
        <v>8.2</v>
      </c>
      <c r="N106" s="48">
        <v>8.3</v>
      </c>
      <c r="O106" s="64">
        <v>8.4</v>
      </c>
      <c r="P106" s="64">
        <v>8.5</v>
      </c>
      <c r="Q106" s="64">
        <v>8.5</v>
      </c>
      <c r="R106" s="48" t="s">
        <v>5</v>
      </c>
    </row>
    <row r="107" spans="1:18" s="28" customFormat="1" ht="18">
      <c r="A107" s="21" t="s">
        <v>31</v>
      </c>
      <c r="B107" s="46" t="s">
        <v>0</v>
      </c>
      <c r="C107" s="46" t="s">
        <v>0</v>
      </c>
      <c r="D107" s="46" t="s">
        <v>0</v>
      </c>
      <c r="E107" s="46" t="s">
        <v>0</v>
      </c>
      <c r="F107" s="46">
        <v>5.7</v>
      </c>
      <c r="G107" s="46">
        <v>6</v>
      </c>
      <c r="H107" s="46">
        <v>5</v>
      </c>
      <c r="I107" s="46">
        <v>6</v>
      </c>
      <c r="J107" s="48">
        <v>6</v>
      </c>
      <c r="K107" s="48">
        <v>5.8</v>
      </c>
      <c r="L107" s="48">
        <v>6</v>
      </c>
      <c r="M107" s="48">
        <v>6</v>
      </c>
      <c r="N107" s="48">
        <v>5.8</v>
      </c>
      <c r="O107" s="64">
        <v>5.9</v>
      </c>
      <c r="P107" s="64">
        <v>6.1</v>
      </c>
      <c r="Q107" s="64">
        <v>6</v>
      </c>
      <c r="R107" s="48" t="s">
        <v>5</v>
      </c>
    </row>
    <row r="108" spans="1:18" s="28" customFormat="1" ht="16.5">
      <c r="A108" s="23" t="s">
        <v>10</v>
      </c>
      <c r="B108" s="46" t="s">
        <v>0</v>
      </c>
      <c r="C108" s="46" t="s">
        <v>0</v>
      </c>
      <c r="D108" s="46" t="s">
        <v>0</v>
      </c>
      <c r="E108" s="46" t="s">
        <v>0</v>
      </c>
      <c r="F108" s="46">
        <v>23.7</v>
      </c>
      <c r="G108" s="46">
        <v>24</v>
      </c>
      <c r="H108" s="46">
        <v>24</v>
      </c>
      <c r="I108" s="46">
        <v>23</v>
      </c>
      <c r="J108" s="48">
        <v>23</v>
      </c>
      <c r="K108" s="48">
        <v>22.1</v>
      </c>
      <c r="L108" s="48">
        <v>23</v>
      </c>
      <c r="M108" s="48">
        <v>22.8</v>
      </c>
      <c r="N108" s="48">
        <v>22.9</v>
      </c>
      <c r="O108" s="64">
        <v>23.3</v>
      </c>
      <c r="P108" s="64">
        <v>23.5</v>
      </c>
      <c r="Q108" s="64">
        <v>22.4</v>
      </c>
      <c r="R108" s="48" t="s">
        <v>5</v>
      </c>
    </row>
    <row r="109" spans="1:18" s="28" customFormat="1" ht="16.5">
      <c r="A109" s="23" t="s">
        <v>4</v>
      </c>
      <c r="B109" s="46" t="s">
        <v>0</v>
      </c>
      <c r="C109" s="46" t="s">
        <v>0</v>
      </c>
      <c r="D109" s="46" t="s">
        <v>0</v>
      </c>
      <c r="E109" s="46" t="s">
        <v>0</v>
      </c>
      <c r="F109" s="46">
        <v>32.4</v>
      </c>
      <c r="G109" s="46">
        <v>35</v>
      </c>
      <c r="H109" s="46">
        <v>34</v>
      </c>
      <c r="I109" s="46">
        <v>33</v>
      </c>
      <c r="J109" s="48">
        <v>36</v>
      </c>
      <c r="K109" s="48">
        <v>34.4</v>
      </c>
      <c r="L109" s="48">
        <v>35</v>
      </c>
      <c r="M109" s="48">
        <v>32.9</v>
      </c>
      <c r="N109" s="48">
        <v>37.2</v>
      </c>
      <c r="O109" s="64">
        <v>33.1</v>
      </c>
      <c r="P109" s="64">
        <v>30.8</v>
      </c>
      <c r="Q109" s="64">
        <v>33.9</v>
      </c>
      <c r="R109" s="48" t="s">
        <v>5</v>
      </c>
    </row>
    <row r="110" spans="1:18" s="28" customFormat="1" ht="18">
      <c r="A110" s="21" t="s">
        <v>59</v>
      </c>
      <c r="B110" s="46" t="s">
        <v>0</v>
      </c>
      <c r="C110" s="46" t="s">
        <v>0</v>
      </c>
      <c r="D110" s="46" t="s">
        <v>0</v>
      </c>
      <c r="E110" s="46" t="s">
        <v>0</v>
      </c>
      <c r="F110" s="46">
        <v>1</v>
      </c>
      <c r="G110" s="46">
        <v>1</v>
      </c>
      <c r="H110" s="46">
        <v>1</v>
      </c>
      <c r="I110" s="46">
        <v>1</v>
      </c>
      <c r="J110" s="48">
        <v>1</v>
      </c>
      <c r="K110" s="48">
        <v>1</v>
      </c>
      <c r="L110" s="48">
        <v>1</v>
      </c>
      <c r="M110" s="48">
        <v>1</v>
      </c>
      <c r="N110" s="48">
        <v>1</v>
      </c>
      <c r="O110" s="64">
        <v>1</v>
      </c>
      <c r="P110" s="64">
        <v>1</v>
      </c>
      <c r="Q110" s="64">
        <v>1</v>
      </c>
      <c r="R110" s="48" t="s">
        <v>5</v>
      </c>
    </row>
    <row r="111" spans="1:18" s="28" customFormat="1" ht="18">
      <c r="A111" s="14" t="s">
        <v>47</v>
      </c>
      <c r="B111" s="46" t="s">
        <v>0</v>
      </c>
      <c r="C111" s="46" t="s">
        <v>0</v>
      </c>
      <c r="D111" s="46" t="s">
        <v>0</v>
      </c>
      <c r="E111" s="46" t="s">
        <v>0</v>
      </c>
      <c r="F111" s="46">
        <v>14.7</v>
      </c>
      <c r="G111" s="46">
        <v>15</v>
      </c>
      <c r="H111" s="46">
        <v>15</v>
      </c>
      <c r="I111" s="46">
        <v>15</v>
      </c>
      <c r="J111" s="48">
        <v>15</v>
      </c>
      <c r="K111" s="48">
        <v>15</v>
      </c>
      <c r="L111" s="48">
        <v>15</v>
      </c>
      <c r="M111" s="48">
        <v>14.7</v>
      </c>
      <c r="N111" s="48">
        <v>14.8</v>
      </c>
      <c r="O111" s="64">
        <v>14.7</v>
      </c>
      <c r="P111" s="64">
        <v>14.6</v>
      </c>
      <c r="Q111" s="64">
        <v>14.8</v>
      </c>
      <c r="R111" s="48" t="s">
        <v>5</v>
      </c>
    </row>
    <row r="112" spans="1:18" s="28" customFormat="1" ht="16.5">
      <c r="A112" s="23" t="s">
        <v>11</v>
      </c>
      <c r="B112" s="46" t="s">
        <v>0</v>
      </c>
      <c r="C112" s="46" t="s">
        <v>0</v>
      </c>
      <c r="D112" s="46" t="s">
        <v>0</v>
      </c>
      <c r="E112" s="46" t="s">
        <v>0</v>
      </c>
      <c r="F112" s="46">
        <v>13</v>
      </c>
      <c r="G112" s="46">
        <v>13</v>
      </c>
      <c r="H112" s="46">
        <v>13</v>
      </c>
      <c r="I112" s="46">
        <v>13</v>
      </c>
      <c r="J112" s="48">
        <v>13</v>
      </c>
      <c r="K112" s="48">
        <v>13</v>
      </c>
      <c r="L112" s="48">
        <v>13</v>
      </c>
      <c r="M112" s="48">
        <v>12.8</v>
      </c>
      <c r="N112" s="48">
        <v>12.8</v>
      </c>
      <c r="O112" s="64">
        <v>12.7</v>
      </c>
      <c r="P112" s="64">
        <v>12.6</v>
      </c>
      <c r="Q112" s="64">
        <v>12.7</v>
      </c>
      <c r="R112" s="48" t="s">
        <v>5</v>
      </c>
    </row>
    <row r="113" spans="1:18" s="28" customFormat="1" ht="16.5">
      <c r="A113" s="23" t="s">
        <v>8</v>
      </c>
      <c r="B113" s="46" t="s">
        <v>0</v>
      </c>
      <c r="C113" s="46" t="s">
        <v>0</v>
      </c>
      <c r="D113" s="46" t="s">
        <v>0</v>
      </c>
      <c r="E113" s="46" t="s">
        <v>0</v>
      </c>
      <c r="F113" s="46">
        <v>20.7</v>
      </c>
      <c r="G113" s="46">
        <v>21</v>
      </c>
      <c r="H113" s="46">
        <v>21</v>
      </c>
      <c r="I113" s="46">
        <v>21</v>
      </c>
      <c r="J113" s="48">
        <v>21</v>
      </c>
      <c r="K113" s="48">
        <v>21</v>
      </c>
      <c r="L113" s="48">
        <v>21</v>
      </c>
      <c r="M113" s="48">
        <v>20.4</v>
      </c>
      <c r="N113" s="48">
        <v>20.2</v>
      </c>
      <c r="O113" s="64">
        <v>20.6</v>
      </c>
      <c r="P113" s="64">
        <v>20.4</v>
      </c>
      <c r="Q113" s="64">
        <v>20</v>
      </c>
      <c r="R113" s="48" t="s">
        <v>5</v>
      </c>
    </row>
    <row r="114" spans="1:18" s="28" customFormat="1" ht="16.5">
      <c r="A114" s="23" t="s">
        <v>9</v>
      </c>
      <c r="B114" s="46" t="s">
        <v>0</v>
      </c>
      <c r="C114" s="46" t="s">
        <v>0</v>
      </c>
      <c r="D114" s="46" t="s">
        <v>0</v>
      </c>
      <c r="E114" s="46" t="s">
        <v>0</v>
      </c>
      <c r="F114" s="46">
        <v>14.4</v>
      </c>
      <c r="G114" s="46">
        <v>14</v>
      </c>
      <c r="H114" s="46">
        <v>14</v>
      </c>
      <c r="I114" s="46">
        <v>16</v>
      </c>
      <c r="J114" s="48">
        <v>16</v>
      </c>
      <c r="K114" s="48">
        <v>15</v>
      </c>
      <c r="L114" s="48">
        <v>15</v>
      </c>
      <c r="M114" s="48">
        <v>15.1</v>
      </c>
      <c r="N114" s="48">
        <v>15.3</v>
      </c>
      <c r="O114" s="64">
        <v>15.7</v>
      </c>
      <c r="P114" s="64">
        <v>15.5</v>
      </c>
      <c r="Q114" s="64">
        <v>14.9</v>
      </c>
      <c r="R114" s="48" t="s">
        <v>5</v>
      </c>
    </row>
    <row r="115" spans="1:18" s="28" customFormat="1" ht="16.5">
      <c r="A115" s="23" t="s">
        <v>12</v>
      </c>
      <c r="B115" s="46" t="s">
        <v>0</v>
      </c>
      <c r="C115" s="46" t="s">
        <v>0</v>
      </c>
      <c r="D115" s="46" t="s">
        <v>0</v>
      </c>
      <c r="E115" s="46" t="s">
        <v>0</v>
      </c>
      <c r="F115" s="46">
        <v>8.2</v>
      </c>
      <c r="G115" s="46">
        <v>8</v>
      </c>
      <c r="H115" s="46">
        <v>8</v>
      </c>
      <c r="I115" s="46">
        <v>8</v>
      </c>
      <c r="J115" s="48">
        <v>8</v>
      </c>
      <c r="K115" s="48">
        <v>7</v>
      </c>
      <c r="L115" s="48">
        <v>7</v>
      </c>
      <c r="M115" s="48">
        <v>7.1</v>
      </c>
      <c r="N115" s="48">
        <v>7.4</v>
      </c>
      <c r="O115" s="64">
        <v>7.4</v>
      </c>
      <c r="P115" s="64">
        <v>7.9</v>
      </c>
      <c r="Q115" s="64">
        <v>7.4</v>
      </c>
      <c r="R115" s="48" t="s">
        <v>5</v>
      </c>
    </row>
    <row r="116" spans="1:18" s="28" customFormat="1" ht="16.5">
      <c r="A116" s="23" t="s">
        <v>17</v>
      </c>
      <c r="B116" s="46" t="s">
        <v>0</v>
      </c>
      <c r="C116" s="46" t="s">
        <v>0</v>
      </c>
      <c r="D116" s="46" t="s">
        <v>0</v>
      </c>
      <c r="E116" s="46" t="s">
        <v>0</v>
      </c>
      <c r="F116" s="46">
        <v>14</v>
      </c>
      <c r="G116" s="46">
        <v>15</v>
      </c>
      <c r="H116" s="46">
        <v>15</v>
      </c>
      <c r="I116" s="46">
        <v>15</v>
      </c>
      <c r="J116" s="48">
        <v>17</v>
      </c>
      <c r="K116" s="48">
        <v>15</v>
      </c>
      <c r="L116" s="48">
        <v>15</v>
      </c>
      <c r="M116" s="48">
        <v>14.5</v>
      </c>
      <c r="N116" s="48">
        <v>14.7</v>
      </c>
      <c r="O116" s="64">
        <v>14.5</v>
      </c>
      <c r="P116" s="64">
        <v>14.4</v>
      </c>
      <c r="Q116" s="64">
        <v>14.7</v>
      </c>
      <c r="R116" s="48" t="s">
        <v>5</v>
      </c>
    </row>
    <row r="117" spans="1:18" s="28" customFormat="1" ht="18">
      <c r="A117" s="21" t="s">
        <v>31</v>
      </c>
      <c r="B117" s="46" t="s">
        <v>0</v>
      </c>
      <c r="C117" s="46" t="s">
        <v>0</v>
      </c>
      <c r="D117" s="46" t="s">
        <v>0</v>
      </c>
      <c r="E117" s="46" t="s">
        <v>0</v>
      </c>
      <c r="F117" s="46">
        <v>8.4</v>
      </c>
      <c r="G117" s="46">
        <v>6</v>
      </c>
      <c r="H117" s="46">
        <v>7</v>
      </c>
      <c r="I117" s="46">
        <v>7</v>
      </c>
      <c r="J117" s="48">
        <v>8</v>
      </c>
      <c r="K117" s="48">
        <v>8</v>
      </c>
      <c r="L117" s="48">
        <v>8</v>
      </c>
      <c r="M117" s="48">
        <v>8</v>
      </c>
      <c r="N117" s="48">
        <v>8.3</v>
      </c>
      <c r="O117" s="64">
        <v>8.7</v>
      </c>
      <c r="P117" s="64">
        <v>8.4</v>
      </c>
      <c r="Q117" s="64">
        <v>8.3</v>
      </c>
      <c r="R117" s="48" t="s">
        <v>5</v>
      </c>
    </row>
    <row r="118" spans="1:18" s="28" customFormat="1" ht="16.5">
      <c r="A118" s="23" t="s">
        <v>10</v>
      </c>
      <c r="B118" s="46" t="s">
        <v>0</v>
      </c>
      <c r="C118" s="46" t="s">
        <v>0</v>
      </c>
      <c r="D118" s="46" t="s">
        <v>0</v>
      </c>
      <c r="E118" s="46" t="s">
        <v>0</v>
      </c>
      <c r="F118" s="46">
        <v>33.8</v>
      </c>
      <c r="G118" s="46">
        <v>34</v>
      </c>
      <c r="H118" s="46">
        <v>33</v>
      </c>
      <c r="I118" s="46">
        <v>34</v>
      </c>
      <c r="J118" s="48">
        <v>32</v>
      </c>
      <c r="K118" s="48">
        <v>33</v>
      </c>
      <c r="L118" s="48">
        <v>29</v>
      </c>
      <c r="M118" s="48">
        <v>31.6</v>
      </c>
      <c r="N118" s="48">
        <v>31.7</v>
      </c>
      <c r="O118" s="64">
        <v>31.7</v>
      </c>
      <c r="P118" s="64">
        <v>31.5</v>
      </c>
      <c r="Q118" s="64">
        <v>31.6</v>
      </c>
      <c r="R118" s="48" t="s">
        <v>5</v>
      </c>
    </row>
    <row r="119" spans="1:18" s="28" customFormat="1" ht="16.5">
      <c r="A119" s="23" t="s">
        <v>4</v>
      </c>
      <c r="B119" s="46" t="s">
        <v>0</v>
      </c>
      <c r="C119" s="46" t="s">
        <v>0</v>
      </c>
      <c r="D119" s="46" t="s">
        <v>0</v>
      </c>
      <c r="E119" s="46" t="s">
        <v>0</v>
      </c>
      <c r="F119" s="46">
        <v>32.6</v>
      </c>
      <c r="G119" s="46">
        <v>35</v>
      </c>
      <c r="H119" s="46">
        <v>37</v>
      </c>
      <c r="I119" s="46">
        <v>36</v>
      </c>
      <c r="J119" s="48">
        <v>37</v>
      </c>
      <c r="K119" s="48">
        <v>38</v>
      </c>
      <c r="L119" s="48">
        <v>31</v>
      </c>
      <c r="M119" s="48">
        <v>38.8</v>
      </c>
      <c r="N119" s="48">
        <v>38.2</v>
      </c>
      <c r="O119" s="64">
        <v>32.7</v>
      </c>
      <c r="P119" s="64">
        <v>37.6</v>
      </c>
      <c r="Q119" s="64">
        <v>38.1</v>
      </c>
      <c r="R119" s="48" t="s">
        <v>5</v>
      </c>
    </row>
    <row r="120" spans="1:18" s="28" customFormat="1" ht="18">
      <c r="A120" s="21" t="s">
        <v>59</v>
      </c>
      <c r="B120" s="46" t="s">
        <v>0</v>
      </c>
      <c r="C120" s="46" t="s">
        <v>0</v>
      </c>
      <c r="D120" s="46" t="s">
        <v>0</v>
      </c>
      <c r="E120" s="46" t="s">
        <v>0</v>
      </c>
      <c r="F120" s="46">
        <v>5.7</v>
      </c>
      <c r="G120" s="46">
        <v>6</v>
      </c>
      <c r="H120" s="46">
        <v>7</v>
      </c>
      <c r="I120" s="46">
        <v>7</v>
      </c>
      <c r="J120" s="48">
        <v>7</v>
      </c>
      <c r="K120" s="48">
        <v>7</v>
      </c>
      <c r="L120" s="48">
        <v>8</v>
      </c>
      <c r="M120" s="48">
        <v>7.8</v>
      </c>
      <c r="N120" s="48">
        <v>7.5</v>
      </c>
      <c r="O120" s="64">
        <v>7</v>
      </c>
      <c r="P120" s="64">
        <v>6.4</v>
      </c>
      <c r="Q120" s="64">
        <v>7.2</v>
      </c>
      <c r="R120" s="48" t="s">
        <v>5</v>
      </c>
    </row>
    <row r="121" spans="1:18" s="28" customFormat="1" ht="18">
      <c r="A121" s="14" t="s">
        <v>48</v>
      </c>
      <c r="B121" s="47">
        <v>208</v>
      </c>
      <c r="C121" s="47">
        <v>271</v>
      </c>
      <c r="D121" s="47">
        <v>431</v>
      </c>
      <c r="E121" s="47">
        <v>651.03</v>
      </c>
      <c r="F121" s="47">
        <v>678.226</v>
      </c>
      <c r="G121" s="47">
        <v>678.286</v>
      </c>
      <c r="H121" s="47">
        <v>692.714</v>
      </c>
      <c r="I121" s="47">
        <v>716.952</v>
      </c>
      <c r="J121" s="47">
        <v>739.621</v>
      </c>
      <c r="K121" s="48">
        <v>763.369</v>
      </c>
      <c r="L121" s="48">
        <v>786.025</v>
      </c>
      <c r="M121" s="48">
        <v>744.663</v>
      </c>
      <c r="N121" s="48">
        <v>724.535</v>
      </c>
      <c r="O121" s="48">
        <v>712.747</v>
      </c>
      <c r="P121" s="64">
        <v>730.706</v>
      </c>
      <c r="Q121" s="64">
        <v>729.918</v>
      </c>
      <c r="R121" s="48" t="s">
        <v>5</v>
      </c>
    </row>
    <row r="122" spans="1:18" s="28" customFormat="1" ht="16.5">
      <c r="A122" s="23" t="s">
        <v>11</v>
      </c>
      <c r="B122" s="46" t="s">
        <v>0</v>
      </c>
      <c r="C122" s="47" t="s">
        <v>0</v>
      </c>
      <c r="D122" s="47" t="s">
        <v>0</v>
      </c>
      <c r="E122" s="47">
        <v>563.151</v>
      </c>
      <c r="F122" s="47">
        <v>565.064</v>
      </c>
      <c r="G122" s="47">
        <v>563.767</v>
      </c>
      <c r="H122" s="47">
        <v>577.68</v>
      </c>
      <c r="I122" s="47">
        <v>597.636</v>
      </c>
      <c r="J122" s="47">
        <v>606.631</v>
      </c>
      <c r="K122" s="48">
        <v>618.204</v>
      </c>
      <c r="L122" s="48">
        <v>635.16</v>
      </c>
      <c r="M122" s="48">
        <v>587.184</v>
      </c>
      <c r="N122" s="48">
        <v>558.99</v>
      </c>
      <c r="O122" s="48">
        <v>538.747</v>
      </c>
      <c r="P122" s="64">
        <v>550.466</v>
      </c>
      <c r="Q122" s="64">
        <v>533.847</v>
      </c>
      <c r="R122" s="48" t="s">
        <v>5</v>
      </c>
    </row>
    <row r="123" spans="1:18" s="28" customFormat="1" ht="16.5">
      <c r="A123" s="23" t="s">
        <v>8</v>
      </c>
      <c r="B123" s="46" t="s">
        <v>7</v>
      </c>
      <c r="C123" s="47" t="s">
        <v>7</v>
      </c>
      <c r="D123" s="47" t="s">
        <v>7</v>
      </c>
      <c r="E123" s="47" t="s">
        <v>7</v>
      </c>
      <c r="F123" s="47" t="s">
        <v>7</v>
      </c>
      <c r="G123" s="47" t="s">
        <v>7</v>
      </c>
      <c r="H123" s="47" t="s">
        <v>7</v>
      </c>
      <c r="I123" s="47" t="s">
        <v>7</v>
      </c>
      <c r="J123" s="48" t="s">
        <v>7</v>
      </c>
      <c r="K123" s="48" t="s">
        <v>7</v>
      </c>
      <c r="L123" s="48" t="s">
        <v>7</v>
      </c>
      <c r="M123" s="48" t="s">
        <v>7</v>
      </c>
      <c r="N123" s="48" t="s">
        <v>7</v>
      </c>
      <c r="O123" s="48" t="s">
        <v>7</v>
      </c>
      <c r="P123" s="48" t="s">
        <v>7</v>
      </c>
      <c r="Q123" s="48" t="s">
        <v>7</v>
      </c>
      <c r="R123" s="48" t="s">
        <v>5</v>
      </c>
    </row>
    <row r="124" spans="1:18" s="28" customFormat="1" ht="16.5">
      <c r="A124" s="23" t="s">
        <v>9</v>
      </c>
      <c r="B124" s="46" t="s">
        <v>7</v>
      </c>
      <c r="C124" s="47" t="s">
        <v>7</v>
      </c>
      <c r="D124" s="47" t="s">
        <v>7</v>
      </c>
      <c r="E124" s="47" t="s">
        <v>7</v>
      </c>
      <c r="F124" s="47" t="s">
        <v>7</v>
      </c>
      <c r="G124" s="47" t="s">
        <v>7</v>
      </c>
      <c r="H124" s="47" t="s">
        <v>7</v>
      </c>
      <c r="I124" s="47" t="s">
        <v>7</v>
      </c>
      <c r="J124" s="48" t="s">
        <v>7</v>
      </c>
      <c r="K124" s="48" t="s">
        <v>7</v>
      </c>
      <c r="L124" s="48" t="s">
        <v>7</v>
      </c>
      <c r="M124" s="48" t="s">
        <v>7</v>
      </c>
      <c r="N124" s="48" t="s">
        <v>7</v>
      </c>
      <c r="O124" s="48" t="s">
        <v>7</v>
      </c>
      <c r="P124" s="48" t="s">
        <v>7</v>
      </c>
      <c r="Q124" s="48" t="s">
        <v>7</v>
      </c>
      <c r="R124" s="48" t="s">
        <v>5</v>
      </c>
    </row>
    <row r="125" spans="1:18" s="28" customFormat="1" ht="16.5">
      <c r="A125" s="23" t="s">
        <v>12</v>
      </c>
      <c r="B125" s="46" t="s">
        <v>7</v>
      </c>
      <c r="C125" s="47" t="s">
        <v>7</v>
      </c>
      <c r="D125" s="47" t="s">
        <v>7</v>
      </c>
      <c r="E125" s="47" t="s">
        <v>7</v>
      </c>
      <c r="F125" s="47" t="s">
        <v>7</v>
      </c>
      <c r="G125" s="47" t="s">
        <v>7</v>
      </c>
      <c r="H125" s="47" t="s">
        <v>7</v>
      </c>
      <c r="I125" s="47" t="s">
        <v>7</v>
      </c>
      <c r="J125" s="48" t="s">
        <v>7</v>
      </c>
      <c r="K125" s="48" t="s">
        <v>7</v>
      </c>
      <c r="L125" s="48" t="s">
        <v>7</v>
      </c>
      <c r="M125" s="48" t="s">
        <v>7</v>
      </c>
      <c r="N125" s="48" t="s">
        <v>7</v>
      </c>
      <c r="O125" s="48" t="s">
        <v>7</v>
      </c>
      <c r="P125" s="48" t="s">
        <v>7</v>
      </c>
      <c r="Q125" s="48" t="s">
        <v>7</v>
      </c>
      <c r="R125" s="48" t="s">
        <v>5</v>
      </c>
    </row>
    <row r="126" spans="1:18" s="28" customFormat="1" ht="16.5">
      <c r="A126" s="23" t="s">
        <v>17</v>
      </c>
      <c r="B126" s="46" t="s">
        <v>0</v>
      </c>
      <c r="C126" s="47" t="s">
        <v>0</v>
      </c>
      <c r="D126" s="47" t="s">
        <v>0</v>
      </c>
      <c r="E126" s="47">
        <v>15.497</v>
      </c>
      <c r="F126" s="47">
        <v>29.949</v>
      </c>
      <c r="G126" s="47">
        <v>28.958</v>
      </c>
      <c r="H126" s="47">
        <v>30.923</v>
      </c>
      <c r="I126" s="47">
        <v>32.02</v>
      </c>
      <c r="J126" s="47">
        <v>38.275</v>
      </c>
      <c r="K126" s="48">
        <v>43.202</v>
      </c>
      <c r="L126" s="48">
        <v>48.088</v>
      </c>
      <c r="M126" s="48">
        <v>54.898</v>
      </c>
      <c r="N126" s="48">
        <v>61.569</v>
      </c>
      <c r="O126" s="48">
        <v>69.505</v>
      </c>
      <c r="P126" s="64">
        <v>72.971</v>
      </c>
      <c r="Q126" s="64">
        <v>82.468</v>
      </c>
      <c r="R126" s="48" t="s">
        <v>5</v>
      </c>
    </row>
    <row r="127" spans="1:18" s="28" customFormat="1" ht="18">
      <c r="A127" s="21" t="s">
        <v>31</v>
      </c>
      <c r="B127" s="46" t="s">
        <v>0</v>
      </c>
      <c r="C127" s="47" t="s">
        <v>0</v>
      </c>
      <c r="D127" s="47" t="s">
        <v>0</v>
      </c>
      <c r="E127" s="47">
        <v>19.627</v>
      </c>
      <c r="F127" s="47">
        <v>21.146</v>
      </c>
      <c r="G127" s="47">
        <v>22.307</v>
      </c>
      <c r="H127" s="47">
        <v>21.991</v>
      </c>
      <c r="I127" s="47">
        <v>23.881</v>
      </c>
      <c r="J127" s="47">
        <v>25.269</v>
      </c>
      <c r="K127" s="48">
        <v>28.721</v>
      </c>
      <c r="L127" s="48">
        <v>31.78</v>
      </c>
      <c r="M127" s="48">
        <v>30.266</v>
      </c>
      <c r="N127" s="48">
        <v>30.993</v>
      </c>
      <c r="O127" s="64">
        <v>32.071</v>
      </c>
      <c r="P127" s="64">
        <v>35.12</v>
      </c>
      <c r="Q127" s="64">
        <v>36.625</v>
      </c>
      <c r="R127" s="48" t="s">
        <v>5</v>
      </c>
    </row>
    <row r="128" spans="1:18" s="28" customFormat="1" ht="16.5">
      <c r="A128" s="23" t="s">
        <v>10</v>
      </c>
      <c r="B128" s="46" t="s">
        <v>0</v>
      </c>
      <c r="C128" s="47" t="s">
        <v>0</v>
      </c>
      <c r="D128" s="47" t="s">
        <v>0</v>
      </c>
      <c r="E128" s="47">
        <v>52.681</v>
      </c>
      <c r="F128" s="47">
        <v>61.9</v>
      </c>
      <c r="G128" s="47">
        <v>63.064</v>
      </c>
      <c r="H128" s="47">
        <v>61.888</v>
      </c>
      <c r="I128" s="47">
        <v>63.195</v>
      </c>
      <c r="J128" s="47">
        <v>69.2</v>
      </c>
      <c r="K128" s="48">
        <v>73.005</v>
      </c>
      <c r="L128" s="48">
        <v>70.818</v>
      </c>
      <c r="M128" s="48">
        <v>72.204</v>
      </c>
      <c r="N128" s="48">
        <v>72.847</v>
      </c>
      <c r="O128" s="64">
        <v>72.264</v>
      </c>
      <c r="P128" s="64">
        <v>71.999</v>
      </c>
      <c r="Q128" s="64">
        <v>76.714</v>
      </c>
      <c r="R128" s="48" t="s">
        <v>5</v>
      </c>
    </row>
    <row r="129" spans="1:18" s="28" customFormat="1" ht="18">
      <c r="A129" s="21" t="s">
        <v>30</v>
      </c>
      <c r="B129" s="46" t="s">
        <v>0</v>
      </c>
      <c r="C129" s="46" t="s">
        <v>0</v>
      </c>
      <c r="D129" s="46" t="s">
        <v>0</v>
      </c>
      <c r="E129" s="48" t="s">
        <v>6</v>
      </c>
      <c r="F129" s="46" t="s">
        <v>6</v>
      </c>
      <c r="G129" s="46" t="s">
        <v>6</v>
      </c>
      <c r="H129" s="46" t="s">
        <v>6</v>
      </c>
      <c r="I129" s="46" t="s">
        <v>6</v>
      </c>
      <c r="J129" s="48" t="s">
        <v>6</v>
      </c>
      <c r="K129" s="48" t="s">
        <v>6</v>
      </c>
      <c r="L129" s="48" t="s">
        <v>6</v>
      </c>
      <c r="M129" s="48" t="s">
        <v>6</v>
      </c>
      <c r="N129" s="48" t="s">
        <v>6</v>
      </c>
      <c r="O129" s="48" t="s">
        <v>6</v>
      </c>
      <c r="P129" s="48" t="s">
        <v>6</v>
      </c>
      <c r="Q129" s="48" t="s">
        <v>6</v>
      </c>
      <c r="R129" s="48" t="s">
        <v>5</v>
      </c>
    </row>
    <row r="130" spans="1:18" s="28" customFormat="1" ht="18">
      <c r="A130" s="14" t="s">
        <v>49</v>
      </c>
      <c r="B130" s="47">
        <v>192</v>
      </c>
      <c r="C130" s="47">
        <v>69</v>
      </c>
      <c r="D130" s="47">
        <v>11</v>
      </c>
      <c r="E130" s="47">
        <v>34</v>
      </c>
      <c r="F130" s="47">
        <v>64.838</v>
      </c>
      <c r="G130" s="47">
        <v>71.47</v>
      </c>
      <c r="H130" s="47">
        <v>76.305</v>
      </c>
      <c r="I130" s="47">
        <v>83.369</v>
      </c>
      <c r="J130" s="47">
        <v>89.883</v>
      </c>
      <c r="K130" s="48">
        <v>93.092</v>
      </c>
      <c r="L130" s="48">
        <v>103.078</v>
      </c>
      <c r="M130" s="48">
        <v>112.088</v>
      </c>
      <c r="N130" s="48">
        <v>132.201</v>
      </c>
      <c r="O130" s="48">
        <v>146.365</v>
      </c>
      <c r="P130" s="64">
        <v>164.717</v>
      </c>
      <c r="Q130" s="64">
        <v>181.173</v>
      </c>
      <c r="R130" s="48" t="s">
        <v>5</v>
      </c>
    </row>
    <row r="131" spans="1:18" s="28" customFormat="1" ht="18">
      <c r="A131" s="16" t="s">
        <v>60</v>
      </c>
      <c r="B131" s="47">
        <v>192</v>
      </c>
      <c r="C131" s="47">
        <v>68</v>
      </c>
      <c r="D131" s="47">
        <v>11</v>
      </c>
      <c r="E131" s="47">
        <v>33</v>
      </c>
      <c r="F131" s="47">
        <f aca="true" t="shared" si="11" ref="F131:P131">F130-F132</f>
        <v>60.00299999999999</v>
      </c>
      <c r="G131" s="47">
        <f t="shared" si="11"/>
        <v>60.73</v>
      </c>
      <c r="H131" s="47">
        <f t="shared" si="11"/>
        <v>61.21300000000001</v>
      </c>
      <c r="I131" s="47">
        <f t="shared" si="11"/>
        <v>59.463</v>
      </c>
      <c r="J131" s="47">
        <f t="shared" si="11"/>
        <v>52.614999999999995</v>
      </c>
      <c r="K131" s="47">
        <f t="shared" si="11"/>
        <v>48.693999999999996</v>
      </c>
      <c r="L131" s="47">
        <f t="shared" si="11"/>
        <v>48.284000000000006</v>
      </c>
      <c r="M131" s="47">
        <f t="shared" si="11"/>
        <v>45.87299999999999</v>
      </c>
      <c r="N131" s="47">
        <f t="shared" si="11"/>
        <v>51.14999999999999</v>
      </c>
      <c r="O131" s="47">
        <f t="shared" si="11"/>
        <v>46.29100000000001</v>
      </c>
      <c r="P131" s="47">
        <f t="shared" si="11"/>
        <v>52.90700000000001</v>
      </c>
      <c r="Q131" s="47">
        <f>Q130-Q132</f>
        <v>58.120000000000005</v>
      </c>
      <c r="R131" s="47" t="s">
        <v>5</v>
      </c>
    </row>
    <row r="132" spans="1:18" s="28" customFormat="1" ht="16.5">
      <c r="A132" s="10" t="s">
        <v>14</v>
      </c>
      <c r="B132" s="47" t="s">
        <v>5</v>
      </c>
      <c r="C132" s="47" t="s">
        <v>5</v>
      </c>
      <c r="D132" s="47" t="s">
        <v>5</v>
      </c>
      <c r="E132" s="47" t="s">
        <v>5</v>
      </c>
      <c r="F132" s="47">
        <v>4.835</v>
      </c>
      <c r="G132" s="47">
        <v>10.74</v>
      </c>
      <c r="H132" s="47">
        <v>15.092</v>
      </c>
      <c r="I132" s="47">
        <v>23.906</v>
      </c>
      <c r="J132" s="47">
        <v>37.268</v>
      </c>
      <c r="K132" s="48">
        <v>44.398</v>
      </c>
      <c r="L132" s="48">
        <v>54.794</v>
      </c>
      <c r="M132" s="48">
        <v>66.215</v>
      </c>
      <c r="N132" s="48">
        <v>81.051</v>
      </c>
      <c r="O132" s="64">
        <v>100.074</v>
      </c>
      <c r="P132" s="64">
        <v>111.81</v>
      </c>
      <c r="Q132" s="64">
        <v>123.053</v>
      </c>
      <c r="R132" s="48" t="s">
        <v>5</v>
      </c>
    </row>
    <row r="133" spans="1:18" s="28" customFormat="1" ht="18">
      <c r="A133" s="14" t="s">
        <v>50</v>
      </c>
      <c r="B133" s="55">
        <v>2908</v>
      </c>
      <c r="C133" s="55">
        <v>2561</v>
      </c>
      <c r="D133" s="55">
        <v>2446</v>
      </c>
      <c r="E133" s="2">
        <v>4837</v>
      </c>
      <c r="F133" s="2">
        <v>5081</v>
      </c>
      <c r="G133" s="2">
        <v>5068</v>
      </c>
      <c r="H133" s="2">
        <v>5007</v>
      </c>
      <c r="I133" s="55">
        <v>4988</v>
      </c>
      <c r="J133" s="55">
        <v>5073</v>
      </c>
      <c r="K133" s="7">
        <v>5237</v>
      </c>
      <c r="L133" s="7">
        <v>5510</v>
      </c>
      <c r="M133" s="7">
        <v>5610</v>
      </c>
      <c r="N133" s="7">
        <v>5649</v>
      </c>
      <c r="O133" s="56">
        <v>5643</v>
      </c>
      <c r="P133" s="56">
        <v>5825</v>
      </c>
      <c r="Q133" s="56">
        <v>5954</v>
      </c>
      <c r="R133" s="7" t="s">
        <v>5</v>
      </c>
    </row>
    <row r="134" spans="1:18" s="28" customFormat="1" ht="16.5">
      <c r="A134" s="23" t="s">
        <v>11</v>
      </c>
      <c r="B134" s="2" t="s">
        <v>7</v>
      </c>
      <c r="C134" s="2" t="s">
        <v>7</v>
      </c>
      <c r="D134" s="2" t="s">
        <v>7</v>
      </c>
      <c r="E134" s="2" t="s">
        <v>7</v>
      </c>
      <c r="F134" s="2" t="s">
        <v>7</v>
      </c>
      <c r="G134" s="2" t="s">
        <v>7</v>
      </c>
      <c r="H134" s="2" t="s">
        <v>7</v>
      </c>
      <c r="I134" s="2" t="s">
        <v>7</v>
      </c>
      <c r="J134" s="2" t="s">
        <v>7</v>
      </c>
      <c r="K134" s="2" t="s">
        <v>7</v>
      </c>
      <c r="L134" s="2" t="s">
        <v>7</v>
      </c>
      <c r="M134" s="2" t="s">
        <v>7</v>
      </c>
      <c r="N134" s="2" t="s">
        <v>7</v>
      </c>
      <c r="O134" s="2" t="s">
        <v>7</v>
      </c>
      <c r="P134" s="2" t="s">
        <v>7</v>
      </c>
      <c r="Q134" s="2" t="s">
        <v>7</v>
      </c>
      <c r="R134" s="55" t="s">
        <v>5</v>
      </c>
    </row>
    <row r="135" spans="1:18" s="28" customFormat="1" ht="16.5">
      <c r="A135" s="23" t="s">
        <v>8</v>
      </c>
      <c r="B135" s="2" t="s">
        <v>0</v>
      </c>
      <c r="C135" s="2" t="s">
        <v>0</v>
      </c>
      <c r="D135" s="2" t="s">
        <v>0</v>
      </c>
      <c r="E135" s="2">
        <v>3284</v>
      </c>
      <c r="F135" s="2">
        <v>3431</v>
      </c>
      <c r="G135" s="2">
        <v>3401</v>
      </c>
      <c r="H135" s="2">
        <v>3332</v>
      </c>
      <c r="I135" s="55">
        <v>3253</v>
      </c>
      <c r="J135" s="7">
        <v>3280</v>
      </c>
      <c r="K135" s="7">
        <v>3385</v>
      </c>
      <c r="L135" s="7">
        <v>3549</v>
      </c>
      <c r="M135" s="7">
        <v>3646</v>
      </c>
      <c r="N135" s="7">
        <v>3683</v>
      </c>
      <c r="O135" s="56">
        <v>3632</v>
      </c>
      <c r="P135" s="56">
        <v>3684</v>
      </c>
      <c r="Q135" s="56">
        <v>3769</v>
      </c>
      <c r="R135" s="7" t="s">
        <v>5</v>
      </c>
    </row>
    <row r="136" spans="1:18" s="28" customFormat="1" ht="16.5">
      <c r="A136" s="23" t="s">
        <v>9</v>
      </c>
      <c r="B136" s="2" t="s">
        <v>0</v>
      </c>
      <c r="C136" s="2" t="s">
        <v>0</v>
      </c>
      <c r="D136" s="2" t="s">
        <v>0</v>
      </c>
      <c r="E136" s="2">
        <v>239</v>
      </c>
      <c r="F136" s="2">
        <v>282</v>
      </c>
      <c r="G136" s="2">
        <v>288</v>
      </c>
      <c r="H136" s="2">
        <v>321</v>
      </c>
      <c r="I136" s="55">
        <v>361</v>
      </c>
      <c r="J136" s="55">
        <v>381</v>
      </c>
      <c r="K136" s="7">
        <v>416</v>
      </c>
      <c r="L136" s="7">
        <v>463</v>
      </c>
      <c r="M136" s="7">
        <v>487</v>
      </c>
      <c r="N136" s="7">
        <v>510</v>
      </c>
      <c r="O136" s="56">
        <v>507</v>
      </c>
      <c r="P136" s="56">
        <v>553</v>
      </c>
      <c r="Q136" s="56">
        <v>571</v>
      </c>
      <c r="R136" s="7" t="s">
        <v>5</v>
      </c>
    </row>
    <row r="137" spans="1:18" s="28" customFormat="1" ht="16.5">
      <c r="A137" s="23" t="s">
        <v>12</v>
      </c>
      <c r="B137" s="2" t="s">
        <v>0</v>
      </c>
      <c r="C137" s="2" t="s">
        <v>0</v>
      </c>
      <c r="D137" s="2" t="s">
        <v>0</v>
      </c>
      <c r="E137" s="2">
        <v>69</v>
      </c>
      <c r="F137" s="2">
        <v>103</v>
      </c>
      <c r="G137" s="2">
        <v>100</v>
      </c>
      <c r="H137" s="2">
        <v>69</v>
      </c>
      <c r="I137" s="55">
        <v>78</v>
      </c>
      <c r="J137" s="7">
        <v>74</v>
      </c>
      <c r="K137" s="7">
        <v>75</v>
      </c>
      <c r="L137" s="7">
        <v>77</v>
      </c>
      <c r="M137" s="7">
        <v>74</v>
      </c>
      <c r="N137" s="7">
        <v>73</v>
      </c>
      <c r="O137" s="56">
        <v>69</v>
      </c>
      <c r="P137" s="56">
        <v>68</v>
      </c>
      <c r="Q137" s="56">
        <v>67</v>
      </c>
      <c r="R137" s="7" t="s">
        <v>5</v>
      </c>
    </row>
    <row r="138" spans="1:18" s="28" customFormat="1" ht="16.5">
      <c r="A138" s="23" t="s">
        <v>17</v>
      </c>
      <c r="B138" s="2" t="s">
        <v>7</v>
      </c>
      <c r="C138" s="2" t="s">
        <v>7</v>
      </c>
      <c r="D138" s="2" t="s">
        <v>7</v>
      </c>
      <c r="E138" s="2" t="s">
        <v>7</v>
      </c>
      <c r="F138" s="2" t="s">
        <v>7</v>
      </c>
      <c r="G138" s="2" t="s">
        <v>7</v>
      </c>
      <c r="H138" s="2" t="s">
        <v>7</v>
      </c>
      <c r="I138" s="2" t="s">
        <v>7</v>
      </c>
      <c r="J138" s="7" t="s">
        <v>7</v>
      </c>
      <c r="K138" s="7" t="s">
        <v>7</v>
      </c>
      <c r="L138" s="7" t="s">
        <v>7</v>
      </c>
      <c r="M138" s="7" t="s">
        <v>7</v>
      </c>
      <c r="N138" s="7" t="s">
        <v>7</v>
      </c>
      <c r="O138" s="7" t="s">
        <v>7</v>
      </c>
      <c r="P138" s="7" t="s">
        <v>7</v>
      </c>
      <c r="Q138" s="7" t="s">
        <v>7</v>
      </c>
      <c r="R138" s="7" t="s">
        <v>5</v>
      </c>
    </row>
    <row r="139" spans="1:18" s="28" customFormat="1" ht="18">
      <c r="A139" s="21" t="s">
        <v>31</v>
      </c>
      <c r="B139" s="2" t="s">
        <v>7</v>
      </c>
      <c r="C139" s="2" t="s">
        <v>7</v>
      </c>
      <c r="D139" s="2" t="s">
        <v>7</v>
      </c>
      <c r="E139" s="2" t="s">
        <v>7</v>
      </c>
      <c r="F139" s="2" t="s">
        <v>7</v>
      </c>
      <c r="G139" s="2" t="s">
        <v>7</v>
      </c>
      <c r="H139" s="2" t="s">
        <v>7</v>
      </c>
      <c r="I139" s="2" t="s">
        <v>7</v>
      </c>
      <c r="J139" s="7" t="s">
        <v>7</v>
      </c>
      <c r="K139" s="7" t="s">
        <v>7</v>
      </c>
      <c r="L139" s="7" t="s">
        <v>7</v>
      </c>
      <c r="M139" s="7" t="s">
        <v>7</v>
      </c>
      <c r="N139" s="7" t="s">
        <v>7</v>
      </c>
      <c r="O139" s="7" t="s">
        <v>7</v>
      </c>
      <c r="P139" s="7" t="s">
        <v>7</v>
      </c>
      <c r="Q139" s="7" t="s">
        <v>7</v>
      </c>
      <c r="R139" s="7" t="s">
        <v>5</v>
      </c>
    </row>
    <row r="140" spans="1:18" s="28" customFormat="1" ht="16.5">
      <c r="A140" s="23" t="s">
        <v>10</v>
      </c>
      <c r="B140" s="2" t="s">
        <v>0</v>
      </c>
      <c r="C140" s="2" t="s">
        <v>0</v>
      </c>
      <c r="D140" s="2" t="s">
        <v>0</v>
      </c>
      <c r="E140" s="2">
        <v>1226</v>
      </c>
      <c r="F140" s="2">
        <v>1244</v>
      </c>
      <c r="G140" s="2">
        <v>1253</v>
      </c>
      <c r="H140" s="2">
        <v>1255</v>
      </c>
      <c r="I140" s="55">
        <v>1270</v>
      </c>
      <c r="J140" s="55">
        <v>1299</v>
      </c>
      <c r="K140" s="7">
        <v>1322</v>
      </c>
      <c r="L140" s="7">
        <v>1370</v>
      </c>
      <c r="M140" s="7">
        <v>1354</v>
      </c>
      <c r="N140" s="7">
        <v>1334</v>
      </c>
      <c r="O140" s="56">
        <v>1383</v>
      </c>
      <c r="P140" s="56">
        <v>1449</v>
      </c>
      <c r="Q140" s="56">
        <v>1484</v>
      </c>
      <c r="R140" s="7" t="s">
        <v>5</v>
      </c>
    </row>
    <row r="141" spans="1:18" s="28" customFormat="1" ht="18">
      <c r="A141" s="21" t="s">
        <v>30</v>
      </c>
      <c r="B141" s="2" t="s">
        <v>0</v>
      </c>
      <c r="C141" s="2" t="s">
        <v>0</v>
      </c>
      <c r="D141" s="2" t="s">
        <v>0</v>
      </c>
      <c r="E141" s="2">
        <v>19</v>
      </c>
      <c r="F141" s="2">
        <v>21</v>
      </c>
      <c r="G141" s="2">
        <v>26</v>
      </c>
      <c r="H141" s="2">
        <v>30</v>
      </c>
      <c r="I141" s="55">
        <v>26</v>
      </c>
      <c r="J141" s="55">
        <v>39</v>
      </c>
      <c r="K141" s="7">
        <v>39</v>
      </c>
      <c r="L141" s="7">
        <v>51</v>
      </c>
      <c r="M141" s="7">
        <v>49</v>
      </c>
      <c r="N141" s="7">
        <v>49</v>
      </c>
      <c r="O141" s="63">
        <v>51</v>
      </c>
      <c r="P141" s="63">
        <v>72</v>
      </c>
      <c r="Q141" s="63">
        <v>63</v>
      </c>
      <c r="R141" s="59" t="s">
        <v>5</v>
      </c>
    </row>
    <row r="142" spans="1:18" s="28" customFormat="1" ht="18">
      <c r="A142" s="19" t="s">
        <v>76</v>
      </c>
      <c r="B142" s="8"/>
      <c r="C142" s="3"/>
      <c r="D142" s="3"/>
      <c r="E142" s="3"/>
      <c r="F142" s="3"/>
      <c r="G142" s="3"/>
      <c r="H142" s="3"/>
      <c r="I142" s="3"/>
      <c r="J142" s="5"/>
      <c r="K142" s="4"/>
      <c r="L142" s="34"/>
      <c r="M142" s="34"/>
      <c r="N142" s="34"/>
      <c r="O142" s="4"/>
      <c r="P142" s="4"/>
      <c r="Q142" s="4"/>
      <c r="R142" s="76"/>
    </row>
    <row r="143" spans="1:18" s="28" customFormat="1" ht="18">
      <c r="A143" s="25" t="s">
        <v>53</v>
      </c>
      <c r="B143" s="1" t="s">
        <v>0</v>
      </c>
      <c r="C143" s="1" t="s">
        <v>0</v>
      </c>
      <c r="D143" s="1" t="s">
        <v>0</v>
      </c>
      <c r="E143" s="6">
        <v>339</v>
      </c>
      <c r="F143" s="6">
        <v>320</v>
      </c>
      <c r="G143" s="6">
        <v>274</v>
      </c>
      <c r="H143" s="6">
        <v>264</v>
      </c>
      <c r="I143" s="6">
        <v>275</v>
      </c>
      <c r="J143" s="7">
        <v>286</v>
      </c>
      <c r="K143" s="7">
        <v>299</v>
      </c>
      <c r="L143" s="7">
        <v>295</v>
      </c>
      <c r="M143" s="7">
        <v>267</v>
      </c>
      <c r="N143" s="7">
        <v>280</v>
      </c>
      <c r="O143" s="68">
        <v>234</v>
      </c>
      <c r="P143" s="68">
        <v>248</v>
      </c>
      <c r="Q143" s="68">
        <v>236</v>
      </c>
      <c r="R143" s="68">
        <v>213</v>
      </c>
    </row>
    <row r="144" spans="1:18" s="28" customFormat="1" ht="18">
      <c r="A144" s="23" t="s">
        <v>77</v>
      </c>
      <c r="B144" s="1" t="s">
        <v>0</v>
      </c>
      <c r="C144" s="1" t="s">
        <v>0</v>
      </c>
      <c r="D144" s="1" t="s">
        <v>0</v>
      </c>
      <c r="E144" s="1" t="s">
        <v>0</v>
      </c>
      <c r="F144" s="1" t="s">
        <v>0</v>
      </c>
      <c r="G144" s="1">
        <v>17</v>
      </c>
      <c r="H144" s="1">
        <v>7</v>
      </c>
      <c r="I144" s="1">
        <v>12</v>
      </c>
      <c r="J144" s="1">
        <v>26</v>
      </c>
      <c r="K144" s="1">
        <v>21</v>
      </c>
      <c r="L144" s="68">
        <v>20</v>
      </c>
      <c r="M144" s="68">
        <v>13</v>
      </c>
      <c r="N144" s="68">
        <v>24</v>
      </c>
      <c r="O144" s="68">
        <v>21</v>
      </c>
      <c r="P144" s="27">
        <v>29</v>
      </c>
      <c r="Q144" s="27">
        <v>23</v>
      </c>
      <c r="R144" s="68">
        <v>21</v>
      </c>
    </row>
    <row r="145" spans="1:18" s="28" customFormat="1" ht="16.5">
      <c r="A145" s="23" t="s">
        <v>61</v>
      </c>
      <c r="B145" s="1" t="s">
        <v>0</v>
      </c>
      <c r="C145" s="1" t="s">
        <v>0</v>
      </c>
      <c r="D145" s="1" t="s">
        <v>0</v>
      </c>
      <c r="E145" s="6" t="s">
        <v>0</v>
      </c>
      <c r="F145" s="6" t="s">
        <v>0</v>
      </c>
      <c r="G145" s="7">
        <f aca="true" t="shared" si="12" ref="G145:N145">G143-G144</f>
        <v>257</v>
      </c>
      <c r="H145" s="7">
        <f t="shared" si="12"/>
        <v>257</v>
      </c>
      <c r="I145" s="7">
        <f t="shared" si="12"/>
        <v>263</v>
      </c>
      <c r="J145" s="7">
        <f t="shared" si="12"/>
        <v>260</v>
      </c>
      <c r="K145" s="7">
        <f t="shared" si="12"/>
        <v>278</v>
      </c>
      <c r="L145" s="7">
        <f t="shared" si="12"/>
        <v>275</v>
      </c>
      <c r="M145" s="7">
        <f t="shared" si="12"/>
        <v>254</v>
      </c>
      <c r="N145" s="7">
        <f t="shared" si="12"/>
        <v>256</v>
      </c>
      <c r="O145" s="7">
        <f>O143-O144</f>
        <v>213</v>
      </c>
      <c r="P145" s="7">
        <f>P143-P144</f>
        <v>219</v>
      </c>
      <c r="Q145" s="7">
        <v>213</v>
      </c>
      <c r="R145" s="7">
        <v>192</v>
      </c>
    </row>
    <row r="146" spans="1:18" s="28" customFormat="1" ht="18">
      <c r="A146" s="26" t="s">
        <v>64</v>
      </c>
      <c r="B146" s="1" t="s">
        <v>0</v>
      </c>
      <c r="C146" s="1" t="s">
        <v>0</v>
      </c>
      <c r="D146" s="1" t="s">
        <v>0</v>
      </c>
      <c r="E146" s="6">
        <v>54556</v>
      </c>
      <c r="F146" s="6">
        <v>58193</v>
      </c>
      <c r="G146" s="6">
        <v>57196</v>
      </c>
      <c r="H146" s="6">
        <v>55288</v>
      </c>
      <c r="I146" s="6">
        <v>56132</v>
      </c>
      <c r="J146" s="7">
        <v>55990</v>
      </c>
      <c r="K146" s="7">
        <v>55325</v>
      </c>
      <c r="L146" s="7">
        <v>56697</v>
      </c>
      <c r="M146" s="7">
        <v>53945</v>
      </c>
      <c r="N146" s="7">
        <v>19260</v>
      </c>
      <c r="O146" s="7">
        <v>18235</v>
      </c>
      <c r="P146" s="7">
        <v>18982</v>
      </c>
      <c r="Q146" s="7">
        <v>18131</v>
      </c>
      <c r="R146" s="7">
        <v>18327</v>
      </c>
    </row>
    <row r="147" spans="1:18" s="28" customFormat="1" ht="18">
      <c r="A147" s="23" t="s">
        <v>78</v>
      </c>
      <c r="B147" s="1" t="s">
        <v>0</v>
      </c>
      <c r="C147" s="1" t="s">
        <v>0</v>
      </c>
      <c r="D147" s="1" t="s">
        <v>0</v>
      </c>
      <c r="E147" s="1" t="s">
        <v>0</v>
      </c>
      <c r="F147" s="1" t="s">
        <v>0</v>
      </c>
      <c r="G147" s="1">
        <v>195</v>
      </c>
      <c r="H147" s="1">
        <v>184</v>
      </c>
      <c r="I147" s="1">
        <v>126</v>
      </c>
      <c r="J147" s="1">
        <v>58</v>
      </c>
      <c r="K147" s="1">
        <v>159</v>
      </c>
      <c r="L147" s="68">
        <v>123</v>
      </c>
      <c r="M147" s="68">
        <v>74</v>
      </c>
      <c r="N147" s="68">
        <v>108</v>
      </c>
      <c r="O147" s="68">
        <v>117</v>
      </c>
      <c r="P147" s="68">
        <v>153</v>
      </c>
      <c r="Q147" s="68">
        <v>194</v>
      </c>
      <c r="R147" s="68">
        <v>172</v>
      </c>
    </row>
    <row r="148" spans="1:18" s="28" customFormat="1" ht="16.5">
      <c r="A148" s="23" t="s">
        <v>62</v>
      </c>
      <c r="B148" s="1" t="s">
        <v>0</v>
      </c>
      <c r="C148" s="1" t="s">
        <v>0</v>
      </c>
      <c r="D148" s="1" t="s">
        <v>0</v>
      </c>
      <c r="E148" s="6" t="s">
        <v>0</v>
      </c>
      <c r="F148" s="6" t="s">
        <v>0</v>
      </c>
      <c r="G148" s="7">
        <f aca="true" t="shared" si="13" ref="G148:P148">G146-G147</f>
        <v>57001</v>
      </c>
      <c r="H148" s="7">
        <f t="shared" si="13"/>
        <v>55104</v>
      </c>
      <c r="I148" s="7">
        <f t="shared" si="13"/>
        <v>56006</v>
      </c>
      <c r="J148" s="7">
        <f t="shared" si="13"/>
        <v>55932</v>
      </c>
      <c r="K148" s="7">
        <f t="shared" si="13"/>
        <v>55166</v>
      </c>
      <c r="L148" s="68">
        <f t="shared" si="13"/>
        <v>56574</v>
      </c>
      <c r="M148" s="68">
        <f t="shared" si="13"/>
        <v>53871</v>
      </c>
      <c r="N148" s="68">
        <f t="shared" si="13"/>
        <v>19152</v>
      </c>
      <c r="O148" s="68">
        <f t="shared" si="13"/>
        <v>18118</v>
      </c>
      <c r="P148" s="7">
        <f t="shared" si="13"/>
        <v>18829</v>
      </c>
      <c r="Q148" s="7">
        <v>17937</v>
      </c>
      <c r="R148" s="7">
        <v>18155</v>
      </c>
    </row>
    <row r="149" spans="1:18" s="28" customFormat="1" ht="18">
      <c r="A149" s="26" t="s">
        <v>54</v>
      </c>
      <c r="B149" s="1" t="s">
        <v>0</v>
      </c>
      <c r="C149" s="1" t="s">
        <v>0</v>
      </c>
      <c r="D149" s="1" t="s">
        <v>0</v>
      </c>
      <c r="E149" s="6">
        <v>90163</v>
      </c>
      <c r="F149" s="6">
        <v>70693</v>
      </c>
      <c r="G149" s="6">
        <v>62471</v>
      </c>
      <c r="H149" s="6">
        <v>59392</v>
      </c>
      <c r="I149" s="6">
        <v>61561</v>
      </c>
      <c r="J149" s="7">
        <v>60094</v>
      </c>
      <c r="K149" s="7">
        <v>58703</v>
      </c>
      <c r="L149" s="7">
        <v>59898</v>
      </c>
      <c r="M149" s="7">
        <v>58149</v>
      </c>
      <c r="N149" s="7">
        <v>30331</v>
      </c>
      <c r="O149" s="7">
        <v>19797</v>
      </c>
      <c r="P149" s="7">
        <v>20939</v>
      </c>
      <c r="Q149" s="7">
        <v>21016</v>
      </c>
      <c r="R149" s="7">
        <v>22275</v>
      </c>
    </row>
    <row r="150" spans="1:18" s="28" customFormat="1" ht="18">
      <c r="A150" s="23" t="s">
        <v>79</v>
      </c>
      <c r="B150" s="1" t="s">
        <v>0</v>
      </c>
      <c r="C150" s="1" t="s">
        <v>0</v>
      </c>
      <c r="D150" s="1" t="s">
        <v>0</v>
      </c>
      <c r="E150" s="1" t="s">
        <v>0</v>
      </c>
      <c r="F150" s="1" t="s">
        <v>0</v>
      </c>
      <c r="G150" s="72">
        <v>127</v>
      </c>
      <c r="H150" s="72">
        <v>134</v>
      </c>
      <c r="I150" s="72">
        <v>119</v>
      </c>
      <c r="J150" s="72">
        <v>106</v>
      </c>
      <c r="K150" s="72">
        <v>140</v>
      </c>
      <c r="L150" s="7">
        <v>148</v>
      </c>
      <c r="M150" s="7">
        <v>101</v>
      </c>
      <c r="N150" s="7">
        <v>398</v>
      </c>
      <c r="O150" s="7">
        <v>276</v>
      </c>
      <c r="P150" s="72">
        <v>311</v>
      </c>
      <c r="Q150" s="72">
        <v>504</v>
      </c>
      <c r="R150" s="7">
        <v>131</v>
      </c>
    </row>
    <row r="151" spans="1:18" s="28" customFormat="1" ht="16.5">
      <c r="A151" s="23" t="s">
        <v>63</v>
      </c>
      <c r="B151" s="1" t="s">
        <v>0</v>
      </c>
      <c r="C151" s="1" t="s">
        <v>0</v>
      </c>
      <c r="D151" s="1" t="s">
        <v>0</v>
      </c>
      <c r="E151" s="6" t="s">
        <v>0</v>
      </c>
      <c r="F151" s="6" t="s">
        <v>0</v>
      </c>
      <c r="G151" s="7">
        <f aca="true" t="shared" si="14" ref="G151:P151">G149-G150</f>
        <v>62344</v>
      </c>
      <c r="H151" s="7">
        <f t="shared" si="14"/>
        <v>59258</v>
      </c>
      <c r="I151" s="7">
        <f t="shared" si="14"/>
        <v>61442</v>
      </c>
      <c r="J151" s="7">
        <f t="shared" si="14"/>
        <v>59988</v>
      </c>
      <c r="K151" s="7">
        <f t="shared" si="14"/>
        <v>58563</v>
      </c>
      <c r="L151" s="7">
        <f t="shared" si="14"/>
        <v>59750</v>
      </c>
      <c r="M151" s="7">
        <f t="shared" si="14"/>
        <v>58048</v>
      </c>
      <c r="N151" s="7">
        <f t="shared" si="14"/>
        <v>29933</v>
      </c>
      <c r="O151" s="7">
        <f t="shared" si="14"/>
        <v>19521</v>
      </c>
      <c r="P151" s="7">
        <f t="shared" si="14"/>
        <v>20628</v>
      </c>
      <c r="Q151" s="7">
        <f>Q149-Q150</f>
        <v>20512</v>
      </c>
      <c r="R151" s="7">
        <f>R149-R150</f>
        <v>22144</v>
      </c>
    </row>
    <row r="152" spans="1:18" s="28" customFormat="1" ht="18.75" thickBot="1">
      <c r="A152" s="67" t="s">
        <v>82</v>
      </c>
      <c r="B152" s="2" t="s">
        <v>0</v>
      </c>
      <c r="C152" s="1" t="s">
        <v>0</v>
      </c>
      <c r="D152" s="1" t="s">
        <v>0</v>
      </c>
      <c r="E152" s="1" t="s">
        <v>0</v>
      </c>
      <c r="F152" s="1" t="s">
        <v>0</v>
      </c>
      <c r="G152" s="1" t="s">
        <v>0</v>
      </c>
      <c r="H152" s="1" t="s">
        <v>0</v>
      </c>
      <c r="I152" s="1" t="s">
        <v>0</v>
      </c>
      <c r="J152" s="1" t="s">
        <v>0</v>
      </c>
      <c r="K152" s="1" t="s">
        <v>0</v>
      </c>
      <c r="L152" s="1" t="s">
        <v>0</v>
      </c>
      <c r="M152" s="1" t="s">
        <v>0</v>
      </c>
      <c r="N152" s="7">
        <v>2282</v>
      </c>
      <c r="O152" s="65">
        <v>1913</v>
      </c>
      <c r="P152" s="65">
        <v>2515</v>
      </c>
      <c r="Q152" s="65" t="s">
        <v>5</v>
      </c>
      <c r="R152" s="65" t="s">
        <v>5</v>
      </c>
    </row>
    <row r="153" spans="1:18" s="28" customFormat="1" ht="27" customHeight="1">
      <c r="A153" s="83" t="s">
        <v>89</v>
      </c>
      <c r="B153" s="84"/>
      <c r="C153" s="84"/>
      <c r="D153" s="84"/>
      <c r="E153" s="84"/>
      <c r="F153" s="85"/>
      <c r="G153" s="85"/>
      <c r="H153" s="85"/>
      <c r="I153" s="85"/>
      <c r="J153" s="85"/>
      <c r="K153" s="40"/>
      <c r="L153" s="40"/>
      <c r="M153" s="40"/>
      <c r="N153" s="40"/>
      <c r="O153" s="27"/>
      <c r="P153" s="27"/>
      <c r="Q153" s="27"/>
      <c r="R153" s="68"/>
    </row>
    <row r="154" spans="1:18" s="28" customFormat="1" ht="10.5" customHeight="1">
      <c r="A154" s="90"/>
      <c r="B154" s="87"/>
      <c r="C154" s="87"/>
      <c r="D154" s="87"/>
      <c r="E154" s="87"/>
      <c r="F154" s="35"/>
      <c r="G154" s="35"/>
      <c r="H154" s="35"/>
      <c r="I154" s="35"/>
      <c r="O154" s="27"/>
      <c r="P154" s="27"/>
      <c r="Q154" s="27"/>
      <c r="R154" s="68"/>
    </row>
    <row r="155" spans="1:18" s="31" customFormat="1" ht="18">
      <c r="A155" s="86" t="s">
        <v>65</v>
      </c>
      <c r="B155" s="87"/>
      <c r="C155" s="87"/>
      <c r="D155" s="87"/>
      <c r="E155" s="87"/>
      <c r="F155" s="88"/>
      <c r="G155" s="88"/>
      <c r="H155" s="88"/>
      <c r="I155" s="88"/>
      <c r="J155" s="41"/>
      <c r="O155" s="43"/>
      <c r="P155" s="43"/>
      <c r="Q155" s="43"/>
      <c r="R155" s="68"/>
    </row>
    <row r="156" spans="1:18" s="31" customFormat="1" ht="16.5" customHeight="1">
      <c r="A156" s="86" t="s">
        <v>66</v>
      </c>
      <c r="B156" s="87"/>
      <c r="C156" s="87"/>
      <c r="D156" s="87"/>
      <c r="E156" s="87"/>
      <c r="F156" s="88"/>
      <c r="G156" s="88"/>
      <c r="H156" s="88"/>
      <c r="I156" s="88"/>
      <c r="J156" s="41"/>
      <c r="O156" s="43"/>
      <c r="P156" s="43"/>
      <c r="Q156" s="43"/>
      <c r="R156" s="68"/>
    </row>
    <row r="157" spans="1:18" s="31" customFormat="1" ht="27" customHeight="1">
      <c r="A157" s="86" t="s">
        <v>67</v>
      </c>
      <c r="B157" s="87"/>
      <c r="C157" s="87"/>
      <c r="D157" s="87"/>
      <c r="E157" s="87"/>
      <c r="F157" s="88"/>
      <c r="G157" s="88"/>
      <c r="H157" s="88"/>
      <c r="I157" s="88"/>
      <c r="J157" s="41"/>
      <c r="O157" s="43"/>
      <c r="P157" s="43"/>
      <c r="Q157" s="43"/>
      <c r="R157" s="68"/>
    </row>
    <row r="158" spans="1:18" s="31" customFormat="1" ht="17.25" customHeight="1">
      <c r="A158" s="86" t="s">
        <v>68</v>
      </c>
      <c r="B158" s="87"/>
      <c r="C158" s="87"/>
      <c r="D158" s="87"/>
      <c r="E158" s="87"/>
      <c r="F158" s="88"/>
      <c r="G158" s="88"/>
      <c r="H158" s="88"/>
      <c r="I158" s="88"/>
      <c r="J158" s="41"/>
      <c r="O158" s="43"/>
      <c r="P158" s="43"/>
      <c r="Q158" s="43"/>
      <c r="R158" s="68"/>
    </row>
    <row r="159" spans="1:18" s="31" customFormat="1" ht="18">
      <c r="A159" s="86" t="s">
        <v>69</v>
      </c>
      <c r="B159" s="87"/>
      <c r="C159" s="87"/>
      <c r="D159" s="87"/>
      <c r="E159" s="87"/>
      <c r="F159" s="88"/>
      <c r="G159" s="88"/>
      <c r="H159" s="88"/>
      <c r="I159" s="88"/>
      <c r="J159" s="41"/>
      <c r="O159" s="43"/>
      <c r="P159" s="43"/>
      <c r="Q159" s="43"/>
      <c r="R159" s="68"/>
    </row>
    <row r="160" spans="1:18" s="31" customFormat="1" ht="15" customHeight="1">
      <c r="A160" s="86" t="s">
        <v>70</v>
      </c>
      <c r="B160" s="87"/>
      <c r="C160" s="87"/>
      <c r="D160" s="87"/>
      <c r="E160" s="87"/>
      <c r="F160" s="88"/>
      <c r="G160" s="88"/>
      <c r="H160" s="88"/>
      <c r="I160" s="88"/>
      <c r="J160" s="41"/>
      <c r="O160" s="43"/>
      <c r="P160" s="43"/>
      <c r="Q160" s="43"/>
      <c r="R160" s="68"/>
    </row>
    <row r="161" spans="1:18" s="31" customFormat="1" ht="15.75" customHeight="1">
      <c r="A161" s="86" t="s">
        <v>71</v>
      </c>
      <c r="B161" s="87"/>
      <c r="C161" s="87"/>
      <c r="D161" s="87"/>
      <c r="E161" s="87"/>
      <c r="F161" s="88"/>
      <c r="G161" s="88"/>
      <c r="H161" s="88"/>
      <c r="I161" s="88"/>
      <c r="J161" s="41"/>
      <c r="O161" s="43"/>
      <c r="P161" s="43"/>
      <c r="Q161" s="43"/>
      <c r="R161" s="68"/>
    </row>
    <row r="162" spans="1:18" s="31" customFormat="1" ht="18">
      <c r="A162" s="86" t="s">
        <v>72</v>
      </c>
      <c r="B162" s="87"/>
      <c r="C162" s="87"/>
      <c r="D162" s="87"/>
      <c r="E162" s="87"/>
      <c r="F162" s="88"/>
      <c r="G162" s="88"/>
      <c r="H162" s="88"/>
      <c r="I162" s="88"/>
      <c r="J162" s="41"/>
      <c r="O162" s="43"/>
      <c r="P162" s="43"/>
      <c r="Q162" s="43"/>
      <c r="R162" s="68"/>
    </row>
    <row r="163" spans="1:18" s="31" customFormat="1" ht="27" customHeight="1">
      <c r="A163" s="91" t="s">
        <v>73</v>
      </c>
      <c r="B163" s="87"/>
      <c r="C163" s="87"/>
      <c r="D163" s="87"/>
      <c r="E163" s="87"/>
      <c r="F163" s="88"/>
      <c r="G163" s="88"/>
      <c r="H163" s="88"/>
      <c r="I163" s="88"/>
      <c r="O163" s="43"/>
      <c r="P163" s="43"/>
      <c r="Q163" s="43"/>
      <c r="R163" s="68"/>
    </row>
    <row r="164" spans="1:18" s="31" customFormat="1" ht="36.75" customHeight="1">
      <c r="A164" s="91" t="s">
        <v>74</v>
      </c>
      <c r="B164" s="90"/>
      <c r="C164" s="90"/>
      <c r="D164" s="90"/>
      <c r="E164" s="90"/>
      <c r="F164" s="88"/>
      <c r="G164" s="88"/>
      <c r="H164" s="88"/>
      <c r="I164" s="88"/>
      <c r="O164" s="43"/>
      <c r="P164" s="43"/>
      <c r="Q164" s="43"/>
      <c r="R164" s="68"/>
    </row>
    <row r="165" spans="1:18" s="31" customFormat="1" ht="16.5">
      <c r="A165" s="91" t="s">
        <v>81</v>
      </c>
      <c r="B165" s="91"/>
      <c r="C165" s="91"/>
      <c r="D165" s="91"/>
      <c r="E165" s="91"/>
      <c r="F165" s="88"/>
      <c r="G165" s="88"/>
      <c r="H165" s="88"/>
      <c r="I165" s="88"/>
      <c r="O165" s="43"/>
      <c r="P165" s="43"/>
      <c r="Q165" s="43"/>
      <c r="R165" s="68"/>
    </row>
    <row r="166" spans="1:18" s="31" customFormat="1" ht="25.5" customHeight="1">
      <c r="A166" s="91" t="s">
        <v>80</v>
      </c>
      <c r="B166" s="91"/>
      <c r="C166" s="91"/>
      <c r="D166" s="91"/>
      <c r="E166" s="91"/>
      <c r="F166" s="88"/>
      <c r="G166" s="88"/>
      <c r="H166" s="88"/>
      <c r="I166" s="88"/>
      <c r="O166" s="43"/>
      <c r="P166" s="43"/>
      <c r="Q166" s="43"/>
      <c r="R166" s="68"/>
    </row>
    <row r="167" spans="2:18" s="28" customFormat="1" ht="12.75" customHeight="1">
      <c r="B167" s="66"/>
      <c r="C167" s="66"/>
      <c r="D167" s="66"/>
      <c r="E167" s="66"/>
      <c r="O167" s="27"/>
      <c r="P167" s="27"/>
      <c r="Q167" s="27"/>
      <c r="R167" s="68"/>
    </row>
    <row r="168" spans="1:18" s="28" customFormat="1" ht="13.5" customHeight="1">
      <c r="A168" s="92" t="s">
        <v>19</v>
      </c>
      <c r="B168" s="92"/>
      <c r="C168" s="92"/>
      <c r="D168" s="92"/>
      <c r="E168" s="92"/>
      <c r="F168" s="88"/>
      <c r="G168" s="88"/>
      <c r="H168" s="88"/>
      <c r="I168" s="88"/>
      <c r="O168" s="27"/>
      <c r="P168" s="27"/>
      <c r="Q168" s="27"/>
      <c r="R168" s="68"/>
    </row>
    <row r="169" spans="1:18" s="28" customFormat="1" ht="13.5" customHeight="1">
      <c r="A169" s="87" t="s">
        <v>18</v>
      </c>
      <c r="B169" s="87"/>
      <c r="C169" s="87"/>
      <c r="D169" s="88"/>
      <c r="E169" s="88"/>
      <c r="F169" s="88"/>
      <c r="G169" s="88"/>
      <c r="H169" s="88"/>
      <c r="I169" s="88"/>
      <c r="O169" s="27"/>
      <c r="P169" s="27"/>
      <c r="Q169" s="27"/>
      <c r="R169" s="68"/>
    </row>
    <row r="170" spans="1:18" s="28" customFormat="1" ht="24" customHeight="1">
      <c r="A170" s="86" t="s">
        <v>91</v>
      </c>
      <c r="B170" s="87"/>
      <c r="C170" s="87"/>
      <c r="D170" s="87"/>
      <c r="E170" s="87"/>
      <c r="F170" s="88"/>
      <c r="G170" s="88"/>
      <c r="H170" s="88"/>
      <c r="I170" s="88"/>
      <c r="O170" s="27"/>
      <c r="P170" s="27"/>
      <c r="Q170" s="27"/>
      <c r="R170" s="68"/>
    </row>
    <row r="171" spans="1:18" s="28" customFormat="1" ht="26.25" customHeight="1">
      <c r="A171" s="86" t="s">
        <v>92</v>
      </c>
      <c r="B171" s="87"/>
      <c r="C171" s="87"/>
      <c r="D171" s="87"/>
      <c r="E171" s="87"/>
      <c r="F171" s="88"/>
      <c r="G171" s="88"/>
      <c r="H171" s="88"/>
      <c r="I171" s="88"/>
      <c r="O171" s="27"/>
      <c r="P171" s="27"/>
      <c r="Q171" s="27"/>
      <c r="R171" s="68"/>
    </row>
    <row r="172" spans="1:18" s="28" customFormat="1" ht="16.5">
      <c r="A172" s="86" t="s">
        <v>88</v>
      </c>
      <c r="B172" s="87"/>
      <c r="C172" s="87"/>
      <c r="D172" s="87"/>
      <c r="E172" s="87"/>
      <c r="F172" s="88"/>
      <c r="G172" s="88"/>
      <c r="H172" s="88"/>
      <c r="I172" s="88"/>
      <c r="O172" s="27"/>
      <c r="P172" s="27"/>
      <c r="Q172" s="27"/>
      <c r="R172" s="68"/>
    </row>
    <row r="173" spans="1:18" s="28" customFormat="1" ht="16.5">
      <c r="A173" s="86" t="s">
        <v>83</v>
      </c>
      <c r="B173" s="87"/>
      <c r="C173" s="87"/>
      <c r="D173" s="87"/>
      <c r="E173" s="87"/>
      <c r="F173" s="88"/>
      <c r="G173" s="88"/>
      <c r="H173" s="88"/>
      <c r="I173" s="88"/>
      <c r="O173" s="27"/>
      <c r="P173" s="27"/>
      <c r="Q173" s="27"/>
      <c r="R173" s="68"/>
    </row>
    <row r="174" spans="1:18" s="28" customFormat="1" ht="16.5">
      <c r="A174" s="86" t="s">
        <v>75</v>
      </c>
      <c r="B174" s="87"/>
      <c r="C174" s="87"/>
      <c r="D174" s="87"/>
      <c r="E174" s="87"/>
      <c r="F174" s="88"/>
      <c r="G174" s="88"/>
      <c r="H174" s="88"/>
      <c r="I174" s="88"/>
      <c r="O174" s="27"/>
      <c r="P174" s="27"/>
      <c r="Q174" s="27"/>
      <c r="R174" s="68"/>
    </row>
    <row r="175" spans="1:18" s="28" customFormat="1" ht="16.5">
      <c r="A175" s="86" t="s">
        <v>98</v>
      </c>
      <c r="B175" s="87"/>
      <c r="C175" s="87"/>
      <c r="D175" s="87"/>
      <c r="E175" s="87"/>
      <c r="F175" s="88"/>
      <c r="G175" s="88"/>
      <c r="H175" s="88"/>
      <c r="I175" s="88"/>
      <c r="O175" s="27"/>
      <c r="P175" s="27"/>
      <c r="Q175" s="27"/>
      <c r="R175" s="68"/>
    </row>
    <row r="176" spans="1:18" s="28" customFormat="1" ht="16.5">
      <c r="A176" s="86" t="s">
        <v>97</v>
      </c>
      <c r="B176" s="87"/>
      <c r="C176" s="87"/>
      <c r="D176" s="87"/>
      <c r="E176" s="87"/>
      <c r="F176" s="88"/>
      <c r="G176" s="88"/>
      <c r="H176" s="88"/>
      <c r="I176" s="88"/>
      <c r="O176" s="27"/>
      <c r="P176" s="27"/>
      <c r="Q176" s="27"/>
      <c r="R176" s="68"/>
    </row>
    <row r="177" spans="1:18" s="28" customFormat="1" ht="16.5">
      <c r="A177" s="86" t="s">
        <v>96</v>
      </c>
      <c r="B177" s="87"/>
      <c r="C177" s="87"/>
      <c r="D177" s="87"/>
      <c r="E177" s="87"/>
      <c r="F177" s="88"/>
      <c r="G177" s="88"/>
      <c r="H177" s="88"/>
      <c r="I177" s="88"/>
      <c r="O177" s="27"/>
      <c r="P177" s="27"/>
      <c r="Q177" s="27"/>
      <c r="R177" s="68"/>
    </row>
    <row r="178" spans="1:18" s="28" customFormat="1" ht="16.5">
      <c r="A178" s="86" t="s">
        <v>95</v>
      </c>
      <c r="B178" s="87"/>
      <c r="C178" s="87"/>
      <c r="D178" s="87"/>
      <c r="E178" s="87"/>
      <c r="F178" s="88"/>
      <c r="G178" s="88"/>
      <c r="H178" s="88"/>
      <c r="I178" s="88"/>
      <c r="O178" s="27"/>
      <c r="P178" s="27"/>
      <c r="Q178" s="27"/>
      <c r="R178" s="68"/>
    </row>
    <row r="179" spans="1:18" s="28" customFormat="1" ht="16.5">
      <c r="A179" s="86" t="s">
        <v>94</v>
      </c>
      <c r="B179" s="87"/>
      <c r="C179" s="87"/>
      <c r="D179" s="87"/>
      <c r="E179" s="87"/>
      <c r="F179" s="88"/>
      <c r="G179" s="88"/>
      <c r="H179" s="88"/>
      <c r="I179" s="88"/>
      <c r="O179" s="27"/>
      <c r="P179" s="27"/>
      <c r="Q179" s="27"/>
      <c r="R179" s="68"/>
    </row>
    <row r="180" spans="1:18" s="28" customFormat="1" ht="16.5">
      <c r="A180" s="86" t="s">
        <v>84</v>
      </c>
      <c r="B180" s="86"/>
      <c r="C180" s="86"/>
      <c r="D180" s="86"/>
      <c r="E180" s="86"/>
      <c r="F180" s="88"/>
      <c r="G180" s="88"/>
      <c r="H180" s="88"/>
      <c r="I180" s="88"/>
      <c r="O180" s="27"/>
      <c r="P180" s="27"/>
      <c r="Q180" s="27"/>
      <c r="R180" s="68"/>
    </row>
    <row r="181" spans="1:18" s="28" customFormat="1" ht="16.5">
      <c r="A181" s="86" t="s">
        <v>93</v>
      </c>
      <c r="B181" s="86"/>
      <c r="C181" s="86"/>
      <c r="D181" s="86"/>
      <c r="E181" s="86"/>
      <c r="F181" s="88"/>
      <c r="G181" s="88"/>
      <c r="H181" s="88"/>
      <c r="I181" s="88"/>
      <c r="O181" s="27"/>
      <c r="P181" s="27"/>
      <c r="Q181" s="27"/>
      <c r="R181" s="68"/>
    </row>
    <row r="182" spans="1:18" s="28" customFormat="1" ht="16.5">
      <c r="A182" s="86" t="s">
        <v>85</v>
      </c>
      <c r="B182" s="86"/>
      <c r="C182" s="86"/>
      <c r="D182" s="86"/>
      <c r="E182" s="86"/>
      <c r="F182" s="88"/>
      <c r="G182" s="88"/>
      <c r="H182" s="88"/>
      <c r="I182" s="88"/>
      <c r="O182" s="27"/>
      <c r="P182" s="27"/>
      <c r="Q182" s="27"/>
      <c r="R182" s="68"/>
    </row>
    <row r="183" spans="1:18" s="28" customFormat="1" ht="16.5">
      <c r="A183" s="86" t="s">
        <v>86</v>
      </c>
      <c r="B183" s="86"/>
      <c r="C183" s="86"/>
      <c r="D183" s="86"/>
      <c r="E183" s="86"/>
      <c r="F183" s="88"/>
      <c r="G183" s="88"/>
      <c r="H183" s="88"/>
      <c r="I183" s="88"/>
      <c r="O183" s="27"/>
      <c r="P183" s="27"/>
      <c r="Q183" s="27"/>
      <c r="R183" s="68"/>
    </row>
    <row r="184" spans="1:18" s="28" customFormat="1" ht="15.75" customHeight="1">
      <c r="A184" s="86" t="s">
        <v>87</v>
      </c>
      <c r="B184" s="86"/>
      <c r="C184" s="86"/>
      <c r="D184" s="86"/>
      <c r="E184" s="86"/>
      <c r="F184" s="88"/>
      <c r="G184" s="88"/>
      <c r="H184" s="88"/>
      <c r="I184" s="88"/>
      <c r="O184" s="27"/>
      <c r="P184" s="27"/>
      <c r="Q184" s="27"/>
      <c r="R184" s="68"/>
    </row>
    <row r="185" spans="1:18" s="28" customFormat="1" ht="27" customHeight="1">
      <c r="A185" s="86" t="s">
        <v>90</v>
      </c>
      <c r="B185" s="86"/>
      <c r="C185" s="86"/>
      <c r="D185" s="86"/>
      <c r="E185" s="86"/>
      <c r="F185" s="88"/>
      <c r="G185" s="88"/>
      <c r="H185" s="88"/>
      <c r="I185" s="88"/>
      <c r="O185" s="27"/>
      <c r="P185" s="27"/>
      <c r="Q185" s="27"/>
      <c r="R185" s="68"/>
    </row>
    <row r="186" spans="1:18" s="28" customFormat="1" ht="15.75" customHeight="1">
      <c r="A186" s="86" t="s">
        <v>99</v>
      </c>
      <c r="B186" s="87"/>
      <c r="C186" s="87"/>
      <c r="D186" s="87"/>
      <c r="E186" s="87"/>
      <c r="F186" s="88"/>
      <c r="G186" s="88"/>
      <c r="H186" s="88"/>
      <c r="I186" s="88"/>
      <c r="O186" s="27"/>
      <c r="P186" s="27"/>
      <c r="Q186" s="27"/>
      <c r="R186" s="68"/>
    </row>
    <row r="187" spans="1:18" s="28" customFormat="1" ht="13.5" customHeight="1">
      <c r="A187" s="36"/>
      <c r="O187" s="27"/>
      <c r="P187" s="27"/>
      <c r="Q187" s="27"/>
      <c r="R187" s="68"/>
    </row>
    <row r="188" spans="15:18" s="28" customFormat="1" ht="13.5" customHeight="1">
      <c r="O188" s="27"/>
      <c r="P188" s="27"/>
      <c r="Q188" s="27"/>
      <c r="R188" s="68"/>
    </row>
    <row r="189" spans="15:18" s="28" customFormat="1" ht="13.5" customHeight="1">
      <c r="O189" s="27"/>
      <c r="P189" s="27"/>
      <c r="Q189" s="27"/>
      <c r="R189" s="68"/>
    </row>
    <row r="190" spans="15:18" s="28" customFormat="1" ht="13.5" customHeight="1">
      <c r="O190" s="27"/>
      <c r="P190" s="27"/>
      <c r="Q190" s="27"/>
      <c r="R190" s="68"/>
    </row>
    <row r="191" spans="15:18" s="28" customFormat="1" ht="13.5" customHeight="1">
      <c r="O191" s="27"/>
      <c r="P191" s="27"/>
      <c r="Q191" s="27"/>
      <c r="R191" s="68"/>
    </row>
    <row r="192" spans="1:2" ht="9.75" customHeight="1">
      <c r="A192" s="89"/>
      <c r="B192" s="89"/>
    </row>
    <row r="193" ht="9.75" customHeight="1"/>
    <row r="194" ht="16.5"/>
  </sheetData>
  <mergeCells count="35">
    <mergeCell ref="A186:I186"/>
    <mergeCell ref="A184:I184"/>
    <mergeCell ref="A183:I183"/>
    <mergeCell ref="A182:I182"/>
    <mergeCell ref="A178:I178"/>
    <mergeCell ref="A179:I179"/>
    <mergeCell ref="A180:I180"/>
    <mergeCell ref="A185:I185"/>
    <mergeCell ref="A181:I181"/>
    <mergeCell ref="A174:I174"/>
    <mergeCell ref="A175:I175"/>
    <mergeCell ref="A176:I176"/>
    <mergeCell ref="A177:I177"/>
    <mergeCell ref="A170:I170"/>
    <mergeCell ref="A171:I171"/>
    <mergeCell ref="A172:I172"/>
    <mergeCell ref="A173:I173"/>
    <mergeCell ref="A164:I164"/>
    <mergeCell ref="A165:I165"/>
    <mergeCell ref="A166:I166"/>
    <mergeCell ref="A168:I168"/>
    <mergeCell ref="A160:I160"/>
    <mergeCell ref="A161:I161"/>
    <mergeCell ref="A162:I162"/>
    <mergeCell ref="A163:I163"/>
    <mergeCell ref="A1:R1"/>
    <mergeCell ref="A153:J153"/>
    <mergeCell ref="A155:I155"/>
    <mergeCell ref="A192:B192"/>
    <mergeCell ref="A169:I169"/>
    <mergeCell ref="A154:E154"/>
    <mergeCell ref="A156:I156"/>
    <mergeCell ref="A157:I157"/>
    <mergeCell ref="A158:I158"/>
    <mergeCell ref="A159:I159"/>
  </mergeCells>
  <printOptions horizontalCentered="1"/>
  <pageMargins left="0.5" right="0.5" top="0.5" bottom="0.5" header="0.25" footer="0.25"/>
  <pageSetup fitToHeight="5" horizontalDpi="600" verticalDpi="600" orientation="landscape" scale="53" r:id="rId1"/>
  <rowBreaks count="4" manualBreakCount="4">
    <brk id="44" max="17" man="1"/>
    <brk id="72" max="17" man="1"/>
    <brk id="110" max="17" man="1"/>
    <brk id="156" max="17" man="1"/>
  </rowBreaks>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dominique.megret</cp:lastModifiedBy>
  <cp:lastPrinted>2007-12-27T15:22:36Z</cp:lastPrinted>
  <dcterms:created xsi:type="dcterms:W3CDTF">1980-01-01T05:00:00Z</dcterms:created>
  <dcterms:modified xsi:type="dcterms:W3CDTF">2007-12-27T16:43:03Z</dcterms:modified>
  <cp:category/>
  <cp:version/>
  <cp:contentType/>
  <cp:contentStatus/>
</cp:coreProperties>
</file>