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80" windowHeight="11640" activeTab="1"/>
  </bookViews>
  <sheets>
    <sheet name="TI Tracker" sheetId="1" r:id="rId1"/>
    <sheet name="RWA Input Sheet" sheetId="2" r:id="rId2"/>
    <sheet name="RWA Tracker" sheetId="3" r:id="rId3"/>
    <sheet name="Sliding Scale Calculation" sheetId="4" r:id="rId4"/>
  </sheets>
  <externalReferences>
    <externalReference r:id="rId7"/>
  </externalReferences>
  <definedNames>
    <definedName name="_xlnm.Print_Area" localSheetId="1">'RWA Input Sheet'!$A$1:$E$19</definedName>
    <definedName name="_xlnm.Print_Area" localSheetId="2">'RWA Tracker'!$A$1:$I$66</definedName>
    <definedName name="_xlnm.Print_Area" localSheetId="3">'Sliding Scale Calculation'!$A$1:$K$27</definedName>
    <definedName name="_xlnm.Print_Area" localSheetId="0">'TI Tracker'!$A$1:$E$59</definedName>
  </definedNames>
  <calcPr fullCalcOnLoad="1"/>
</workbook>
</file>

<file path=xl/comments1.xml><?xml version="1.0" encoding="utf-8"?>
<comments xmlns="http://schemas.openxmlformats.org/spreadsheetml/2006/main">
  <authors>
    <author>lhs</author>
  </authors>
  <commentList>
    <comment ref="D8" authorId="0">
      <text>
        <r>
          <rPr>
            <sz val="8"/>
            <rFont val="Tahoma"/>
            <family val="0"/>
          </rPr>
          <t xml:space="preserve">
If you incorporated a Unit Price List into the lease, check subcontractors' bids  to see if any adjustments are needed to various elements such as doors, outlets, etc.  Include any other negotiated adjustment in this column.  If a cost drops, enter it as a negative number.  </t>
        </r>
      </text>
    </comment>
    <comment ref="C33" authorId="0">
      <text>
        <r>
          <rPr>
            <sz val="8"/>
            <rFont val="Tahoma"/>
            <family val="0"/>
          </rPr>
          <t xml:space="preserve">
There are no formulas preset for this and the following columns since these fees may be based on a percentage or a flat fee.  Calculate based on how the lessor indicates the fees are based.
</t>
        </r>
      </text>
    </comment>
    <comment ref="C8" authorId="0">
      <text>
        <r>
          <rPr>
            <b/>
            <sz val="8"/>
            <rFont val="Tahoma"/>
            <family val="0"/>
          </rPr>
          <t xml:space="preserve">
</t>
        </r>
        <r>
          <rPr>
            <sz val="8"/>
            <rFont val="Tahoma"/>
            <family val="2"/>
          </rPr>
          <t>Populate this column with the lessor's TI proposal.</t>
        </r>
        <r>
          <rPr>
            <sz val="8"/>
            <rFont val="Tahoma"/>
            <family val="0"/>
          </rPr>
          <t xml:space="preserve">
</t>
        </r>
      </text>
    </comment>
    <comment ref="E45" authorId="0">
      <text>
        <r>
          <rPr>
            <b/>
            <sz val="8"/>
            <rFont val="Tahoma"/>
            <family val="0"/>
          </rPr>
          <t>This will populate from E6 above.</t>
        </r>
        <r>
          <rPr>
            <sz val="8"/>
            <rFont val="Tahoma"/>
            <family val="0"/>
          </rPr>
          <t xml:space="preserve">
</t>
        </r>
      </text>
    </comment>
    <comment ref="E46" authorId="0">
      <text>
        <r>
          <rPr>
            <b/>
            <sz val="8"/>
            <rFont val="Tahoma"/>
            <family val="0"/>
          </rPr>
          <t>This will populate with the value in E37 above.</t>
        </r>
        <r>
          <rPr>
            <sz val="8"/>
            <rFont val="Tahoma"/>
            <family val="0"/>
          </rPr>
          <t xml:space="preserve">
</t>
        </r>
      </text>
    </comment>
  </commentList>
</comments>
</file>

<file path=xl/comments2.xml><?xml version="1.0" encoding="utf-8"?>
<comments xmlns="http://schemas.openxmlformats.org/spreadsheetml/2006/main">
  <authors>
    <author>lhs</author>
  </authors>
  <commentList>
    <comment ref="B5" authorId="0">
      <text>
        <r>
          <rPr>
            <sz val="8"/>
            <rFont val="Tahoma"/>
            <family val="0"/>
          </rPr>
          <t xml:space="preserve">
ONCE AN RWA NUMBER HAS BEEN ASSIGNED, SEND TO THE AGENCY A COPY OF THE RWA WITH THE AGENCY'S AND GSA'S SIGNATURES AND RWA NUMBER.
</t>
        </r>
      </text>
    </comment>
    <comment ref="D12" authorId="0">
      <text>
        <r>
          <rPr>
            <sz val="8"/>
            <rFont val="Tahoma"/>
            <family val="0"/>
          </rPr>
          <t xml:space="preserve">
The ABOA sf, TI allowance, and TI costs are automatically populated from the TI Tracker sheet.
</t>
        </r>
      </text>
    </comment>
    <comment ref="E9" authorId="0">
      <text>
        <r>
          <rPr>
            <sz val="8"/>
            <rFont val="Tahoma"/>
            <family val="0"/>
          </rPr>
          <t xml:space="preserve">
We must always verify that we are using RWA funds intended for the project at hand.  Do not charge one RWA with expenses for another project.  Consult with regional budget and counsel offices prior to attempting to make RWA funds for one project available for another.
</t>
        </r>
      </text>
    </comment>
  </commentList>
</comments>
</file>

<file path=xl/comments3.xml><?xml version="1.0" encoding="utf-8"?>
<comments xmlns="http://schemas.openxmlformats.org/spreadsheetml/2006/main">
  <authors>
    <author>lhs</author>
  </authors>
  <commentList>
    <comment ref="C8" authorId="0">
      <text>
        <r>
          <rPr>
            <sz val="8"/>
            <rFont val="Tahoma"/>
            <family val="0"/>
          </rPr>
          <t xml:space="preserve">
ONCE AN RWA NUMBER HAS BEEN ASSIGNED, SEND TO THE AGENCY A COPY OF THE RWA WITH THE AGENCY'S AND GSA'S SIGNATURES AND RWA NUMBER.
</t>
        </r>
      </text>
    </comment>
    <comment ref="C9" authorId="0">
      <text>
        <r>
          <rPr>
            <sz val="8"/>
            <rFont val="Tahoma"/>
            <family val="0"/>
          </rPr>
          <t xml:space="preserve">
This is the date GSA signs the RWA.
</t>
        </r>
      </text>
    </comment>
    <comment ref="C11" authorId="0">
      <text>
        <r>
          <rPr>
            <sz val="8"/>
            <rFont val="Tahoma"/>
            <family val="0"/>
          </rPr>
          <t xml:space="preserve">
Some agencies use an internal number to track the RWA in their financial system.  If there is one, it will be on the RWA 
</t>
        </r>
      </text>
    </comment>
    <comment ref="I37" authorId="0">
      <text>
        <r>
          <rPr>
            <sz val="8"/>
            <rFont val="Tahoma"/>
            <family val="0"/>
          </rPr>
          <t xml:space="preserve">
These include items such as move costs, furniture, telephones, security, and IT.  
</t>
        </r>
      </text>
    </comment>
    <comment ref="H37" authorId="0">
      <text>
        <r>
          <rPr>
            <sz val="8"/>
            <rFont val="Tahoma"/>
            <family val="0"/>
          </rPr>
          <t xml:space="preserve">
State the document used to order from the lessor or vandor.</t>
        </r>
      </text>
    </comment>
    <comment ref="E37" authorId="0">
      <text>
        <r>
          <rPr>
            <sz val="8"/>
            <rFont val="Tahoma"/>
            <family val="0"/>
          </rPr>
          <t xml:space="preserve">
Input values using a minus sign so they will deduct from the balance.
</t>
        </r>
      </text>
    </comment>
    <comment ref="C13" authorId="0">
      <text>
        <r>
          <rPr>
            <sz val="8"/>
            <rFont val="Tahoma"/>
            <family val="0"/>
          </rPr>
          <t xml:space="preserve"> 
Because this section is locked to ensure embedded calculations are not revised, use the input sheet in the workbook to enter RWA amounts and the purpose of the RWA.
</t>
        </r>
      </text>
    </comment>
    <comment ref="C37" authorId="0">
      <text>
        <r>
          <rPr>
            <b/>
            <sz val="8"/>
            <rFont val="Tahoma"/>
            <family val="0"/>
          </rPr>
          <t xml:space="preserve">
</t>
        </r>
        <r>
          <rPr>
            <sz val="8"/>
            <rFont val="Tahoma"/>
            <family val="2"/>
          </rPr>
          <t>Obtain agency approval of the RWA expenditure before ordering from the lessor or vendor.</t>
        </r>
        <r>
          <rPr>
            <sz val="8"/>
            <rFont val="Tahoma"/>
            <family val="0"/>
          </rPr>
          <t xml:space="preserve">
</t>
        </r>
      </text>
    </comment>
    <comment ref="F37" authorId="0">
      <text>
        <r>
          <rPr>
            <sz val="8"/>
            <rFont val="Tahoma"/>
            <family val="0"/>
          </rPr>
          <t xml:space="preserve">
Input the amount being ordered into Pegasys and obtain the PDN Number.  You must input and obtain the PDN number prior to placing the order so that the financial obligation is recorded.  The responsibility for this input may vary from region to region.  
</t>
        </r>
      </text>
    </comment>
    <comment ref="C10" authorId="0">
      <text>
        <r>
          <rPr>
            <sz val="8"/>
            <rFont val="Tahoma"/>
            <family val="0"/>
          </rPr>
          <t xml:space="preserve">
Even though an agency may use the term no-year funds, they must provide the date by which the RWA funds expire, based on their budgetary authority.  This will usually be 5 years (current fiscal year plus 5) or 3 years.  
</t>
        </r>
      </text>
    </comment>
  </commentList>
</comments>
</file>

<file path=xl/sharedStrings.xml><?xml version="1.0" encoding="utf-8"?>
<sst xmlns="http://schemas.openxmlformats.org/spreadsheetml/2006/main" count="192" uniqueCount="151">
  <si>
    <t>RWA DATE ACCEPTED</t>
  </si>
  <si>
    <t>BALANCE AS OF LAST ENTRY</t>
  </si>
  <si>
    <t>GROSS RWA AMOUNT</t>
  </si>
  <si>
    <t>NET AVAILABLE RWA FUNDS</t>
  </si>
  <si>
    <t>USABLE SQUARE FEET</t>
  </si>
  <si>
    <t>TI per SF ALLOWANCE</t>
  </si>
  <si>
    <t>TOTAL ALLOWANCE</t>
  </si>
  <si>
    <t>EXCESS TI'S TO BE MADE UP BY RWA</t>
  </si>
  <si>
    <t>RWA NUMBER(s)</t>
  </si>
  <si>
    <t xml:space="preserve">PURPOSE OF RWA (s)              </t>
  </si>
  <si>
    <t>AMOUNTS OF THE RWA'S</t>
  </si>
  <si>
    <t>RWA #1</t>
  </si>
  <si>
    <t>RWA #2</t>
  </si>
  <si>
    <t>RWA #3</t>
  </si>
  <si>
    <t xml:space="preserve">IN THE LINES BELOW, INDICATE ITEMS ORDEREDFROM THE LESSOR AND DETAILS </t>
  </si>
  <si>
    <t>Agency Approval</t>
  </si>
  <si>
    <t>mm/dd/yyyyy</t>
  </si>
  <si>
    <t>totals</t>
  </si>
  <si>
    <t>Available Balance</t>
  </si>
  <si>
    <t>EXCESS TI'S</t>
  </si>
  <si>
    <t>PDN NUMBER</t>
  </si>
  <si>
    <t>DOCUMENTATION</t>
  </si>
  <si>
    <t>GSA SLIDING SCALE FEE</t>
  </si>
  <si>
    <t>Tenant Improvement Total Lump Sum</t>
  </si>
  <si>
    <t>RWA Total</t>
  </si>
  <si>
    <t>Tier Limit</t>
  </si>
  <si>
    <t>Fee %</t>
  </si>
  <si>
    <t>Fee</t>
  </si>
  <si>
    <t>Sub Tot</t>
  </si>
  <si>
    <t>Lump Sum Alteration</t>
  </si>
  <si>
    <t>=</t>
  </si>
  <si>
    <t>Input Fields</t>
  </si>
  <si>
    <t>RWA  # 3</t>
  </si>
  <si>
    <t>RWA  # 2</t>
  </si>
  <si>
    <t>RWA  # 1</t>
  </si>
  <si>
    <t>variable charges</t>
  </si>
  <si>
    <t>RWA NUMBER</t>
  </si>
  <si>
    <t>DATE RWA ACCEPTED</t>
  </si>
  <si>
    <t>COMMENTS AN ITEMS TO BE PURCHASED</t>
  </si>
  <si>
    <t>AMOUNT OF RWA</t>
  </si>
  <si>
    <t xml:space="preserve">RWA  #1 </t>
  </si>
  <si>
    <t>RWA  #2</t>
  </si>
  <si>
    <t xml:space="preserve">RWA  #3 </t>
  </si>
  <si>
    <t>Sliding scale  RWA  #1</t>
  </si>
  <si>
    <t>Sliding Scale  RWA  #2</t>
  </si>
  <si>
    <t>Sliding Scale RWA  #3</t>
  </si>
  <si>
    <t>PROJECT MANAGEMENT FEE</t>
  </si>
  <si>
    <t>RWA EXPIRATION DATE</t>
  </si>
  <si>
    <t>AGENCY'S RWA ID NO.</t>
  </si>
  <si>
    <t>Agency Approval date</t>
  </si>
  <si>
    <t>RWA Number Charged</t>
  </si>
  <si>
    <t>Amount Obligated</t>
  </si>
  <si>
    <t>DATE ORDERED FROM LESSOR OR VENDOR</t>
  </si>
  <si>
    <t>(If not ordered from Lessor, state name of vendor, e.g., Haworth.)</t>
  </si>
  <si>
    <t>N1234567</t>
  </si>
  <si>
    <t>N7654321</t>
  </si>
  <si>
    <t>N2468101</t>
  </si>
  <si>
    <t>PERSONAL ITEMS NOT SUBJECT TO 4% PM FEE</t>
  </si>
  <si>
    <t>UPS System</t>
  </si>
  <si>
    <t xml:space="preserve">(who and how) </t>
  </si>
  <si>
    <t>Arthur Approver via 3/15 email</t>
  </si>
  <si>
    <t>Lessor</t>
  </si>
  <si>
    <t>(SLA,  GSA Change Order, Form 49)</t>
  </si>
  <si>
    <t>SLA-1</t>
  </si>
  <si>
    <t>Lessor's Change Order 1</t>
  </si>
  <si>
    <t>20 Systems Furniture worksta.</t>
  </si>
  <si>
    <t>Arthur Approver via 2/15 email</t>
  </si>
  <si>
    <t>Arthur Approver via 4/15 email</t>
  </si>
  <si>
    <t>PJ7325986</t>
  </si>
  <si>
    <t>Herman Miller</t>
  </si>
  <si>
    <t>Form 49</t>
  </si>
  <si>
    <t xml:space="preserve">  25 lf Wall Type I</t>
  </si>
  <si>
    <t xml:space="preserve">  8 duplex wall outlets</t>
  </si>
  <si>
    <t xml:space="preserve">  2 telephone outlets</t>
  </si>
  <si>
    <t xml:space="preserve">  2 data outlets</t>
  </si>
  <si>
    <t xml:space="preserve">  1 view window with blinds</t>
  </si>
  <si>
    <t>Room 236 changes:</t>
  </si>
  <si>
    <t>Arthur Approver via 6/16 email</t>
  </si>
  <si>
    <t>SLA-2</t>
  </si>
  <si>
    <t>SLA-3</t>
  </si>
  <si>
    <t>RWA #1 -COMMENTS Excess Tenant Improvements for new lease in Anycity, AnyState</t>
  </si>
  <si>
    <t>RWA #2 - COMMENTS  UPS for new lease in Anycity, AnyState</t>
  </si>
  <si>
    <t>RWA #3 -COMMENTS  Systems furniture, move costs, telecom for new lease in Anycity, AnyState</t>
  </si>
  <si>
    <t>Add 2 duress alarms in RM 130</t>
  </si>
  <si>
    <t>Arthur Approver via 8/15 email</t>
  </si>
  <si>
    <t>Foundations</t>
  </si>
  <si>
    <t>Basement Construction</t>
  </si>
  <si>
    <t>Superstructure</t>
  </si>
  <si>
    <t>Exterior Walls</t>
  </si>
  <si>
    <t>Exterior Glazing and Doors</t>
  </si>
  <si>
    <t>Roofing</t>
  </si>
  <si>
    <t>Partitions, ,Doors and Specialties</t>
  </si>
  <si>
    <t>Access/Platforms</t>
  </si>
  <si>
    <t>Interior Finishes</t>
  </si>
  <si>
    <t>Conveyance Systems</t>
  </si>
  <si>
    <t>Plumbing</t>
  </si>
  <si>
    <t>HVAC</t>
  </si>
  <si>
    <t>Fire Protection/Alarm</t>
  </si>
  <si>
    <t>Electrical Service, Distribution &amp; Emergency Power</t>
  </si>
  <si>
    <t>Lighting and Branch Wiring</t>
  </si>
  <si>
    <t>Communications, Security &amp; Other Elec. Systems</t>
  </si>
  <si>
    <t>Equipment and Furnishings</t>
  </si>
  <si>
    <t>Special Construction</t>
  </si>
  <si>
    <t>Sitework - Building Relates</t>
  </si>
  <si>
    <t>Other Sitework - Project Related</t>
  </si>
  <si>
    <t>Subtotal</t>
  </si>
  <si>
    <t>Lessor's Overhead and Profit</t>
  </si>
  <si>
    <t>General Contractor Fee</t>
  </si>
  <si>
    <t>General Contractor Contingency</t>
  </si>
  <si>
    <t>Taxes (if not included on contractors' bids)</t>
  </si>
  <si>
    <t>Architect/Engineering Fee</t>
  </si>
  <si>
    <t>TI TOTAL</t>
  </si>
  <si>
    <t>Cost per ABOA SF</t>
  </si>
  <si>
    <t>*Include all subcontractors' soft costs</t>
  </si>
  <si>
    <t xml:space="preserve">Tenant Improvement  - UNIFORMAT SYSTEM ELEMENTS - </t>
  </si>
  <si>
    <t>TI*</t>
  </si>
  <si>
    <t>ABOA SF =</t>
  </si>
  <si>
    <t>AGENCY NAME</t>
  </si>
  <si>
    <t>TIA PER ABOA SF=</t>
  </si>
  <si>
    <t>LOCATION: CITY, STATE</t>
  </si>
  <si>
    <t>TOTAL TIA</t>
  </si>
  <si>
    <t>LESSOR'S INITIAL PRICE PROPOSAL FOR LEASE GS-XXX-XXXXX</t>
  </si>
  <si>
    <t>ADJUSTMENTS</t>
  </si>
  <si>
    <t>REVISED TI COSTS</t>
  </si>
  <si>
    <t>Lessor's TI Costs</t>
  </si>
  <si>
    <t>ABOA Square Feet</t>
  </si>
  <si>
    <t>TI Allowance per Square Foot</t>
  </si>
  <si>
    <t>LESSOR TI COST</t>
  </si>
  <si>
    <t>Description of work items</t>
  </si>
  <si>
    <t>PS7251970</t>
  </si>
  <si>
    <t>PS7258451</t>
  </si>
  <si>
    <t>PS7482291</t>
  </si>
  <si>
    <t>PS8511258</t>
  </si>
  <si>
    <t>ATTACHMENT 2 TO RSL 2007-05</t>
  </si>
  <si>
    <t>TI-RWA TRACKER</t>
  </si>
  <si>
    <t>RWA TRACKER</t>
  </si>
  <si>
    <t>Building Demolition and Abatement</t>
  </si>
  <si>
    <t xml:space="preserve">IF THE TI ALLOWANCE HAS NOT BEEN EXCEEDED, USE THE SPACE BELOW TO TRACK ANY CHANGES THAT RESULT IN INCREASED TI COSTS.  </t>
  </si>
  <si>
    <t>Items</t>
  </si>
  <si>
    <t>Cost</t>
  </si>
  <si>
    <t>Ordered Via Lessor Change Order No. or SLA</t>
  </si>
  <si>
    <t>Date</t>
  </si>
  <si>
    <t>Approved by (Customer Name)</t>
  </si>
  <si>
    <t>Sound Batting for Room 231</t>
  </si>
  <si>
    <t>mm/dd/yy</t>
  </si>
  <si>
    <t>Arthur Approver</t>
  </si>
  <si>
    <t>Lessor Change Order 3</t>
  </si>
  <si>
    <t>Available TI</t>
  </si>
  <si>
    <t>Ending TI Balance</t>
  </si>
  <si>
    <t>Initial TI Used</t>
  </si>
  <si>
    <t>Input the amount being ordered into Pegasys and obtain the PDN number.  You must input the and obtain the PDN number prior to placing the order so that the financial obligation is recorded.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</si>
</sst>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409]dddd\,\ mmmm\ dd\,\ yyyy"/>
    <numFmt numFmtId="167" formatCode="_(* #,##0.0_);_(* \(#,##0.0\);_(* &quot;-&quot;??_);_(@_)"/>
    <numFmt numFmtId="168" formatCode="_(* #,##0_);_(* \(#,##0\);_(* &quot;-&quot;??_);_(@_)"/>
  </numFmts>
  <fonts count="13">
    <font>
      <sz val="10"/>
      <name val="Arial"/>
      <family val="0"/>
    </font>
    <font>
      <b/>
      <i/>
      <sz val="10"/>
      <name val="Arial"/>
      <family val="0"/>
    </font>
    <font>
      <sz val="8"/>
      <name val="Arial"/>
      <family val="0"/>
    </font>
    <font>
      <b/>
      <sz val="10"/>
      <name val="Arial"/>
      <family val="2"/>
    </font>
    <font>
      <sz val="20"/>
      <name val="Arial"/>
      <family val="0"/>
    </font>
    <font>
      <u val="single"/>
      <sz val="10"/>
      <color indexed="36"/>
      <name val="Arial"/>
      <family val="0"/>
    </font>
    <font>
      <u val="single"/>
      <sz val="10"/>
      <color indexed="12"/>
      <name val="Arial"/>
      <family val="0"/>
    </font>
    <font>
      <sz val="8"/>
      <name val="Tahoma"/>
      <family val="0"/>
    </font>
    <font>
      <b/>
      <sz val="8"/>
      <name val="Tahoma"/>
      <family val="0"/>
    </font>
    <font>
      <b/>
      <sz val="8"/>
      <name val="Arial"/>
      <family val="2"/>
    </font>
    <font>
      <sz val="8"/>
      <name val="Arial MT"/>
      <family val="0"/>
    </font>
    <font>
      <b/>
      <sz val="8"/>
      <color indexed="10"/>
      <name val="Arial"/>
      <family val="2"/>
    </font>
    <font>
      <b/>
      <sz val="8"/>
      <name val="Arial MT"/>
      <family val="0"/>
    </font>
  </fonts>
  <fills count="7">
    <fill>
      <patternFill/>
    </fill>
    <fill>
      <patternFill patternType="gray125"/>
    </fill>
    <fill>
      <patternFill patternType="solid">
        <fgColor indexed="42"/>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s>
  <borders count="63">
    <border>
      <left/>
      <right/>
      <top/>
      <bottom/>
      <diagonal/>
    </border>
    <border>
      <left>
        <color indexed="63"/>
      </left>
      <right>
        <color indexed="63"/>
      </right>
      <top style="thin"/>
      <bottom style="thin"/>
    </border>
    <border>
      <left style="thin"/>
      <right style="thin"/>
      <top style="thin"/>
      <bottom style="thin"/>
    </border>
    <border>
      <left style="dashed"/>
      <right style="dashed"/>
      <top>
        <color indexed="63"/>
      </top>
      <bottom>
        <color indexed="63"/>
      </bottom>
    </border>
    <border>
      <left style="dashed"/>
      <right style="dashed"/>
      <top>
        <color indexed="63"/>
      </top>
      <bottom style="thick"/>
    </border>
    <border>
      <left style="dashed"/>
      <right style="dashed"/>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color indexed="63"/>
      </top>
      <bottom>
        <color indexed="63"/>
      </bottom>
    </border>
    <border>
      <left style="dotted"/>
      <right style="dotted"/>
      <top style="thin"/>
      <bottom>
        <color indexed="63"/>
      </bottom>
    </border>
    <border>
      <left>
        <color indexed="63"/>
      </left>
      <right>
        <color indexed="63"/>
      </right>
      <top style="thin"/>
      <bottom>
        <color indexed="63"/>
      </bottom>
    </border>
    <border>
      <left style="dotted"/>
      <right style="dotted"/>
      <top>
        <color indexed="63"/>
      </top>
      <bottom>
        <color indexed="63"/>
      </bottom>
    </border>
    <border>
      <left style="dotted"/>
      <right style="dotted"/>
      <top>
        <color indexed="63"/>
      </top>
      <bottom style="thick"/>
    </border>
    <border>
      <left style="dotted"/>
      <right style="thick"/>
      <top>
        <color indexed="63"/>
      </top>
      <bottom style="thick"/>
    </border>
    <border>
      <left style="dotted"/>
      <right style="dotted"/>
      <top>
        <color indexed="63"/>
      </top>
      <bottom style="hair"/>
    </border>
    <border>
      <left>
        <color indexed="63"/>
      </left>
      <right>
        <color indexed="63"/>
      </right>
      <top>
        <color indexed="63"/>
      </top>
      <bottom style="hair"/>
    </border>
    <border>
      <left>
        <color indexed="63"/>
      </left>
      <right>
        <color indexed="63"/>
      </right>
      <top style="dotted"/>
      <bottom style="hair"/>
    </border>
    <border>
      <left style="dotted"/>
      <right style="dotted"/>
      <top style="thick"/>
      <bottom style="dashed"/>
    </border>
    <border>
      <left style="dotted"/>
      <right style="dotted"/>
      <top style="dotted"/>
      <bottom style="hair"/>
    </border>
    <border>
      <left style="dotted"/>
      <right style="dotted"/>
      <top style="dashed"/>
      <bottom style="hair"/>
    </border>
    <border>
      <left style="dotted"/>
      <right style="dotted"/>
      <top style="hair"/>
      <bottom style="hair"/>
    </border>
    <border>
      <left>
        <color indexed="63"/>
      </left>
      <right>
        <color indexed="63"/>
      </right>
      <top style="hair"/>
      <bottom style="hair"/>
    </border>
    <border>
      <left style="dotted"/>
      <right style="dotted"/>
      <top>
        <color indexed="63"/>
      </top>
      <bottom style="medium"/>
    </border>
    <border>
      <left style="dotted"/>
      <right style="dotted"/>
      <top style="hair"/>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double"/>
      <right style="double"/>
      <top style="double"/>
      <bottom style="double"/>
    </border>
    <border>
      <left style="thick"/>
      <right>
        <color indexed="63"/>
      </right>
      <top style="thick"/>
      <bottom style="thick"/>
    </border>
    <border>
      <left>
        <color indexed="63"/>
      </left>
      <right>
        <color indexed="63"/>
      </right>
      <top style="thick"/>
      <bottom style="thick"/>
    </border>
    <border>
      <left style="thick"/>
      <right style="thick"/>
      <top style="thick"/>
      <bottom style="thick"/>
    </border>
    <border>
      <left>
        <color indexed="63"/>
      </left>
      <right>
        <color indexed="63"/>
      </right>
      <top>
        <color indexed="63"/>
      </top>
      <bottom style="medium"/>
    </border>
    <border>
      <left>
        <color indexed="63"/>
      </left>
      <right style="thick"/>
      <top style="thick"/>
      <bottom>
        <color indexed="63"/>
      </bottom>
    </border>
    <border>
      <left style="double"/>
      <right style="double"/>
      <top style="double"/>
      <bottom>
        <color indexed="63"/>
      </bottom>
    </border>
    <border>
      <left style="double"/>
      <right style="double"/>
      <top>
        <color indexed="63"/>
      </top>
      <bottom style="double"/>
    </border>
    <border>
      <left style="medium"/>
      <right>
        <color indexed="63"/>
      </right>
      <top style="medium"/>
      <bottom style="medium"/>
    </border>
    <border>
      <left>
        <color indexed="63"/>
      </left>
      <right style="thin"/>
      <top style="medium"/>
      <bottom style="medium">
        <color indexed="8"/>
      </bottom>
    </border>
    <border>
      <left>
        <color indexed="63"/>
      </left>
      <right style="thin"/>
      <top style="medium"/>
      <bottom style="medium"/>
    </border>
    <border>
      <left>
        <color indexed="63"/>
      </left>
      <right style="medium"/>
      <top style="medium">
        <color indexed="8"/>
      </top>
      <bottom style="mediu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dotted"/>
      <right style="thick"/>
      <top style="thin"/>
      <bottom>
        <color indexed="63"/>
      </bottom>
    </border>
    <border>
      <left style="dotted"/>
      <right style="thick"/>
      <top>
        <color indexed="63"/>
      </top>
      <bottom>
        <color indexed="63"/>
      </bottom>
    </border>
    <border>
      <left style="thin"/>
      <right>
        <color indexed="63"/>
      </right>
      <top>
        <color indexed="63"/>
      </top>
      <bottom>
        <color indexed="63"/>
      </bottom>
    </border>
    <border>
      <left style="double"/>
      <right>
        <color indexed="63"/>
      </right>
      <top>
        <color indexed="63"/>
      </top>
      <bottom style="hair"/>
    </border>
    <border>
      <left>
        <color indexed="63"/>
      </left>
      <right style="double"/>
      <top>
        <color indexed="63"/>
      </top>
      <bottom style="hair"/>
    </border>
    <border>
      <left style="double"/>
      <right>
        <color indexed="63"/>
      </right>
      <top style="hair"/>
      <bottom style="double"/>
    </border>
    <border>
      <left>
        <color indexed="63"/>
      </left>
      <right>
        <color indexed="63"/>
      </right>
      <top style="hair"/>
      <bottom style="double"/>
    </border>
    <border>
      <left>
        <color indexed="63"/>
      </left>
      <right style="double"/>
      <top style="hair"/>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61">
    <xf numFmtId="0" fontId="0" fillId="0" borderId="0" xfId="0" applyAlignment="1">
      <alignment/>
    </xf>
    <xf numFmtId="0" fontId="0" fillId="0" borderId="1" xfId="0" applyBorder="1" applyAlignment="1">
      <alignment/>
    </xf>
    <xf numFmtId="0" fontId="0" fillId="0" borderId="0" xfId="0" applyBorder="1" applyAlignment="1">
      <alignment/>
    </xf>
    <xf numFmtId="164" fontId="0" fillId="0" borderId="0" xfId="0" applyNumberFormat="1" applyAlignment="1">
      <alignment/>
    </xf>
    <xf numFmtId="164" fontId="0" fillId="0" borderId="2" xfId="0" applyNumberFormat="1" applyBorder="1" applyAlignment="1">
      <alignment/>
    </xf>
    <xf numFmtId="164" fontId="0" fillId="0" borderId="0" xfId="0" applyNumberFormat="1" applyBorder="1" applyAlignment="1">
      <alignment/>
    </xf>
    <xf numFmtId="0" fontId="0" fillId="0" borderId="0" xfId="0" applyAlignment="1">
      <alignment horizontal="center"/>
    </xf>
    <xf numFmtId="3" fontId="0" fillId="0" borderId="0" xfId="0" applyNumberFormat="1" applyAlignment="1">
      <alignment/>
    </xf>
    <xf numFmtId="0" fontId="0" fillId="0" borderId="0" xfId="0" applyAlignment="1">
      <alignment horizontal="right"/>
    </xf>
    <xf numFmtId="44" fontId="0" fillId="0" borderId="0" xfId="0" applyNumberFormat="1" applyAlignment="1">
      <alignment/>
    </xf>
    <xf numFmtId="0" fontId="3" fillId="0" borderId="0" xfId="0" applyFont="1" applyAlignment="1">
      <alignment horizontal="left"/>
    </xf>
    <xf numFmtId="0" fontId="3" fillId="0" borderId="0" xfId="0" applyFont="1" applyAlignment="1">
      <alignment/>
    </xf>
    <xf numFmtId="44" fontId="3" fillId="0" borderId="0" xfId="0" applyNumberFormat="1" applyFont="1" applyAlignment="1">
      <alignment/>
    </xf>
    <xf numFmtId="0" fontId="0" fillId="2" borderId="0" xfId="0" applyFill="1" applyAlignment="1">
      <alignment/>
    </xf>
    <xf numFmtId="0" fontId="0" fillId="0" borderId="3" xfId="0" applyBorder="1" applyAlignment="1">
      <alignment/>
    </xf>
    <xf numFmtId="0" fontId="0" fillId="0" borderId="3" xfId="0" applyBorder="1" applyAlignment="1">
      <alignment vertical="center"/>
    </xf>
    <xf numFmtId="14" fontId="0" fillId="0" borderId="3" xfId="0" applyNumberFormat="1" applyBorder="1" applyAlignment="1">
      <alignment/>
    </xf>
    <xf numFmtId="0" fontId="0" fillId="0" borderId="4" xfId="0" applyBorder="1" applyAlignment="1">
      <alignment/>
    </xf>
    <xf numFmtId="0" fontId="0" fillId="0" borderId="5" xfId="0" applyBorder="1" applyAlignment="1">
      <alignment vertical="center"/>
    </xf>
    <xf numFmtId="14" fontId="0" fillId="0" borderId="5" xfId="0" applyNumberFormat="1" applyBorder="1" applyAlignment="1">
      <alignment vertical="center"/>
    </xf>
    <xf numFmtId="0" fontId="0" fillId="0" borderId="5" xfId="0" applyBorder="1" applyAlignment="1">
      <alignment vertical="top" wrapText="1"/>
    </xf>
    <xf numFmtId="0" fontId="0" fillId="0" borderId="6" xfId="0" applyBorder="1" applyAlignment="1">
      <alignment/>
    </xf>
    <xf numFmtId="164" fontId="0" fillId="0" borderId="5" xfId="0" applyNumberFormat="1" applyBorder="1" applyAlignment="1">
      <alignment vertical="center"/>
    </xf>
    <xf numFmtId="164" fontId="0" fillId="0" borderId="3" xfId="0" applyNumberFormat="1" applyBorder="1" applyAlignment="1">
      <alignment/>
    </xf>
    <xf numFmtId="44" fontId="0" fillId="2" borderId="0" xfId="17" applyFill="1" applyAlignment="1">
      <alignment/>
    </xf>
    <xf numFmtId="165" fontId="0" fillId="0" borderId="0" xfId="21" applyNumberFormat="1" applyFont="1" applyAlignment="1">
      <alignment/>
    </xf>
    <xf numFmtId="44" fontId="0" fillId="0" borderId="0" xfId="17" applyAlignment="1">
      <alignment/>
    </xf>
    <xf numFmtId="165" fontId="0" fillId="0" borderId="0" xfId="21" applyNumberFormat="1" applyAlignment="1">
      <alignment/>
    </xf>
    <xf numFmtId="0" fontId="0" fillId="0" borderId="0" xfId="0" applyAlignment="1" applyProtection="1">
      <alignment/>
      <protection locked="0"/>
    </xf>
    <xf numFmtId="8" fontId="0" fillId="0" borderId="0" xfId="0" applyNumberFormat="1" applyAlignment="1" applyProtection="1">
      <alignment/>
      <protection locked="0"/>
    </xf>
    <xf numFmtId="8" fontId="0" fillId="0" borderId="0" xfId="0" applyNumberFormat="1" applyBorder="1" applyAlignment="1" applyProtection="1">
      <alignment/>
      <protection locked="0"/>
    </xf>
    <xf numFmtId="8" fontId="0" fillId="0" borderId="7" xfId="0" applyNumberFormat="1" applyBorder="1" applyAlignment="1" applyProtection="1">
      <alignment/>
      <protection locked="0"/>
    </xf>
    <xf numFmtId="8" fontId="0" fillId="0" borderId="8" xfId="0" applyNumberFormat="1" applyBorder="1" applyAlignment="1" applyProtection="1">
      <alignment/>
      <protection locked="0"/>
    </xf>
    <xf numFmtId="8" fontId="0" fillId="0" borderId="9" xfId="0" applyNumberFormat="1" applyBorder="1" applyAlignment="1" applyProtection="1">
      <alignment/>
      <protection locked="0"/>
    </xf>
    <xf numFmtId="8" fontId="0" fillId="0" borderId="10" xfId="0" applyNumberFormat="1" applyBorder="1" applyAlignment="1" applyProtection="1">
      <alignment/>
      <protection locked="0"/>
    </xf>
    <xf numFmtId="8" fontId="0" fillId="0" borderId="11" xfId="0" applyNumberFormat="1" applyBorder="1" applyAlignment="1" applyProtection="1">
      <alignment horizontal="center" wrapText="1"/>
      <protection locked="0"/>
    </xf>
    <xf numFmtId="8" fontId="0" fillId="0" borderId="10" xfId="0" applyNumberFormat="1" applyBorder="1" applyAlignment="1" applyProtection="1">
      <alignment horizontal="center"/>
      <protection locked="0"/>
    </xf>
    <xf numFmtId="8" fontId="0" fillId="0" borderId="10" xfId="0" applyNumberFormat="1" applyBorder="1" applyAlignment="1" applyProtection="1">
      <alignment horizontal="center" wrapText="1"/>
      <protection locked="0"/>
    </xf>
    <xf numFmtId="8" fontId="0" fillId="0" borderId="11" xfId="0" applyNumberFormat="1" applyBorder="1" applyAlignment="1" applyProtection="1">
      <alignment horizontal="center"/>
      <protection locked="0"/>
    </xf>
    <xf numFmtId="8" fontId="0" fillId="0" borderId="12" xfId="0" applyNumberFormat="1" applyBorder="1" applyAlignment="1" applyProtection="1">
      <alignment/>
      <protection locked="0"/>
    </xf>
    <xf numFmtId="8" fontId="0" fillId="0" borderId="12" xfId="0" applyNumberFormat="1" applyBorder="1" applyAlignment="1" applyProtection="1">
      <alignment horizontal="center"/>
      <protection locked="0"/>
    </xf>
    <xf numFmtId="8" fontId="0" fillId="0" borderId="13" xfId="0" applyNumberFormat="1" applyBorder="1" applyAlignment="1" applyProtection="1">
      <alignment/>
      <protection locked="0"/>
    </xf>
    <xf numFmtId="8" fontId="0" fillId="0" borderId="14" xfId="0" applyNumberFormat="1" applyBorder="1" applyAlignment="1" applyProtection="1">
      <alignment/>
      <protection locked="0"/>
    </xf>
    <xf numFmtId="8" fontId="0" fillId="0" borderId="15" xfId="0" applyNumberFormat="1" applyBorder="1" applyAlignment="1" applyProtection="1">
      <alignment/>
      <protection locked="0"/>
    </xf>
    <xf numFmtId="14" fontId="0" fillId="0" borderId="16" xfId="0" applyNumberFormat="1" applyBorder="1" applyAlignment="1" applyProtection="1">
      <alignment horizontal="center"/>
      <protection locked="0"/>
    </xf>
    <xf numFmtId="8" fontId="0" fillId="0" borderId="17" xfId="0" applyNumberFormat="1" applyBorder="1" applyAlignment="1" applyProtection="1">
      <alignment/>
      <protection locked="0"/>
    </xf>
    <xf numFmtId="8" fontId="0" fillId="0" borderId="16" xfId="0" applyNumberFormat="1" applyBorder="1" applyAlignment="1" applyProtection="1">
      <alignment horizontal="center"/>
      <protection locked="0"/>
    </xf>
    <xf numFmtId="8" fontId="0" fillId="0" borderId="18" xfId="0" applyNumberFormat="1" applyBorder="1" applyAlignment="1" applyProtection="1">
      <alignment/>
      <protection locked="0"/>
    </xf>
    <xf numFmtId="8" fontId="0" fillId="0" borderId="19" xfId="0" applyNumberFormat="1" applyBorder="1" applyAlignment="1" applyProtection="1">
      <alignment/>
      <protection locked="0"/>
    </xf>
    <xf numFmtId="14" fontId="0" fillId="0" borderId="17" xfId="0" applyNumberFormat="1" applyBorder="1" applyAlignment="1" applyProtection="1">
      <alignment horizontal="center"/>
      <protection locked="0"/>
    </xf>
    <xf numFmtId="8" fontId="0" fillId="0" borderId="17" xfId="0" applyNumberFormat="1" applyBorder="1" applyAlignment="1" applyProtection="1">
      <alignment horizontal="center"/>
      <protection locked="0"/>
    </xf>
    <xf numFmtId="8" fontId="0" fillId="0" borderId="20" xfId="0" applyNumberFormat="1" applyBorder="1" applyAlignment="1" applyProtection="1">
      <alignment/>
      <protection locked="0"/>
    </xf>
    <xf numFmtId="8" fontId="0" fillId="0" borderId="21" xfId="0" applyNumberFormat="1" applyBorder="1" applyAlignment="1" applyProtection="1">
      <alignment/>
      <protection locked="0"/>
    </xf>
    <xf numFmtId="14" fontId="0" fillId="0" borderId="21" xfId="0" applyNumberFormat="1" applyBorder="1" applyAlignment="1" applyProtection="1">
      <alignment horizontal="center"/>
      <protection locked="0"/>
    </xf>
    <xf numFmtId="8" fontId="0" fillId="0" borderId="21" xfId="0" applyNumberFormat="1" applyBorder="1" applyAlignment="1" applyProtection="1">
      <alignment horizontal="center"/>
      <protection locked="0"/>
    </xf>
    <xf numFmtId="14" fontId="0" fillId="0" borderId="22" xfId="0" applyNumberFormat="1" applyBorder="1" applyAlignment="1" applyProtection="1">
      <alignment horizontal="center"/>
      <protection locked="0"/>
    </xf>
    <xf numFmtId="8" fontId="0" fillId="0" borderId="22" xfId="0" applyNumberFormat="1" applyBorder="1" applyAlignment="1" applyProtection="1">
      <alignment/>
      <protection locked="0"/>
    </xf>
    <xf numFmtId="8" fontId="0" fillId="0" borderId="22" xfId="0" applyNumberFormat="1" applyBorder="1" applyAlignment="1" applyProtection="1">
      <alignment horizontal="center"/>
      <protection locked="0"/>
    </xf>
    <xf numFmtId="8" fontId="0" fillId="0" borderId="23" xfId="0" applyNumberFormat="1" applyBorder="1" applyAlignment="1" applyProtection="1">
      <alignment/>
      <protection locked="0"/>
    </xf>
    <xf numFmtId="8" fontId="0" fillId="0" borderId="0" xfId="0" applyNumberFormat="1" applyAlignment="1" applyProtection="1">
      <alignment horizontal="center"/>
      <protection locked="0"/>
    </xf>
    <xf numFmtId="8" fontId="0" fillId="0" borderId="24" xfId="0" applyNumberFormat="1" applyBorder="1" applyAlignment="1" applyProtection="1">
      <alignment/>
      <protection locked="0"/>
    </xf>
    <xf numFmtId="8" fontId="0" fillId="0" borderId="25" xfId="0" applyNumberFormat="1" applyBorder="1" applyAlignment="1" applyProtection="1">
      <alignment/>
      <protection locked="0"/>
    </xf>
    <xf numFmtId="8" fontId="0" fillId="0" borderId="26" xfId="0" applyNumberFormat="1" applyBorder="1" applyAlignment="1" applyProtection="1">
      <alignment/>
      <protection locked="0"/>
    </xf>
    <xf numFmtId="8" fontId="0" fillId="0" borderId="27" xfId="0" applyNumberFormat="1" applyBorder="1" applyAlignment="1" applyProtection="1">
      <alignment/>
      <protection locked="0"/>
    </xf>
    <xf numFmtId="0" fontId="0" fillId="0" borderId="0" xfId="0" applyAlignment="1" applyProtection="1">
      <alignment/>
      <protection/>
    </xf>
    <xf numFmtId="0" fontId="1" fillId="0" borderId="0" xfId="0" applyFont="1" applyAlignment="1" applyProtection="1">
      <alignment/>
      <protection/>
    </xf>
    <xf numFmtId="0" fontId="0" fillId="0" borderId="28" xfId="0" applyBorder="1" applyAlignment="1" applyProtection="1">
      <alignment horizontal="center" vertical="center"/>
      <protection/>
    </xf>
    <xf numFmtId="0" fontId="0" fillId="0" borderId="28" xfId="0" applyBorder="1" applyAlignment="1" applyProtection="1">
      <alignment horizontal="center"/>
      <protection/>
    </xf>
    <xf numFmtId="0" fontId="0" fillId="0" borderId="0" xfId="0" applyBorder="1" applyAlignment="1" applyProtection="1">
      <alignment/>
      <protection/>
    </xf>
    <xf numFmtId="0" fontId="1" fillId="0" borderId="0" xfId="0" applyFont="1" applyAlignment="1" applyProtection="1">
      <alignment vertical="top"/>
      <protection/>
    </xf>
    <xf numFmtId="8" fontId="3" fillId="0" borderId="0" xfId="0" applyNumberFormat="1" applyFont="1" applyAlignment="1" applyProtection="1">
      <alignment/>
      <protection/>
    </xf>
    <xf numFmtId="8" fontId="0" fillId="0" borderId="0" xfId="0" applyNumberFormat="1" applyAlignment="1" applyProtection="1">
      <alignment/>
      <protection/>
    </xf>
    <xf numFmtId="164" fontId="0" fillId="0" borderId="28" xfId="0" applyNumberFormat="1" applyBorder="1" applyAlignment="1" applyProtection="1">
      <alignment/>
      <protection/>
    </xf>
    <xf numFmtId="164" fontId="0" fillId="0" borderId="0" xfId="0" applyNumberFormat="1" applyAlignment="1" applyProtection="1">
      <alignment/>
      <protection/>
    </xf>
    <xf numFmtId="8" fontId="1" fillId="0" borderId="29" xfId="0" applyNumberFormat="1" applyFont="1" applyBorder="1" applyAlignment="1" applyProtection="1">
      <alignment/>
      <protection/>
    </xf>
    <xf numFmtId="8" fontId="0" fillId="0" borderId="30" xfId="0" applyNumberFormat="1" applyBorder="1" applyAlignment="1" applyProtection="1">
      <alignment/>
      <protection/>
    </xf>
    <xf numFmtId="8" fontId="0" fillId="0" borderId="31" xfId="0" applyNumberFormat="1" applyBorder="1" applyAlignment="1" applyProtection="1">
      <alignment/>
      <protection/>
    </xf>
    <xf numFmtId="8" fontId="0" fillId="0" borderId="0" xfId="0" applyNumberFormat="1" applyBorder="1" applyAlignment="1" applyProtection="1">
      <alignment/>
      <protection/>
    </xf>
    <xf numFmtId="8" fontId="0" fillId="0" borderId="32" xfId="0" applyNumberFormat="1" applyBorder="1" applyAlignment="1" applyProtection="1">
      <alignment/>
      <protection/>
    </xf>
    <xf numFmtId="8" fontId="0" fillId="0" borderId="7" xfId="0" applyNumberFormat="1" applyBorder="1" applyAlignment="1" applyProtection="1">
      <alignment/>
      <protection/>
    </xf>
    <xf numFmtId="8" fontId="0" fillId="0" borderId="1" xfId="0" applyNumberFormat="1" applyBorder="1" applyAlignment="1" applyProtection="1">
      <alignment/>
      <protection/>
    </xf>
    <xf numFmtId="8" fontId="1" fillId="0" borderId="0" xfId="0" applyNumberFormat="1" applyFont="1" applyAlignment="1" applyProtection="1">
      <alignment/>
      <protection/>
    </xf>
    <xf numFmtId="8" fontId="0" fillId="0" borderId="2" xfId="0" applyNumberFormat="1" applyBorder="1" applyAlignment="1" applyProtection="1">
      <alignment/>
      <protection/>
    </xf>
    <xf numFmtId="40" fontId="0" fillId="0" borderId="28" xfId="0" applyNumberFormat="1" applyBorder="1" applyAlignment="1" applyProtection="1">
      <alignment/>
      <protection/>
    </xf>
    <xf numFmtId="8" fontId="0" fillId="0" borderId="28" xfId="0" applyNumberFormat="1" applyBorder="1" applyAlignment="1" applyProtection="1">
      <alignment/>
      <protection/>
    </xf>
    <xf numFmtId="8" fontId="0" fillId="0" borderId="8" xfId="0" applyNumberFormat="1" applyBorder="1" applyAlignment="1" applyProtection="1">
      <alignment/>
      <protection/>
    </xf>
    <xf numFmtId="8" fontId="0" fillId="0" borderId="33" xfId="0" applyNumberFormat="1" applyBorder="1" applyAlignment="1" applyProtection="1">
      <alignment/>
      <protection/>
    </xf>
    <xf numFmtId="168" fontId="0" fillId="0" borderId="2" xfId="15" applyNumberFormat="1" applyBorder="1" applyAlignment="1">
      <alignment/>
    </xf>
    <xf numFmtId="14" fontId="0" fillId="0" borderId="34" xfId="0" applyNumberFormat="1" applyBorder="1" applyAlignment="1" applyProtection="1">
      <alignment horizontal="center"/>
      <protection/>
    </xf>
    <xf numFmtId="14" fontId="0" fillId="0" borderId="35" xfId="0" applyNumberFormat="1" applyBorder="1" applyAlignment="1" applyProtection="1">
      <alignment horizontal="center"/>
      <protection/>
    </xf>
    <xf numFmtId="14" fontId="0" fillId="0" borderId="27" xfId="0" applyNumberFormat="1" applyBorder="1" applyAlignment="1" applyProtection="1">
      <alignment horizontal="center"/>
      <protection locked="0"/>
    </xf>
    <xf numFmtId="0" fontId="9" fillId="3" borderId="36" xfId="0" applyFont="1" applyFill="1" applyBorder="1" applyAlignment="1" applyProtection="1">
      <alignment horizontal="left"/>
      <protection locked="0"/>
    </xf>
    <xf numFmtId="0" fontId="10" fillId="3" borderId="25" xfId="0" applyFont="1" applyFill="1" applyBorder="1" applyAlignment="1">
      <alignment/>
    </xf>
    <xf numFmtId="0" fontId="9" fillId="3" borderId="25" xfId="0" applyFont="1" applyFill="1" applyBorder="1" applyAlignment="1" applyProtection="1">
      <alignment horizontal="left"/>
      <protection locked="0"/>
    </xf>
    <xf numFmtId="0" fontId="9" fillId="3" borderId="25" xfId="0" applyFont="1" applyFill="1" applyBorder="1" applyAlignment="1" applyProtection="1">
      <alignment horizontal="right" wrapText="1"/>
      <protection locked="0"/>
    </xf>
    <xf numFmtId="37" fontId="9" fillId="3" borderId="27" xfId="17" applyNumberFormat="1" applyFont="1" applyFill="1" applyBorder="1" applyAlignment="1" applyProtection="1">
      <alignment/>
      <protection locked="0"/>
    </xf>
    <xf numFmtId="0" fontId="2" fillId="0" borderId="0" xfId="0" applyFont="1" applyAlignment="1">
      <alignment/>
    </xf>
    <xf numFmtId="0" fontId="11" fillId="0" borderId="37" xfId="0" applyFont="1" applyFill="1" applyBorder="1" applyAlignment="1" applyProtection="1">
      <alignment horizontal="left"/>
      <protection locked="0"/>
    </xf>
    <xf numFmtId="0" fontId="12" fillId="0" borderId="0" xfId="0" applyFont="1" applyBorder="1" applyAlignment="1">
      <alignment/>
    </xf>
    <xf numFmtId="0" fontId="9" fillId="0" borderId="38" xfId="0" applyFont="1" applyFill="1" applyBorder="1" applyAlignment="1" applyProtection="1">
      <alignment horizontal="right"/>
      <protection locked="0"/>
    </xf>
    <xf numFmtId="44" fontId="9" fillId="0" borderId="26" xfId="17" applyFont="1" applyFill="1" applyBorder="1" applyAlignment="1" applyProtection="1">
      <alignment/>
      <protection locked="0"/>
    </xf>
    <xf numFmtId="0" fontId="11" fillId="0" borderId="39" xfId="0" applyFont="1" applyFill="1" applyBorder="1" applyAlignment="1" applyProtection="1">
      <alignment horizontal="left"/>
      <protection locked="0"/>
    </xf>
    <xf numFmtId="0" fontId="9" fillId="3" borderId="40" xfId="0" applyFont="1" applyFill="1" applyBorder="1" applyAlignment="1" applyProtection="1">
      <alignment horizontal="center" vertical="center" wrapText="1"/>
      <protection locked="0"/>
    </xf>
    <xf numFmtId="0" fontId="9" fillId="3" borderId="27" xfId="0" applyFont="1" applyFill="1" applyBorder="1" applyAlignment="1">
      <alignment horizontal="center"/>
    </xf>
    <xf numFmtId="0" fontId="9" fillId="3" borderId="0" xfId="0" applyFont="1" applyFill="1" applyAlignment="1">
      <alignment horizontal="center"/>
    </xf>
    <xf numFmtId="0" fontId="2" fillId="0" borderId="41" xfId="0" applyFont="1" applyFill="1" applyBorder="1" applyAlignment="1" applyProtection="1">
      <alignment/>
      <protection locked="0"/>
    </xf>
    <xf numFmtId="44" fontId="2" fillId="4" borderId="42" xfId="17" applyFont="1" applyFill="1" applyBorder="1" applyAlignment="1" applyProtection="1">
      <alignment/>
      <protection/>
    </xf>
    <xf numFmtId="44" fontId="2" fillId="5" borderId="42" xfId="17" applyFont="1" applyFill="1" applyBorder="1" applyAlignment="1" applyProtection="1">
      <alignment/>
      <protection/>
    </xf>
    <xf numFmtId="3" fontId="2" fillId="0" borderId="0" xfId="0" applyNumberFormat="1" applyFont="1" applyAlignment="1">
      <alignment/>
    </xf>
    <xf numFmtId="0" fontId="9" fillId="0" borderId="0" xfId="0" applyFont="1" applyBorder="1" applyAlignment="1" applyProtection="1">
      <alignment horizontal="right"/>
      <protection locked="0"/>
    </xf>
    <xf numFmtId="0" fontId="10" fillId="0" borderId="0" xfId="0" applyFont="1" applyBorder="1" applyAlignment="1">
      <alignment/>
    </xf>
    <xf numFmtId="0" fontId="9" fillId="6" borderId="43" xfId="0" applyFont="1" applyFill="1" applyBorder="1" applyAlignment="1" applyProtection="1">
      <alignment horizontal="right"/>
      <protection locked="0"/>
    </xf>
    <xf numFmtId="9" fontId="9" fillId="6" borderId="44" xfId="21" applyFont="1" applyFill="1" applyBorder="1" applyAlignment="1" applyProtection="1">
      <alignment/>
      <protection/>
    </xf>
    <xf numFmtId="44" fontId="9" fillId="6" borderId="45" xfId="17" applyFont="1" applyFill="1" applyBorder="1" applyAlignment="1" applyProtection="1">
      <alignment/>
      <protection/>
    </xf>
    <xf numFmtId="0" fontId="9" fillId="6" borderId="46" xfId="0" applyFont="1" applyFill="1" applyBorder="1" applyAlignment="1" applyProtection="1">
      <alignment horizontal="right"/>
      <protection locked="0"/>
    </xf>
    <xf numFmtId="9" fontId="9" fillId="6" borderId="2" xfId="21" applyFont="1" applyFill="1" applyBorder="1" applyAlignment="1" applyProtection="1">
      <alignment/>
      <protection/>
    </xf>
    <xf numFmtId="44" fontId="9" fillId="6" borderId="47" xfId="17" applyFont="1" applyFill="1" applyBorder="1" applyAlignment="1" applyProtection="1">
      <alignment/>
      <protection/>
    </xf>
    <xf numFmtId="9" fontId="9" fillId="6" borderId="2" xfId="21" applyFont="1" applyFill="1" applyBorder="1" applyAlignment="1" applyProtection="1">
      <alignment horizontal="right"/>
      <protection/>
    </xf>
    <xf numFmtId="44" fontId="9" fillId="6" borderId="47" xfId="17" applyFont="1" applyFill="1" applyBorder="1" applyAlignment="1" applyProtection="1">
      <alignment horizontal="right"/>
      <protection/>
    </xf>
    <xf numFmtId="0" fontId="9" fillId="6" borderId="46" xfId="0" applyFont="1" applyFill="1" applyBorder="1" applyAlignment="1">
      <alignment horizontal="right"/>
    </xf>
    <xf numFmtId="0" fontId="9" fillId="6" borderId="48" xfId="0" applyFont="1" applyFill="1" applyBorder="1" applyAlignment="1">
      <alignment horizontal="right"/>
    </xf>
    <xf numFmtId="0" fontId="12" fillId="6" borderId="2" xfId="0" applyFont="1" applyFill="1" applyBorder="1" applyAlignment="1">
      <alignment/>
    </xf>
    <xf numFmtId="3" fontId="12" fillId="6" borderId="2" xfId="0" applyNumberFormat="1" applyFont="1" applyFill="1" applyBorder="1" applyAlignment="1">
      <alignment/>
    </xf>
    <xf numFmtId="0" fontId="9" fillId="6" borderId="49" xfId="0" applyFont="1" applyFill="1" applyBorder="1" applyAlignment="1" applyProtection="1">
      <alignment horizontal="right"/>
      <protection locked="0"/>
    </xf>
    <xf numFmtId="9" fontId="9" fillId="6" borderId="50" xfId="21" applyFont="1" applyFill="1" applyBorder="1" applyAlignment="1" applyProtection="1">
      <alignment horizontal="right"/>
      <protection/>
    </xf>
    <xf numFmtId="44" fontId="9" fillId="6" borderId="51" xfId="17" applyFont="1" applyFill="1" applyBorder="1" applyAlignment="1" applyProtection="1">
      <alignment horizontal="right"/>
      <protection/>
    </xf>
    <xf numFmtId="0" fontId="9" fillId="6" borderId="52" xfId="0" applyFont="1" applyFill="1" applyBorder="1" applyAlignment="1" applyProtection="1">
      <alignment horizontal="right" indent="1"/>
      <protection locked="0"/>
    </xf>
    <xf numFmtId="0" fontId="9" fillId="6" borderId="53" xfId="0" applyFont="1" applyFill="1" applyBorder="1" applyAlignment="1" applyProtection="1">
      <alignment horizontal="center"/>
      <protection/>
    </xf>
    <xf numFmtId="44" fontId="9" fillId="6" borderId="54" xfId="17" applyFont="1" applyFill="1" applyBorder="1" applyAlignment="1" applyProtection="1">
      <alignment/>
      <protection/>
    </xf>
    <xf numFmtId="17" fontId="2" fillId="0" borderId="27" xfId="0" applyNumberFormat="1" applyFont="1" applyBorder="1" applyAlignment="1">
      <alignment horizontal="left"/>
    </xf>
    <xf numFmtId="0" fontId="2" fillId="0" borderId="0" xfId="0" applyFont="1" applyBorder="1" applyAlignment="1" applyProtection="1">
      <alignment/>
      <protection locked="0"/>
    </xf>
    <xf numFmtId="0" fontId="3" fillId="0" borderId="4" xfId="0" applyFont="1" applyBorder="1" applyAlignment="1">
      <alignment horizontal="center"/>
    </xf>
    <xf numFmtId="0" fontId="2" fillId="0" borderId="0" xfId="0" applyFont="1" applyAlignment="1">
      <alignment wrapText="1"/>
    </xf>
    <xf numFmtId="0" fontId="9" fillId="0" borderId="0" xfId="0" applyFont="1" applyAlignment="1">
      <alignment wrapText="1"/>
    </xf>
    <xf numFmtId="0" fontId="9" fillId="0" borderId="0" xfId="0" applyFont="1" applyAlignment="1">
      <alignment horizontal="center"/>
    </xf>
    <xf numFmtId="0" fontId="9" fillId="0" borderId="0" xfId="0" applyFont="1" applyAlignment="1">
      <alignment horizontal="center" wrapText="1"/>
    </xf>
    <xf numFmtId="44" fontId="2" fillId="0" borderId="0" xfId="0" applyNumberFormat="1" applyFont="1" applyAlignment="1">
      <alignment/>
    </xf>
    <xf numFmtId="44" fontId="2" fillId="0" borderId="0" xfId="17" applyFont="1" applyAlignment="1">
      <alignment/>
    </xf>
    <xf numFmtId="8" fontId="0" fillId="0" borderId="0" xfId="0" applyNumberFormat="1" applyAlignment="1" applyProtection="1">
      <alignment wrapText="1"/>
      <protection/>
    </xf>
    <xf numFmtId="0" fontId="9" fillId="3" borderId="41"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right"/>
      <protection locked="0"/>
    </xf>
    <xf numFmtId="0" fontId="10" fillId="0" borderId="38" xfId="0" applyFont="1" applyBorder="1" applyAlignment="1">
      <alignment/>
    </xf>
    <xf numFmtId="0" fontId="3" fillId="0" borderId="0" xfId="0" applyFont="1" applyAlignment="1">
      <alignment horizontal="center"/>
    </xf>
    <xf numFmtId="0" fontId="0" fillId="0" borderId="0" xfId="0" applyAlignment="1">
      <alignment horizontal="center"/>
    </xf>
    <xf numFmtId="8" fontId="0" fillId="0" borderId="55" xfId="0" applyNumberFormat="1" applyBorder="1" applyAlignment="1" applyProtection="1">
      <alignment horizontal="center" vertical="top" wrapText="1"/>
      <protection locked="0"/>
    </xf>
    <xf numFmtId="0" fontId="0" fillId="0" borderId="56" xfId="0" applyBorder="1" applyAlignment="1" applyProtection="1">
      <alignment horizontal="center" wrapText="1"/>
      <protection locked="0"/>
    </xf>
    <xf numFmtId="8" fontId="0" fillId="0" borderId="12" xfId="0" applyNumberFormat="1" applyBorder="1" applyAlignment="1" applyProtection="1">
      <alignment wrapText="1"/>
      <protection locked="0"/>
    </xf>
    <xf numFmtId="0" fontId="0" fillId="0" borderId="13" xfId="0" applyBorder="1" applyAlignment="1" applyProtection="1">
      <alignment/>
      <protection locked="0"/>
    </xf>
    <xf numFmtId="0" fontId="3" fillId="0" borderId="0" xfId="0" applyFont="1" applyAlignment="1" applyProtection="1">
      <alignment horizontal="center"/>
      <protection locked="0"/>
    </xf>
    <xf numFmtId="0" fontId="4" fillId="0" borderId="57" xfId="0" applyFont="1" applyBorder="1" applyAlignment="1" applyProtection="1">
      <alignment horizontal="center"/>
      <protection/>
    </xf>
    <xf numFmtId="14" fontId="0" fillId="0" borderId="36" xfId="0" applyNumberFormat="1" applyBorder="1" applyAlignment="1" applyProtection="1">
      <alignment vertical="top" wrapText="1"/>
      <protection/>
    </xf>
    <xf numFmtId="0" fontId="0" fillId="0" borderId="25" xfId="0" applyBorder="1" applyAlignment="1" applyProtection="1">
      <alignment wrapText="1"/>
      <protection/>
    </xf>
    <xf numFmtId="0" fontId="0" fillId="0" borderId="26" xfId="0" applyBorder="1" applyAlignment="1" applyProtection="1">
      <alignment wrapText="1"/>
      <protection/>
    </xf>
    <xf numFmtId="0" fontId="0" fillId="0" borderId="58" xfId="0" applyBorder="1" applyAlignment="1" applyProtection="1">
      <alignment vertical="top" wrapText="1"/>
      <protection/>
    </xf>
    <xf numFmtId="0" fontId="0" fillId="0" borderId="16" xfId="0" applyBorder="1" applyAlignment="1" applyProtection="1">
      <alignment wrapText="1"/>
      <protection/>
    </xf>
    <xf numFmtId="0" fontId="0" fillId="0" borderId="59" xfId="0" applyBorder="1" applyAlignment="1" applyProtection="1">
      <alignment wrapText="1"/>
      <protection/>
    </xf>
    <xf numFmtId="0" fontId="0" fillId="0" borderId="60" xfId="0" applyBorder="1" applyAlignment="1" applyProtection="1">
      <alignment vertical="top" wrapText="1"/>
      <protection/>
    </xf>
    <xf numFmtId="0" fontId="0" fillId="0" borderId="61" xfId="0" applyBorder="1" applyAlignment="1" applyProtection="1">
      <alignment wrapText="1"/>
      <protection/>
    </xf>
    <xf numFmtId="0" fontId="0" fillId="0" borderId="62" xfId="0" applyBorder="1" applyAlignment="1" applyProtection="1">
      <alignment wrapText="1"/>
      <protection/>
    </xf>
    <xf numFmtId="8" fontId="0" fillId="0" borderId="10" xfId="0" applyNumberFormat="1" applyBorder="1" applyAlignment="1" applyProtection="1">
      <alignment horizontal="center" wrapText="1"/>
      <protection locked="0"/>
    </xf>
    <xf numFmtId="0" fontId="0" fillId="0" borderId="12" xfId="0"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I%20Tracker%20Shee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 Tracker"/>
      <sheetName val="RWA Input Sheet"/>
      <sheetName val="RWA balance calculator"/>
      <sheetName val="sliding scale calculation"/>
      <sheetName val="I Tracker"/>
      <sheetName val=" Tracker"/>
      <sheetName val="Tracker"/>
      <sheetName val="racker"/>
      <sheetName val="acker"/>
      <sheetName val="cker"/>
      <sheetName val="ker"/>
      <sheetName val="er"/>
      <sheetName val="r"/>
      <sheetName val=""/>
      <sheetName val="TI Tracker Sheet"/>
    </sheetNames>
    <sheetDataSet>
      <sheetData sheetId="0">
        <row r="1">
          <cell r="E1">
            <v>10000</v>
          </cell>
        </row>
        <row r="2">
          <cell r="E2">
            <v>5</v>
          </cell>
        </row>
        <row r="34">
          <cell r="E34">
            <v>297965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54"/>
  <sheetViews>
    <sheetView workbookViewId="0" topLeftCell="A25">
      <selection activeCell="H51" sqref="H51"/>
    </sheetView>
  </sheetViews>
  <sheetFormatPr defaultColWidth="9.140625" defaultRowHeight="12.75"/>
  <cols>
    <col min="1" max="1" width="37.28125" style="96" customWidth="1"/>
    <col min="2" max="2" width="5.8515625" style="96" customWidth="1"/>
    <col min="3" max="3" width="15.57421875" style="96" customWidth="1"/>
    <col min="4" max="4" width="17.28125" style="96" customWidth="1"/>
    <col min="5" max="5" width="15.140625" style="96" customWidth="1"/>
    <col min="6" max="16384" width="9.140625" style="96" customWidth="1"/>
  </cols>
  <sheetData>
    <row r="1" spans="1:5" ht="12.75">
      <c r="A1" s="142" t="s">
        <v>133</v>
      </c>
      <c r="B1" s="143"/>
      <c r="C1" s="143"/>
      <c r="D1" s="143"/>
      <c r="E1" s="143"/>
    </row>
    <row r="2" spans="1:5" ht="12.75">
      <c r="A2" s="142" t="s">
        <v>134</v>
      </c>
      <c r="B2" s="142"/>
      <c r="C2" s="142"/>
      <c r="D2" s="142"/>
      <c r="E2" s="142"/>
    </row>
    <row r="3" ht="12" thickBot="1"/>
    <row r="4" spans="1:5" ht="12" thickBot="1">
      <c r="A4" s="91" t="s">
        <v>121</v>
      </c>
      <c r="B4" s="92"/>
      <c r="C4" s="93"/>
      <c r="D4" s="94" t="s">
        <v>116</v>
      </c>
      <c r="E4" s="95">
        <v>10000</v>
      </c>
    </row>
    <row r="5" spans="1:5" ht="12" thickBot="1">
      <c r="A5" s="97" t="s">
        <v>117</v>
      </c>
      <c r="C5" s="98"/>
      <c r="D5" s="99" t="s">
        <v>118</v>
      </c>
      <c r="E5" s="100">
        <v>5</v>
      </c>
    </row>
    <row r="6" spans="1:5" ht="12" thickBot="1">
      <c r="A6" s="101" t="s">
        <v>119</v>
      </c>
      <c r="C6" s="140" t="s">
        <v>120</v>
      </c>
      <c r="D6" s="141"/>
      <c r="E6" s="100">
        <f>E4*E5</f>
        <v>50000</v>
      </c>
    </row>
    <row r="7" ht="12" thickBot="1"/>
    <row r="8" spans="1:5" ht="12" thickBot="1">
      <c r="A8" s="139" t="s">
        <v>114</v>
      </c>
      <c r="B8" s="139"/>
      <c r="C8" s="102" t="s">
        <v>115</v>
      </c>
      <c r="D8" s="103" t="s">
        <v>122</v>
      </c>
      <c r="E8" s="104" t="s">
        <v>123</v>
      </c>
    </row>
    <row r="9" ht="11.25"/>
    <row r="10" spans="1:5" ht="11.25">
      <c r="A10" s="105" t="s">
        <v>85</v>
      </c>
      <c r="B10" s="105"/>
      <c r="C10" s="106">
        <v>0</v>
      </c>
      <c r="E10" s="107">
        <f>SUM(C10:D10)</f>
        <v>0</v>
      </c>
    </row>
    <row r="11" spans="1:5" ht="11.25">
      <c r="A11" s="105" t="s">
        <v>86</v>
      </c>
      <c r="B11" s="105"/>
      <c r="C11" s="106">
        <v>0</v>
      </c>
      <c r="E11" s="107">
        <f aca="true" t="shared" si="0" ref="E11:E30">SUM(C11:D11)</f>
        <v>0</v>
      </c>
    </row>
    <row r="12" spans="1:5" ht="11.25">
      <c r="A12" s="105" t="s">
        <v>87</v>
      </c>
      <c r="B12" s="105"/>
      <c r="C12" s="106">
        <v>0</v>
      </c>
      <c r="E12" s="107">
        <f t="shared" si="0"/>
        <v>0</v>
      </c>
    </row>
    <row r="13" spans="1:5" ht="11.25">
      <c r="A13" s="105" t="s">
        <v>88</v>
      </c>
      <c r="B13" s="105"/>
      <c r="C13" s="106">
        <v>0</v>
      </c>
      <c r="E13" s="107">
        <f t="shared" si="0"/>
        <v>0</v>
      </c>
    </row>
    <row r="14" spans="1:5" ht="11.25">
      <c r="A14" s="105" t="s">
        <v>89</v>
      </c>
      <c r="B14" s="105"/>
      <c r="C14" s="106">
        <v>0</v>
      </c>
      <c r="E14" s="107">
        <f t="shared" si="0"/>
        <v>0</v>
      </c>
    </row>
    <row r="15" spans="1:5" ht="11.25">
      <c r="A15" s="105" t="s">
        <v>90</v>
      </c>
      <c r="B15" s="105"/>
      <c r="C15" s="106">
        <v>0</v>
      </c>
      <c r="E15" s="107">
        <f t="shared" si="0"/>
        <v>0</v>
      </c>
    </row>
    <row r="16" spans="1:5" ht="11.25">
      <c r="A16" s="105" t="s">
        <v>91</v>
      </c>
      <c r="B16" s="105"/>
      <c r="C16" s="106">
        <v>10000</v>
      </c>
      <c r="D16" s="108">
        <v>-250</v>
      </c>
      <c r="E16" s="107">
        <f t="shared" si="0"/>
        <v>9750</v>
      </c>
    </row>
    <row r="17" spans="1:5" ht="11.25">
      <c r="A17" s="105" t="s">
        <v>92</v>
      </c>
      <c r="B17" s="105"/>
      <c r="C17" s="106">
        <v>0</v>
      </c>
      <c r="E17" s="107">
        <f t="shared" si="0"/>
        <v>0</v>
      </c>
    </row>
    <row r="18" spans="1:5" ht="11.25">
      <c r="A18" s="105" t="s">
        <v>93</v>
      </c>
      <c r="B18" s="105"/>
      <c r="C18" s="106">
        <v>250000</v>
      </c>
      <c r="E18" s="107">
        <f t="shared" si="0"/>
        <v>250000</v>
      </c>
    </row>
    <row r="19" spans="1:5" ht="11.25">
      <c r="A19" s="105" t="s">
        <v>94</v>
      </c>
      <c r="B19" s="105"/>
      <c r="C19" s="106">
        <v>0</v>
      </c>
      <c r="E19" s="107">
        <f t="shared" si="0"/>
        <v>0</v>
      </c>
    </row>
    <row r="20" spans="1:5" ht="11.25">
      <c r="A20" s="105" t="s">
        <v>95</v>
      </c>
      <c r="B20" s="105"/>
      <c r="C20" s="106">
        <v>1200</v>
      </c>
      <c r="D20" s="96">
        <v>-150</v>
      </c>
      <c r="E20" s="107">
        <f t="shared" si="0"/>
        <v>1050</v>
      </c>
    </row>
    <row r="21" spans="1:5" ht="11.25">
      <c r="A21" s="105" t="s">
        <v>96</v>
      </c>
      <c r="B21" s="105"/>
      <c r="C21" s="106">
        <v>1000</v>
      </c>
      <c r="E21" s="107">
        <f t="shared" si="0"/>
        <v>1000</v>
      </c>
    </row>
    <row r="22" spans="1:5" ht="11.25">
      <c r="A22" s="105" t="s">
        <v>97</v>
      </c>
      <c r="B22" s="105"/>
      <c r="C22" s="106">
        <v>0</v>
      </c>
      <c r="E22" s="107">
        <f t="shared" si="0"/>
        <v>0</v>
      </c>
    </row>
    <row r="23" spans="1:5" ht="11.25">
      <c r="A23" s="105" t="s">
        <v>98</v>
      </c>
      <c r="B23" s="105"/>
      <c r="C23" s="106">
        <v>1515</v>
      </c>
      <c r="D23" s="96">
        <v>-350</v>
      </c>
      <c r="E23" s="107">
        <f t="shared" si="0"/>
        <v>1165</v>
      </c>
    </row>
    <row r="24" spans="1:5" ht="11.25">
      <c r="A24" s="105" t="s">
        <v>99</v>
      </c>
      <c r="B24" s="105"/>
      <c r="C24" s="106">
        <v>0</v>
      </c>
      <c r="E24" s="107">
        <f t="shared" si="0"/>
        <v>0</v>
      </c>
    </row>
    <row r="25" spans="1:5" ht="11.25">
      <c r="A25" s="105" t="s">
        <v>100</v>
      </c>
      <c r="B25" s="105"/>
      <c r="C25" s="106">
        <v>0</v>
      </c>
      <c r="E25" s="107">
        <f t="shared" si="0"/>
        <v>0</v>
      </c>
    </row>
    <row r="26" spans="1:5" ht="11.25">
      <c r="A26" s="105" t="s">
        <v>101</v>
      </c>
      <c r="B26" s="105"/>
      <c r="C26" s="106">
        <v>0</v>
      </c>
      <c r="E26" s="107">
        <f t="shared" si="0"/>
        <v>0</v>
      </c>
    </row>
    <row r="27" spans="1:5" ht="11.25">
      <c r="A27" s="105" t="s">
        <v>102</v>
      </c>
      <c r="B27" s="105"/>
      <c r="C27" s="106">
        <v>0</v>
      </c>
      <c r="E27" s="107">
        <f t="shared" si="0"/>
        <v>0</v>
      </c>
    </row>
    <row r="28" spans="1:5" ht="11.25">
      <c r="A28" s="105" t="s">
        <v>136</v>
      </c>
      <c r="B28" s="105"/>
      <c r="C28" s="106">
        <v>0</v>
      </c>
      <c r="E28" s="107">
        <f t="shared" si="0"/>
        <v>0</v>
      </c>
    </row>
    <row r="29" spans="1:5" ht="11.25">
      <c r="A29" s="105" t="s">
        <v>103</v>
      </c>
      <c r="B29" s="105"/>
      <c r="C29" s="106">
        <v>0</v>
      </c>
      <c r="E29" s="107">
        <f t="shared" si="0"/>
        <v>0</v>
      </c>
    </row>
    <row r="30" spans="1:5" ht="11.25">
      <c r="A30" s="105" t="s">
        <v>104</v>
      </c>
      <c r="B30" s="105"/>
      <c r="C30" s="106">
        <v>0</v>
      </c>
      <c r="E30" s="107">
        <f t="shared" si="0"/>
        <v>0</v>
      </c>
    </row>
    <row r="31" spans="1:5" ht="12" thickBot="1">
      <c r="A31" s="109" t="s">
        <v>105</v>
      </c>
      <c r="B31" s="110"/>
      <c r="C31" s="106">
        <f>SUM(C10:C30)</f>
        <v>263715</v>
      </c>
      <c r="E31" s="107">
        <f>SUM(E10:E30)</f>
        <v>262965</v>
      </c>
    </row>
    <row r="32" spans="1:5" ht="11.25">
      <c r="A32" s="111" t="s">
        <v>106</v>
      </c>
      <c r="B32" s="112">
        <v>0</v>
      </c>
      <c r="C32" s="113">
        <f>B32*SUM(C31:C31)</f>
        <v>0</v>
      </c>
      <c r="D32" s="112">
        <v>0</v>
      </c>
      <c r="E32" s="113">
        <f>D32*SUM(E10:E31)</f>
        <v>0</v>
      </c>
    </row>
    <row r="33" spans="1:5" ht="11.25">
      <c r="A33" s="114" t="s">
        <v>107</v>
      </c>
      <c r="B33" s="115">
        <v>0</v>
      </c>
      <c r="C33" s="116">
        <v>25000</v>
      </c>
      <c r="D33" s="115">
        <v>0</v>
      </c>
      <c r="E33" s="116">
        <v>25000</v>
      </c>
    </row>
    <row r="34" spans="1:5" ht="11.25">
      <c r="A34" s="114" t="s">
        <v>108</v>
      </c>
      <c r="B34" s="117">
        <v>0</v>
      </c>
      <c r="C34" s="118">
        <v>0</v>
      </c>
      <c r="D34" s="117">
        <v>0</v>
      </c>
      <c r="E34" s="118">
        <v>0</v>
      </c>
    </row>
    <row r="35" spans="1:5" ht="11.25">
      <c r="A35" s="119" t="s">
        <v>109</v>
      </c>
      <c r="B35" s="117">
        <v>0</v>
      </c>
      <c r="C35" s="118">
        <v>0</v>
      </c>
      <c r="D35" s="117">
        <v>0</v>
      </c>
      <c r="E35" s="118">
        <v>0</v>
      </c>
    </row>
    <row r="36" spans="1:5" ht="11.25">
      <c r="A36" s="120" t="s">
        <v>110</v>
      </c>
      <c r="B36" s="121">
        <v>2.5</v>
      </c>
      <c r="C36" s="118">
        <v>12500</v>
      </c>
      <c r="D36" s="122">
        <v>-2500</v>
      </c>
      <c r="E36" s="118">
        <f>C36+D36</f>
        <v>10000</v>
      </c>
    </row>
    <row r="37" spans="1:5" ht="11.25">
      <c r="A37" s="123" t="s">
        <v>111</v>
      </c>
      <c r="B37" s="124"/>
      <c r="C37" s="125">
        <f>SUM(C31:C36)</f>
        <v>301215</v>
      </c>
      <c r="D37" s="124"/>
      <c r="E37" s="125">
        <f>SUM(E31:E36)</f>
        <v>297965</v>
      </c>
    </row>
    <row r="38" spans="1:5" ht="12" thickBot="1">
      <c r="A38" s="126" t="s">
        <v>112</v>
      </c>
      <c r="B38" s="127"/>
      <c r="C38" s="128">
        <f>C37/E4</f>
        <v>30.1215</v>
      </c>
      <c r="D38" s="127"/>
      <c r="E38" s="128">
        <f>E37/E4</f>
        <v>29.7965</v>
      </c>
    </row>
    <row r="39" spans="1:3" ht="12" thickBot="1">
      <c r="A39" s="129" t="s">
        <v>113</v>
      </c>
      <c r="B39" s="130"/>
      <c r="C39" s="130"/>
    </row>
    <row r="40" ht="11.25"/>
    <row r="41" spans="1:5" ht="45">
      <c r="A41" s="133" t="s">
        <v>137</v>
      </c>
      <c r="E41" s="132"/>
    </row>
    <row r="42" ht="11.25"/>
    <row r="43" spans="1:5" ht="33.75">
      <c r="A43" s="134" t="s">
        <v>138</v>
      </c>
      <c r="B43" s="134" t="s">
        <v>141</v>
      </c>
      <c r="C43" s="135" t="s">
        <v>142</v>
      </c>
      <c r="D43" s="135" t="s">
        <v>140</v>
      </c>
      <c r="E43" s="134" t="s">
        <v>139</v>
      </c>
    </row>
    <row r="44" ht="11.25"/>
    <row r="45" spans="1:5" ht="11.25">
      <c r="A45" s="96" t="s">
        <v>147</v>
      </c>
      <c r="E45" s="136"/>
    </row>
    <row r="46" spans="1:5" ht="11.25">
      <c r="A46" s="96" t="s">
        <v>149</v>
      </c>
      <c r="E46" s="137">
        <f>E37</f>
        <v>297965</v>
      </c>
    </row>
    <row r="47" ht="11.25">
      <c r="E47" s="137"/>
    </row>
    <row r="48" spans="1:5" ht="11.25">
      <c r="A48" s="96" t="s">
        <v>143</v>
      </c>
      <c r="B48" s="96" t="s">
        <v>144</v>
      </c>
      <c r="C48" s="96" t="s">
        <v>145</v>
      </c>
      <c r="D48" s="96" t="s">
        <v>146</v>
      </c>
      <c r="E48" s="137">
        <v>1500</v>
      </c>
    </row>
    <row r="49" ht="11.25">
      <c r="E49" s="137"/>
    </row>
    <row r="50" ht="11.25">
      <c r="E50" s="137"/>
    </row>
    <row r="51" ht="11.25">
      <c r="E51" s="137"/>
    </row>
    <row r="52" spans="1:5" ht="11.25">
      <c r="A52" s="96" t="s">
        <v>148</v>
      </c>
      <c r="E52" s="136">
        <f>E45-SUM(E46:E56)</f>
        <v>-299465</v>
      </c>
    </row>
    <row r="53" ht="11.25">
      <c r="E53" s="137"/>
    </row>
    <row r="54" ht="11.25">
      <c r="E54" s="137"/>
    </row>
  </sheetData>
  <mergeCells count="4">
    <mergeCell ref="A8:B8"/>
    <mergeCell ref="C6:D6"/>
    <mergeCell ref="A1:E1"/>
    <mergeCell ref="A2:E2"/>
  </mergeCells>
  <printOptions gridLines="1"/>
  <pageMargins left="0.75" right="0.75" top="1" bottom="1" header="0.5" footer="0.5"/>
  <pageSetup cellComments="asDisplayed"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E17"/>
  <sheetViews>
    <sheetView tabSelected="1" workbookViewId="0" topLeftCell="C7">
      <selection activeCell="F12" sqref="F12"/>
    </sheetView>
  </sheetViews>
  <sheetFormatPr defaultColWidth="9.140625" defaultRowHeight="12.75"/>
  <cols>
    <col min="1" max="1" width="12.57421875" style="0" customWidth="1"/>
    <col min="2" max="2" width="14.57421875" style="0" customWidth="1"/>
    <col min="3" max="4" width="22.57421875" style="0" customWidth="1"/>
    <col min="5" max="5" width="62.57421875" style="0" customWidth="1"/>
  </cols>
  <sheetData>
    <row r="1" spans="1:5" ht="12.75">
      <c r="A1" s="142" t="s">
        <v>133</v>
      </c>
      <c r="B1" s="143"/>
      <c r="C1" s="143"/>
      <c r="D1" s="143"/>
      <c r="E1" s="143"/>
    </row>
    <row r="2" spans="1:5" ht="12.75">
      <c r="A2" s="142" t="s">
        <v>134</v>
      </c>
      <c r="B2" s="142"/>
      <c r="C2" s="142"/>
      <c r="D2" s="142"/>
      <c r="E2" s="142"/>
    </row>
    <row r="3" spans="1:5" ht="32.25" customHeight="1" thickBot="1">
      <c r="A3" s="17"/>
      <c r="B3" s="131" t="s">
        <v>36</v>
      </c>
      <c r="C3" s="131" t="s">
        <v>37</v>
      </c>
      <c r="D3" s="131" t="s">
        <v>39</v>
      </c>
      <c r="E3" s="131" t="s">
        <v>38</v>
      </c>
    </row>
    <row r="4" spans="1:5" ht="14.25" thickBot="1" thickTop="1">
      <c r="A4" s="14"/>
      <c r="B4" s="14"/>
      <c r="C4" s="14"/>
      <c r="D4" s="14"/>
      <c r="E4" s="14"/>
    </row>
    <row r="5" spans="1:5" ht="153" customHeight="1" thickBot="1" thickTop="1">
      <c r="A5" s="18" t="s">
        <v>34</v>
      </c>
      <c r="B5" s="66" t="s">
        <v>54</v>
      </c>
      <c r="C5" s="19">
        <v>39083</v>
      </c>
      <c r="D5" s="22">
        <v>500000</v>
      </c>
      <c r="E5" s="20" t="s">
        <v>80</v>
      </c>
    </row>
    <row r="6" spans="1:5" ht="12" customHeight="1" thickBot="1" thickTop="1">
      <c r="A6" s="15"/>
      <c r="B6" s="14"/>
      <c r="C6" s="16"/>
      <c r="D6" s="23"/>
      <c r="E6" s="14"/>
    </row>
    <row r="7" spans="1:5" ht="153" customHeight="1" thickBot="1" thickTop="1">
      <c r="A7" s="18" t="s">
        <v>33</v>
      </c>
      <c r="B7" s="67" t="s">
        <v>55</v>
      </c>
      <c r="C7" s="19">
        <v>39114</v>
      </c>
      <c r="D7" s="22">
        <v>7000</v>
      </c>
      <c r="E7" s="20" t="s">
        <v>81</v>
      </c>
    </row>
    <row r="8" spans="1:5" ht="14.25" thickBot="1" thickTop="1">
      <c r="A8" s="15"/>
      <c r="B8" s="14"/>
      <c r="C8" s="16"/>
      <c r="D8" s="23"/>
      <c r="E8" s="14"/>
    </row>
    <row r="9" spans="1:5" ht="153" customHeight="1" thickBot="1" thickTop="1">
      <c r="A9" s="18" t="s">
        <v>32</v>
      </c>
      <c r="B9" s="67" t="s">
        <v>56</v>
      </c>
      <c r="C9" s="19">
        <v>39142</v>
      </c>
      <c r="D9" s="22">
        <v>323245</v>
      </c>
      <c r="E9" s="20" t="s">
        <v>82</v>
      </c>
    </row>
    <row r="10" ht="13.5" thickTop="1"/>
    <row r="11" ht="15" customHeight="1"/>
    <row r="12" spans="1:4" ht="15" customHeight="1">
      <c r="A12" s="21" t="s">
        <v>125</v>
      </c>
      <c r="B12" s="1"/>
      <c r="C12" s="87">
        <f>'[1]TI Tracker'!E1</f>
        <v>10000</v>
      </c>
      <c r="D12" s="2"/>
    </row>
    <row r="13" spans="1:4" ht="15" customHeight="1">
      <c r="A13" s="21" t="s">
        <v>126</v>
      </c>
      <c r="B13" s="1"/>
      <c r="C13" s="4">
        <f>'[1]TI Tracker'!E2</f>
        <v>5</v>
      </c>
      <c r="D13" s="5"/>
    </row>
    <row r="14" spans="3:4" ht="15" customHeight="1">
      <c r="C14" s="3"/>
      <c r="D14" s="3"/>
    </row>
    <row r="15" spans="3:4" ht="12.75">
      <c r="C15" s="3"/>
      <c r="D15" s="3"/>
    </row>
    <row r="16" spans="1:4" ht="12.75">
      <c r="A16" s="21" t="s">
        <v>124</v>
      </c>
      <c r="B16" s="1"/>
      <c r="C16" s="4">
        <f>'[1]TI Tracker'!E34</f>
        <v>297965</v>
      </c>
      <c r="D16" s="5"/>
    </row>
    <row r="17" spans="3:4" ht="12.75">
      <c r="C17" s="3"/>
      <c r="D17" s="3"/>
    </row>
  </sheetData>
  <mergeCells count="2">
    <mergeCell ref="A2:E2"/>
    <mergeCell ref="A1:E1"/>
  </mergeCells>
  <printOptions horizontalCentered="1" verticalCentered="1"/>
  <pageMargins left="0.75" right="0.75" top="1" bottom="1" header="0.5" footer="0.5"/>
  <pageSetup cellComments="asDisplayed" fitToHeight="1" fitToWidth="1" horizontalDpi="600" verticalDpi="600" orientation="portrait" scale="66"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I78"/>
  <sheetViews>
    <sheetView zoomScale="85" zoomScaleNormal="85" workbookViewId="0" topLeftCell="A31">
      <selection activeCell="E19" sqref="E19"/>
    </sheetView>
  </sheetViews>
  <sheetFormatPr defaultColWidth="9.140625" defaultRowHeight="12.75"/>
  <cols>
    <col min="1" max="1" width="25.7109375" style="28" customWidth="1"/>
    <col min="2" max="2" width="12.28125" style="28" customWidth="1"/>
    <col min="3" max="3" width="28.7109375" style="28" customWidth="1"/>
    <col min="4" max="4" width="10.140625" style="28" customWidth="1"/>
    <col min="5" max="5" width="24.7109375" style="28" customWidth="1"/>
    <col min="6" max="6" width="20.7109375" style="28" customWidth="1"/>
    <col min="7" max="7" width="25.8515625" style="28" customWidth="1"/>
    <col min="8" max="8" width="20.7109375" style="28" customWidth="1"/>
    <col min="9" max="10" width="22.00390625" style="28" customWidth="1"/>
    <col min="11" max="16384" width="9.140625" style="28" customWidth="1"/>
  </cols>
  <sheetData>
    <row r="1" spans="1:9" ht="12.75">
      <c r="A1" s="148" t="s">
        <v>133</v>
      </c>
      <c r="B1" s="148"/>
      <c r="C1" s="148"/>
      <c r="D1" s="148"/>
      <c r="E1" s="148"/>
      <c r="F1" s="148"/>
      <c r="G1" s="148"/>
      <c r="H1" s="148"/>
      <c r="I1" s="148"/>
    </row>
    <row r="2" spans="1:9" ht="12.75">
      <c r="A2" s="148" t="s">
        <v>134</v>
      </c>
      <c r="B2" s="148"/>
      <c r="C2" s="148"/>
      <c r="D2" s="148"/>
      <c r="E2" s="148"/>
      <c r="F2" s="148"/>
      <c r="G2" s="148"/>
      <c r="H2" s="148"/>
      <c r="I2" s="148"/>
    </row>
    <row r="3" ht="12.75"/>
    <row r="4" spans="1:9" ht="34.5" customHeight="1">
      <c r="A4" s="64"/>
      <c r="B4" s="64"/>
      <c r="C4" s="149" t="s">
        <v>135</v>
      </c>
      <c r="D4" s="143"/>
      <c r="E4" s="143"/>
      <c r="F4" s="143"/>
      <c r="G4" s="143"/>
      <c r="H4" s="64"/>
      <c r="I4" s="64"/>
    </row>
    <row r="5" spans="1:9" ht="12.75">
      <c r="A5" s="64"/>
      <c r="B5" s="64"/>
      <c r="C5" s="64"/>
      <c r="D5" s="64"/>
      <c r="E5" s="64"/>
      <c r="F5" s="64"/>
      <c r="G5" s="64"/>
      <c r="H5" s="64"/>
      <c r="I5" s="64"/>
    </row>
    <row r="6" spans="1:9" ht="25.5" customHeight="1">
      <c r="A6" s="64"/>
      <c r="B6" s="64"/>
      <c r="C6" s="64" t="s">
        <v>11</v>
      </c>
      <c r="D6" s="64"/>
      <c r="E6" s="64" t="s">
        <v>12</v>
      </c>
      <c r="F6" s="64"/>
      <c r="G6" s="64" t="s">
        <v>13</v>
      </c>
      <c r="H6" s="64"/>
      <c r="I6" s="64"/>
    </row>
    <row r="7" spans="1:9" ht="15" customHeight="1" thickBot="1">
      <c r="A7" s="64"/>
      <c r="B7" s="64"/>
      <c r="C7" s="64"/>
      <c r="D7" s="64"/>
      <c r="E7" s="64"/>
      <c r="F7" s="64"/>
      <c r="G7" s="64"/>
      <c r="H7" s="64"/>
      <c r="I7" s="64"/>
    </row>
    <row r="8" spans="1:9" ht="24.75" customHeight="1" thickBot="1" thickTop="1">
      <c r="A8" s="65" t="s">
        <v>8</v>
      </c>
      <c r="B8" s="64"/>
      <c r="C8" s="66" t="str">
        <f>'RWA Input Sheet'!B5</f>
        <v>N1234567</v>
      </c>
      <c r="D8" s="64"/>
      <c r="E8" s="67" t="str">
        <f>'RWA Input Sheet'!B7</f>
        <v>N7654321</v>
      </c>
      <c r="F8" s="64"/>
      <c r="G8" s="67" t="str">
        <f>'RWA Input Sheet'!B9</f>
        <v>N2468101</v>
      </c>
      <c r="H8" s="64"/>
      <c r="I8" s="64"/>
    </row>
    <row r="9" spans="1:9" ht="24.75" customHeight="1" thickBot="1" thickTop="1">
      <c r="A9" s="65" t="s">
        <v>0</v>
      </c>
      <c r="B9" s="64"/>
      <c r="C9" s="88">
        <f>'RWA Input Sheet'!C5</f>
        <v>39083</v>
      </c>
      <c r="D9" s="64"/>
      <c r="E9" s="88">
        <f>'RWA Input Sheet'!C7</f>
        <v>39114</v>
      </c>
      <c r="F9" s="64"/>
      <c r="G9" s="88">
        <f>'RWA Input Sheet'!C9</f>
        <v>39142</v>
      </c>
      <c r="H9" s="64"/>
      <c r="I9" s="64"/>
    </row>
    <row r="10" spans="1:9" ht="24.75" customHeight="1" thickBot="1">
      <c r="A10" s="65" t="s">
        <v>47</v>
      </c>
      <c r="B10" s="64"/>
      <c r="C10" s="90">
        <v>41547</v>
      </c>
      <c r="D10" s="64"/>
      <c r="E10" s="90">
        <v>41547</v>
      </c>
      <c r="F10" s="64"/>
      <c r="G10" s="90">
        <v>41547</v>
      </c>
      <c r="H10" s="64"/>
      <c r="I10" s="64"/>
    </row>
    <row r="11" spans="1:9" ht="24.75" customHeight="1" thickBot="1">
      <c r="A11" s="65" t="s">
        <v>48</v>
      </c>
      <c r="B11" s="64"/>
      <c r="C11" s="89"/>
      <c r="D11" s="64"/>
      <c r="E11" s="89"/>
      <c r="F11" s="64"/>
      <c r="G11" s="89"/>
      <c r="H11" s="64"/>
      <c r="I11" s="64"/>
    </row>
    <row r="12" spans="1:9" ht="24.75" customHeight="1" thickBot="1" thickTop="1">
      <c r="A12" s="64"/>
      <c r="B12" s="64"/>
      <c r="C12" s="68"/>
      <c r="D12" s="64"/>
      <c r="E12" s="64"/>
      <c r="F12" s="64"/>
      <c r="G12" s="64"/>
      <c r="H12" s="64"/>
      <c r="I12" s="64"/>
    </row>
    <row r="13" spans="1:9" ht="75.75" customHeight="1" thickBot="1">
      <c r="A13" s="69" t="s">
        <v>9</v>
      </c>
      <c r="B13" s="64"/>
      <c r="C13" s="150" t="str">
        <f>'RWA Input Sheet'!E5</f>
        <v>RWA #1 -COMMENTS Excess Tenant Improvements for new lease in Anycity, AnyState</v>
      </c>
      <c r="D13" s="151"/>
      <c r="E13" s="151"/>
      <c r="F13" s="151"/>
      <c r="G13" s="152"/>
      <c r="H13" s="64"/>
      <c r="I13" s="64"/>
    </row>
    <row r="14" spans="1:9" ht="75.75" customHeight="1">
      <c r="A14" s="69"/>
      <c r="B14" s="64"/>
      <c r="C14" s="153" t="str">
        <f>+'RWA Input Sheet'!E7</f>
        <v>RWA #2 - COMMENTS  UPS for new lease in Anycity, AnyState</v>
      </c>
      <c r="D14" s="154"/>
      <c r="E14" s="154"/>
      <c r="F14" s="154"/>
      <c r="G14" s="155"/>
      <c r="H14" s="64"/>
      <c r="I14" s="64"/>
    </row>
    <row r="15" spans="1:9" ht="75" customHeight="1" thickBot="1">
      <c r="A15" s="69"/>
      <c r="B15" s="64"/>
      <c r="C15" s="156" t="str">
        <f>+'RWA Input Sheet'!E9</f>
        <v>RWA #3 -COMMENTS  Systems furniture, move costs, telecom for new lease in Anycity, AnyState</v>
      </c>
      <c r="D15" s="157"/>
      <c r="E15" s="157"/>
      <c r="F15" s="157"/>
      <c r="G15" s="158"/>
      <c r="H15" s="64"/>
      <c r="I15" s="64"/>
    </row>
    <row r="16" spans="1:9" ht="15" customHeight="1" thickBot="1" thickTop="1">
      <c r="A16" s="64"/>
      <c r="B16" s="64"/>
      <c r="C16" s="64"/>
      <c r="D16" s="64"/>
      <c r="E16" s="64"/>
      <c r="F16" s="64"/>
      <c r="G16" s="64"/>
      <c r="H16" s="64"/>
      <c r="I16" s="64"/>
    </row>
    <row r="17" spans="1:9" ht="34.5" customHeight="1" thickBot="1" thickTop="1">
      <c r="A17" s="70" t="s">
        <v>10</v>
      </c>
      <c r="B17" s="71"/>
      <c r="C17" s="72">
        <f>+'RWA Input Sheet'!D5</f>
        <v>500000</v>
      </c>
      <c r="D17" s="73"/>
      <c r="E17" s="72">
        <f>+'RWA Input Sheet'!D7</f>
        <v>7000</v>
      </c>
      <c r="F17" s="73"/>
      <c r="G17" s="72">
        <f>+'RWA Input Sheet'!D9</f>
        <v>323245</v>
      </c>
      <c r="H17" s="71"/>
      <c r="I17" s="71"/>
    </row>
    <row r="18" spans="1:9" ht="15" customHeight="1" thickBot="1" thickTop="1">
      <c r="A18" s="71"/>
      <c r="B18" s="71"/>
      <c r="C18" s="71"/>
      <c r="D18" s="71"/>
      <c r="E18" s="71"/>
      <c r="F18" s="71"/>
      <c r="G18" s="71"/>
      <c r="H18" s="71"/>
      <c r="I18" s="71"/>
    </row>
    <row r="19" spans="1:9" ht="40.5" customHeight="1" thickBot="1" thickTop="1">
      <c r="A19" s="74" t="s">
        <v>1</v>
      </c>
      <c r="B19" s="75"/>
      <c r="C19" s="76">
        <f>SUM(E60)</f>
        <v>364735.85892348713</v>
      </c>
      <c r="D19" s="77"/>
      <c r="E19" s="77"/>
      <c r="F19" s="77"/>
      <c r="G19" s="77"/>
      <c r="H19" s="77"/>
      <c r="I19" s="71"/>
    </row>
    <row r="20" spans="1:9" ht="18" customHeight="1" thickBot="1" thickTop="1">
      <c r="A20" s="78"/>
      <c r="B20" s="78"/>
      <c r="C20" s="78"/>
      <c r="D20" s="78"/>
      <c r="E20" s="78"/>
      <c r="F20" s="78"/>
      <c r="G20" s="78"/>
      <c r="H20" s="78"/>
      <c r="I20" s="71"/>
    </row>
    <row r="21" spans="1:9" ht="24.75" customHeight="1">
      <c r="A21" s="71"/>
      <c r="B21" s="71"/>
      <c r="C21" s="71"/>
      <c r="D21" s="71"/>
      <c r="E21" s="71" t="s">
        <v>35</v>
      </c>
      <c r="F21" s="71"/>
      <c r="G21" s="71"/>
      <c r="H21" s="71"/>
      <c r="I21" s="71"/>
    </row>
    <row r="22" spans="1:9" ht="24.75" customHeight="1">
      <c r="A22" s="71" t="s">
        <v>2</v>
      </c>
      <c r="B22" s="71"/>
      <c r="C22" s="79">
        <f>SUM(C17+E17+G17)</f>
        <v>830245</v>
      </c>
      <c r="D22" s="71"/>
      <c r="E22" s="71" t="s">
        <v>43</v>
      </c>
      <c r="F22" s="71">
        <f>-'Sliding Scale Calculation'!C13</f>
        <v>-15147.783251231527</v>
      </c>
      <c r="G22" s="71"/>
      <c r="H22" s="71"/>
      <c r="I22" s="71"/>
    </row>
    <row r="23" spans="1:9" ht="24.75" customHeight="1">
      <c r="A23" s="71" t="s">
        <v>46</v>
      </c>
      <c r="B23" s="71"/>
      <c r="C23" s="80">
        <f>SUM((C22-I58)*-0.04)</f>
        <v>-29209.8</v>
      </c>
      <c r="D23" s="71"/>
      <c r="E23" s="71" t="s">
        <v>44</v>
      </c>
      <c r="F23" s="71">
        <f>-'Sliding Scale Calculation'!G13</f>
        <v>-600.9174311926605</v>
      </c>
      <c r="G23" s="71"/>
      <c r="H23" s="71"/>
      <c r="I23" s="71"/>
    </row>
    <row r="24" spans="1:9" ht="24.75" customHeight="1">
      <c r="A24" s="71" t="s">
        <v>22</v>
      </c>
      <c r="B24" s="71"/>
      <c r="C24" s="77">
        <f>SUM(F22+F23+F24)</f>
        <v>-28284.341076512857</v>
      </c>
      <c r="D24" s="71"/>
      <c r="E24" s="71" t="s">
        <v>45</v>
      </c>
      <c r="F24" s="71">
        <f>-'Sliding Scale Calculation'!K13</f>
        <v>-12535.64039408867</v>
      </c>
      <c r="G24" s="71"/>
      <c r="H24" s="71"/>
      <c r="I24" s="71"/>
    </row>
    <row r="25" spans="1:9" ht="24.75" customHeight="1">
      <c r="A25" s="64"/>
      <c r="B25" s="71"/>
      <c r="C25" s="71"/>
      <c r="D25" s="71"/>
      <c r="E25" s="71"/>
      <c r="F25" s="71"/>
      <c r="G25" s="71"/>
      <c r="H25" s="71"/>
      <c r="I25" s="71"/>
    </row>
    <row r="26" spans="1:9" ht="24.75" customHeight="1">
      <c r="A26" s="81" t="s">
        <v>3</v>
      </c>
      <c r="B26" s="71"/>
      <c r="C26" s="82">
        <f>SUM(C22+(C23+C24))</f>
        <v>772750.8589234871</v>
      </c>
      <c r="D26" s="71"/>
      <c r="E26" s="71"/>
      <c r="F26" s="71"/>
      <c r="G26" s="71"/>
      <c r="H26" s="71"/>
      <c r="I26" s="71"/>
    </row>
    <row r="27" spans="1:9" ht="24.75" customHeight="1" thickBot="1">
      <c r="A27" s="71"/>
      <c r="B27" s="71"/>
      <c r="C27" s="71"/>
      <c r="D27" s="71"/>
      <c r="E27" s="71"/>
      <c r="F27" s="138" t="s">
        <v>150</v>
      </c>
      <c r="G27" s="71"/>
      <c r="H27" s="71"/>
      <c r="I27" s="71"/>
    </row>
    <row r="28" spans="1:9" ht="24.75" customHeight="1" thickBot="1" thickTop="1">
      <c r="A28" s="71" t="s">
        <v>4</v>
      </c>
      <c r="B28" s="71"/>
      <c r="C28" s="83">
        <f>+'RWA Input Sheet'!C12</f>
        <v>10000</v>
      </c>
      <c r="D28" s="71"/>
      <c r="E28" s="71"/>
      <c r="F28" s="71"/>
      <c r="G28" s="71"/>
      <c r="H28" s="71"/>
      <c r="I28" s="71"/>
    </row>
    <row r="29" spans="1:9" ht="24.75" customHeight="1" thickBot="1" thickTop="1">
      <c r="A29" s="71" t="s">
        <v>5</v>
      </c>
      <c r="B29" s="71"/>
      <c r="C29" s="84">
        <f>+'RWA Input Sheet'!C13</f>
        <v>5</v>
      </c>
      <c r="D29" s="71"/>
      <c r="E29" s="71"/>
      <c r="F29" s="71"/>
      <c r="G29" s="71"/>
      <c r="H29" s="71"/>
      <c r="I29" s="71"/>
    </row>
    <row r="30" spans="1:9" ht="24.75" customHeight="1" thickBot="1" thickTop="1">
      <c r="A30" s="71" t="s">
        <v>6</v>
      </c>
      <c r="B30" s="71"/>
      <c r="C30" s="71">
        <f>SUM(C28*C29)</f>
        <v>50000</v>
      </c>
      <c r="D30" s="71"/>
      <c r="E30" s="71"/>
      <c r="F30" s="71"/>
      <c r="G30" s="71"/>
      <c r="H30" s="71"/>
      <c r="I30" s="71"/>
    </row>
    <row r="31" spans="1:9" ht="24.75" customHeight="1" thickBot="1" thickTop="1">
      <c r="A31" s="71" t="s">
        <v>127</v>
      </c>
      <c r="B31" s="71"/>
      <c r="C31" s="84">
        <f>-'RWA Input Sheet'!C16</f>
        <v>-297965</v>
      </c>
      <c r="D31" s="71"/>
      <c r="E31" s="71"/>
      <c r="F31" s="71"/>
      <c r="G31" s="71"/>
      <c r="H31" s="71"/>
      <c r="I31" s="71"/>
    </row>
    <row r="32" spans="1:9" ht="15" customHeight="1" thickTop="1">
      <c r="A32" s="71"/>
      <c r="B32" s="71"/>
      <c r="C32" s="71"/>
      <c r="D32" s="71"/>
      <c r="E32" s="71"/>
      <c r="F32" s="71"/>
      <c r="G32" s="71"/>
      <c r="H32" s="71"/>
      <c r="I32" s="71"/>
    </row>
    <row r="33" spans="1:9" ht="24.75" customHeight="1">
      <c r="A33" s="71" t="s">
        <v>7</v>
      </c>
      <c r="B33" s="71"/>
      <c r="C33" s="71">
        <f>SUM(C30-(-C31))</f>
        <v>-247965</v>
      </c>
      <c r="D33" s="71"/>
      <c r="E33" s="71"/>
      <c r="F33" s="71"/>
      <c r="G33" s="71"/>
      <c r="H33" s="71"/>
      <c r="I33" s="71"/>
    </row>
    <row r="34" spans="1:9" ht="12.75" customHeight="1" thickBot="1">
      <c r="A34" s="85"/>
      <c r="B34" s="85"/>
      <c r="C34" s="85"/>
      <c r="D34" s="85"/>
      <c r="E34" s="85"/>
      <c r="F34" s="85"/>
      <c r="G34" s="85"/>
      <c r="H34" s="85"/>
      <c r="I34" s="71"/>
    </row>
    <row r="35" spans="1:9" ht="11.25" customHeight="1" thickTop="1">
      <c r="A35" s="71"/>
      <c r="B35" s="71"/>
      <c r="C35" s="71"/>
      <c r="D35" s="71"/>
      <c r="E35" s="71"/>
      <c r="F35" s="71"/>
      <c r="G35" s="71"/>
      <c r="H35" s="71"/>
      <c r="I35" s="86"/>
    </row>
    <row r="36" spans="1:9" ht="24.75" customHeight="1">
      <c r="A36" s="31" t="s">
        <v>14</v>
      </c>
      <c r="B36" s="31"/>
      <c r="C36" s="31"/>
      <c r="D36" s="31"/>
      <c r="E36" s="31"/>
      <c r="F36" s="31"/>
      <c r="G36" s="31"/>
      <c r="H36" s="31"/>
      <c r="I36" s="33"/>
    </row>
    <row r="37" spans="1:9" ht="24.75" customHeight="1">
      <c r="A37" s="34" t="s">
        <v>128</v>
      </c>
      <c r="B37" s="35" t="s">
        <v>49</v>
      </c>
      <c r="C37" s="36" t="s">
        <v>15</v>
      </c>
      <c r="D37" s="159" t="s">
        <v>50</v>
      </c>
      <c r="E37" s="36" t="s">
        <v>51</v>
      </c>
      <c r="F37" s="38" t="s">
        <v>20</v>
      </c>
      <c r="G37" s="37" t="s">
        <v>52</v>
      </c>
      <c r="H37" s="36" t="s">
        <v>21</v>
      </c>
      <c r="I37" s="144" t="s">
        <v>57</v>
      </c>
    </row>
    <row r="38" spans="1:9" ht="16.5" customHeight="1">
      <c r="A38" s="39"/>
      <c r="B38" s="30" t="s">
        <v>16</v>
      </c>
      <c r="C38" s="40" t="s">
        <v>59</v>
      </c>
      <c r="D38" s="160"/>
      <c r="E38" s="39"/>
      <c r="F38" s="30"/>
      <c r="G38" s="146" t="s">
        <v>53</v>
      </c>
      <c r="H38" s="146" t="s">
        <v>62</v>
      </c>
      <c r="I38" s="145"/>
    </row>
    <row r="39" spans="1:9" ht="18.75" customHeight="1" thickBot="1">
      <c r="A39" s="41"/>
      <c r="B39" s="32"/>
      <c r="C39" s="41"/>
      <c r="D39" s="32"/>
      <c r="E39" s="41"/>
      <c r="F39" s="32"/>
      <c r="G39" s="147"/>
      <c r="H39" s="147"/>
      <c r="I39" s="42"/>
    </row>
    <row r="40" spans="1:9" ht="16.5" customHeight="1" thickTop="1">
      <c r="A40" s="43" t="s">
        <v>19</v>
      </c>
      <c r="B40" s="44">
        <v>39128</v>
      </c>
      <c r="C40" s="43" t="s">
        <v>66</v>
      </c>
      <c r="D40" s="45" t="s">
        <v>54</v>
      </c>
      <c r="E40" s="43">
        <f>-C31</f>
        <v>297965</v>
      </c>
      <c r="F40" s="46" t="s">
        <v>129</v>
      </c>
      <c r="G40" s="43" t="s">
        <v>61</v>
      </c>
      <c r="H40" s="47" t="s">
        <v>63</v>
      </c>
      <c r="I40" s="47">
        <v>0</v>
      </c>
    </row>
    <row r="41" spans="1:9" ht="15" customHeight="1">
      <c r="A41" s="48" t="s">
        <v>58</v>
      </c>
      <c r="B41" s="49">
        <v>39156</v>
      </c>
      <c r="C41" s="48" t="s">
        <v>60</v>
      </c>
      <c r="D41" s="45" t="s">
        <v>54</v>
      </c>
      <c r="E41" s="48">
        <v>7000</v>
      </c>
      <c r="F41" s="50" t="s">
        <v>130</v>
      </c>
      <c r="G41" s="48" t="s">
        <v>61</v>
      </c>
      <c r="H41" s="43" t="s">
        <v>64</v>
      </c>
      <c r="I41" s="51">
        <v>0</v>
      </c>
    </row>
    <row r="42" spans="1:9" ht="15" customHeight="1">
      <c r="A42" s="52" t="s">
        <v>65</v>
      </c>
      <c r="B42" s="53">
        <v>39187</v>
      </c>
      <c r="C42" s="52" t="s">
        <v>67</v>
      </c>
      <c r="D42" s="52" t="s">
        <v>56</v>
      </c>
      <c r="E42" s="52">
        <v>100000</v>
      </c>
      <c r="F42" s="54" t="s">
        <v>68</v>
      </c>
      <c r="G42" s="52" t="s">
        <v>69</v>
      </c>
      <c r="H42" s="52" t="s">
        <v>70</v>
      </c>
      <c r="I42" s="52">
        <v>100000</v>
      </c>
    </row>
    <row r="43" spans="1:9" ht="15" customHeight="1">
      <c r="A43" s="52" t="s">
        <v>76</v>
      </c>
      <c r="B43" s="55">
        <v>39248</v>
      </c>
      <c r="C43" s="52" t="s">
        <v>77</v>
      </c>
      <c r="D43" s="56" t="s">
        <v>54</v>
      </c>
      <c r="E43" s="52"/>
      <c r="F43" s="57"/>
      <c r="G43" s="52"/>
      <c r="H43" s="52"/>
      <c r="I43" s="52"/>
    </row>
    <row r="44" spans="1:9" ht="15" customHeight="1">
      <c r="A44" s="52" t="s">
        <v>71</v>
      </c>
      <c r="B44" s="57"/>
      <c r="C44" s="52"/>
      <c r="D44" s="56"/>
      <c r="E44" s="52">
        <v>1250</v>
      </c>
      <c r="F44" s="57" t="s">
        <v>131</v>
      </c>
      <c r="G44" s="52" t="s">
        <v>61</v>
      </c>
      <c r="H44" s="52" t="s">
        <v>78</v>
      </c>
      <c r="I44" s="52"/>
    </row>
    <row r="45" spans="1:9" ht="15" customHeight="1">
      <c r="A45" s="52" t="s">
        <v>72</v>
      </c>
      <c r="B45" s="57"/>
      <c r="C45" s="52"/>
      <c r="D45" s="56"/>
      <c r="E45" s="52">
        <v>200</v>
      </c>
      <c r="F45" s="57" t="s">
        <v>131</v>
      </c>
      <c r="G45" s="52"/>
      <c r="H45" s="52" t="s">
        <v>78</v>
      </c>
      <c r="I45" s="52"/>
    </row>
    <row r="46" spans="1:9" ht="15" customHeight="1">
      <c r="A46" s="52" t="s">
        <v>73</v>
      </c>
      <c r="B46" s="57"/>
      <c r="C46" s="52"/>
      <c r="D46" s="56"/>
      <c r="E46" s="52">
        <v>50</v>
      </c>
      <c r="F46" s="57" t="s">
        <v>131</v>
      </c>
      <c r="G46" s="52"/>
      <c r="H46" s="52" t="s">
        <v>78</v>
      </c>
      <c r="I46" s="52"/>
    </row>
    <row r="47" spans="1:9" ht="15" customHeight="1">
      <c r="A47" s="52" t="s">
        <v>74</v>
      </c>
      <c r="B47" s="57"/>
      <c r="C47" s="52"/>
      <c r="D47" s="56"/>
      <c r="E47" s="52">
        <v>50</v>
      </c>
      <c r="F47" s="57" t="s">
        <v>131</v>
      </c>
      <c r="G47" s="52"/>
      <c r="H47" s="52" t="s">
        <v>78</v>
      </c>
      <c r="I47" s="52"/>
    </row>
    <row r="48" spans="1:9" ht="15" customHeight="1">
      <c r="A48" s="52" t="s">
        <v>75</v>
      </c>
      <c r="B48" s="57"/>
      <c r="C48" s="52"/>
      <c r="D48" s="56"/>
      <c r="E48" s="52">
        <v>750</v>
      </c>
      <c r="F48" s="57" t="s">
        <v>131</v>
      </c>
      <c r="G48" s="52"/>
      <c r="H48" s="52" t="s">
        <v>78</v>
      </c>
      <c r="I48" s="52"/>
    </row>
    <row r="49" spans="1:9" ht="15" customHeight="1">
      <c r="A49" s="52" t="s">
        <v>83</v>
      </c>
      <c r="B49" s="55">
        <v>39309</v>
      </c>
      <c r="C49" s="52" t="s">
        <v>84</v>
      </c>
      <c r="D49" s="45" t="s">
        <v>54</v>
      </c>
      <c r="E49" s="52">
        <v>750</v>
      </c>
      <c r="F49" s="57" t="s">
        <v>132</v>
      </c>
      <c r="G49" s="52" t="s">
        <v>61</v>
      </c>
      <c r="H49" s="52" t="s">
        <v>79</v>
      </c>
      <c r="I49" s="52"/>
    </row>
    <row r="50" spans="1:9" ht="15" customHeight="1">
      <c r="A50" s="52"/>
      <c r="B50" s="57"/>
      <c r="C50" s="52"/>
      <c r="D50" s="56"/>
      <c r="E50" s="52"/>
      <c r="F50" s="57"/>
      <c r="G50" s="52"/>
      <c r="H50" s="52"/>
      <c r="I50" s="52"/>
    </row>
    <row r="51" spans="1:9" ht="15" customHeight="1">
      <c r="A51" s="52"/>
      <c r="B51" s="57"/>
      <c r="C51" s="52"/>
      <c r="D51" s="56"/>
      <c r="E51" s="52"/>
      <c r="F51" s="57"/>
      <c r="G51" s="52"/>
      <c r="H51" s="52"/>
      <c r="I51" s="52"/>
    </row>
    <row r="52" spans="1:9" ht="15" customHeight="1">
      <c r="A52" s="52"/>
      <c r="B52" s="57"/>
      <c r="C52" s="52"/>
      <c r="D52" s="56"/>
      <c r="E52" s="52"/>
      <c r="F52" s="57"/>
      <c r="G52" s="52"/>
      <c r="H52" s="52"/>
      <c r="I52" s="52"/>
    </row>
    <row r="53" spans="1:9" ht="15" customHeight="1">
      <c r="A53" s="52"/>
      <c r="B53" s="57"/>
      <c r="C53" s="52"/>
      <c r="D53" s="56"/>
      <c r="E53" s="52"/>
      <c r="F53" s="57"/>
      <c r="G53" s="52"/>
      <c r="H53" s="52"/>
      <c r="I53" s="52"/>
    </row>
    <row r="54" spans="1:9" ht="15" customHeight="1">
      <c r="A54" s="52"/>
      <c r="B54" s="57"/>
      <c r="C54" s="52"/>
      <c r="D54" s="56"/>
      <c r="E54" s="52"/>
      <c r="F54" s="57"/>
      <c r="G54" s="52"/>
      <c r="H54" s="52"/>
      <c r="I54" s="52"/>
    </row>
    <row r="55" spans="1:9" ht="15" customHeight="1">
      <c r="A55" s="52"/>
      <c r="B55" s="57"/>
      <c r="C55" s="52"/>
      <c r="D55" s="56"/>
      <c r="E55" s="52"/>
      <c r="F55" s="57"/>
      <c r="G55" s="52"/>
      <c r="H55" s="52"/>
      <c r="I55" s="52"/>
    </row>
    <row r="56" spans="1:9" ht="13.5" thickBot="1">
      <c r="A56" s="58"/>
      <c r="B56" s="59"/>
      <c r="C56" s="58"/>
      <c r="D56" s="29"/>
      <c r="E56" s="58"/>
      <c r="F56" s="59"/>
      <c r="G56" s="58"/>
      <c r="H56" s="58"/>
      <c r="I56" s="60"/>
    </row>
    <row r="57" spans="1:9" ht="13.5" thickBot="1">
      <c r="A57" s="61"/>
      <c r="B57" s="61"/>
      <c r="C57" s="61"/>
      <c r="D57" s="61"/>
      <c r="E57" s="61"/>
      <c r="F57" s="61"/>
      <c r="G57" s="61"/>
      <c r="H57" s="61"/>
      <c r="I57" s="62"/>
    </row>
    <row r="58" spans="1:9" ht="25.5" customHeight="1" thickBot="1">
      <c r="A58" s="29" t="s">
        <v>17</v>
      </c>
      <c r="B58" s="29"/>
      <c r="C58" s="29"/>
      <c r="D58" s="29"/>
      <c r="E58" s="63">
        <f>-SUM(E40:E56)</f>
        <v>-408015</v>
      </c>
      <c r="F58" s="29"/>
      <c r="G58" s="29"/>
      <c r="H58" s="29"/>
      <c r="I58" s="29">
        <f>SUM(I40:I56)</f>
        <v>100000</v>
      </c>
    </row>
    <row r="59" spans="1:9" ht="13.5" thickBot="1">
      <c r="A59" s="29"/>
      <c r="B59" s="29"/>
      <c r="C59" s="29"/>
      <c r="D59" s="29"/>
      <c r="E59" s="29"/>
      <c r="F59" s="29"/>
      <c r="G59" s="29"/>
      <c r="H59" s="29"/>
      <c r="I59" s="29"/>
    </row>
    <row r="60" spans="1:9" ht="25.5" customHeight="1" thickBot="1">
      <c r="A60" s="29"/>
      <c r="B60" s="29"/>
      <c r="C60" s="29" t="s">
        <v>18</v>
      </c>
      <c r="D60" s="29"/>
      <c r="E60" s="63">
        <f>SUM(C26+E58)</f>
        <v>364735.85892348713</v>
      </c>
      <c r="F60" s="29"/>
      <c r="G60" s="29"/>
      <c r="H60" s="29"/>
      <c r="I60" s="29"/>
    </row>
    <row r="61" spans="1:9" ht="12.75">
      <c r="A61" s="29"/>
      <c r="B61" s="29"/>
      <c r="C61" s="29"/>
      <c r="D61" s="29"/>
      <c r="E61" s="29"/>
      <c r="F61" s="29"/>
      <c r="G61" s="29"/>
      <c r="H61" s="29"/>
      <c r="I61" s="29"/>
    </row>
    <row r="62" spans="1:9" ht="12.75">
      <c r="A62" s="29"/>
      <c r="B62" s="29"/>
      <c r="C62" s="29"/>
      <c r="D62" s="29"/>
      <c r="E62" s="29"/>
      <c r="F62" s="29"/>
      <c r="G62" s="29"/>
      <c r="H62" s="29"/>
      <c r="I62" s="29"/>
    </row>
    <row r="63" spans="1:9" ht="12.75">
      <c r="A63" s="29"/>
      <c r="B63" s="29"/>
      <c r="C63" s="29"/>
      <c r="D63" s="29"/>
      <c r="E63" s="29"/>
      <c r="F63" s="29"/>
      <c r="G63" s="29"/>
      <c r="H63" s="29"/>
      <c r="I63" s="29"/>
    </row>
    <row r="64" spans="1:9" ht="12.75">
      <c r="A64" s="29"/>
      <c r="B64" s="29"/>
      <c r="C64" s="29"/>
      <c r="D64" s="29"/>
      <c r="E64" s="29"/>
      <c r="F64" s="29"/>
      <c r="G64" s="29"/>
      <c r="H64" s="29"/>
      <c r="I64" s="29"/>
    </row>
    <row r="65" spans="1:9" ht="12.75">
      <c r="A65" s="29"/>
      <c r="B65" s="29"/>
      <c r="C65" s="29"/>
      <c r="D65" s="29"/>
      <c r="E65" s="29"/>
      <c r="F65" s="29"/>
      <c r="G65" s="29"/>
      <c r="H65" s="29"/>
      <c r="I65" s="29"/>
    </row>
    <row r="66" spans="1:9" ht="12.75">
      <c r="A66" s="29"/>
      <c r="B66" s="29"/>
      <c r="C66" s="29"/>
      <c r="D66" s="29"/>
      <c r="E66" s="29"/>
      <c r="F66" s="29"/>
      <c r="G66" s="29"/>
      <c r="H66" s="29"/>
      <c r="I66" s="29"/>
    </row>
    <row r="67" spans="1:9" ht="12.75">
      <c r="A67" s="29"/>
      <c r="B67" s="29"/>
      <c r="C67" s="29"/>
      <c r="D67" s="29"/>
      <c r="E67" s="29"/>
      <c r="F67" s="29"/>
      <c r="G67" s="29"/>
      <c r="H67" s="29"/>
      <c r="I67" s="29"/>
    </row>
    <row r="68" spans="1:9" ht="12.75">
      <c r="A68" s="29"/>
      <c r="B68" s="29"/>
      <c r="C68" s="29"/>
      <c r="D68" s="29"/>
      <c r="E68" s="29"/>
      <c r="F68" s="29"/>
      <c r="G68" s="29"/>
      <c r="H68" s="29"/>
      <c r="I68" s="29"/>
    </row>
    <row r="69" spans="1:9" ht="12.75">
      <c r="A69" s="29"/>
      <c r="B69" s="29"/>
      <c r="C69" s="29"/>
      <c r="D69" s="29"/>
      <c r="E69" s="29"/>
      <c r="F69" s="29"/>
      <c r="G69" s="29"/>
      <c r="H69" s="29"/>
      <c r="I69" s="29"/>
    </row>
    <row r="70" spans="1:9" ht="12.75">
      <c r="A70" s="29"/>
      <c r="B70" s="29"/>
      <c r="C70" s="29"/>
      <c r="D70" s="29"/>
      <c r="E70" s="29"/>
      <c r="F70" s="29"/>
      <c r="G70" s="29"/>
      <c r="H70" s="29"/>
      <c r="I70" s="29"/>
    </row>
    <row r="71" spans="1:9" ht="12.75">
      <c r="A71" s="29"/>
      <c r="B71" s="29"/>
      <c r="C71" s="29"/>
      <c r="D71" s="29"/>
      <c r="E71" s="29"/>
      <c r="F71" s="29"/>
      <c r="G71" s="29"/>
      <c r="H71" s="29"/>
      <c r="I71" s="29"/>
    </row>
    <row r="72" spans="1:9" ht="12.75">
      <c r="A72" s="29"/>
      <c r="B72" s="29"/>
      <c r="C72" s="29"/>
      <c r="D72" s="29"/>
      <c r="E72" s="29"/>
      <c r="F72" s="29"/>
      <c r="G72" s="29"/>
      <c r="H72" s="29"/>
      <c r="I72" s="29"/>
    </row>
    <row r="73" spans="1:9" ht="12.75">
      <c r="A73" s="29"/>
      <c r="B73" s="29"/>
      <c r="C73" s="29"/>
      <c r="D73" s="29"/>
      <c r="E73" s="29"/>
      <c r="F73" s="29"/>
      <c r="G73" s="29"/>
      <c r="H73" s="29"/>
      <c r="I73" s="29"/>
    </row>
    <row r="74" spans="1:9" ht="12.75">
      <c r="A74" s="29"/>
      <c r="B74" s="29"/>
      <c r="C74" s="29"/>
      <c r="D74" s="29"/>
      <c r="E74" s="29"/>
      <c r="F74" s="29"/>
      <c r="G74" s="29"/>
      <c r="H74" s="29"/>
      <c r="I74" s="29"/>
    </row>
    <row r="75" spans="1:9" ht="12.75">
      <c r="A75" s="29"/>
      <c r="B75" s="29"/>
      <c r="C75" s="29"/>
      <c r="D75" s="29"/>
      <c r="E75" s="29"/>
      <c r="F75" s="29"/>
      <c r="G75" s="29"/>
      <c r="H75" s="29"/>
      <c r="I75" s="29"/>
    </row>
    <row r="76" spans="1:9" ht="12.75">
      <c r="A76" s="29"/>
      <c r="B76" s="29"/>
      <c r="C76" s="29"/>
      <c r="D76" s="29"/>
      <c r="E76" s="29"/>
      <c r="F76" s="29"/>
      <c r="G76" s="29"/>
      <c r="H76" s="29"/>
      <c r="I76" s="29"/>
    </row>
    <row r="77" spans="1:9" ht="12.75">
      <c r="A77" s="29"/>
      <c r="B77" s="29"/>
      <c r="C77" s="29"/>
      <c r="D77" s="29"/>
      <c r="E77" s="29"/>
      <c r="F77" s="29"/>
      <c r="G77" s="29"/>
      <c r="H77" s="29"/>
      <c r="I77" s="29"/>
    </row>
    <row r="78" spans="1:9" ht="12.75">
      <c r="A78" s="29"/>
      <c r="B78" s="29"/>
      <c r="C78" s="29"/>
      <c r="D78" s="29"/>
      <c r="E78" s="29"/>
      <c r="F78" s="29"/>
      <c r="G78" s="29"/>
      <c r="H78" s="29"/>
      <c r="I78" s="29"/>
    </row>
  </sheetData>
  <sheetProtection formatCells="0" formatRows="0" insertRows="0" selectLockedCells="1"/>
  <mergeCells count="10">
    <mergeCell ref="I37:I38"/>
    <mergeCell ref="H38:H39"/>
    <mergeCell ref="A1:I1"/>
    <mergeCell ref="A2:I2"/>
    <mergeCell ref="C4:G4"/>
    <mergeCell ref="C13:G13"/>
    <mergeCell ref="C14:G14"/>
    <mergeCell ref="C15:G15"/>
    <mergeCell ref="D37:D38"/>
    <mergeCell ref="G38:G39"/>
  </mergeCells>
  <printOptions/>
  <pageMargins left="0.75" right="0.75" top="1" bottom="1" header="0.5" footer="0.5"/>
  <pageSetup cellComments="asDisplayed" fitToHeight="1" fitToWidth="1" horizontalDpi="600" verticalDpi="600" orientation="portrait" scale="46"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K26"/>
  <sheetViews>
    <sheetView workbookViewId="0" topLeftCell="A1">
      <selection activeCell="C15" sqref="C15"/>
    </sheetView>
  </sheetViews>
  <sheetFormatPr defaultColWidth="9.140625" defaultRowHeight="12.75"/>
  <cols>
    <col min="1" max="1" width="15.28125" style="0" customWidth="1"/>
    <col min="2" max="2" width="18.140625" style="0" customWidth="1"/>
    <col min="3" max="3" width="19.421875" style="0" customWidth="1"/>
    <col min="5" max="5" width="13.7109375" style="0" customWidth="1"/>
    <col min="6" max="6" width="11.7109375" style="0" customWidth="1"/>
    <col min="7" max="7" width="20.57421875" style="0" customWidth="1"/>
    <col min="9" max="9" width="13.57421875" style="0" customWidth="1"/>
    <col min="10" max="10" width="15.8515625" style="0" customWidth="1"/>
    <col min="11" max="11" width="20.421875" style="0" customWidth="1"/>
  </cols>
  <sheetData>
    <row r="1" spans="1:9" ht="12.75">
      <c r="A1" t="s">
        <v>40</v>
      </c>
      <c r="E1" t="s">
        <v>41</v>
      </c>
      <c r="I1" t="s">
        <v>42</v>
      </c>
    </row>
    <row r="2" spans="1:9" ht="12.75">
      <c r="A2" t="s">
        <v>23</v>
      </c>
      <c r="E2" t="s">
        <v>23</v>
      </c>
      <c r="I2" t="s">
        <v>23</v>
      </c>
    </row>
    <row r="3" spans="1:11" ht="12.75">
      <c r="A3" t="s">
        <v>24</v>
      </c>
      <c r="C3" s="24">
        <f>+'RWA Input Sheet'!D5</f>
        <v>500000</v>
      </c>
      <c r="E3" t="s">
        <v>24</v>
      </c>
      <c r="G3" s="24">
        <f>+'RWA Input Sheet'!D7</f>
        <v>7000</v>
      </c>
      <c r="I3" t="s">
        <v>24</v>
      </c>
      <c r="K3" s="24">
        <f>+'RWA Input Sheet'!D9</f>
        <v>323245</v>
      </c>
    </row>
    <row r="4" spans="1:11" ht="12.75">
      <c r="A4" t="s">
        <v>25</v>
      </c>
      <c r="B4" t="s">
        <v>26</v>
      </c>
      <c r="C4" s="6" t="s">
        <v>27</v>
      </c>
      <c r="E4" t="s">
        <v>25</v>
      </c>
      <c r="F4" t="s">
        <v>26</v>
      </c>
      <c r="G4" s="6" t="s">
        <v>27</v>
      </c>
      <c r="I4" t="s">
        <v>25</v>
      </c>
      <c r="J4" t="s">
        <v>26</v>
      </c>
      <c r="K4" s="6" t="s">
        <v>27</v>
      </c>
    </row>
    <row r="5" spans="1:11" ht="12.75">
      <c r="A5" s="7">
        <v>2500</v>
      </c>
      <c r="B5" s="25">
        <v>0.1</v>
      </c>
      <c r="C5" s="26">
        <f>IF((C3-250)&gt;=A5,A5*B5,(C3/1.1)*B5)</f>
        <v>250</v>
      </c>
      <c r="E5" s="7">
        <v>2500</v>
      </c>
      <c r="F5" s="25">
        <v>0.1</v>
      </c>
      <c r="G5" s="26">
        <f>IF((G3-250)&gt;=E5,E5*F5,(G3/1.1)*F5)</f>
        <v>250</v>
      </c>
      <c r="I5" s="7">
        <v>2500</v>
      </c>
      <c r="J5" s="25">
        <v>0.1</v>
      </c>
      <c r="K5" s="26">
        <f>IF((K3-250)&gt;=I5,I5*J5,(K3/1.1)*J5)</f>
        <v>250</v>
      </c>
    </row>
    <row r="6" spans="1:11" ht="12.75">
      <c r="A6" s="7">
        <v>10000</v>
      </c>
      <c r="B6" s="27">
        <v>0.09</v>
      </c>
      <c r="C6" s="26">
        <f>IF((C3-250)&gt;A5,IF((C3-925)&gt;=A6,(A6-A5)*B6,(C3-A5-SUM(C5:C5))/1.09*B6),0)</f>
        <v>675</v>
      </c>
      <c r="E6" s="7">
        <v>10000</v>
      </c>
      <c r="F6" s="27">
        <v>0.09</v>
      </c>
      <c r="G6" s="26">
        <f>IF((G3-250)&gt;E5,IF((G3-925)&gt;=E6,(E6-E5)*F6,(G3-E5-SUM(G5:G5))/1.09*F6),0)</f>
        <v>350.9174311926605</v>
      </c>
      <c r="I6" s="7">
        <v>10000</v>
      </c>
      <c r="J6" s="27">
        <v>0.09</v>
      </c>
      <c r="K6" s="26">
        <f>IF((K3-250)&gt;I5,IF((K3-925)&gt;=I6,(I6-I5)*J6,(K3-I5-SUM(K5:K5))/1.09*J6),0)</f>
        <v>675</v>
      </c>
    </row>
    <row r="7" spans="1:11" ht="12.75">
      <c r="A7" s="7">
        <v>25000</v>
      </c>
      <c r="B7" s="27">
        <v>0.08</v>
      </c>
      <c r="C7" s="26">
        <f>IF((C3-925)&gt;A6,IF((C3-2125)&gt;=A7,(A7-A6)*B7,(C3-A6-SUM(C5:C6))/1.08*B7),0)</f>
        <v>1200</v>
      </c>
      <c r="E7" s="7">
        <v>25000</v>
      </c>
      <c r="F7" s="27">
        <v>0.08</v>
      </c>
      <c r="G7" s="26">
        <f>IF((G3-925)&gt;E6,IF((G3-2125)&gt;=E7,(E7-E6)*F7,(G3-E6-SUM(G5:G6))/1.08*F7),0)</f>
        <v>0</v>
      </c>
      <c r="I7" s="7">
        <v>25000</v>
      </c>
      <c r="J7" s="27">
        <v>0.08</v>
      </c>
      <c r="K7" s="26">
        <f>IF((K3-925)&gt;I6,IF((K3-2125)&gt;=I7,(I7-I6)*J7,(K3-I6-SUM(K5:K6))/1.08*J7),0)</f>
        <v>1200</v>
      </c>
    </row>
    <row r="8" spans="1:11" ht="12.75">
      <c r="A8" s="7">
        <v>50000</v>
      </c>
      <c r="B8" s="27">
        <v>0.07</v>
      </c>
      <c r="C8" s="26">
        <f>IF((C3-2125)&gt;A7,IF((C3-3875)&gt;=A8,(A8-A7)*B8,(C3-A7-SUM(C5:C7))/1.07*B8),0)</f>
        <v>1750.0000000000002</v>
      </c>
      <c r="E8" s="7">
        <v>50000</v>
      </c>
      <c r="F8" s="27">
        <v>0.07</v>
      </c>
      <c r="G8" s="26">
        <f>IF((G3-2125)&gt;E7,IF((G3-3875)&gt;=E8,(E8-E7)*F8,(G3-E7-SUM(G5:G7))/1.07*F8),0)</f>
        <v>0</v>
      </c>
      <c r="I8" s="7">
        <v>50000</v>
      </c>
      <c r="J8" s="27">
        <v>0.07</v>
      </c>
      <c r="K8" s="26">
        <f>IF((K3-2125)&gt;I7,IF((K3-3875)&gt;=I8,(I8-I7)*J8,(K3-I7-SUM(K5:K7))/1.07*J8),0)</f>
        <v>1750.0000000000002</v>
      </c>
    </row>
    <row r="9" spans="1:11" ht="12.75">
      <c r="A9" s="7">
        <v>100000</v>
      </c>
      <c r="B9" s="27">
        <v>0.05</v>
      </c>
      <c r="C9" s="26">
        <f>IF((C3-3875)&gt;A8,IF((C3-6375)&gt;=A9,(A9-A8)*B9,(C3-A8-SUM(C5:C8))/1.05*B9),0)</f>
        <v>2500</v>
      </c>
      <c r="E9" s="7">
        <v>100000</v>
      </c>
      <c r="F9" s="27">
        <v>0.05</v>
      </c>
      <c r="G9" s="26">
        <f>IF((G3-3875)&gt;E8,IF((G3-6375)&gt;=E9,(E9-E8)*F9,(G3-E8-SUM(G5:G8))/1.05*F9),0)</f>
        <v>0</v>
      </c>
      <c r="I9" s="7">
        <v>100000</v>
      </c>
      <c r="J9" s="27">
        <v>0.05</v>
      </c>
      <c r="K9" s="26">
        <f>IF((K3-3875)&gt;I8,IF((K3-6375)&gt;=I9,(I9-I8)*J9,(K3-I8-SUM(K5:K8))/1.05*J9),0)</f>
        <v>2500</v>
      </c>
    </row>
    <row r="10" spans="1:11" ht="12.75">
      <c r="A10" s="7">
        <v>300000</v>
      </c>
      <c r="B10" s="27">
        <v>0.03</v>
      </c>
      <c r="C10" s="26">
        <f>IF((C3-6375)&gt;A9,IF((C3-12375)&gt;=A10,(A10-A9)*B10,(C3-A9-SUM(C5:C9))/1.03*B10),0)</f>
        <v>6000</v>
      </c>
      <c r="E10" s="7">
        <v>300000</v>
      </c>
      <c r="F10" s="27">
        <v>0.03</v>
      </c>
      <c r="G10" s="26">
        <f>IF((G3-6375)&gt;E9,IF((G3-12375)&gt;=E10,(E10-E9)*F10,(G3-E9-SUM(G5:G9))/1.03*F10),0)</f>
        <v>0</v>
      </c>
      <c r="I10" s="7">
        <v>300000</v>
      </c>
      <c r="J10" s="27">
        <v>0.03</v>
      </c>
      <c r="K10" s="26">
        <f>IF((K3-6375)&gt;I9,IF((K3-12375)&gt;=I10,(I10-I9)*J10,(K3-I9-SUM(K5:K9))/1.03*J10),0)</f>
        <v>6000</v>
      </c>
    </row>
    <row r="11" spans="1:11" ht="12.75">
      <c r="A11" s="7">
        <v>1000000</v>
      </c>
      <c r="B11" s="27">
        <v>0.015</v>
      </c>
      <c r="C11" s="26">
        <f>IF((C3-12375)&gt;A10,IF((C3-22875)&gt;=A11,(A11-A10)*B11,(C3-A10-SUM(C5:C10))/1.015*B11),0)</f>
        <v>2772.783251231527</v>
      </c>
      <c r="E11" s="7">
        <v>1000000</v>
      </c>
      <c r="F11" s="27">
        <v>0.015</v>
      </c>
      <c r="G11" s="26">
        <f>IF((G3-12375)&gt;E10,IF((G3-22875)&gt;=E11,(E11-E10)*F11,(G3-E10-SUM(G5:G10))/1.015*F11),0)</f>
        <v>0</v>
      </c>
      <c r="I11" s="7">
        <v>1000000</v>
      </c>
      <c r="J11" s="27">
        <v>0.015</v>
      </c>
      <c r="K11" s="26">
        <f>IF((K3-12375)&gt;I10,IF((K3-22875)&gt;=I11,(I11-I10)*J11,(K3-I10-SUM(K5:K10))/1.015*J11),0)</f>
        <v>160.64039408866998</v>
      </c>
    </row>
    <row r="12" spans="1:11" ht="12.75">
      <c r="A12" s="7">
        <v>2425000</v>
      </c>
      <c r="B12" s="25">
        <v>0.005</v>
      </c>
      <c r="C12" s="26">
        <f>IF((C3-22875)&gt;A11,IF((C3-22875)&gt;=A12,(A12-A11)*B12,(C3-A11-SUM(C5:C11))/1.005*B12),0)</f>
        <v>0</v>
      </c>
      <c r="E12" s="7">
        <v>2425000</v>
      </c>
      <c r="F12" s="25">
        <v>0.005</v>
      </c>
      <c r="G12" s="26">
        <f>IF((G3-22875)&gt;E11,IF((G3-22875)&gt;=E12,(E12-E11)*F12,(G3-E11-SUM(G5:G11))/1.005*F12),0)</f>
        <v>0</v>
      </c>
      <c r="I12" s="7">
        <v>2425000</v>
      </c>
      <c r="J12" s="25">
        <v>0.005</v>
      </c>
      <c r="K12" s="26">
        <f>IF((K3-22875)&gt;I11,IF((K3-22875)&gt;=I12,(I12-I11)*J12,(K3-I11-SUM(K5:K11))/1.005*J12),0)</f>
        <v>0</v>
      </c>
    </row>
    <row r="13" spans="1:11" ht="12.75">
      <c r="A13" t="s">
        <v>28</v>
      </c>
      <c r="C13" s="26">
        <f>SUM(C5:C12)</f>
        <v>15147.783251231527</v>
      </c>
      <c r="E13" t="s">
        <v>28</v>
      </c>
      <c r="G13" s="26">
        <f>SUM(G5:G12)</f>
        <v>600.9174311926605</v>
      </c>
      <c r="I13" t="s">
        <v>28</v>
      </c>
      <c r="K13" s="26">
        <f>SUM(K5:K12)</f>
        <v>12535.64039408867</v>
      </c>
    </row>
    <row r="14" spans="1:9" ht="12.75">
      <c r="A14" s="8"/>
      <c r="E14" s="8"/>
      <c r="I14" s="8"/>
    </row>
    <row r="15" spans="1:11" ht="12.75">
      <c r="A15" t="s">
        <v>28</v>
      </c>
      <c r="C15" s="9">
        <f>C3-C13</f>
        <v>484852.21674876846</v>
      </c>
      <c r="E15" t="s">
        <v>28</v>
      </c>
      <c r="G15" s="9">
        <f>G3-G13</f>
        <v>6399.082568807339</v>
      </c>
      <c r="I15" t="s">
        <v>28</v>
      </c>
      <c r="K15" s="9">
        <f>K3-K13</f>
        <v>310709.3596059113</v>
      </c>
    </row>
    <row r="17" spans="1:11" ht="12.75">
      <c r="A17" s="10" t="s">
        <v>29</v>
      </c>
      <c r="B17" s="11"/>
      <c r="C17" s="12">
        <f>C15/1.04</f>
        <v>466204.0545661235</v>
      </c>
      <c r="E17" s="10" t="s">
        <v>29</v>
      </c>
      <c r="F17" s="11"/>
      <c r="G17" s="12">
        <f>G15/1.04</f>
        <v>6152.964008468595</v>
      </c>
      <c r="I17" s="10" t="s">
        <v>29</v>
      </c>
      <c r="J17" s="11"/>
      <c r="K17" s="12">
        <f>K15/1.04</f>
        <v>298758.99962106853</v>
      </c>
    </row>
    <row r="18" spans="1:9" ht="12.75">
      <c r="A18" s="8"/>
      <c r="E18" s="8"/>
      <c r="I18" s="8"/>
    </row>
    <row r="20" spans="1:9" ht="12.75">
      <c r="A20" s="8"/>
      <c r="E20" s="8"/>
      <c r="I20" s="8"/>
    </row>
    <row r="21" spans="1:11" ht="12.75">
      <c r="A21" s="13"/>
      <c r="B21" s="6" t="s">
        <v>30</v>
      </c>
      <c r="C21" t="s">
        <v>31</v>
      </c>
      <c r="E21" s="13"/>
      <c r="F21" s="6" t="s">
        <v>30</v>
      </c>
      <c r="G21" t="s">
        <v>31</v>
      </c>
      <c r="I21" s="13"/>
      <c r="J21" s="6" t="s">
        <v>30</v>
      </c>
      <c r="K21" t="s">
        <v>31</v>
      </c>
    </row>
    <row r="26" spans="1:11" ht="12.75">
      <c r="A26" s="9">
        <f>SUM(C26+G26+K26)</f>
        <v>30844.640727826452</v>
      </c>
      <c r="C26" s="9">
        <f>SUM(C15-C17)</f>
        <v>18648.16218264494</v>
      </c>
      <c r="G26" s="9">
        <f>SUM(G15-G17)</f>
        <v>246.11856033874392</v>
      </c>
      <c r="K26" s="9">
        <f>SUM(K15-K17)</f>
        <v>11950.35998484277</v>
      </c>
    </row>
  </sheetData>
  <sheetProtection sheet="1" objects="1" scenarios="1" selectLockedCells="1" selectUnlockedCells="1"/>
  <printOptions/>
  <pageMargins left="0.75" right="0.75" top="1" bottom="1" header="0.5" footer="0.5"/>
  <pageSetup fitToHeight="1"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BernardDMinakowski</dc:creator>
  <cp:keywords/>
  <dc:description/>
  <cp:lastModifiedBy>DebbieSawyer</cp:lastModifiedBy>
  <cp:lastPrinted>2007-03-14T20:43:27Z</cp:lastPrinted>
  <dcterms:created xsi:type="dcterms:W3CDTF">2007-02-22T16:31:26Z</dcterms:created>
  <dcterms:modified xsi:type="dcterms:W3CDTF">2007-03-14T20:43:53Z</dcterms:modified>
  <cp:category/>
  <cp:version/>
  <cp:contentType/>
  <cp:contentStatus/>
</cp:coreProperties>
</file>