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1115" windowHeight="8190" tabRatio="684" activeTab="0"/>
  </bookViews>
  <sheets>
    <sheet name="Appendix A" sheetId="1" r:id="rId1"/>
    <sheet name="Table 1a" sheetId="2" r:id="rId2"/>
    <sheet name="Table 1b" sheetId="3" r:id="rId3"/>
    <sheet name="Table 2" sheetId="4" r:id="rId4"/>
    <sheet name="Table 3" sheetId="5" r:id="rId5"/>
    <sheet name="Table 4" sheetId="6" r:id="rId6"/>
    <sheet name="Table 5" sheetId="7" r:id="rId7"/>
    <sheet name="Table 6" sheetId="8" r:id="rId8"/>
    <sheet name="Table 7" sheetId="9" r:id="rId9"/>
    <sheet name="Table 8a" sheetId="10" r:id="rId10"/>
    <sheet name="Table 8b" sheetId="11" r:id="rId11"/>
    <sheet name="Table 9" sheetId="12" r:id="rId12"/>
    <sheet name="Table 10" sheetId="13" r:id="rId13"/>
  </sheets>
  <definedNames>
    <definedName name="_xlnm.Print_Titles" localSheetId="12">'Table 10'!$1:$1</definedName>
    <definedName name="_xlnm.Print_Titles" localSheetId="1">'Table 1a'!$1:$1</definedName>
    <definedName name="_xlnm.Print_Titles" localSheetId="3">'Table 2'!$1:$1</definedName>
    <definedName name="_xlnm.Print_Titles" localSheetId="4">'Table 3'!$1:$1</definedName>
    <definedName name="_xlnm.Print_Titles" localSheetId="5">'Table 4'!$1:$1</definedName>
    <definedName name="_xlnm.Print_Titles" localSheetId="6">'Table 5'!$1:$2</definedName>
    <definedName name="_xlnm.Print_Titles" localSheetId="7">'Table 6'!$1:$2</definedName>
    <definedName name="_xlnm.Print_Titles" localSheetId="9">'Table 8a'!$1:$2</definedName>
  </definedNames>
  <calcPr fullCalcOnLoad="1"/>
</workbook>
</file>

<file path=xl/sharedStrings.xml><?xml version="1.0" encoding="utf-8"?>
<sst xmlns="http://schemas.openxmlformats.org/spreadsheetml/2006/main" count="923" uniqueCount="226">
  <si>
    <t>Total</t>
  </si>
  <si>
    <t>Less than High School</t>
  </si>
  <si>
    <t>High School Graduate</t>
  </si>
  <si>
    <t>Married</t>
  </si>
  <si>
    <t>Widowed</t>
  </si>
  <si>
    <t>Divorced</t>
  </si>
  <si>
    <t>Unemployed</t>
  </si>
  <si>
    <t>Never Married</t>
  </si>
  <si>
    <t>College Degree</t>
  </si>
  <si>
    <t>Some College</t>
  </si>
  <si>
    <t>55-64 year olds</t>
  </si>
  <si>
    <t>55-61 year olds</t>
  </si>
  <si>
    <t>62-64 year olds</t>
  </si>
  <si>
    <t>Selected characteristics</t>
  </si>
  <si>
    <t>Race and Hispanic origin</t>
  </si>
  <si>
    <t>Hispanic (of any race)</t>
  </si>
  <si>
    <t>Education</t>
  </si>
  <si>
    <t>Marital status</t>
  </si>
  <si>
    <t>Veteran status</t>
  </si>
  <si>
    <t>X</t>
  </si>
  <si>
    <t>Living arrangements</t>
  </si>
  <si>
    <t>Income</t>
  </si>
  <si>
    <t>Family Household Income</t>
  </si>
  <si>
    <t xml:space="preserve">1984 CPI Adjustment </t>
  </si>
  <si>
    <t>1994 CPI Adjustment</t>
  </si>
  <si>
    <t>Self-reported health status</t>
  </si>
  <si>
    <t>Poor/Fair</t>
  </si>
  <si>
    <t>Labor force participation status</t>
  </si>
  <si>
    <t>Employed full-time</t>
  </si>
  <si>
    <t>Employed part-time</t>
  </si>
  <si>
    <t>Not in labor force</t>
  </si>
  <si>
    <t xml:space="preserve"> </t>
  </si>
  <si>
    <t>Married includes married spouse present; married spouse absent; and separated.</t>
  </si>
  <si>
    <t>Sex</t>
  </si>
  <si>
    <t>Type of benefit</t>
  </si>
  <si>
    <t>Retired worker</t>
  </si>
  <si>
    <t>Disabled  worker</t>
  </si>
  <si>
    <t>Spouse</t>
  </si>
  <si>
    <t>Survivor</t>
  </si>
  <si>
    <t>by selected characteristics, 1994 and 2004</t>
  </si>
  <si>
    <t xml:space="preserve">to continue after leaving. The measure also counts coverage from a spouse’s employer-based insurance that continues after employment stops. </t>
  </si>
  <si>
    <t xml:space="preserve">The measure used here includes former employees who have left their job and current employees who expect insurance </t>
  </si>
  <si>
    <t>Table 1a. Number and percentage of people aged 55-64, by race and Hispanic origin, 1984, 1994, and 2004</t>
  </si>
  <si>
    <t>Median household income</t>
  </si>
  <si>
    <t>Table 1b. Population projections of people aged 55-64, by sex, 2014, 2024, and 2034</t>
  </si>
  <si>
    <t>White, not Hispanic</t>
  </si>
  <si>
    <t>Black, not Hispanic</t>
  </si>
  <si>
    <t>Is a veteran</t>
  </si>
  <si>
    <t>A single question which asks for the highest grade or degree completed is now used to determine educational attainment.  Prior to 1995, educational attainment was measured using data on years of school completed.</t>
  </si>
  <si>
    <t xml:space="preserve">Married includes married spouse present; married spouse absent; and separated.  </t>
  </si>
  <si>
    <t>55-64 year old householders</t>
  </si>
  <si>
    <t>55-61 year old householders</t>
  </si>
  <si>
    <t>Data for 1994 and later years are not strictly comparable with data for 1993 and earlier years due to a redesign of the survey and methodology of the CPS.  Beginning in 2000, data incorporate population controls from Census 2000.</t>
  </si>
  <si>
    <t>na</t>
  </si>
  <si>
    <t xml:space="preserve"> Low income is between 100 percent and 199 percent of the poverty threshold.  Middle income is between 200 percent and 399 percent of the poverty threshold.  High income is 400 percent or more of the poverty threshold.  </t>
  </si>
  <si>
    <t xml:space="preserve">The income categories are derived from the ratio of the family’s income (or an unrelated individual’s income) to the corresponding poverty threshold.  Being in poverty is measured as income less than 100 percent of the poverty threshold.  </t>
  </si>
  <si>
    <t>Other, not Hispanic</t>
  </si>
  <si>
    <t>**Includes only people who report having home equity.</t>
  </si>
  <si>
    <t>*Includes only people who report having assets.</t>
  </si>
  <si>
    <t>Good to Excellent</t>
  </si>
  <si>
    <t>Private</t>
  </si>
  <si>
    <t>Medicare</t>
  </si>
  <si>
    <t>Uninsured</t>
  </si>
  <si>
    <t>Medicaid</t>
  </si>
  <si>
    <t>Poverty status</t>
  </si>
  <si>
    <t>Appendix A: Detailed Tables</t>
  </si>
  <si>
    <t xml:space="preserve">  Total Number (in thousands)</t>
  </si>
  <si>
    <t xml:space="preserve">  Percent</t>
  </si>
  <si>
    <t xml:space="preserve">  Non-Hispanic white</t>
  </si>
  <si>
    <t xml:space="preserve">  Non-Hispanic black</t>
  </si>
  <si>
    <t xml:space="preserve">  Hispanic (of any race)</t>
  </si>
  <si>
    <t>[Return to Menu]</t>
  </si>
  <si>
    <r>
      <t>Reference population</t>
    </r>
    <r>
      <rPr>
        <sz val="12"/>
        <rFont val="Times New Roman"/>
        <family val="1"/>
      </rPr>
      <t>:  These data refer to the resident population.</t>
    </r>
  </si>
  <si>
    <r>
      <t>Source</t>
    </r>
    <r>
      <rPr>
        <sz val="12"/>
        <rFont val="Times New Roman"/>
        <family val="1"/>
      </rPr>
      <t>:  U.S. Census Bureau, Population estimates.</t>
    </r>
  </si>
  <si>
    <t xml:space="preserve">  Total number (in thousands)</t>
  </si>
  <si>
    <r>
      <t>Reference population:</t>
    </r>
    <r>
      <rPr>
        <sz val="12"/>
        <rFont val="Times New Roman"/>
        <family val="1"/>
      </rPr>
      <t xml:space="preserve">  These data refer to the resident population.</t>
    </r>
  </si>
  <si>
    <r>
      <t>Source:</t>
    </r>
    <r>
      <rPr>
        <sz val="12"/>
        <rFont val="Times New Roman"/>
        <family val="1"/>
      </rPr>
      <t xml:space="preserve">  U.S. Census Bureau, International Data Base.</t>
    </r>
  </si>
  <si>
    <t xml:space="preserve">  Less than high school</t>
  </si>
  <si>
    <t xml:space="preserve">  High school</t>
  </si>
  <si>
    <t xml:space="preserve">  Some college</t>
  </si>
  <si>
    <t xml:space="preserve">  College degree</t>
  </si>
  <si>
    <t xml:space="preserve">  Married</t>
  </si>
  <si>
    <t xml:space="preserve">  Widowed</t>
  </si>
  <si>
    <t xml:space="preserve">  Divorced</t>
  </si>
  <si>
    <t xml:space="preserve">  Never married</t>
  </si>
  <si>
    <t xml:space="preserve">  With spouse</t>
  </si>
  <si>
    <t xml:space="preserve">  With other relatives</t>
  </si>
  <si>
    <t xml:space="preserve">  With non-relatives</t>
  </si>
  <si>
    <t xml:space="preserve">  Alone</t>
  </si>
  <si>
    <t xml:space="preserve">  Poverty (less than 100%)</t>
  </si>
  <si>
    <t xml:space="preserve">  Is a veteran</t>
  </si>
  <si>
    <r>
      <t>Reference population:</t>
    </r>
    <r>
      <rPr>
        <sz val="12"/>
        <rFont val="Times New Roman"/>
        <family val="1"/>
      </rPr>
      <t xml:space="preserve">  These data refer to the civilian noninsititutionalized population.</t>
    </r>
  </si>
  <si>
    <t xml:space="preserve">  Standard Error</t>
  </si>
  <si>
    <t>Table 2. Demographic characteristics of people aged 55-64, by selected characteristics, 1984, 1994, and 2004*</t>
  </si>
  <si>
    <t>*Demographic data from CPS survey years 1984, 1994, 2004.  Income data from calendar years 1984, 1994 and 2004.</t>
  </si>
  <si>
    <t>na = Data not available.</t>
  </si>
  <si>
    <r>
      <t>Note:</t>
    </r>
    <r>
      <rPr>
        <sz val="12"/>
        <rFont val="Times New Roman"/>
        <family val="1"/>
      </rPr>
      <t xml:space="preserve">  Data for 1994 and later years are not strictly comparable with data for 1993 and earlier years due to a redesign of the survey and methodology of the Current Population Survey (CPS).  Beginning in 2000, data incorporate population controls from Census 2000.</t>
    </r>
  </si>
  <si>
    <r>
      <t>Source:</t>
    </r>
    <r>
      <rPr>
        <sz val="12"/>
        <rFont val="Times New Roman"/>
        <family val="1"/>
      </rPr>
      <t xml:space="preserve">  U.S. Census Bureau, Current Population Survey, Annual Social and Economic Supplement.</t>
    </r>
  </si>
  <si>
    <t>Table 3. Labor force participation rates of people aged 55-64, by selected characteristics, annual averages, 1984, 1994, and 2004</t>
  </si>
  <si>
    <t>Selected Characteristics</t>
  </si>
  <si>
    <t>Married includes married spouse present.</t>
  </si>
  <si>
    <r>
      <t xml:space="preserve">Note: </t>
    </r>
    <r>
      <rPr>
        <sz val="12"/>
        <rFont val="Times New Roman"/>
        <family val="1"/>
      </rPr>
      <t xml:space="preserve"> Data for 1994 and later years are not strictly comparable with data for 1993 and earlier years due to a redesign of the survey and methodology of the CPS.  Beginning in 2000, data incorporate population controls from Census 2000.</t>
    </r>
  </si>
  <si>
    <r>
      <t xml:space="preserve">Reference population: </t>
    </r>
    <r>
      <rPr>
        <sz val="12"/>
        <rFont val="Times New Roman"/>
        <family val="1"/>
      </rPr>
      <t xml:space="preserve"> These data refer to the civilian noninstitutionalized population.</t>
    </r>
  </si>
  <si>
    <r>
      <t>Source:</t>
    </r>
    <r>
      <rPr>
        <sz val="12"/>
        <rFont val="Times New Roman"/>
        <family val="1"/>
      </rPr>
      <t xml:space="preserve">  Bureau of Labor Statistics, Current Population Survey.</t>
    </r>
  </si>
  <si>
    <t xml:space="preserve">Table 4. Median household income of people aged 55-64, in 2004 dollars, by selected characteristics, 1984, 1994, and 2004* </t>
  </si>
  <si>
    <t xml:space="preserve">  Low income (100-199%)</t>
  </si>
  <si>
    <t xml:space="preserve">  Middle income (200-399%)</t>
  </si>
  <si>
    <t xml:space="preserve">  High income (400% or more)</t>
  </si>
  <si>
    <t>*Median income data from calendar years 1984, 1994, and 2004.</t>
  </si>
  <si>
    <t>na =  Data not available.</t>
  </si>
  <si>
    <r>
      <t>Note:</t>
    </r>
    <r>
      <rPr>
        <sz val="12"/>
        <rFont val="Times New Roman"/>
        <family val="1"/>
      </rPr>
      <t xml:space="preserve">  Data for 1984 and 1994 have been inflation adjusted to 2004 dollars. </t>
    </r>
  </si>
  <si>
    <t xml:space="preserve">  Men</t>
  </si>
  <si>
    <t xml:space="preserve">  Women</t>
  </si>
  <si>
    <t>Race and Hispanic Origin</t>
  </si>
  <si>
    <t xml:space="preserve">  Non-Hispanic White</t>
  </si>
  <si>
    <t xml:space="preserve">  Non-Hispanic Black</t>
  </si>
  <si>
    <t xml:space="preserve">  Non-Hispanic Other</t>
  </si>
  <si>
    <t xml:space="preserve">  Poor/Fair</t>
  </si>
  <si>
    <t xml:space="preserve">  Good to excellent</t>
  </si>
  <si>
    <t>Labor force participation
status</t>
  </si>
  <si>
    <t xml:space="preserve">  Employed full-time</t>
  </si>
  <si>
    <t xml:space="preserve">  Employed part-time</t>
  </si>
  <si>
    <t xml:space="preserve">  Unemployed</t>
  </si>
  <si>
    <t xml:space="preserve">  Not in labor force</t>
  </si>
  <si>
    <r>
      <t xml:space="preserve">Note: </t>
    </r>
    <r>
      <rPr>
        <sz val="12"/>
        <rFont val="Times New Roman"/>
        <family val="1"/>
      </rPr>
      <t xml:space="preserve"> Data for 1994 have been inflation adjusted to 2004 dollars.</t>
    </r>
  </si>
  <si>
    <r>
      <t xml:space="preserve">Source: </t>
    </r>
    <r>
      <rPr>
        <sz val="12"/>
        <rFont val="Times New Roman"/>
        <family val="1"/>
      </rPr>
      <t xml:space="preserve"> Health and Retirement Study.</t>
    </r>
  </si>
  <si>
    <t>1994 Selected Characteristics</t>
  </si>
  <si>
    <t xml:space="preserve">   Poor/Fair</t>
  </si>
  <si>
    <t xml:space="preserve">  Good to Excellent</t>
  </si>
  <si>
    <t>2004 Selected Characteristics</t>
  </si>
  <si>
    <t xml:space="preserve">their worklife, by pension type and selected characteristics, 1994 and 2004 </t>
  </si>
  <si>
    <t xml:space="preserve">Table 6. Percentage of people aged 55-64 who participated in a pension plan with an employer during </t>
  </si>
  <si>
    <t xml:space="preserve">Table 6. Percentage of people aged 55-64 who participated in a pension plan with an employer during their worklife, by pension type 
and selected characteristics, 1994 and 2004 </t>
  </si>
  <si>
    <t xml:space="preserve">Table 5. Median household net worth of people aged 55-64 who report having assets*, by selected characteristics, </t>
  </si>
  <si>
    <t>in 2004 dollars, 1994 and 2004</t>
  </si>
  <si>
    <t>by type of benefit, 1984, 1994, and 2004</t>
  </si>
  <si>
    <t xml:space="preserve">Average monthly retired </t>
  </si>
  <si>
    <t xml:space="preserve">worker benefits for people </t>
  </si>
  <si>
    <t xml:space="preserve">currently receiving Social </t>
  </si>
  <si>
    <t xml:space="preserve">Security benefits adjusted </t>
  </si>
  <si>
    <t>to 2004 dollars</t>
  </si>
  <si>
    <r>
      <t xml:space="preserve">Reference population: </t>
    </r>
    <r>
      <rPr>
        <sz val="12"/>
        <rFont val="Times New Roman"/>
        <family val="1"/>
      </rPr>
      <t xml:space="preserve"> These data refer to Social Security beneficiaries.</t>
    </r>
  </si>
  <si>
    <r>
      <t xml:space="preserve">Source:  </t>
    </r>
    <r>
      <rPr>
        <sz val="12"/>
        <rFont val="Times New Roman"/>
        <family val="1"/>
      </rPr>
      <t>Statistical Supplement to the Social Security Bulletin 1986 Table 84, 1995 Table 5.A.16, and 2005 Table 5.A.16.</t>
    </r>
  </si>
  <si>
    <t xml:space="preserve">Table 7. Selected characteristics of people aged 62-64 currently receiving Social Security benefits, </t>
  </si>
  <si>
    <t>Table 5. Median household net worth of people aged 55-64 who report having assets*, by selected characteristics, 
in 2004 dollars, 1994 and 2004</t>
  </si>
  <si>
    <t>Table 7. Selected characteristics of people aged 62-64 currently receiving Social Security benefits, by type of benefit, 
1984, 1994, and 2004</t>
  </si>
  <si>
    <t>Table 8a. Percentage of people aged 55-64 with employer-based retiree health insurance coverage,</t>
  </si>
  <si>
    <r>
      <t xml:space="preserve">Note: </t>
    </r>
    <r>
      <rPr>
        <sz val="12"/>
        <rFont val="Times New Roman"/>
        <family val="1"/>
      </rPr>
      <t xml:space="preserve"> Employer-based retiree health insurance is health insurance that will continue after an employee leaves his/her job. </t>
    </r>
  </si>
  <si>
    <r>
      <t xml:space="preserve">Reference population:  </t>
    </r>
    <r>
      <rPr>
        <sz val="12"/>
        <rFont val="Times New Roman"/>
        <family val="1"/>
      </rPr>
      <t>These data refer to the civilian noninstitutionalized population.</t>
    </r>
  </si>
  <si>
    <t>Table 8a. Percentage of people aged 55-64 with employer-based retiree health insurance coverage, by selected characteristics, 
1994 and 2004</t>
  </si>
  <si>
    <t>Other 
coverage</t>
  </si>
  <si>
    <t xml:space="preserve">  Below 100 percent</t>
  </si>
  <si>
    <t xml:space="preserve">  100-199 percent</t>
  </si>
  <si>
    <t xml:space="preserve">  200 percent or more</t>
  </si>
  <si>
    <r>
      <t>Note:</t>
    </r>
    <r>
      <rPr>
        <sz val="12"/>
        <rFont val="Times New Roman"/>
        <family val="1"/>
      </rPr>
      <t xml:space="preserve">  Poverty status is based on family income and family size using the U.S. Census Bureau's</t>
    </r>
  </si>
  <si>
    <t>poverty thresholds.</t>
  </si>
  <si>
    <r>
      <t xml:space="preserve">Source:  </t>
    </r>
    <r>
      <rPr>
        <sz val="12"/>
        <rFont val="Times New Roman"/>
        <family val="1"/>
      </rPr>
      <t>Centers for Disease Control and Prevention, National Center for Health Statistics, National Health Interview Survey.</t>
    </r>
  </si>
  <si>
    <t>Table 10. Percentage of people aged 55-64 with long-term care insurance coverage, by selected characteristics, 2004</t>
  </si>
  <si>
    <r>
      <t>Source:</t>
    </r>
    <r>
      <rPr>
        <sz val="12"/>
        <rFont val="Times New Roman"/>
        <family val="1"/>
      </rPr>
      <t xml:space="preserve">  Health and Retirement Study.</t>
    </r>
  </si>
  <si>
    <t>Table 9. Percentage of people aged 55-64 with living children, by selected characteristics, 1994 and 2004</t>
  </si>
  <si>
    <r>
      <t xml:space="preserve">Reference Population:  </t>
    </r>
    <r>
      <rPr>
        <sz val="12"/>
        <rFont val="Times New Roman"/>
        <family val="1"/>
      </rPr>
      <t>These data refer to the civilian noninstitutionalized population.</t>
    </r>
  </si>
  <si>
    <r>
      <t>Source:</t>
    </r>
    <r>
      <rPr>
        <i/>
        <sz val="12"/>
        <rFont val="Times New Roman"/>
        <family val="1"/>
      </rPr>
      <t xml:space="preserve">  </t>
    </r>
    <r>
      <rPr>
        <sz val="12"/>
        <rFont val="Times New Roman"/>
        <family val="1"/>
      </rPr>
      <t>Health and Retirement Study.</t>
    </r>
  </si>
  <si>
    <t>Standard error</t>
  </si>
  <si>
    <t xml:space="preserve">  Standard error</t>
  </si>
  <si>
    <t>--</t>
  </si>
  <si>
    <t>62-64 year old householders</t>
  </si>
  <si>
    <t>Standard Error</t>
  </si>
  <si>
    <t>nd</t>
  </si>
  <si>
    <t>na/nd = Data not available.</t>
  </si>
  <si>
    <t>.</t>
  </si>
  <si>
    <t>1984
Total</t>
  </si>
  <si>
    <t>1984
Men</t>
  </si>
  <si>
    <t>1984
Women</t>
  </si>
  <si>
    <t>1994
Total</t>
  </si>
  <si>
    <t>1994
Men</t>
  </si>
  <si>
    <t>1994
Women</t>
  </si>
  <si>
    <t>2004
Total</t>
  </si>
  <si>
    <t>2004
Men</t>
  </si>
  <si>
    <t>2004
Women</t>
  </si>
  <si>
    <t>2014
Total</t>
  </si>
  <si>
    <t>2014
Men</t>
  </si>
  <si>
    <t>2014
Women</t>
  </si>
  <si>
    <t>2024
Total</t>
  </si>
  <si>
    <t>2024
Men</t>
  </si>
  <si>
    <t>2024
Women</t>
  </si>
  <si>
    <t>2034
Total</t>
  </si>
  <si>
    <t>2034
Men</t>
  </si>
  <si>
    <t>2034
Women</t>
  </si>
  <si>
    <t>1994
Median
total
net worth</t>
  </si>
  <si>
    <t>1994
Median
net worth
excluding
home
equity</t>
  </si>
  <si>
    <t>1994
Median
home
equity**</t>
  </si>
  <si>
    <t>1994
Percent
that own
homes</t>
  </si>
  <si>
    <t>2004
Median
total
net worth</t>
  </si>
  <si>
    <t>2004
Median
net worth
excluding
home
equity</t>
  </si>
  <si>
    <t>2004
Median
home
equity**</t>
  </si>
  <si>
    <t>2004
Percent
that own
homes</t>
  </si>
  <si>
    <t xml:space="preserve">55-64 year olds </t>
  </si>
  <si>
    <t>Total
Without
Pension</t>
  </si>
  <si>
    <t>Men
Without
Pension</t>
  </si>
  <si>
    <t>Women
Without
Pension</t>
  </si>
  <si>
    <t>Total
Defined-
benefit</t>
  </si>
  <si>
    <t>Men
Defined-
benefit</t>
  </si>
  <si>
    <t>Women
Defined-
benefit</t>
  </si>
  <si>
    <t>Men
Defined-
contribution</t>
  </si>
  <si>
    <t>Women
Defined-
contribution</t>
  </si>
  <si>
    <t>Total
Both</t>
  </si>
  <si>
    <t>Men
Both</t>
  </si>
  <si>
    <t>Women
Both</t>
  </si>
  <si>
    <t>Percentages
of 1994
Men</t>
  </si>
  <si>
    <t>Percentages
of 1994
Total</t>
  </si>
  <si>
    <t>Percentages
of 1994
Women</t>
  </si>
  <si>
    <t>Percentages
of 2004
Total</t>
  </si>
  <si>
    <t>Percentages
of 2004
Men</t>
  </si>
  <si>
    <t>Percentages
of 2004
Women</t>
  </si>
  <si>
    <t>Table 8b. Percentage of people aged 55-64 by health insurance coverage type, poverty status, and sex, 2006</t>
  </si>
  <si>
    <t xml:space="preserve">Net worth data do not include pension wealth.  This excludes private defined-contribution and defined benefit plans as well as rights to Social </t>
  </si>
  <si>
    <t>Security wealth.</t>
  </si>
  <si>
    <t>Total
Defined-
contri-
bution</t>
  </si>
  <si>
    <r>
      <t>Note:</t>
    </r>
    <r>
      <rPr>
        <sz val="12"/>
        <rFont val="Times New Roman"/>
        <family val="1"/>
      </rPr>
      <t xml:space="preserve">  The percentage of people aged 55-64 who did not know or refused to answer questions about their pensions are as follows: Men, 1.0 percent in 1994 </t>
    </r>
  </si>
  <si>
    <t>and 0.9 percent in 2004; Women, 2.7 percent in 1994 and 1.4 percent in 2004.</t>
  </si>
  <si>
    <t xml:space="preserve">At the time of the most recent interview at age 55-64, some will have left the job and transferred the pension money out of the pension plan to an Individual </t>
  </si>
  <si>
    <t>Retirement Account, an annuity, or other uses.</t>
  </si>
  <si>
    <t xml:space="preserve">The measurement of pension participation reflects a report that the person participated in a pension plan in the original interview or in past jobs.  It also </t>
  </si>
  <si>
    <t>includes reported participation in subsequent interviews.</t>
  </si>
  <si>
    <r>
      <t xml:space="preserve">  </t>
    </r>
    <r>
      <rPr>
        <b/>
        <sz val="12"/>
        <rFont val="Times New Roman"/>
        <family val="1"/>
      </rPr>
      <t>High School</t>
    </r>
  </si>
  <si>
    <r>
      <t xml:space="preserve">  </t>
    </r>
    <r>
      <rPr>
        <b/>
        <i/>
        <sz val="12"/>
        <rFont val="Times New Roman"/>
        <family val="1"/>
      </rPr>
      <t>Standard Error</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</si>
</sst>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 #,##0.0_);_(* \(#,##0.0\);_(* &quot;-&quot;??_);_(@_)"/>
    <numFmt numFmtId="168" formatCode="#,##0;[Red]#,##0"/>
    <numFmt numFmtId="169" formatCode="0.0000"/>
    <numFmt numFmtId="170" formatCode="&quot;$&quot;#,##0"/>
    <numFmt numFmtId="171" formatCode="&quot;Yes&quot;;&quot;Yes&quot;;&quot;No&quot;"/>
    <numFmt numFmtId="172" formatCode="&quot;True&quot;;&quot;True&quot;;&quot;False&quot;"/>
    <numFmt numFmtId="173" formatCode="&quot;On&quot;;&quot;On&quot;;&quot;Off&quot;"/>
    <numFmt numFmtId="174" formatCode="[$€-2]\ #,##0.00_);[Red]\([$€-2]\ #,##0.00\)"/>
  </numFmts>
  <fonts count="18">
    <font>
      <sz val="10"/>
      <name val="Arial"/>
      <family val="0"/>
    </font>
    <font>
      <sz val="8"/>
      <name val="Arial"/>
      <family val="0"/>
    </font>
    <font>
      <u val="single"/>
      <sz val="10"/>
      <color indexed="56"/>
      <name val="Arial"/>
      <family val="0"/>
    </font>
    <font>
      <u val="single"/>
      <sz val="10"/>
      <color indexed="30"/>
      <name val="Arial"/>
      <family val="0"/>
    </font>
    <font>
      <b/>
      <sz val="12"/>
      <name val="Arial"/>
      <family val="2"/>
    </font>
    <font>
      <sz val="9"/>
      <name val="Arial"/>
      <family val="0"/>
    </font>
    <font>
      <b/>
      <sz val="12"/>
      <name val="Times New Roman"/>
      <family val="1"/>
    </font>
    <font>
      <sz val="12"/>
      <name val="Times New Roman"/>
      <family val="1"/>
    </font>
    <font>
      <sz val="12"/>
      <color indexed="30"/>
      <name val="Times New Roman"/>
      <family val="1"/>
    </font>
    <font>
      <u val="single"/>
      <sz val="12"/>
      <color indexed="30"/>
      <name val="Times New Roman"/>
      <family val="1"/>
    </font>
    <font>
      <b/>
      <i/>
      <sz val="12"/>
      <name val="Times New Roman"/>
      <family val="1"/>
    </font>
    <font>
      <i/>
      <sz val="12"/>
      <name val="Times New Roman"/>
      <family val="1"/>
    </font>
    <font>
      <i/>
      <sz val="10"/>
      <name val="Arial"/>
      <family val="2"/>
    </font>
    <font>
      <sz val="12"/>
      <color indexed="10"/>
      <name val="Times New Roman"/>
      <family val="1"/>
    </font>
    <font>
      <sz val="12"/>
      <color indexed="18"/>
      <name val="Times New Roman"/>
      <family val="1"/>
    </font>
    <font>
      <b/>
      <sz val="12"/>
      <color indexed="18"/>
      <name val="Times New Roman"/>
      <family val="1"/>
    </font>
    <font>
      <u val="single"/>
      <sz val="12"/>
      <name val="Times New Roman"/>
      <family val="1"/>
    </font>
    <font>
      <i/>
      <sz val="12"/>
      <color indexed="10"/>
      <name val="Times New Roman"/>
      <family val="1"/>
    </font>
  </fonts>
  <fills count="3">
    <fill>
      <patternFill/>
    </fill>
    <fill>
      <patternFill patternType="gray125"/>
    </fill>
    <fill>
      <patternFill patternType="solid">
        <fgColor indexed="9"/>
        <bgColor indexed="64"/>
      </patternFill>
    </fill>
  </fills>
  <borders count="1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09">
    <xf numFmtId="0" fontId="0" fillId="0" borderId="0" xfId="0" applyAlignment="1">
      <alignment/>
    </xf>
    <xf numFmtId="0" fontId="4" fillId="0" borderId="0" xfId="0" applyFont="1" applyAlignment="1" quotePrefix="1">
      <alignment/>
    </xf>
    <xf numFmtId="0" fontId="5" fillId="0" borderId="0" xfId="0" applyFont="1" applyAlignment="1">
      <alignment/>
    </xf>
    <xf numFmtId="0" fontId="6" fillId="0" borderId="0" xfId="0" applyFont="1" applyAlignment="1">
      <alignment/>
    </xf>
    <xf numFmtId="3" fontId="7" fillId="0" borderId="0" xfId="0" applyNumberFormat="1" applyFont="1" applyAlignment="1">
      <alignment/>
    </xf>
    <xf numFmtId="3" fontId="7" fillId="0" borderId="0" xfId="0" applyNumberFormat="1" applyFont="1" applyBorder="1" applyAlignment="1">
      <alignment/>
    </xf>
    <xf numFmtId="0" fontId="7" fillId="0" borderId="0" xfId="0" applyFont="1" applyBorder="1" applyAlignment="1">
      <alignment/>
    </xf>
    <xf numFmtId="0" fontId="7" fillId="0" borderId="0" xfId="0" applyFont="1" applyAlignment="1">
      <alignment/>
    </xf>
    <xf numFmtId="164" fontId="7" fillId="0" borderId="0" xfId="0" applyNumberFormat="1" applyFont="1" applyBorder="1" applyAlignment="1">
      <alignment/>
    </xf>
    <xf numFmtId="0" fontId="8" fillId="0" borderId="0" xfId="20" applyFont="1" applyAlignment="1">
      <alignment/>
    </xf>
    <xf numFmtId="3" fontId="9" fillId="0" borderId="0" xfId="20" applyNumberFormat="1" applyFont="1" applyAlignment="1">
      <alignment/>
    </xf>
    <xf numFmtId="3" fontId="7" fillId="0" borderId="1" xfId="0" applyNumberFormat="1" applyFont="1" applyBorder="1" applyAlignment="1">
      <alignment/>
    </xf>
    <xf numFmtId="3" fontId="7" fillId="0" borderId="1" xfId="0" applyNumberFormat="1" applyFont="1" applyBorder="1" applyAlignment="1">
      <alignment horizontal="right"/>
    </xf>
    <xf numFmtId="3" fontId="7" fillId="0" borderId="0" xfId="0" applyNumberFormat="1" applyFont="1" applyBorder="1" applyAlignment="1">
      <alignment horizontal="right"/>
    </xf>
    <xf numFmtId="3" fontId="7" fillId="0" borderId="2" xfId="0" applyNumberFormat="1" applyFont="1" applyBorder="1" applyAlignment="1">
      <alignment horizontal="right"/>
    </xf>
    <xf numFmtId="164" fontId="7" fillId="0" borderId="2" xfId="0" applyNumberFormat="1" applyFont="1" applyBorder="1" applyAlignment="1">
      <alignment horizontal="right"/>
    </xf>
    <xf numFmtId="164" fontId="7" fillId="0" borderId="3" xfId="0" applyNumberFormat="1" applyFont="1" applyBorder="1" applyAlignment="1">
      <alignment horizontal="right"/>
    </xf>
    <xf numFmtId="164" fontId="7" fillId="0" borderId="4" xfId="0" applyNumberFormat="1" applyFont="1" applyBorder="1" applyAlignment="1">
      <alignment horizontal="right"/>
    </xf>
    <xf numFmtId="164" fontId="7" fillId="0" borderId="5" xfId="0" applyNumberFormat="1" applyFont="1" applyBorder="1" applyAlignment="1">
      <alignment horizontal="right"/>
    </xf>
    <xf numFmtId="0" fontId="7" fillId="0" borderId="2" xfId="0" applyFont="1" applyBorder="1" applyAlignment="1">
      <alignment horizontal="right"/>
    </xf>
    <xf numFmtId="0" fontId="10" fillId="0" borderId="0" xfId="0" applyFont="1" applyBorder="1" applyAlignment="1">
      <alignment/>
    </xf>
    <xf numFmtId="0" fontId="7" fillId="0" borderId="1" xfId="0" applyFont="1" applyBorder="1" applyAlignment="1">
      <alignment/>
    </xf>
    <xf numFmtId="0" fontId="6" fillId="0" borderId="1" xfId="0" applyFont="1" applyBorder="1" applyAlignment="1">
      <alignment/>
    </xf>
    <xf numFmtId="164" fontId="7" fillId="0" borderId="2" xfId="0" applyNumberFormat="1" applyFont="1" applyBorder="1" applyAlignment="1">
      <alignment/>
    </xf>
    <xf numFmtId="3" fontId="7" fillId="0" borderId="1" xfId="0" applyNumberFormat="1" applyFont="1" applyBorder="1" applyAlignment="1">
      <alignment horizontal="right" wrapText="1"/>
    </xf>
    <xf numFmtId="3" fontId="7" fillId="0" borderId="0" xfId="0" applyNumberFormat="1" applyFont="1" applyBorder="1" applyAlignment="1">
      <alignment horizontal="right" wrapText="1"/>
    </xf>
    <xf numFmtId="3" fontId="7" fillId="0" borderId="6" xfId="0" applyNumberFormat="1" applyFont="1" applyBorder="1" applyAlignment="1">
      <alignment horizontal="right" wrapText="1"/>
    </xf>
    <xf numFmtId="3" fontId="7" fillId="0" borderId="7" xfId="0" applyNumberFormat="1" applyFont="1" applyBorder="1" applyAlignment="1">
      <alignment horizontal="right" wrapText="1"/>
    </xf>
    <xf numFmtId="3" fontId="7" fillId="0" borderId="8" xfId="0" applyNumberFormat="1" applyFont="1" applyBorder="1" applyAlignment="1">
      <alignment horizontal="right" wrapText="1"/>
    </xf>
    <xf numFmtId="3" fontId="7" fillId="0" borderId="2" xfId="0" applyNumberFormat="1" applyFont="1" applyBorder="1" applyAlignment="1">
      <alignment/>
    </xf>
    <xf numFmtId="0" fontId="7" fillId="0" borderId="2" xfId="0" applyFont="1" applyBorder="1" applyAlignment="1">
      <alignment/>
    </xf>
    <xf numFmtId="0" fontId="10" fillId="0" borderId="0" xfId="0" applyFont="1" applyAlignment="1">
      <alignment/>
    </xf>
    <xf numFmtId="0" fontId="8" fillId="0" borderId="0" xfId="20" applyFont="1" applyBorder="1" applyAlignment="1">
      <alignment/>
    </xf>
    <xf numFmtId="0" fontId="11" fillId="0" borderId="0" xfId="0" applyFont="1" applyAlignment="1">
      <alignment/>
    </xf>
    <xf numFmtId="164" fontId="11" fillId="0" borderId="0" xfId="0" applyNumberFormat="1" applyFont="1" applyBorder="1" applyAlignment="1">
      <alignment horizontal="right"/>
    </xf>
    <xf numFmtId="164" fontId="11" fillId="0" borderId="2" xfId="0" applyNumberFormat="1" applyFont="1" applyBorder="1" applyAlignment="1">
      <alignment horizontal="right"/>
    </xf>
    <xf numFmtId="0" fontId="11" fillId="0" borderId="0" xfId="0" applyFont="1" applyBorder="1" applyAlignment="1">
      <alignment/>
    </xf>
    <xf numFmtId="164" fontId="11" fillId="0" borderId="3" xfId="0" applyNumberFormat="1" applyFont="1" applyBorder="1" applyAlignment="1">
      <alignment horizontal="right"/>
    </xf>
    <xf numFmtId="164" fontId="11" fillId="0" borderId="4" xfId="0" applyNumberFormat="1" applyFont="1" applyBorder="1" applyAlignment="1">
      <alignment horizontal="right"/>
    </xf>
    <xf numFmtId="164" fontId="11" fillId="0" borderId="5" xfId="0" applyNumberFormat="1" applyFont="1" applyBorder="1" applyAlignment="1">
      <alignment horizontal="right"/>
    </xf>
    <xf numFmtId="0" fontId="11" fillId="0" borderId="0" xfId="0" applyFont="1" applyFill="1" applyAlignment="1">
      <alignment/>
    </xf>
    <xf numFmtId="164" fontId="11" fillId="0" borderId="1" xfId="0" applyNumberFormat="1" applyFont="1" applyFill="1" applyBorder="1" applyAlignment="1">
      <alignment horizontal="right"/>
    </xf>
    <xf numFmtId="164" fontId="11" fillId="0" borderId="0" xfId="0" applyNumberFormat="1" applyFont="1" applyFill="1" applyBorder="1" applyAlignment="1">
      <alignment horizontal="right"/>
    </xf>
    <xf numFmtId="164" fontId="11" fillId="0" borderId="2" xfId="0" applyNumberFormat="1" applyFont="1" applyFill="1" applyBorder="1" applyAlignment="1">
      <alignment horizontal="right"/>
    </xf>
    <xf numFmtId="165" fontId="11" fillId="0" borderId="0" xfId="0" applyNumberFormat="1" applyFont="1" applyFill="1" applyBorder="1" applyAlignment="1">
      <alignment horizontal="right"/>
    </xf>
    <xf numFmtId="3" fontId="11" fillId="0" borderId="0" xfId="0" applyNumberFormat="1" applyFont="1" applyFill="1" applyAlignment="1">
      <alignment/>
    </xf>
    <xf numFmtId="3" fontId="11" fillId="0" borderId="0" xfId="0" applyNumberFormat="1" applyFont="1" applyFill="1" applyBorder="1" applyAlignment="1">
      <alignment/>
    </xf>
    <xf numFmtId="0" fontId="11" fillId="0" borderId="0" xfId="0" applyFont="1" applyFill="1" applyBorder="1" applyAlignment="1">
      <alignment/>
    </xf>
    <xf numFmtId="0" fontId="6" fillId="0" borderId="0" xfId="0" applyFont="1" applyFill="1" applyAlignment="1">
      <alignment/>
    </xf>
    <xf numFmtId="3" fontId="7" fillId="0" borderId="0" xfId="0" applyNumberFormat="1" applyFont="1" applyFill="1" applyAlignment="1">
      <alignment/>
    </xf>
    <xf numFmtId="3" fontId="7" fillId="0" borderId="0" xfId="0" applyNumberFormat="1"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3" fontId="9" fillId="0" borderId="0" xfId="20" applyNumberFormat="1" applyFont="1" applyFill="1" applyAlignment="1">
      <alignment/>
    </xf>
    <xf numFmtId="0" fontId="6" fillId="0" borderId="0" xfId="0" applyFont="1" applyFill="1" applyBorder="1" applyAlignment="1">
      <alignment/>
    </xf>
    <xf numFmtId="3" fontId="6" fillId="0" borderId="0" xfId="0" applyNumberFormat="1" applyFont="1" applyFill="1" applyAlignment="1">
      <alignment/>
    </xf>
    <xf numFmtId="3" fontId="6" fillId="0" borderId="0" xfId="0" applyNumberFormat="1" applyFont="1" applyFill="1" applyBorder="1" applyAlignment="1">
      <alignment/>
    </xf>
    <xf numFmtId="0" fontId="6" fillId="0" borderId="4" xfId="0" applyFont="1" applyFill="1" applyBorder="1" applyAlignment="1">
      <alignment/>
    </xf>
    <xf numFmtId="3" fontId="7" fillId="0" borderId="6" xfId="0" applyNumberFormat="1" applyFont="1" applyFill="1" applyBorder="1" applyAlignment="1">
      <alignment/>
    </xf>
    <xf numFmtId="3" fontId="7" fillId="0" borderId="7" xfId="0" applyNumberFormat="1" applyFont="1" applyFill="1" applyBorder="1" applyAlignment="1">
      <alignment horizontal="center"/>
    </xf>
    <xf numFmtId="3" fontId="7" fillId="0" borderId="8" xfId="0" applyNumberFormat="1" applyFont="1" applyFill="1" applyBorder="1" applyAlignment="1">
      <alignment horizontal="center"/>
    </xf>
    <xf numFmtId="3" fontId="7" fillId="0" borderId="6" xfId="0" applyNumberFormat="1" applyFont="1" applyFill="1" applyBorder="1" applyAlignment="1">
      <alignment horizontal="center"/>
    </xf>
    <xf numFmtId="3" fontId="7" fillId="0" borderId="0" xfId="0" applyNumberFormat="1" applyFont="1" applyFill="1" applyBorder="1" applyAlignment="1">
      <alignment horizontal="center"/>
    </xf>
    <xf numFmtId="3" fontId="7" fillId="0" borderId="1" xfId="0" applyNumberFormat="1" applyFont="1" applyFill="1" applyBorder="1" applyAlignment="1">
      <alignment horizontal="right"/>
    </xf>
    <xf numFmtId="3" fontId="7" fillId="0" borderId="0" xfId="0" applyNumberFormat="1" applyFont="1" applyFill="1" applyBorder="1" applyAlignment="1">
      <alignment horizontal="right"/>
    </xf>
    <xf numFmtId="3" fontId="7" fillId="0" borderId="2" xfId="0" applyNumberFormat="1" applyFont="1" applyFill="1" applyBorder="1" applyAlignment="1">
      <alignment horizontal="right"/>
    </xf>
    <xf numFmtId="165" fontId="7" fillId="0" borderId="1" xfId="0" applyNumberFormat="1" applyFont="1" applyFill="1" applyBorder="1" applyAlignment="1">
      <alignment horizontal="right"/>
    </xf>
    <xf numFmtId="165" fontId="7" fillId="0" borderId="0" xfId="0" applyNumberFormat="1" applyFont="1" applyFill="1" applyBorder="1" applyAlignment="1">
      <alignment horizontal="right"/>
    </xf>
    <xf numFmtId="165" fontId="7" fillId="0" borderId="2" xfId="0" applyNumberFormat="1" applyFont="1" applyFill="1" applyBorder="1" applyAlignment="1">
      <alignment horizontal="right"/>
    </xf>
    <xf numFmtId="164" fontId="7" fillId="0" borderId="1" xfId="0" applyNumberFormat="1" applyFont="1" applyFill="1" applyBorder="1" applyAlignment="1">
      <alignment horizontal="right"/>
    </xf>
    <xf numFmtId="164" fontId="6" fillId="0" borderId="1" xfId="0" applyNumberFormat="1" applyFont="1" applyFill="1" applyBorder="1" applyAlignment="1">
      <alignment horizontal="right"/>
    </xf>
    <xf numFmtId="164" fontId="7" fillId="0" borderId="0" xfId="0" applyNumberFormat="1" applyFont="1" applyFill="1" applyBorder="1" applyAlignment="1">
      <alignment horizontal="right"/>
    </xf>
    <xf numFmtId="164" fontId="7" fillId="0" borderId="2" xfId="0" applyNumberFormat="1" applyFont="1" applyFill="1" applyBorder="1" applyAlignment="1">
      <alignment horizontal="right"/>
    </xf>
    <xf numFmtId="164" fontId="11" fillId="0" borderId="3" xfId="0" applyNumberFormat="1" applyFont="1" applyFill="1" applyBorder="1" applyAlignment="1">
      <alignment horizontal="right"/>
    </xf>
    <xf numFmtId="164" fontId="11" fillId="0" borderId="4" xfId="0" applyNumberFormat="1" applyFont="1" applyFill="1" applyBorder="1" applyAlignment="1">
      <alignment horizontal="right"/>
    </xf>
    <xf numFmtId="164" fontId="11" fillId="0" borderId="5" xfId="0" applyNumberFormat="1" applyFont="1" applyFill="1" applyBorder="1" applyAlignment="1">
      <alignment horizontal="right"/>
    </xf>
    <xf numFmtId="164" fontId="7" fillId="0" borderId="0" xfId="0" applyNumberFormat="1" applyFont="1" applyFill="1" applyAlignment="1">
      <alignment horizontal="right"/>
    </xf>
    <xf numFmtId="164" fontId="7" fillId="0" borderId="6" xfId="0" applyNumberFormat="1" applyFont="1" applyFill="1" applyBorder="1" applyAlignment="1">
      <alignment horizontal="right"/>
    </xf>
    <xf numFmtId="164" fontId="7" fillId="0" borderId="7" xfId="0" applyNumberFormat="1" applyFont="1" applyFill="1" applyBorder="1" applyAlignment="1">
      <alignment horizontal="right"/>
    </xf>
    <xf numFmtId="164" fontId="7" fillId="0" borderId="8" xfId="0" applyNumberFormat="1" applyFont="1" applyFill="1" applyBorder="1" applyAlignment="1">
      <alignment horizontal="right"/>
    </xf>
    <xf numFmtId="0" fontId="7" fillId="0" borderId="1" xfId="0" applyFont="1" applyFill="1" applyBorder="1" applyAlignment="1">
      <alignment horizontal="right"/>
    </xf>
    <xf numFmtId="0" fontId="7" fillId="0" borderId="0" xfId="0" applyFont="1" applyFill="1" applyBorder="1" applyAlignment="1">
      <alignment horizontal="right"/>
    </xf>
    <xf numFmtId="0" fontId="7" fillId="0" borderId="2" xfId="0" applyFont="1" applyFill="1" applyBorder="1" applyAlignment="1">
      <alignment horizontal="right"/>
    </xf>
    <xf numFmtId="164" fontId="7" fillId="0" borderId="3" xfId="0" applyNumberFormat="1" applyFont="1" applyFill="1" applyBorder="1" applyAlignment="1">
      <alignment horizontal="right"/>
    </xf>
    <xf numFmtId="164" fontId="7" fillId="0" borderId="4" xfId="0" applyNumberFormat="1" applyFont="1" applyFill="1" applyBorder="1" applyAlignment="1">
      <alignment horizontal="right"/>
    </xf>
    <xf numFmtId="164" fontId="7" fillId="0" borderId="5" xfId="0" applyNumberFormat="1" applyFont="1" applyFill="1" applyBorder="1" applyAlignment="1">
      <alignment horizontal="right"/>
    </xf>
    <xf numFmtId="0" fontId="10" fillId="0" borderId="0" xfId="0" applyFont="1" applyFill="1" applyBorder="1" applyAlignment="1">
      <alignment/>
    </xf>
    <xf numFmtId="164" fontId="7" fillId="0" borderId="0" xfId="0" applyNumberFormat="1" applyFont="1" applyFill="1" applyBorder="1" applyAlignment="1">
      <alignment/>
    </xf>
    <xf numFmtId="0" fontId="9" fillId="0" borderId="0" xfId="20" applyFont="1" applyAlignment="1">
      <alignment/>
    </xf>
    <xf numFmtId="164" fontId="11" fillId="0" borderId="0" xfId="0" applyNumberFormat="1" applyFont="1" applyBorder="1" applyAlignment="1">
      <alignment/>
    </xf>
    <xf numFmtId="164" fontId="7" fillId="0" borderId="0" xfId="0" applyNumberFormat="1" applyFont="1" applyBorder="1" applyAlignment="1">
      <alignment horizontal="right"/>
    </xf>
    <xf numFmtId="164" fontId="7" fillId="0" borderId="1" xfId="0" applyNumberFormat="1" applyFont="1" applyFill="1" applyBorder="1" applyAlignment="1">
      <alignment/>
    </xf>
    <xf numFmtId="164" fontId="7" fillId="0" borderId="2" xfId="0" applyNumberFormat="1" applyFont="1" applyFill="1" applyBorder="1" applyAlignment="1">
      <alignment/>
    </xf>
    <xf numFmtId="164" fontId="7" fillId="0" borderId="3" xfId="0" applyNumberFormat="1" applyFont="1" applyFill="1" applyBorder="1" applyAlignment="1">
      <alignment/>
    </xf>
    <xf numFmtId="164" fontId="7" fillId="0" borderId="4" xfId="0" applyNumberFormat="1" applyFont="1" applyFill="1" applyBorder="1" applyAlignment="1">
      <alignment/>
    </xf>
    <xf numFmtId="0" fontId="6" fillId="0" borderId="0" xfId="0" applyFont="1" applyBorder="1" applyAlignment="1">
      <alignment/>
    </xf>
    <xf numFmtId="0" fontId="9" fillId="0" borderId="0" xfId="20" applyFont="1" applyBorder="1" applyAlignment="1">
      <alignment/>
    </xf>
    <xf numFmtId="0" fontId="7" fillId="0" borderId="0" xfId="0" applyFont="1" applyBorder="1" applyAlignment="1">
      <alignment horizontal="center"/>
    </xf>
    <xf numFmtId="0" fontId="6" fillId="0" borderId="9" xfId="0" applyFont="1" applyBorder="1" applyAlignment="1">
      <alignment/>
    </xf>
    <xf numFmtId="164" fontId="6" fillId="0" borderId="9" xfId="0" applyNumberFormat="1" applyFont="1" applyFill="1" applyBorder="1" applyAlignment="1">
      <alignment/>
    </xf>
    <xf numFmtId="164" fontId="6" fillId="0" borderId="10" xfId="0" applyNumberFormat="1" applyFont="1" applyFill="1" applyBorder="1" applyAlignment="1">
      <alignment/>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3" fontId="7" fillId="0" borderId="0" xfId="0" applyNumberFormat="1" applyFont="1" applyBorder="1" applyAlignment="1" quotePrefix="1">
      <alignment/>
    </xf>
    <xf numFmtId="0" fontId="7" fillId="0" borderId="0" xfId="0" applyNumberFormat="1" applyFont="1" applyBorder="1" applyAlignment="1">
      <alignment/>
    </xf>
    <xf numFmtId="0" fontId="7" fillId="0" borderId="5" xfId="0" applyFont="1" applyBorder="1" applyAlignment="1">
      <alignment horizontal="center"/>
    </xf>
    <xf numFmtId="0" fontId="6" fillId="0" borderId="11" xfId="0" applyFont="1" applyBorder="1" applyAlignment="1">
      <alignment/>
    </xf>
    <xf numFmtId="3" fontId="7" fillId="0" borderId="11" xfId="0" applyNumberFormat="1" applyFont="1" applyBorder="1" applyAlignment="1">
      <alignment/>
    </xf>
    <xf numFmtId="0" fontId="7" fillId="0" borderId="11" xfId="0" applyFont="1" applyBorder="1" applyAlignment="1">
      <alignment/>
    </xf>
    <xf numFmtId="0" fontId="7" fillId="0" borderId="11" xfId="0" applyFont="1" applyBorder="1" applyAlignment="1">
      <alignment horizontal="center"/>
    </xf>
    <xf numFmtId="0" fontId="10" fillId="0" borderId="11" xfId="0" applyFont="1" applyBorder="1" applyAlignment="1">
      <alignment horizontal="left" wrapText="1"/>
    </xf>
    <xf numFmtId="0" fontId="7" fillId="0" borderId="11" xfId="0" applyFont="1" applyBorder="1" applyAlignment="1">
      <alignment horizontal="center" wrapText="1"/>
    </xf>
    <xf numFmtId="0" fontId="6" fillId="0" borderId="11" xfId="0" applyFont="1" applyBorder="1" applyAlignment="1">
      <alignment wrapText="1"/>
    </xf>
    <xf numFmtId="3" fontId="7" fillId="2" borderId="11" xfId="0" applyNumberFormat="1" applyFont="1" applyFill="1" applyBorder="1" applyAlignment="1">
      <alignment vertical="top" wrapText="1"/>
    </xf>
    <xf numFmtId="164" fontId="7" fillId="2" borderId="11" xfId="0" applyNumberFormat="1" applyFont="1" applyFill="1" applyBorder="1" applyAlignment="1">
      <alignment vertical="top" wrapText="1"/>
    </xf>
    <xf numFmtId="0" fontId="7" fillId="2" borderId="11" xfId="0" applyFont="1" applyFill="1" applyBorder="1" applyAlignment="1">
      <alignment vertical="top" wrapText="1"/>
    </xf>
    <xf numFmtId="3" fontId="7" fillId="0" borderId="11" xfId="0" applyNumberFormat="1" applyFont="1" applyBorder="1" applyAlignment="1">
      <alignment horizontal="center"/>
    </xf>
    <xf numFmtId="0" fontId="10" fillId="0" borderId="11" xfId="0" applyFont="1" applyBorder="1" applyAlignment="1">
      <alignment/>
    </xf>
    <xf numFmtId="0" fontId="7" fillId="0" borderId="0" xfId="0" applyFont="1" applyAlignment="1">
      <alignment horizontal="center"/>
    </xf>
    <xf numFmtId="0" fontId="6" fillId="0" borderId="0" xfId="0" applyFont="1" applyBorder="1" applyAlignment="1">
      <alignment horizontal="center"/>
    </xf>
    <xf numFmtId="0" fontId="8" fillId="0" borderId="0" xfId="20" applyFont="1" applyAlignment="1">
      <alignment wrapText="1"/>
    </xf>
    <xf numFmtId="170" fontId="7" fillId="0" borderId="0" xfId="0" applyNumberFormat="1" applyFont="1" applyBorder="1" applyAlignment="1">
      <alignment/>
    </xf>
    <xf numFmtId="0" fontId="6" fillId="0" borderId="4" xfId="0" applyFont="1" applyBorder="1" applyAlignment="1">
      <alignment horizontal="left"/>
    </xf>
    <xf numFmtId="170" fontId="7" fillId="0" borderId="4" xfId="0" applyNumberFormat="1" applyFont="1" applyBorder="1" applyAlignment="1">
      <alignment/>
    </xf>
    <xf numFmtId="170" fontId="7" fillId="0" borderId="3" xfId="0" applyNumberFormat="1" applyFont="1" applyBorder="1" applyAlignment="1">
      <alignment/>
    </xf>
    <xf numFmtId="170" fontId="7" fillId="0" borderId="5" xfId="0" applyNumberFormat="1" applyFont="1" applyBorder="1" applyAlignment="1">
      <alignment/>
    </xf>
    <xf numFmtId="0" fontId="14" fillId="0" borderId="0" xfId="0" applyFont="1" applyFill="1" applyBorder="1" applyAlignment="1">
      <alignment vertical="top" wrapText="1"/>
    </xf>
    <xf numFmtId="164" fontId="7" fillId="0" borderId="5" xfId="0" applyNumberFormat="1" applyFont="1" applyFill="1" applyBorder="1" applyAlignment="1">
      <alignment/>
    </xf>
    <xf numFmtId="0" fontId="15" fillId="0" borderId="0" xfId="0" applyFont="1" applyFill="1" applyBorder="1" applyAlignment="1">
      <alignment horizontal="center" vertical="top" wrapText="1"/>
    </xf>
    <xf numFmtId="0" fontId="15" fillId="0" borderId="0" xfId="0" applyFont="1" applyFill="1" applyBorder="1" applyAlignment="1">
      <alignment vertical="top" wrapText="1"/>
    </xf>
    <xf numFmtId="164" fontId="6" fillId="0" borderId="9" xfId="0" applyNumberFormat="1" applyFont="1" applyBorder="1" applyAlignment="1">
      <alignment/>
    </xf>
    <xf numFmtId="164" fontId="7" fillId="0" borderId="4" xfId="0" applyNumberFormat="1" applyFont="1" applyBorder="1" applyAlignment="1">
      <alignment/>
    </xf>
    <xf numFmtId="0" fontId="6" fillId="0" borderId="11" xfId="0" applyFont="1" applyBorder="1" applyAlignment="1">
      <alignment horizontal="center"/>
    </xf>
    <xf numFmtId="0" fontId="6" fillId="0" borderId="3" xfId="0" applyFont="1" applyBorder="1" applyAlignment="1">
      <alignment horizontal="center"/>
    </xf>
    <xf numFmtId="0" fontId="6" fillId="0" borderId="12" xfId="0" applyFont="1" applyBorder="1" applyAlignment="1">
      <alignment horizontal="center"/>
    </xf>
    <xf numFmtId="164" fontId="6" fillId="0" borderId="11" xfId="0" applyNumberFormat="1" applyFont="1" applyBorder="1" applyAlignment="1">
      <alignment/>
    </xf>
    <xf numFmtId="164" fontId="7" fillId="0" borderId="12" xfId="0" applyNumberFormat="1" applyFont="1" applyBorder="1" applyAlignment="1">
      <alignment/>
    </xf>
    <xf numFmtId="164" fontId="7" fillId="0" borderId="13" xfId="0" applyNumberFormat="1" applyFont="1" applyBorder="1" applyAlignment="1">
      <alignment/>
    </xf>
    <xf numFmtId="0" fontId="6" fillId="0" borderId="12" xfId="0" applyFont="1" applyBorder="1" applyAlignment="1">
      <alignment horizontal="center" wrapText="1"/>
    </xf>
    <xf numFmtId="0" fontId="13" fillId="0" borderId="0" xfId="0" applyFont="1" applyBorder="1" applyAlignment="1">
      <alignment/>
    </xf>
    <xf numFmtId="164" fontId="6" fillId="0" borderId="14" xfId="0" applyNumberFormat="1" applyFont="1" applyFill="1" applyBorder="1" applyAlignment="1">
      <alignment/>
    </xf>
    <xf numFmtId="164" fontId="7" fillId="0" borderId="11" xfId="0" applyNumberFormat="1" applyFont="1" applyFill="1" applyBorder="1" applyAlignment="1">
      <alignment/>
    </xf>
    <xf numFmtId="3" fontId="11" fillId="0" borderId="0" xfId="0" applyNumberFormat="1" applyFont="1" applyBorder="1" applyAlignment="1">
      <alignment/>
    </xf>
    <xf numFmtId="3" fontId="6" fillId="0" borderId="0" xfId="0" applyNumberFormat="1" applyFont="1" applyBorder="1" applyAlignment="1">
      <alignment/>
    </xf>
    <xf numFmtId="3" fontId="11" fillId="0" borderId="4" xfId="0" applyNumberFormat="1" applyFont="1" applyBorder="1" applyAlignment="1">
      <alignment/>
    </xf>
    <xf numFmtId="3" fontId="6" fillId="0" borderId="1" xfId="0" applyNumberFormat="1" applyFont="1" applyBorder="1" applyAlignment="1">
      <alignment/>
    </xf>
    <xf numFmtId="3" fontId="11" fillId="0" borderId="3" xfId="0" applyNumberFormat="1" applyFont="1" applyBorder="1" applyAlignment="1">
      <alignment/>
    </xf>
    <xf numFmtId="3" fontId="11" fillId="0" borderId="1" xfId="0" applyNumberFormat="1" applyFont="1" applyBorder="1" applyAlignment="1">
      <alignment/>
    </xf>
    <xf numFmtId="3" fontId="6" fillId="0" borderId="2" xfId="0" applyNumberFormat="1" applyFont="1" applyBorder="1" applyAlignment="1">
      <alignment/>
    </xf>
    <xf numFmtId="3" fontId="11" fillId="0" borderId="5" xfId="0" applyNumberFormat="1" applyFont="1" applyBorder="1" applyAlignment="1">
      <alignment/>
    </xf>
    <xf numFmtId="3" fontId="11" fillId="0" borderId="2" xfId="0" applyNumberFormat="1" applyFont="1" applyBorder="1" applyAlignment="1">
      <alignment/>
    </xf>
    <xf numFmtId="3" fontId="11" fillId="0" borderId="5" xfId="0" applyNumberFormat="1" applyFont="1" applyBorder="1" applyAlignment="1" quotePrefix="1">
      <alignment/>
    </xf>
    <xf numFmtId="0" fontId="6" fillId="0" borderId="11" xfId="0" applyFont="1" applyBorder="1" applyAlignment="1">
      <alignment horizontal="center" wrapText="1"/>
    </xf>
    <xf numFmtId="164" fontId="7" fillId="0" borderId="11" xfId="0" applyNumberFormat="1" applyFont="1" applyBorder="1" applyAlignment="1">
      <alignment horizontal="right"/>
    </xf>
    <xf numFmtId="0" fontId="7" fillId="0" borderId="11" xfId="0" applyFont="1" applyFill="1" applyBorder="1" applyAlignment="1">
      <alignment/>
    </xf>
    <xf numFmtId="0" fontId="11" fillId="0" borderId="11" xfId="0" applyFont="1" applyBorder="1" applyAlignment="1">
      <alignment/>
    </xf>
    <xf numFmtId="0" fontId="7" fillId="0" borderId="11" xfId="0" applyFont="1" applyBorder="1" applyAlignment="1">
      <alignment horizontal="right"/>
    </xf>
    <xf numFmtId="0" fontId="6" fillId="0" borderId="11" xfId="0" applyFont="1" applyBorder="1" applyAlignment="1">
      <alignment horizontal="right"/>
    </xf>
    <xf numFmtId="2" fontId="7" fillId="2" borderId="11" xfId="0" applyNumberFormat="1" applyFont="1" applyFill="1" applyBorder="1" applyAlignment="1">
      <alignment horizontal="right" wrapText="1"/>
    </xf>
    <xf numFmtId="2" fontId="7" fillId="2" borderId="11" xfId="0" applyNumberFormat="1" applyFont="1" applyFill="1" applyBorder="1" applyAlignment="1">
      <alignment horizontal="right"/>
    </xf>
    <xf numFmtId="2" fontId="7" fillId="2" borderId="11" xfId="0" applyNumberFormat="1" applyFont="1" applyFill="1" applyBorder="1" applyAlignment="1">
      <alignment horizontal="right" vertical="top" wrapText="1"/>
    </xf>
    <xf numFmtId="3" fontId="7" fillId="0" borderId="11" xfId="0" applyNumberFormat="1" applyFont="1" applyBorder="1" applyAlignment="1">
      <alignment horizontal="right"/>
    </xf>
    <xf numFmtId="0" fontId="12" fillId="0" borderId="11" xfId="0" applyFont="1" applyFill="1" applyBorder="1" applyAlignment="1">
      <alignment wrapText="1"/>
    </xf>
    <xf numFmtId="164" fontId="12" fillId="0" borderId="11" xfId="0" applyNumberFormat="1" applyFont="1" applyFill="1" applyBorder="1" applyAlignment="1">
      <alignment/>
    </xf>
    <xf numFmtId="0" fontId="9" fillId="0" borderId="11" xfId="20" applyFont="1" applyBorder="1" applyAlignment="1">
      <alignment/>
    </xf>
    <xf numFmtId="0" fontId="6" fillId="0" borderId="11" xfId="0" applyFont="1" applyFill="1" applyBorder="1" applyAlignment="1">
      <alignment/>
    </xf>
    <xf numFmtId="0" fontId="11" fillId="0" borderId="11" xfId="0" applyFont="1" applyFill="1" applyBorder="1" applyAlignment="1">
      <alignment/>
    </xf>
    <xf numFmtId="0" fontId="10" fillId="0" borderId="11" xfId="0" applyFont="1" applyFill="1" applyBorder="1" applyAlignment="1">
      <alignment/>
    </xf>
    <xf numFmtId="0" fontId="13" fillId="0" borderId="11" xfId="0" applyFont="1" applyFill="1" applyBorder="1" applyAlignment="1">
      <alignment/>
    </xf>
    <xf numFmtId="0" fontId="17" fillId="0" borderId="11" xfId="0" applyFont="1" applyFill="1" applyBorder="1" applyAlignment="1">
      <alignment/>
    </xf>
    <xf numFmtId="0" fontId="6" fillId="0" borderId="0" xfId="0" applyNumberFormat="1" applyFont="1" applyBorder="1" applyAlignment="1">
      <alignment horizontal="center"/>
    </xf>
    <xf numFmtId="3" fontId="6" fillId="0" borderId="3" xfId="0" applyNumberFormat="1" applyFont="1" applyFill="1" applyBorder="1" applyAlignment="1">
      <alignment horizontal="center" wrapText="1"/>
    </xf>
    <xf numFmtId="0" fontId="6" fillId="0" borderId="2" xfId="0" applyNumberFormat="1"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169" fontId="7" fillId="0" borderId="0" xfId="0" applyNumberFormat="1" applyFont="1" applyFill="1" applyBorder="1" applyAlignment="1">
      <alignment vertical="top" wrapText="1"/>
    </xf>
    <xf numFmtId="169" fontId="7" fillId="0" borderId="4" xfId="0" applyNumberFormat="1" applyFont="1" applyFill="1" applyBorder="1" applyAlignment="1">
      <alignment vertical="top" wrapText="1"/>
    </xf>
    <xf numFmtId="3" fontId="7" fillId="0" borderId="0" xfId="0" applyNumberFormat="1" applyFont="1" applyBorder="1" applyAlignment="1">
      <alignment horizontal="center" wrapText="1"/>
    </xf>
    <xf numFmtId="3" fontId="7" fillId="0" borderId="2" xfId="0" applyNumberFormat="1" applyFont="1" applyBorder="1" applyAlignment="1">
      <alignment horizontal="center" wrapText="1"/>
    </xf>
    <xf numFmtId="3" fontId="7" fillId="0" borderId="0" xfId="0" applyNumberFormat="1" applyFont="1" applyBorder="1" applyAlignment="1">
      <alignment wrapText="1"/>
    </xf>
    <xf numFmtId="3" fontId="6" fillId="0" borderId="4" xfId="0" applyNumberFormat="1" applyFont="1" applyFill="1" applyBorder="1" applyAlignment="1">
      <alignment horizontal="center" wrapText="1"/>
    </xf>
    <xf numFmtId="3" fontId="6" fillId="0" borderId="5" xfId="0" applyNumberFormat="1" applyFont="1" applyFill="1" applyBorder="1" applyAlignment="1">
      <alignment horizontal="center" wrapText="1"/>
    </xf>
    <xf numFmtId="3" fontId="6" fillId="0" borderId="4" xfId="0" applyNumberFormat="1" applyFont="1" applyBorder="1" applyAlignment="1">
      <alignment horizontal="center" wrapText="1"/>
    </xf>
    <xf numFmtId="3" fontId="6" fillId="0" borderId="5" xfId="0" applyNumberFormat="1" applyFont="1" applyBorder="1" applyAlignment="1">
      <alignment horizontal="center" wrapText="1"/>
    </xf>
    <xf numFmtId="3" fontId="6" fillId="0" borderId="3" xfId="0" applyNumberFormat="1" applyFont="1" applyBorder="1" applyAlignment="1">
      <alignment horizontal="center" wrapText="1"/>
    </xf>
    <xf numFmtId="164" fontId="6" fillId="0" borderId="0" xfId="0" applyNumberFormat="1" applyFont="1" applyBorder="1" applyAlignment="1">
      <alignment horizontal="center"/>
    </xf>
    <xf numFmtId="0" fontId="6" fillId="0" borderId="0" xfId="0" applyFont="1" applyAlignment="1">
      <alignment horizontal="center"/>
    </xf>
    <xf numFmtId="0" fontId="6" fillId="0" borderId="4" xfId="0" applyFont="1" applyBorder="1" applyAlignment="1">
      <alignment/>
    </xf>
    <xf numFmtId="0" fontId="6" fillId="0" borderId="3" xfId="0" applyFont="1" applyBorder="1" applyAlignment="1">
      <alignment horizontal="center" wrapText="1"/>
    </xf>
    <xf numFmtId="0" fontId="6" fillId="0" borderId="4" xfId="0" applyFont="1" applyBorder="1" applyAlignment="1">
      <alignment horizontal="center" wrapText="1"/>
    </xf>
    <xf numFmtId="164" fontId="6" fillId="0" borderId="3" xfId="0" applyNumberFormat="1" applyFont="1" applyFill="1" applyBorder="1" applyAlignment="1">
      <alignment/>
    </xf>
    <xf numFmtId="164" fontId="6" fillId="0" borderId="4" xfId="0" applyNumberFormat="1" applyFont="1" applyFill="1" applyBorder="1" applyAlignment="1">
      <alignment/>
    </xf>
    <xf numFmtId="0" fontId="10" fillId="0" borderId="4" xfId="0" applyFont="1" applyBorder="1" applyAlignment="1">
      <alignment/>
    </xf>
    <xf numFmtId="0" fontId="6" fillId="0" borderId="5" xfId="0" applyFont="1" applyBorder="1" applyAlignment="1">
      <alignment horizontal="center" wrapText="1"/>
    </xf>
    <xf numFmtId="0" fontId="6" fillId="0" borderId="11" xfId="0" applyFont="1" applyBorder="1" applyAlignment="1">
      <alignment horizontal="left" wrapText="1"/>
    </xf>
    <xf numFmtId="164" fontId="6" fillId="0" borderId="0" xfId="0" applyNumberFormat="1" applyFont="1" applyBorder="1" applyAlignment="1">
      <alignment/>
    </xf>
    <xf numFmtId="0" fontId="10" fillId="0" borderId="2" xfId="0" applyFont="1" applyBorder="1" applyAlignment="1">
      <alignment/>
    </xf>
    <xf numFmtId="0" fontId="6" fillId="0" borderId="2" xfId="0" applyFont="1" applyBorder="1" applyAlignment="1">
      <alignment/>
    </xf>
    <xf numFmtId="0" fontId="6" fillId="0" borderId="5" xfId="0" applyFont="1" applyBorder="1" applyAlignment="1">
      <alignment/>
    </xf>
    <xf numFmtId="0" fontId="16" fillId="0" borderId="11" xfId="20" applyFont="1" applyBorder="1" applyAlignment="1">
      <alignment horizontal="center"/>
    </xf>
    <xf numFmtId="164" fontId="7" fillId="0" borderId="11" xfId="0" applyNumberFormat="1" applyFont="1" applyBorder="1" applyAlignment="1">
      <alignment horizontal="center"/>
    </xf>
    <xf numFmtId="0" fontId="10" fillId="0" borderId="2" xfId="0" applyFont="1" applyFill="1" applyBorder="1" applyAlignment="1">
      <alignment/>
    </xf>
    <xf numFmtId="164" fontId="6" fillId="0" borderId="2" xfId="0" applyNumberFormat="1" applyFont="1" applyBorder="1" applyAlignment="1">
      <alignment/>
    </xf>
    <xf numFmtId="0" fontId="10" fillId="0" borderId="5" xfId="0" applyFont="1" applyFill="1" applyBorder="1" applyAlignment="1">
      <alignment/>
    </xf>
    <xf numFmtId="0" fontId="6" fillId="0" borderId="3" xfId="0" applyFont="1" applyBorder="1" applyAlignment="1">
      <alignment/>
    </xf>
    <xf numFmtId="0" fontId="10" fillId="0" borderId="0" xfId="0" applyFont="1" applyFill="1" applyAlignment="1">
      <alignment/>
    </xf>
    <xf numFmtId="0" fontId="10" fillId="0"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14"/>
  <sheetViews>
    <sheetView tabSelected="1" workbookViewId="0" topLeftCell="A1">
      <selection activeCell="A1" sqref="A1"/>
    </sheetView>
  </sheetViews>
  <sheetFormatPr defaultColWidth="9.140625" defaultRowHeight="12.75"/>
  <cols>
    <col min="2" max="2" width="142.57421875" style="0" bestFit="1" customWidth="1"/>
  </cols>
  <sheetData>
    <row r="1" ht="15.75">
      <c r="A1" s="1" t="s">
        <v>65</v>
      </c>
    </row>
    <row r="2" s="2" customFormat="1" ht="12"/>
    <row r="3" s="7" customFormat="1" ht="15.75">
      <c r="B3" s="9" t="s">
        <v>42</v>
      </c>
    </row>
    <row r="4" spans="2:8" s="7" customFormat="1" ht="15.75">
      <c r="B4" s="32" t="s">
        <v>44</v>
      </c>
      <c r="C4" s="8"/>
      <c r="D4" s="8"/>
      <c r="E4" s="8"/>
      <c r="F4" s="8"/>
      <c r="G4" s="8"/>
      <c r="H4" s="8"/>
    </row>
    <row r="5" spans="2:8" s="7" customFormat="1" ht="15.75">
      <c r="B5" s="9" t="s">
        <v>93</v>
      </c>
      <c r="C5" s="8"/>
      <c r="D5" s="8"/>
      <c r="E5" s="8"/>
      <c r="F5" s="8"/>
      <c r="G5" s="8"/>
      <c r="H5" s="8"/>
    </row>
    <row r="6" spans="2:22" s="2" customFormat="1" ht="15.75">
      <c r="B6" s="9" t="s">
        <v>98</v>
      </c>
      <c r="C6" s="7"/>
      <c r="D6" s="7"/>
      <c r="E6" s="7"/>
      <c r="F6" s="7"/>
      <c r="G6" s="7"/>
      <c r="H6" s="7"/>
      <c r="I6" s="7"/>
      <c r="J6" s="7"/>
      <c r="K6" s="7"/>
      <c r="L6" s="7"/>
      <c r="M6" s="7"/>
      <c r="N6" s="7"/>
      <c r="O6" s="7"/>
      <c r="P6" s="7"/>
      <c r="Q6" s="7"/>
      <c r="R6" s="7"/>
      <c r="S6" s="7"/>
      <c r="T6" s="7"/>
      <c r="U6" s="7"/>
      <c r="V6" s="7"/>
    </row>
    <row r="7" spans="2:12" s="2" customFormat="1" ht="15.75">
      <c r="B7" s="32" t="s">
        <v>104</v>
      </c>
      <c r="C7" s="6"/>
      <c r="D7" s="6"/>
      <c r="E7" s="6"/>
      <c r="F7" s="6"/>
      <c r="G7" s="6"/>
      <c r="H7" s="6"/>
      <c r="I7" s="6"/>
      <c r="J7" s="6"/>
      <c r="K7" s="6"/>
      <c r="L7" s="6"/>
    </row>
    <row r="8" spans="2:14" s="2" customFormat="1" ht="15.75">
      <c r="B8" s="9" t="s">
        <v>144</v>
      </c>
      <c r="C8"/>
      <c r="D8"/>
      <c r="E8"/>
      <c r="F8"/>
      <c r="G8"/>
      <c r="H8"/>
      <c r="I8"/>
      <c r="J8"/>
      <c r="K8"/>
      <c r="L8"/>
      <c r="M8"/>
      <c r="N8"/>
    </row>
    <row r="9" spans="2:9" s="2" customFormat="1" ht="31.5">
      <c r="B9" s="122" t="s">
        <v>132</v>
      </c>
      <c r="C9" s="7"/>
      <c r="D9" s="7"/>
      <c r="E9" s="120"/>
      <c r="F9" s="120"/>
      <c r="G9" s="120"/>
      <c r="H9" s="7"/>
      <c r="I9" s="7"/>
    </row>
    <row r="10" spans="2:9" s="2" customFormat="1" ht="31.5">
      <c r="B10" s="122" t="s">
        <v>145</v>
      </c>
      <c r="C10" s="3"/>
      <c r="D10" s="3"/>
      <c r="E10" s="3"/>
      <c r="F10" s="3"/>
      <c r="G10" s="3"/>
      <c r="H10" s="3"/>
      <c r="I10" s="3"/>
    </row>
    <row r="11" s="2" customFormat="1" ht="31.5">
      <c r="B11" s="122" t="s">
        <v>149</v>
      </c>
    </row>
    <row r="12" s="2" customFormat="1" ht="15.75">
      <c r="B12" s="122" t="s">
        <v>214</v>
      </c>
    </row>
    <row r="13" s="2" customFormat="1" ht="15.75">
      <c r="B13" s="9" t="s">
        <v>159</v>
      </c>
    </row>
    <row r="14" s="2" customFormat="1" ht="15.75">
      <c r="B14" s="9" t="s">
        <v>157</v>
      </c>
    </row>
    <row r="15" s="2" customFormat="1" ht="12"/>
    <row r="16" s="2" customFormat="1" ht="12"/>
    <row r="17" s="2" customFormat="1" ht="12"/>
    <row r="18" s="2" customFormat="1" ht="12"/>
    <row r="19" s="2" customFormat="1" ht="12"/>
    <row r="20" s="2" customFormat="1" ht="12"/>
    <row r="21" s="2" customFormat="1" ht="12"/>
    <row r="22" s="2" customFormat="1" ht="12"/>
    <row r="23" s="2" customFormat="1" ht="12"/>
    <row r="24" s="2" customFormat="1" ht="12"/>
    <row r="25" s="2" customFormat="1" ht="12"/>
    <row r="26" s="2" customFormat="1" ht="12"/>
    <row r="27" s="2" customFormat="1" ht="12"/>
    <row r="28" s="2" customFormat="1" ht="12"/>
    <row r="29" s="2" customFormat="1" ht="12"/>
    <row r="30" s="2" customFormat="1" ht="12"/>
    <row r="31" s="2" customFormat="1" ht="12"/>
    <row r="32" s="2" customFormat="1" ht="12"/>
    <row r="33" s="2" customFormat="1" ht="12"/>
    <row r="34" s="2" customFormat="1" ht="12"/>
    <row r="35" s="2" customFormat="1" ht="12"/>
    <row r="36" s="2" customFormat="1" ht="12"/>
    <row r="37" s="2" customFormat="1" ht="12"/>
    <row r="38" s="2" customFormat="1" ht="12"/>
    <row r="39" s="2" customFormat="1" ht="12"/>
    <row r="40" s="2" customFormat="1" ht="12"/>
    <row r="41" s="2" customFormat="1" ht="12"/>
    <row r="42" s="2" customFormat="1" ht="12"/>
    <row r="43" s="2" customFormat="1" ht="12"/>
    <row r="44" s="2" customFormat="1" ht="12"/>
    <row r="45" s="2" customFormat="1" ht="12"/>
    <row r="46" s="2" customFormat="1" ht="12"/>
    <row r="47" s="2" customFormat="1" ht="12"/>
    <row r="48" s="2" customFormat="1" ht="12"/>
    <row r="49" s="2" customFormat="1" ht="12"/>
    <row r="50" s="2" customFormat="1" ht="12"/>
    <row r="51" s="2" customFormat="1" ht="12"/>
    <row r="52" s="2" customFormat="1" ht="12"/>
    <row r="53" s="2" customFormat="1" ht="12"/>
    <row r="54" s="2" customFormat="1" ht="12"/>
    <row r="55" s="2" customFormat="1" ht="12"/>
    <row r="56" s="2" customFormat="1" ht="12"/>
    <row r="57" s="2" customFormat="1" ht="12"/>
  </sheetData>
  <hyperlinks>
    <hyperlink ref="B3" location="'Table 1a'!A1" display="Table 1a. Number and percentage of people aged 55-64, by race and Hispanic origin, 1984, 1994, and 2004"/>
    <hyperlink ref="B4" location="'Table 1b'!A1" display="Table 1b. Population projections of people aged 55-64, by sex, 2014, 2024, and 2034"/>
    <hyperlink ref="B5" location="'Table 2'!A1" display="Table 2. Demographic characteristics of people aged 55-64, by selected characteristics, 1984, 1994, and 2004*"/>
    <hyperlink ref="B6" location="'Table 3'!A1" display="Table 3. Labor force participation rates of people aged 55-64, by selected characteristics, annual averages, 1984, 1994, and 2004"/>
    <hyperlink ref="B7" location="'Table 4'!A1" display="Table 4. Median household income of people aged 55-64, in 2004 dollars, by selected characteristics, 1984, 1994, and 2004* "/>
    <hyperlink ref="B9" location="'Table 6'!A1" display="'Table 6'!A1"/>
    <hyperlink ref="B10" location="'Table 7'!A1" display="'Table 7'!A1"/>
    <hyperlink ref="B11" location="'Table 8a'!A1" display="'Table 8a'!A1"/>
    <hyperlink ref="B13" location="'Table 9'!A1" display="Table 9. Percentage of people aged 55-64 with living children, by selected characteristics, 1994 and 2004"/>
    <hyperlink ref="B14" location="'Table 10'!A1" display="Table 10. Percentage of people aged 55-64 with long-term care insurance coverage, by selected characteristics, 2004"/>
    <hyperlink ref="B12" location="'Table 8b'!A1" display="Table 8b. Percentage of people aged 55-64 by health insurance coverage type, poverty status, and sex, 2006"/>
    <hyperlink ref="B8" location="'Table 5'!A1" display="'Table 5'!A1"/>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68"/>
  <sheetViews>
    <sheetView workbookViewId="0" topLeftCell="A1">
      <pane ySplit="6" topLeftCell="BM7" activePane="bottomLeft" state="frozen"/>
      <selection pane="topLeft" activeCell="A1" sqref="A1"/>
      <selection pane="bottomLeft" activeCell="A1" sqref="A1"/>
    </sheetView>
  </sheetViews>
  <sheetFormatPr defaultColWidth="9.140625" defaultRowHeight="12.75"/>
  <cols>
    <col min="1" max="1" width="32.7109375" style="110" customWidth="1"/>
    <col min="2" max="2" width="13.421875" style="110" customWidth="1"/>
    <col min="3" max="3" width="14.140625" style="110" customWidth="1"/>
    <col min="4" max="4" width="13.7109375" style="110" customWidth="1"/>
    <col min="5" max="5" width="13.00390625" style="110" customWidth="1"/>
    <col min="6" max="6" width="13.140625" style="110" customWidth="1"/>
    <col min="7" max="7" width="12.7109375" style="110" customWidth="1"/>
    <col min="8" max="8" width="16.140625" style="110" bestFit="1" customWidth="1"/>
    <col min="9" max="16384" width="9.140625" style="110" customWidth="1"/>
  </cols>
  <sheetData>
    <row r="1" ht="15.75">
      <c r="A1" s="108" t="s">
        <v>146</v>
      </c>
    </row>
    <row r="2" spans="1:8" ht="15.75">
      <c r="A2" s="108" t="s">
        <v>39</v>
      </c>
      <c r="H2" s="166" t="s">
        <v>71</v>
      </c>
    </row>
    <row r="3" ht="15.75">
      <c r="A3" s="108"/>
    </row>
    <row r="4" spans="1:7" s="108" customFormat="1" ht="53.25" customHeight="1">
      <c r="A4" s="108" t="s">
        <v>13</v>
      </c>
      <c r="B4" s="154" t="s">
        <v>209</v>
      </c>
      <c r="C4" s="154" t="s">
        <v>208</v>
      </c>
      <c r="D4" s="154" t="s">
        <v>210</v>
      </c>
      <c r="E4" s="154" t="s">
        <v>211</v>
      </c>
      <c r="F4" s="154" t="s">
        <v>212</v>
      </c>
      <c r="G4" s="154" t="s">
        <v>213</v>
      </c>
    </row>
    <row r="5" spans="1:8" s="167" customFormat="1" ht="18" customHeight="1">
      <c r="A5" s="167" t="s">
        <v>0</v>
      </c>
      <c r="B5" s="143">
        <v>31.5</v>
      </c>
      <c r="C5" s="143">
        <v>44</v>
      </c>
      <c r="D5" s="143">
        <v>20.2</v>
      </c>
      <c r="E5" s="143">
        <v>38.5</v>
      </c>
      <c r="F5" s="143">
        <v>41.9</v>
      </c>
      <c r="G5" s="143">
        <v>35.3</v>
      </c>
      <c r="H5" s="156"/>
    </row>
    <row r="6" spans="1:8" s="169" customFormat="1" ht="15.75">
      <c r="A6" s="169" t="s">
        <v>166</v>
      </c>
      <c r="B6" s="164">
        <v>0.8186</v>
      </c>
      <c r="C6" s="164">
        <v>1.2643</v>
      </c>
      <c r="D6" s="164">
        <v>0.856</v>
      </c>
      <c r="E6" s="164">
        <v>1.1895</v>
      </c>
      <c r="F6" s="164">
        <v>1.4927</v>
      </c>
      <c r="G6" s="164">
        <v>1.1254</v>
      </c>
      <c r="H6" s="168"/>
    </row>
    <row r="7" spans="2:8" s="167" customFormat="1" ht="15.75">
      <c r="B7" s="143"/>
      <c r="C7" s="143"/>
      <c r="D7" s="143"/>
      <c r="E7" s="143"/>
      <c r="F7" s="143"/>
      <c r="G7" s="143"/>
      <c r="H7" s="156"/>
    </row>
    <row r="8" spans="1:8" s="167" customFormat="1" ht="15.75">
      <c r="A8" s="108" t="s">
        <v>14</v>
      </c>
      <c r="B8" s="143"/>
      <c r="C8" s="143"/>
      <c r="D8" s="143"/>
      <c r="E8" s="143"/>
      <c r="F8" s="143"/>
      <c r="G8" s="143"/>
      <c r="H8" s="156"/>
    </row>
    <row r="9" spans="1:8" s="167" customFormat="1" ht="15.75">
      <c r="A9" s="108" t="s">
        <v>68</v>
      </c>
      <c r="B9" s="143">
        <v>33.2</v>
      </c>
      <c r="C9" s="143">
        <v>46.5</v>
      </c>
      <c r="D9" s="143">
        <v>20.7</v>
      </c>
      <c r="E9" s="143">
        <v>40.1</v>
      </c>
      <c r="F9" s="143">
        <v>42.9</v>
      </c>
      <c r="G9" s="143">
        <v>37.5</v>
      </c>
      <c r="H9" s="156"/>
    </row>
    <row r="10" spans="1:8" s="169" customFormat="1" ht="15.75">
      <c r="A10" s="119" t="s">
        <v>92</v>
      </c>
      <c r="B10" s="164">
        <v>0.9809</v>
      </c>
      <c r="C10" s="164">
        <v>1.3526</v>
      </c>
      <c r="D10" s="164">
        <v>1.0998</v>
      </c>
      <c r="E10" s="164">
        <v>1.3188</v>
      </c>
      <c r="F10" s="164">
        <v>1.6358</v>
      </c>
      <c r="G10" s="164">
        <v>1.304</v>
      </c>
      <c r="H10" s="168"/>
    </row>
    <row r="11" spans="1:8" s="167" customFormat="1" ht="15.75">
      <c r="A11" s="108" t="s">
        <v>69</v>
      </c>
      <c r="B11" s="143">
        <v>27.7</v>
      </c>
      <c r="C11" s="143">
        <v>32.7</v>
      </c>
      <c r="D11" s="143">
        <v>24</v>
      </c>
      <c r="E11" s="143">
        <v>38.1</v>
      </c>
      <c r="F11" s="143">
        <v>44.6</v>
      </c>
      <c r="G11" s="143">
        <v>33.1</v>
      </c>
      <c r="H11" s="156"/>
    </row>
    <row r="12" spans="1:8" s="169" customFormat="1" ht="15.75">
      <c r="A12" s="119" t="s">
        <v>92</v>
      </c>
      <c r="B12" s="164">
        <v>1.5553</v>
      </c>
      <c r="C12" s="164">
        <v>2.6366</v>
      </c>
      <c r="D12" s="164">
        <v>1.7937</v>
      </c>
      <c r="E12" s="164">
        <v>2.0711</v>
      </c>
      <c r="F12" s="164">
        <v>3.6646</v>
      </c>
      <c r="G12" s="164">
        <v>1.8206</v>
      </c>
      <c r="H12" s="168"/>
    </row>
    <row r="13" spans="1:8" s="167" customFormat="1" ht="15.75">
      <c r="A13" s="108" t="s">
        <v>116</v>
      </c>
      <c r="B13" s="143">
        <v>24.9</v>
      </c>
      <c r="C13" s="143">
        <v>32.6</v>
      </c>
      <c r="D13" s="143">
        <v>18</v>
      </c>
      <c r="E13" s="143">
        <v>39.3</v>
      </c>
      <c r="F13" s="143">
        <v>45.4</v>
      </c>
      <c r="G13" s="143">
        <v>33.3</v>
      </c>
      <c r="H13" s="156"/>
    </row>
    <row r="14" spans="1:8" s="169" customFormat="1" ht="15.75">
      <c r="A14" s="119" t="s">
        <v>92</v>
      </c>
      <c r="B14" s="164">
        <v>3.8253</v>
      </c>
      <c r="C14" s="164">
        <v>6.2831</v>
      </c>
      <c r="D14" s="164">
        <v>5.4139</v>
      </c>
      <c r="E14" s="164">
        <v>5.3439</v>
      </c>
      <c r="F14" s="164">
        <v>7.1128</v>
      </c>
      <c r="G14" s="164">
        <v>6.5074</v>
      </c>
      <c r="H14" s="168"/>
    </row>
    <row r="15" spans="1:8" s="170" customFormat="1" ht="15.75">
      <c r="A15" s="108" t="s">
        <v>70</v>
      </c>
      <c r="B15" s="143">
        <v>17.1</v>
      </c>
      <c r="C15" s="143">
        <v>27.8</v>
      </c>
      <c r="D15" s="143">
        <v>8.7</v>
      </c>
      <c r="E15" s="143">
        <v>21.7</v>
      </c>
      <c r="F15" s="143">
        <v>26.6</v>
      </c>
      <c r="G15" s="143">
        <v>17.8</v>
      </c>
      <c r="H15" s="156"/>
    </row>
    <row r="16" spans="1:8" s="171" customFormat="1" ht="15.75">
      <c r="A16" s="119" t="s">
        <v>92</v>
      </c>
      <c r="B16" s="164">
        <v>1.8469</v>
      </c>
      <c r="C16" s="164">
        <v>3.4808</v>
      </c>
      <c r="D16" s="164">
        <v>1.7506</v>
      </c>
      <c r="E16" s="164">
        <v>2.1538</v>
      </c>
      <c r="F16" s="164">
        <v>3.4492</v>
      </c>
      <c r="G16" s="164">
        <v>1.8932</v>
      </c>
      <c r="H16" s="168"/>
    </row>
    <row r="17" spans="1:8" s="170" customFormat="1" ht="15.75">
      <c r="A17" s="108" t="s">
        <v>16</v>
      </c>
      <c r="B17" s="143"/>
      <c r="C17" s="143"/>
      <c r="D17" s="143"/>
      <c r="E17" s="143"/>
      <c r="F17" s="143"/>
      <c r="G17" s="143"/>
      <c r="H17" s="156"/>
    </row>
    <row r="18" spans="1:8" s="167" customFormat="1" ht="15.75">
      <c r="A18" s="108" t="s">
        <v>77</v>
      </c>
      <c r="B18" s="143">
        <v>17.5</v>
      </c>
      <c r="C18" s="143">
        <v>25.9</v>
      </c>
      <c r="D18" s="143">
        <v>10.7</v>
      </c>
      <c r="E18" s="143">
        <v>19.9</v>
      </c>
      <c r="F18" s="143">
        <v>23.4</v>
      </c>
      <c r="G18" s="143">
        <v>17.1</v>
      </c>
      <c r="H18" s="156"/>
    </row>
    <row r="19" spans="1:8" s="169" customFormat="1" ht="15.75">
      <c r="A19" s="119" t="s">
        <v>92</v>
      </c>
      <c r="B19" s="164">
        <v>1.1686</v>
      </c>
      <c r="C19" s="164">
        <v>1.9323</v>
      </c>
      <c r="D19" s="164">
        <v>1.0209</v>
      </c>
      <c r="E19" s="164">
        <v>1.5094</v>
      </c>
      <c r="F19" s="164">
        <v>2.3963</v>
      </c>
      <c r="G19" s="164">
        <v>1.9</v>
      </c>
      <c r="H19" s="168"/>
    </row>
    <row r="20" spans="1:8" s="170" customFormat="1" ht="15.75">
      <c r="A20" s="108" t="s">
        <v>78</v>
      </c>
      <c r="B20" s="143">
        <v>32.5</v>
      </c>
      <c r="C20" s="143">
        <v>48.6</v>
      </c>
      <c r="D20" s="143">
        <v>20.4</v>
      </c>
      <c r="E20" s="143">
        <v>38.3</v>
      </c>
      <c r="F20" s="143">
        <v>44.2</v>
      </c>
      <c r="G20" s="143">
        <v>33.7</v>
      </c>
      <c r="H20" s="156"/>
    </row>
    <row r="21" spans="1:8" s="171" customFormat="1" ht="15.75">
      <c r="A21" s="119" t="s">
        <v>92</v>
      </c>
      <c r="B21" s="164">
        <v>1.2701</v>
      </c>
      <c r="C21" s="164">
        <v>1.7941</v>
      </c>
      <c r="D21" s="164">
        <v>1.4042</v>
      </c>
      <c r="E21" s="164">
        <v>1.8037</v>
      </c>
      <c r="F21" s="164">
        <v>2.6456</v>
      </c>
      <c r="G21" s="164">
        <v>1.6138</v>
      </c>
      <c r="H21" s="168"/>
    </row>
    <row r="22" spans="1:8" s="167" customFormat="1" ht="15.75">
      <c r="A22" s="108" t="s">
        <v>79</v>
      </c>
      <c r="B22" s="143">
        <v>33.3</v>
      </c>
      <c r="C22" s="143">
        <v>45.3</v>
      </c>
      <c r="D22" s="143">
        <v>21.7</v>
      </c>
      <c r="E22" s="143">
        <v>41.2</v>
      </c>
      <c r="F22" s="143">
        <v>43.3</v>
      </c>
      <c r="G22" s="143">
        <v>39.3</v>
      </c>
      <c r="H22" s="156"/>
    </row>
    <row r="23" spans="1:8" s="169" customFormat="1" ht="15.75">
      <c r="A23" s="119" t="s">
        <v>92</v>
      </c>
      <c r="B23" s="164">
        <v>1.3628</v>
      </c>
      <c r="C23" s="164">
        <v>2.1371</v>
      </c>
      <c r="D23" s="164">
        <v>1.7588</v>
      </c>
      <c r="E23" s="164">
        <v>1.5903</v>
      </c>
      <c r="F23" s="164">
        <v>2.3874</v>
      </c>
      <c r="G23" s="164">
        <v>2.0293</v>
      </c>
      <c r="H23" s="168"/>
    </row>
    <row r="24" spans="1:8" s="167" customFormat="1" ht="15.75">
      <c r="A24" s="108" t="s">
        <v>80</v>
      </c>
      <c r="B24" s="143">
        <v>45.3</v>
      </c>
      <c r="C24" s="143">
        <v>53.1</v>
      </c>
      <c r="D24" s="143">
        <v>34.2</v>
      </c>
      <c r="E24" s="143">
        <v>46.2</v>
      </c>
      <c r="F24" s="143">
        <v>46.4</v>
      </c>
      <c r="G24" s="143">
        <v>46</v>
      </c>
      <c r="H24" s="156"/>
    </row>
    <row r="25" spans="1:8" s="169" customFormat="1" ht="15.75">
      <c r="A25" s="119" t="s">
        <v>92</v>
      </c>
      <c r="B25" s="164">
        <v>1.7613</v>
      </c>
      <c r="C25" s="164">
        <v>2.5354</v>
      </c>
      <c r="D25" s="164">
        <v>2.3893</v>
      </c>
      <c r="E25" s="164">
        <v>2.061</v>
      </c>
      <c r="F25" s="164">
        <v>2.4964</v>
      </c>
      <c r="G25" s="164">
        <v>2.4656</v>
      </c>
      <c r="H25" s="168"/>
    </row>
    <row r="26" spans="1:8" s="170" customFormat="1" ht="15.75">
      <c r="A26" s="108" t="s">
        <v>17</v>
      </c>
      <c r="H26" s="156"/>
    </row>
    <row r="27" spans="1:8" s="170" customFormat="1" ht="15.75">
      <c r="A27" s="108" t="s">
        <v>81</v>
      </c>
      <c r="B27" s="143">
        <v>30.9</v>
      </c>
      <c r="C27" s="143">
        <v>44.8</v>
      </c>
      <c r="D27" s="143">
        <v>16.3</v>
      </c>
      <c r="E27" s="143">
        <v>40.8</v>
      </c>
      <c r="F27" s="143">
        <v>44.1</v>
      </c>
      <c r="G27" s="143">
        <v>37.1</v>
      </c>
      <c r="H27" s="156"/>
    </row>
    <row r="28" spans="1:8" s="171" customFormat="1" ht="15.75">
      <c r="A28" s="119" t="s">
        <v>92</v>
      </c>
      <c r="B28" s="164">
        <v>0.8744</v>
      </c>
      <c r="C28" s="164">
        <v>1.3102</v>
      </c>
      <c r="D28" s="164">
        <v>0.9158</v>
      </c>
      <c r="E28" s="164">
        <v>1.3575</v>
      </c>
      <c r="F28" s="164">
        <v>1.5712</v>
      </c>
      <c r="G28" s="164">
        <v>1.334</v>
      </c>
      <c r="H28" s="168"/>
    </row>
    <row r="29" spans="1:7" s="156" customFormat="1" ht="15.75">
      <c r="A29" s="108" t="s">
        <v>82</v>
      </c>
      <c r="B29" s="143">
        <v>37.3</v>
      </c>
      <c r="C29" s="143">
        <v>40.5</v>
      </c>
      <c r="D29" s="143">
        <v>35.1</v>
      </c>
      <c r="E29" s="143">
        <v>34.2</v>
      </c>
      <c r="F29" s="143">
        <v>29.7</v>
      </c>
      <c r="G29" s="143">
        <v>36.9</v>
      </c>
    </row>
    <row r="30" spans="1:7" s="168" customFormat="1" ht="15.75">
      <c r="A30" s="119" t="s">
        <v>92</v>
      </c>
      <c r="B30" s="164">
        <v>1.6412</v>
      </c>
      <c r="C30" s="164">
        <v>2.8201</v>
      </c>
      <c r="D30" s="164">
        <v>2.2643</v>
      </c>
      <c r="E30" s="164">
        <v>2.1051</v>
      </c>
      <c r="F30" s="164">
        <v>3.6496</v>
      </c>
      <c r="G30" s="164">
        <v>2.6464</v>
      </c>
    </row>
    <row r="31" spans="1:8" s="167" customFormat="1" ht="15.75">
      <c r="A31" s="108" t="s">
        <v>83</v>
      </c>
      <c r="B31" s="143">
        <v>25.3</v>
      </c>
      <c r="C31" s="143">
        <v>35.8</v>
      </c>
      <c r="D31" s="143">
        <v>23.4</v>
      </c>
      <c r="E31" s="143">
        <v>23.8</v>
      </c>
      <c r="F31" s="143">
        <v>47.3</v>
      </c>
      <c r="G31" s="143">
        <v>19.9</v>
      </c>
      <c r="H31" s="156"/>
    </row>
    <row r="32" spans="1:8" s="169" customFormat="1" ht="15.75">
      <c r="A32" s="119" t="s">
        <v>92</v>
      </c>
      <c r="B32" s="164">
        <v>2.0786</v>
      </c>
      <c r="C32" s="164">
        <v>5.5131</v>
      </c>
      <c r="D32" s="164">
        <v>2.3068</v>
      </c>
      <c r="E32" s="164">
        <v>2.6144</v>
      </c>
      <c r="F32" s="164">
        <v>10.295</v>
      </c>
      <c r="G32" s="164">
        <v>2.339</v>
      </c>
      <c r="H32" s="168"/>
    </row>
    <row r="33" spans="1:8" s="170" customFormat="1" ht="15.75">
      <c r="A33" s="108" t="s">
        <v>84</v>
      </c>
      <c r="B33" s="143">
        <v>41</v>
      </c>
      <c r="C33" s="143">
        <v>39.8</v>
      </c>
      <c r="D33" s="143">
        <v>42.2</v>
      </c>
      <c r="E33" s="143">
        <v>33.5</v>
      </c>
      <c r="F33" s="143">
        <v>27</v>
      </c>
      <c r="G33" s="143">
        <v>39.8</v>
      </c>
      <c r="H33" s="156"/>
    </row>
    <row r="34" spans="1:8" s="171" customFormat="1" ht="15.75">
      <c r="A34" s="119" t="s">
        <v>92</v>
      </c>
      <c r="B34" s="164">
        <v>4.1234</v>
      </c>
      <c r="C34" s="164">
        <v>5.6395</v>
      </c>
      <c r="D34" s="164">
        <v>5.1944</v>
      </c>
      <c r="E34" s="164">
        <v>3.4648</v>
      </c>
      <c r="F34" s="164">
        <v>5.2068</v>
      </c>
      <c r="G34" s="164">
        <v>6.0573</v>
      </c>
      <c r="H34" s="168"/>
    </row>
    <row r="35" spans="1:7" s="156" customFormat="1" ht="15.75">
      <c r="A35" s="108" t="s">
        <v>21</v>
      </c>
      <c r="B35" s="143"/>
      <c r="C35" s="143"/>
      <c r="D35" s="143"/>
      <c r="E35" s="143"/>
      <c r="F35" s="143"/>
      <c r="G35" s="143"/>
    </row>
    <row r="36" spans="1:7" s="156" customFormat="1" ht="15.75">
      <c r="A36" s="108" t="s">
        <v>89</v>
      </c>
      <c r="B36" s="143" t="s">
        <v>53</v>
      </c>
      <c r="C36" s="143" t="s">
        <v>53</v>
      </c>
      <c r="D36" s="143" t="s">
        <v>53</v>
      </c>
      <c r="E36" s="143">
        <v>16.3</v>
      </c>
      <c r="F36" s="143">
        <v>21.1</v>
      </c>
      <c r="G36" s="143">
        <v>13.1</v>
      </c>
    </row>
    <row r="37" spans="1:7" s="168" customFormat="1" ht="15.75">
      <c r="A37" s="119" t="s">
        <v>92</v>
      </c>
      <c r="B37" s="165" t="s">
        <v>167</v>
      </c>
      <c r="C37" s="165" t="s">
        <v>167</v>
      </c>
      <c r="D37" s="165" t="s">
        <v>167</v>
      </c>
      <c r="E37" s="164">
        <v>2.9689</v>
      </c>
      <c r="F37" s="164">
        <v>4.596</v>
      </c>
      <c r="G37" s="164">
        <v>2.6316</v>
      </c>
    </row>
    <row r="38" spans="1:7" s="156" customFormat="1" ht="15.75">
      <c r="A38" s="108" t="s">
        <v>105</v>
      </c>
      <c r="B38" s="143" t="s">
        <v>53</v>
      </c>
      <c r="C38" s="143" t="s">
        <v>53</v>
      </c>
      <c r="D38" s="143" t="s">
        <v>53</v>
      </c>
      <c r="E38" s="143">
        <v>24.4</v>
      </c>
      <c r="F38" s="143">
        <v>25.2</v>
      </c>
      <c r="G38" s="143">
        <v>23.8</v>
      </c>
    </row>
    <row r="39" spans="1:7" s="168" customFormat="1" ht="15.75">
      <c r="A39" s="119" t="s">
        <v>92</v>
      </c>
      <c r="B39" s="165" t="s">
        <v>167</v>
      </c>
      <c r="C39" s="165" t="s">
        <v>167</v>
      </c>
      <c r="D39" s="165" t="s">
        <v>167</v>
      </c>
      <c r="E39" s="164">
        <v>2.6277</v>
      </c>
      <c r="F39" s="164">
        <v>3.6089</v>
      </c>
      <c r="G39" s="164">
        <v>2.725</v>
      </c>
    </row>
    <row r="40" spans="1:7" s="156" customFormat="1" ht="15.75">
      <c r="A40" s="108" t="s">
        <v>106</v>
      </c>
      <c r="B40" s="143" t="s">
        <v>53</v>
      </c>
      <c r="C40" s="143" t="s">
        <v>53</v>
      </c>
      <c r="D40" s="143" t="s">
        <v>53</v>
      </c>
      <c r="E40" s="143">
        <v>38.4</v>
      </c>
      <c r="F40" s="143">
        <v>41.9</v>
      </c>
      <c r="G40" s="143">
        <v>35.7</v>
      </c>
    </row>
    <row r="41" spans="1:7" s="168" customFormat="1" ht="15.75">
      <c r="A41" s="119" t="s">
        <v>92</v>
      </c>
      <c r="B41" s="165" t="s">
        <v>167</v>
      </c>
      <c r="C41" s="165" t="s">
        <v>167</v>
      </c>
      <c r="D41" s="165" t="s">
        <v>167</v>
      </c>
      <c r="E41" s="164">
        <v>1.6008</v>
      </c>
      <c r="F41" s="164">
        <v>2.4909</v>
      </c>
      <c r="G41" s="164">
        <v>1.7878</v>
      </c>
    </row>
    <row r="42" spans="1:7" s="156" customFormat="1" ht="15.75">
      <c r="A42" s="108" t="s">
        <v>107</v>
      </c>
      <c r="B42" s="143" t="s">
        <v>53</v>
      </c>
      <c r="C42" s="143" t="s">
        <v>53</v>
      </c>
      <c r="D42" s="143" t="s">
        <v>53</v>
      </c>
      <c r="E42" s="143">
        <v>44.8</v>
      </c>
      <c r="F42" s="143">
        <v>47.1</v>
      </c>
      <c r="G42" s="143">
        <v>42.1</v>
      </c>
    </row>
    <row r="43" spans="1:7" s="168" customFormat="1" ht="15.75">
      <c r="A43" s="119" t="s">
        <v>92</v>
      </c>
      <c r="B43" s="165" t="s">
        <v>167</v>
      </c>
      <c r="C43" s="165" t="s">
        <v>167</v>
      </c>
      <c r="D43" s="165" t="s">
        <v>167</v>
      </c>
      <c r="E43" s="164">
        <v>1.539</v>
      </c>
      <c r="F43" s="164">
        <v>2.0083</v>
      </c>
      <c r="G43" s="164">
        <v>1.4484</v>
      </c>
    </row>
    <row r="44" spans="1:7" s="156" customFormat="1" ht="15.75">
      <c r="A44" s="108" t="s">
        <v>25</v>
      </c>
      <c r="B44" s="143"/>
      <c r="C44" s="143"/>
      <c r="D44" s="143"/>
      <c r="E44" s="143"/>
      <c r="F44" s="143"/>
      <c r="G44" s="143"/>
    </row>
    <row r="45" spans="1:7" s="156" customFormat="1" ht="15.75">
      <c r="A45" s="108" t="s">
        <v>117</v>
      </c>
      <c r="B45" s="143">
        <v>19.3</v>
      </c>
      <c r="C45" s="143">
        <v>28.4</v>
      </c>
      <c r="D45" s="143">
        <v>11.5</v>
      </c>
      <c r="E45" s="143">
        <v>26.9</v>
      </c>
      <c r="F45" s="143">
        <v>30.2</v>
      </c>
      <c r="G45" s="143">
        <v>23.9</v>
      </c>
    </row>
    <row r="46" spans="1:7" s="168" customFormat="1" ht="15.75">
      <c r="A46" s="119" t="s">
        <v>92</v>
      </c>
      <c r="B46" s="164">
        <v>1.0587</v>
      </c>
      <c r="C46" s="164">
        <v>1.7887</v>
      </c>
      <c r="D46" s="164">
        <v>1.2165</v>
      </c>
      <c r="E46" s="164">
        <v>1.4811</v>
      </c>
      <c r="F46" s="164">
        <v>2.2177</v>
      </c>
      <c r="G46" s="164">
        <v>1.947</v>
      </c>
    </row>
    <row r="47" spans="1:7" s="156" customFormat="1" ht="15.75">
      <c r="A47" s="108" t="s">
        <v>118</v>
      </c>
      <c r="B47" s="143">
        <v>34.9</v>
      </c>
      <c r="C47" s="143">
        <v>48.2</v>
      </c>
      <c r="D47" s="143">
        <v>22.6</v>
      </c>
      <c r="E47" s="143">
        <v>42.2</v>
      </c>
      <c r="F47" s="143">
        <v>45.5</v>
      </c>
      <c r="G47" s="143">
        <v>39</v>
      </c>
    </row>
    <row r="48" spans="1:7" s="168" customFormat="1" ht="15.75">
      <c r="A48" s="119" t="s">
        <v>92</v>
      </c>
      <c r="B48" s="164">
        <v>0.9749</v>
      </c>
      <c r="C48" s="164">
        <v>1.4816</v>
      </c>
      <c r="D48" s="164">
        <v>1.0302</v>
      </c>
      <c r="E48" s="164">
        <v>1.2934</v>
      </c>
      <c r="F48" s="164">
        <v>1.7147</v>
      </c>
      <c r="G48" s="164">
        <v>1.286</v>
      </c>
    </row>
    <row r="49" spans="1:7" s="156" customFormat="1" ht="15.75">
      <c r="A49" s="108" t="s">
        <v>27</v>
      </c>
      <c r="B49" s="143"/>
      <c r="C49" s="143"/>
      <c r="D49" s="143"/>
      <c r="E49" s="143"/>
      <c r="F49" s="143"/>
      <c r="G49" s="143"/>
    </row>
    <row r="50" spans="1:7" s="156" customFormat="1" ht="15.75">
      <c r="A50" s="167" t="s">
        <v>120</v>
      </c>
      <c r="B50" s="143">
        <v>42.7</v>
      </c>
      <c r="C50" s="143">
        <v>47.1</v>
      </c>
      <c r="D50" s="143">
        <v>35.7</v>
      </c>
      <c r="E50" s="143">
        <v>42.3</v>
      </c>
      <c r="F50" s="143">
        <v>42.1</v>
      </c>
      <c r="G50" s="143">
        <v>42.6</v>
      </c>
    </row>
    <row r="51" spans="1:7" s="168" customFormat="1" ht="15.75">
      <c r="A51" s="119" t="s">
        <v>92</v>
      </c>
      <c r="B51" s="164">
        <v>1.2883</v>
      </c>
      <c r="C51" s="164">
        <v>1.5719</v>
      </c>
      <c r="D51" s="164">
        <v>1.5133</v>
      </c>
      <c r="E51" s="164">
        <v>1.3206</v>
      </c>
      <c r="F51" s="164">
        <v>1.7555</v>
      </c>
      <c r="G51" s="164">
        <v>1.6259</v>
      </c>
    </row>
    <row r="52" spans="1:8" s="167" customFormat="1" ht="15.75">
      <c r="A52" s="167" t="s">
        <v>121</v>
      </c>
      <c r="B52" s="143">
        <v>22.6</v>
      </c>
      <c r="C52" s="143">
        <v>39</v>
      </c>
      <c r="D52" s="143">
        <v>13.9</v>
      </c>
      <c r="E52" s="143">
        <v>37.1</v>
      </c>
      <c r="F52" s="143">
        <v>42.1</v>
      </c>
      <c r="G52" s="143">
        <v>34</v>
      </c>
      <c r="H52" s="156"/>
    </row>
    <row r="53" spans="1:8" s="169" customFormat="1" ht="15.75">
      <c r="A53" s="119" t="s">
        <v>92</v>
      </c>
      <c r="B53" s="164">
        <v>1.3309</v>
      </c>
      <c r="C53" s="164">
        <v>2.5625</v>
      </c>
      <c r="D53" s="164">
        <v>1.3789</v>
      </c>
      <c r="E53" s="164">
        <v>2.6842</v>
      </c>
      <c r="F53" s="164">
        <v>3.68</v>
      </c>
      <c r="G53" s="164">
        <v>3.1009</v>
      </c>
      <c r="H53" s="168"/>
    </row>
    <row r="54" spans="1:8" s="167" customFormat="1" ht="15.75">
      <c r="A54" s="167" t="s">
        <v>122</v>
      </c>
      <c r="B54" s="143">
        <v>9.3</v>
      </c>
      <c r="C54" s="143">
        <v>13.5</v>
      </c>
      <c r="D54" s="143">
        <v>5.5</v>
      </c>
      <c r="E54" s="143">
        <v>28.9</v>
      </c>
      <c r="F54" s="143">
        <v>29.8</v>
      </c>
      <c r="G54" s="143">
        <v>27.9</v>
      </c>
      <c r="H54" s="156"/>
    </row>
    <row r="55" spans="1:8" s="169" customFormat="1" ht="15.75">
      <c r="A55" s="119" t="s">
        <v>92</v>
      </c>
      <c r="B55" s="164">
        <v>2.659</v>
      </c>
      <c r="C55" s="164">
        <v>4.257</v>
      </c>
      <c r="D55" s="164">
        <v>2.238</v>
      </c>
      <c r="E55" s="164">
        <v>6.6484</v>
      </c>
      <c r="F55" s="164">
        <v>8.0172</v>
      </c>
      <c r="G55" s="164">
        <v>8.6783</v>
      </c>
      <c r="H55" s="168"/>
    </row>
    <row r="56" spans="1:8" s="167" customFormat="1" ht="15.75">
      <c r="A56" s="167" t="s">
        <v>123</v>
      </c>
      <c r="B56" s="143">
        <v>22.3</v>
      </c>
      <c r="C56" s="143">
        <v>41.5</v>
      </c>
      <c r="D56" s="143">
        <v>11.6</v>
      </c>
      <c r="E56" s="143">
        <v>34.5</v>
      </c>
      <c r="F56" s="143">
        <v>42.6</v>
      </c>
      <c r="G56" s="143">
        <v>29.3</v>
      </c>
      <c r="H56" s="156"/>
    </row>
    <row r="57" spans="1:8" s="169" customFormat="1" ht="15.75">
      <c r="A57" s="119" t="s">
        <v>92</v>
      </c>
      <c r="B57" s="164">
        <v>0.9751</v>
      </c>
      <c r="C57" s="164">
        <v>1.9507</v>
      </c>
      <c r="D57" s="164">
        <v>0.902</v>
      </c>
      <c r="E57" s="164">
        <v>1.47</v>
      </c>
      <c r="F57" s="164">
        <v>2.6102</v>
      </c>
      <c r="G57" s="164">
        <v>1.4321</v>
      </c>
      <c r="H57" s="168"/>
    </row>
    <row r="58" spans="1:7" s="156" customFormat="1" ht="15.75">
      <c r="A58" s="108" t="s">
        <v>18</v>
      </c>
      <c r="B58" s="143"/>
      <c r="C58" s="143"/>
      <c r="D58" s="143"/>
      <c r="E58" s="143"/>
      <c r="F58" s="143"/>
      <c r="G58" s="143"/>
    </row>
    <row r="59" spans="1:8" s="170" customFormat="1" ht="15.75">
      <c r="A59" s="108" t="s">
        <v>90</v>
      </c>
      <c r="B59" s="143">
        <v>46.5</v>
      </c>
      <c r="C59" s="143">
        <v>46.9</v>
      </c>
      <c r="D59" s="143">
        <v>23.9</v>
      </c>
      <c r="E59" s="143">
        <v>44.2</v>
      </c>
      <c r="F59" s="143">
        <v>44.6</v>
      </c>
      <c r="G59" s="143">
        <v>24.6</v>
      </c>
      <c r="H59" s="156"/>
    </row>
    <row r="60" spans="1:8" s="171" customFormat="1" ht="15.75">
      <c r="A60" s="119" t="s">
        <v>92</v>
      </c>
      <c r="B60" s="164">
        <v>1.4069</v>
      </c>
      <c r="C60" s="164">
        <v>1.4373</v>
      </c>
      <c r="D60" s="164">
        <v>7.2679</v>
      </c>
      <c r="E60" s="164">
        <v>2.1284</v>
      </c>
      <c r="F60" s="164">
        <v>2.1455</v>
      </c>
      <c r="G60" s="164">
        <v>10.5961</v>
      </c>
      <c r="H60" s="168"/>
    </row>
    <row r="61" spans="1:8" s="171" customFormat="1" ht="15.75">
      <c r="A61" s="157"/>
      <c r="B61" s="164"/>
      <c r="C61" s="164"/>
      <c r="D61" s="164"/>
      <c r="E61" s="164"/>
      <c r="F61" s="164"/>
      <c r="G61" s="164"/>
      <c r="H61" s="168"/>
    </row>
    <row r="62" ht="15.75">
      <c r="A62" s="156" t="s">
        <v>168</v>
      </c>
    </row>
    <row r="63" ht="15.75">
      <c r="A63" s="156"/>
    </row>
    <row r="64" ht="15.75">
      <c r="A64" s="169" t="s">
        <v>147</v>
      </c>
    </row>
    <row r="65" ht="15.75">
      <c r="A65" s="156" t="s">
        <v>41</v>
      </c>
    </row>
    <row r="66" ht="15.75">
      <c r="A66" s="156" t="s">
        <v>40</v>
      </c>
    </row>
    <row r="67" ht="15.75">
      <c r="A67" s="169" t="s">
        <v>148</v>
      </c>
    </row>
    <row r="68" ht="15.75">
      <c r="A68" s="119" t="s">
        <v>125</v>
      </c>
    </row>
  </sheetData>
  <hyperlinks>
    <hyperlink ref="H2" location="'Appendix A'!A1" display="[Return to Menu]"/>
  </hyperlinks>
  <printOptions/>
  <pageMargins left="0.5" right="0.5" top="1" bottom="1"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H35"/>
  <sheetViews>
    <sheetView workbookViewId="0" topLeftCell="A1">
      <selection activeCell="A1" sqref="A1"/>
    </sheetView>
  </sheetViews>
  <sheetFormatPr defaultColWidth="9.140625" defaultRowHeight="12.75"/>
  <cols>
    <col min="1" max="1" width="21.28125" style="0" customWidth="1"/>
    <col min="2" max="2" width="7.8515625" style="0" bestFit="1" customWidth="1"/>
    <col min="3" max="3" width="10.00390625" style="0" bestFit="1" customWidth="1"/>
    <col min="4" max="4" width="10.28125" style="0" bestFit="1" customWidth="1"/>
    <col min="5" max="5" width="9.7109375" style="0" bestFit="1" customWidth="1"/>
    <col min="6" max="6" width="10.7109375" style="0" bestFit="1" customWidth="1"/>
    <col min="8" max="8" width="16.140625" style="0" bestFit="1" customWidth="1"/>
    <col min="10" max="10" width="16.140625" style="0" bestFit="1" customWidth="1"/>
  </cols>
  <sheetData>
    <row r="1" s="6" customFormat="1" ht="15.75">
      <c r="A1" s="95" t="s">
        <v>214</v>
      </c>
    </row>
    <row r="2" s="6" customFormat="1" ht="15.75">
      <c r="H2" s="96" t="s">
        <v>71</v>
      </c>
    </row>
    <row r="3" spans="2:8" s="121" customFormat="1" ht="31.5">
      <c r="B3" s="136" t="s">
        <v>60</v>
      </c>
      <c r="C3" s="136" t="s">
        <v>63</v>
      </c>
      <c r="D3" s="136" t="s">
        <v>61</v>
      </c>
      <c r="E3" s="140" t="s">
        <v>150</v>
      </c>
      <c r="F3" s="121" t="s">
        <v>62</v>
      </c>
      <c r="H3" s="130"/>
    </row>
    <row r="4" spans="1:8" s="95" customFormat="1" ht="15.75">
      <c r="A4" s="98" t="s">
        <v>0</v>
      </c>
      <c r="B4" s="137">
        <v>75.4</v>
      </c>
      <c r="C4" s="137">
        <v>5.9</v>
      </c>
      <c r="D4" s="137">
        <v>4.3</v>
      </c>
      <c r="E4" s="137">
        <v>3.5</v>
      </c>
      <c r="F4" s="132">
        <v>10.8</v>
      </c>
      <c r="H4" s="131"/>
    </row>
    <row r="5" spans="1:8" s="6" customFormat="1" ht="15.75">
      <c r="A5" s="95" t="s">
        <v>33</v>
      </c>
      <c r="B5" s="138"/>
      <c r="C5" s="138"/>
      <c r="D5" s="138"/>
      <c r="E5" s="138"/>
      <c r="F5" s="8"/>
      <c r="H5" s="128"/>
    </row>
    <row r="6" spans="1:8" s="6" customFormat="1" ht="15.75">
      <c r="A6" s="95" t="s">
        <v>111</v>
      </c>
      <c r="B6" s="138">
        <v>75.9</v>
      </c>
      <c r="C6" s="138">
        <v>4.6</v>
      </c>
      <c r="D6" s="138">
        <v>4.2</v>
      </c>
      <c r="E6" s="138">
        <v>4.8</v>
      </c>
      <c r="F6" s="8">
        <v>10.5</v>
      </c>
      <c r="H6" s="128"/>
    </row>
    <row r="7" spans="1:8" s="6" customFormat="1" ht="15.75">
      <c r="A7" s="95" t="s">
        <v>112</v>
      </c>
      <c r="B7" s="138">
        <v>75</v>
      </c>
      <c r="C7" s="138">
        <v>7</v>
      </c>
      <c r="D7" s="138">
        <v>4.5</v>
      </c>
      <c r="E7" s="138">
        <v>2.4</v>
      </c>
      <c r="F7" s="8">
        <v>11.1</v>
      </c>
      <c r="H7" s="51"/>
    </row>
    <row r="8" spans="1:8" s="6" customFormat="1" ht="15.75">
      <c r="A8" s="95" t="s">
        <v>64</v>
      </c>
      <c r="B8" s="138"/>
      <c r="C8" s="138"/>
      <c r="D8" s="138"/>
      <c r="E8" s="138"/>
      <c r="F8" s="8"/>
      <c r="H8" s="51"/>
    </row>
    <row r="9" spans="1:8" s="6" customFormat="1" ht="15.75">
      <c r="A9" s="95" t="s">
        <v>151</v>
      </c>
      <c r="B9" s="138">
        <v>24.8</v>
      </c>
      <c r="C9" s="138">
        <v>33.3</v>
      </c>
      <c r="D9" s="138">
        <v>9.4</v>
      </c>
      <c r="E9" s="138">
        <v>2.6</v>
      </c>
      <c r="F9" s="8">
        <v>29.9</v>
      </c>
      <c r="H9" s="128"/>
    </row>
    <row r="10" spans="1:8" s="6" customFormat="1" ht="15.75">
      <c r="A10" s="95" t="s">
        <v>152</v>
      </c>
      <c r="B10" s="138">
        <v>48.8</v>
      </c>
      <c r="C10" s="138">
        <v>10.3</v>
      </c>
      <c r="D10" s="138">
        <v>12.2</v>
      </c>
      <c r="E10" s="138">
        <v>5.4</v>
      </c>
      <c r="F10" s="8">
        <v>23.3</v>
      </c>
      <c r="H10" s="128"/>
    </row>
    <row r="11" spans="1:8" s="6" customFormat="1" ht="15.75">
      <c r="A11" s="189" t="s">
        <v>153</v>
      </c>
      <c r="B11" s="139">
        <v>86.3</v>
      </c>
      <c r="C11" s="139">
        <v>1.9</v>
      </c>
      <c r="D11" s="139">
        <v>2.2</v>
      </c>
      <c r="E11" s="139">
        <v>3.3</v>
      </c>
      <c r="F11" s="133">
        <v>6.2</v>
      </c>
      <c r="H11" s="128"/>
    </row>
    <row r="12" spans="2:8" s="6" customFormat="1" ht="15.75">
      <c r="B12" s="8"/>
      <c r="C12" s="8"/>
      <c r="D12" s="8"/>
      <c r="E12" s="8"/>
      <c r="F12" s="8"/>
      <c r="H12" s="128"/>
    </row>
    <row r="13" spans="1:8" s="6" customFormat="1" ht="15.75">
      <c r="A13" s="20" t="s">
        <v>154</v>
      </c>
      <c r="B13" s="8"/>
      <c r="C13" s="8"/>
      <c r="D13" s="8"/>
      <c r="E13" s="8"/>
      <c r="F13" s="8"/>
      <c r="H13" s="128"/>
    </row>
    <row r="14" spans="1:8" s="6" customFormat="1" ht="15.75">
      <c r="A14" s="6" t="s">
        <v>155</v>
      </c>
      <c r="B14" s="8"/>
      <c r="C14" s="8"/>
      <c r="D14" s="8"/>
      <c r="E14" s="8"/>
      <c r="F14" s="8"/>
      <c r="H14" s="128"/>
    </row>
    <row r="15" spans="1:8" s="6" customFormat="1" ht="15.75">
      <c r="A15" s="20" t="s">
        <v>102</v>
      </c>
      <c r="H15" s="128"/>
    </row>
    <row r="16" spans="1:8" s="6" customFormat="1" ht="15.75">
      <c r="A16" s="20" t="s">
        <v>156</v>
      </c>
      <c r="H16" s="51"/>
    </row>
    <row r="17" s="6" customFormat="1" ht="15.75">
      <c r="H17" s="128"/>
    </row>
    <row r="18" s="6" customFormat="1" ht="15.75">
      <c r="H18" s="128"/>
    </row>
    <row r="19" s="6" customFormat="1" ht="15.75">
      <c r="H19" s="128"/>
    </row>
    <row r="20" s="6" customFormat="1" ht="15.75">
      <c r="H20" s="128"/>
    </row>
    <row r="21" s="6" customFormat="1" ht="15.75">
      <c r="H21" s="51"/>
    </row>
    <row r="22" s="6" customFormat="1" ht="15.75">
      <c r="H22" s="51"/>
    </row>
    <row r="23" s="6" customFormat="1" ht="15.75">
      <c r="H23" s="51"/>
    </row>
    <row r="24" s="6" customFormat="1" ht="15.75">
      <c r="H24" s="51"/>
    </row>
    <row r="25" s="6" customFormat="1" ht="15.75">
      <c r="H25" s="51"/>
    </row>
    <row r="26" s="6" customFormat="1" ht="15.75">
      <c r="H26" s="51"/>
    </row>
    <row r="27" s="6" customFormat="1" ht="15.75">
      <c r="H27" s="128"/>
    </row>
    <row r="28" s="6" customFormat="1" ht="15.75">
      <c r="H28" s="128"/>
    </row>
    <row r="29" s="6" customFormat="1" ht="15.75">
      <c r="H29" s="51"/>
    </row>
    <row r="30" s="6" customFormat="1" ht="15.75">
      <c r="H30" s="128"/>
    </row>
    <row r="31" s="6" customFormat="1" ht="15.75">
      <c r="H31" s="128"/>
    </row>
    <row r="32" s="6" customFormat="1" ht="15.75">
      <c r="H32" s="128"/>
    </row>
    <row r="33" s="6" customFormat="1" ht="15.75">
      <c r="H33" s="128"/>
    </row>
    <row r="34" s="6" customFormat="1" ht="15.75">
      <c r="H34" s="51"/>
    </row>
    <row r="35" s="6" customFormat="1" ht="15.75">
      <c r="H35" s="128"/>
    </row>
    <row r="36" s="6" customFormat="1" ht="15.75"/>
    <row r="37" s="6" customFormat="1" ht="15.75"/>
    <row r="38" s="6" customFormat="1" ht="15.75"/>
    <row r="39" s="6" customFormat="1" ht="15.75"/>
    <row r="40" s="6" customFormat="1" ht="15.75"/>
    <row r="41" s="6" customFormat="1" ht="15.75"/>
    <row r="42" s="6" customFormat="1" ht="15.75"/>
    <row r="43" s="6" customFormat="1" ht="15.75"/>
    <row r="44" s="6" customFormat="1" ht="15.75"/>
    <row r="45" s="6" customFormat="1" ht="15.75"/>
    <row r="46" s="6" customFormat="1" ht="15.75"/>
    <row r="47" s="6" customFormat="1" ht="15.75"/>
    <row r="48" s="6" customFormat="1" ht="15.75"/>
    <row r="49" s="6" customFormat="1" ht="15.75"/>
    <row r="50" s="6" customFormat="1" ht="15.75"/>
    <row r="51" s="6" customFormat="1" ht="15.75"/>
    <row r="52" s="6" customFormat="1" ht="15.75"/>
    <row r="53" s="6" customFormat="1" ht="15.75"/>
    <row r="54" s="6" customFormat="1" ht="15.75"/>
    <row r="55" s="6" customFormat="1" ht="15.75"/>
    <row r="56" s="6" customFormat="1" ht="15.75"/>
    <row r="57" s="6" customFormat="1" ht="15.75"/>
    <row r="58" s="6" customFormat="1" ht="15.75"/>
    <row r="59" s="6" customFormat="1" ht="15.75"/>
    <row r="60" s="6" customFormat="1" ht="15.75"/>
    <row r="61" s="6" customFormat="1" ht="15.75"/>
    <row r="62" s="6" customFormat="1" ht="15.75"/>
    <row r="63" s="6" customFormat="1" ht="15.75"/>
    <row r="64" s="6" customFormat="1" ht="15.75"/>
    <row r="65" s="6" customFormat="1" ht="15.75"/>
    <row r="66" s="6" customFormat="1" ht="15.75"/>
    <row r="67" s="6" customFormat="1" ht="15.75"/>
    <row r="68" s="6" customFormat="1" ht="15.75"/>
    <row r="69" s="6" customFormat="1" ht="15.75"/>
    <row r="70" s="6" customFormat="1" ht="15.75"/>
    <row r="71" s="6" customFormat="1" ht="15.75"/>
    <row r="72" s="6" customFormat="1" ht="15.75"/>
    <row r="73" s="6" customFormat="1" ht="15.75"/>
    <row r="74" s="6" customFormat="1" ht="15.75"/>
    <row r="75" s="6" customFormat="1" ht="15.75"/>
    <row r="76" s="6" customFormat="1" ht="15.75"/>
    <row r="77" s="6" customFormat="1" ht="15.75"/>
    <row r="78" s="6" customFormat="1" ht="15.75"/>
    <row r="79" s="6" customFormat="1" ht="15.75"/>
    <row r="80" s="6" customFormat="1" ht="15.75"/>
    <row r="81" s="6" customFormat="1" ht="15.75"/>
    <row r="82" s="6" customFormat="1" ht="15.75"/>
    <row r="83" s="6" customFormat="1" ht="15.75"/>
    <row r="84" s="6" customFormat="1" ht="15.75"/>
    <row r="85" s="6" customFormat="1" ht="15.75"/>
    <row r="86" s="6" customFormat="1" ht="15.75"/>
    <row r="87" s="6" customFormat="1" ht="15.75"/>
    <row r="88" s="6" customFormat="1" ht="15.75"/>
    <row r="89" s="6" customFormat="1" ht="15.75"/>
    <row r="90" s="6" customFormat="1" ht="15.75"/>
    <row r="91" s="6" customFormat="1" ht="15.75"/>
    <row r="92" s="6" customFormat="1" ht="15.75"/>
    <row r="93" s="6" customFormat="1" ht="15.75"/>
    <row r="94" s="6" customFormat="1" ht="15.75"/>
    <row r="95" s="6" customFormat="1" ht="15.75"/>
    <row r="96" s="6" customFormat="1" ht="15.75"/>
    <row r="97" s="6" customFormat="1" ht="15.75"/>
    <row r="98" s="6" customFormat="1" ht="15.75"/>
    <row r="99" s="6" customFormat="1" ht="15.75"/>
    <row r="100" s="6" customFormat="1" ht="15.75"/>
    <row r="101" s="6" customFormat="1" ht="15.75"/>
    <row r="102" s="6" customFormat="1" ht="15.75"/>
    <row r="103" s="6" customFormat="1" ht="15.75"/>
    <row r="104" s="6" customFormat="1" ht="15.75"/>
    <row r="105" s="6" customFormat="1" ht="15.75"/>
    <row r="106" s="6" customFormat="1" ht="15.75"/>
    <row r="107" s="6" customFormat="1" ht="15.75"/>
    <row r="108" s="6" customFormat="1" ht="15.75"/>
    <row r="109" s="6" customFormat="1" ht="15.75"/>
    <row r="110" s="6" customFormat="1" ht="15.75"/>
    <row r="111" s="6" customFormat="1" ht="15.75"/>
    <row r="112" s="6" customFormat="1" ht="15.75"/>
    <row r="113" s="6" customFormat="1" ht="15.75"/>
    <row r="114" s="6" customFormat="1" ht="15.75"/>
  </sheetData>
  <hyperlinks>
    <hyperlink ref="H2" location="'Appendix A'!A1" display="[Return to Menu]"/>
  </hyperlinks>
  <printOptions/>
  <pageMargins left="0.75" right="0.7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H39"/>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32.8515625" style="6" customWidth="1"/>
    <col min="2" max="2" width="13.421875" style="6" customWidth="1"/>
    <col min="3" max="3" width="13.7109375" style="6" customWidth="1"/>
    <col min="4" max="4" width="12.8515625" style="6" customWidth="1"/>
    <col min="5" max="5" width="12.421875" style="6" customWidth="1"/>
    <col min="6" max="7" width="13.140625" style="6" customWidth="1"/>
    <col min="8" max="8" width="16.140625" style="6" bestFit="1" customWidth="1"/>
    <col min="9" max="9" width="10.57421875" style="6" customWidth="1"/>
    <col min="10" max="16384" width="9.140625" style="6" customWidth="1"/>
  </cols>
  <sheetData>
    <row r="1" ht="15.75">
      <c r="A1" s="95" t="s">
        <v>159</v>
      </c>
    </row>
    <row r="2" spans="1:8" ht="15.75">
      <c r="A2" s="95"/>
      <c r="H2" s="96" t="s">
        <v>71</v>
      </c>
    </row>
    <row r="3" spans="1:7" ht="15.75">
      <c r="A3" s="95"/>
      <c r="G3" s="96"/>
    </row>
    <row r="4" spans="1:7" s="95" customFormat="1" ht="48.75" customHeight="1">
      <c r="A4" s="189" t="s">
        <v>13</v>
      </c>
      <c r="B4" s="190" t="s">
        <v>209</v>
      </c>
      <c r="C4" s="191" t="s">
        <v>208</v>
      </c>
      <c r="D4" s="195" t="s">
        <v>210</v>
      </c>
      <c r="E4" s="191" t="s">
        <v>211</v>
      </c>
      <c r="F4" s="191" t="s">
        <v>212</v>
      </c>
      <c r="G4" s="191" t="s">
        <v>213</v>
      </c>
    </row>
    <row r="5" spans="1:7" s="95" customFormat="1" ht="15.75">
      <c r="A5" s="98" t="s">
        <v>0</v>
      </c>
      <c r="B5" s="100">
        <v>89.3</v>
      </c>
      <c r="C5" s="99">
        <v>88.3</v>
      </c>
      <c r="D5" s="142">
        <v>90.2</v>
      </c>
      <c r="E5" s="99">
        <v>92.1</v>
      </c>
      <c r="F5" s="99">
        <v>91.2</v>
      </c>
      <c r="G5" s="99">
        <v>92.9</v>
      </c>
    </row>
    <row r="6" spans="2:8" s="95" customFormat="1" ht="15.75">
      <c r="B6" s="91"/>
      <c r="C6" s="87"/>
      <c r="D6" s="92"/>
      <c r="E6" s="87"/>
      <c r="F6" s="87"/>
      <c r="G6" s="87"/>
      <c r="H6" s="6"/>
    </row>
    <row r="7" spans="1:7" ht="15.75">
      <c r="A7" s="95" t="s">
        <v>14</v>
      </c>
      <c r="B7" s="91"/>
      <c r="C7" s="87"/>
      <c r="D7" s="92"/>
      <c r="E7" s="87"/>
      <c r="F7" s="87"/>
      <c r="G7" s="87"/>
    </row>
    <row r="8" spans="1:8" s="95" customFormat="1" ht="15.75">
      <c r="A8" s="95" t="s">
        <v>45</v>
      </c>
      <c r="B8" s="91">
        <v>89.8</v>
      </c>
      <c r="C8" s="87">
        <v>88.8</v>
      </c>
      <c r="D8" s="92">
        <v>90.7</v>
      </c>
      <c r="E8" s="87">
        <v>91.7</v>
      </c>
      <c r="F8" s="87">
        <v>90.7</v>
      </c>
      <c r="G8" s="87">
        <v>92.6</v>
      </c>
      <c r="H8" s="6"/>
    </row>
    <row r="9" spans="1:8" s="95" customFormat="1" ht="15.75">
      <c r="A9" s="95" t="s">
        <v>46</v>
      </c>
      <c r="B9" s="91">
        <v>86.8</v>
      </c>
      <c r="C9" s="87">
        <v>85.4</v>
      </c>
      <c r="D9" s="92">
        <v>87.9</v>
      </c>
      <c r="E9" s="87">
        <v>93.2</v>
      </c>
      <c r="F9" s="87">
        <v>91.4</v>
      </c>
      <c r="G9" s="87">
        <v>94.5</v>
      </c>
      <c r="H9" s="6"/>
    </row>
    <row r="10" spans="1:8" s="141" customFormat="1" ht="15.75">
      <c r="A10" s="95" t="s">
        <v>56</v>
      </c>
      <c r="B10" s="91">
        <v>88</v>
      </c>
      <c r="C10" s="87">
        <v>88.8</v>
      </c>
      <c r="D10" s="92">
        <v>87.2</v>
      </c>
      <c r="E10" s="87">
        <v>90.6</v>
      </c>
      <c r="F10" s="87">
        <v>96.4</v>
      </c>
      <c r="G10" s="87">
        <v>85</v>
      </c>
      <c r="H10" s="6"/>
    </row>
    <row r="11" spans="1:8" s="95" customFormat="1" ht="15.75">
      <c r="A11" s="95" t="s">
        <v>15</v>
      </c>
      <c r="B11" s="91">
        <v>87.5</v>
      </c>
      <c r="C11" s="87">
        <v>85.7</v>
      </c>
      <c r="D11" s="92">
        <v>88.9</v>
      </c>
      <c r="E11" s="87">
        <v>95.4</v>
      </c>
      <c r="F11" s="87">
        <v>94.5</v>
      </c>
      <c r="G11" s="87">
        <v>96.2</v>
      </c>
      <c r="H11" s="6"/>
    </row>
    <row r="12" spans="2:8" s="95" customFormat="1" ht="15.75">
      <c r="B12" s="91"/>
      <c r="C12" s="87"/>
      <c r="D12" s="92"/>
      <c r="E12" s="87"/>
      <c r="F12" s="87"/>
      <c r="G12" s="87"/>
      <c r="H12" s="6"/>
    </row>
    <row r="13" spans="1:7" ht="15.75">
      <c r="A13" s="95" t="s">
        <v>16</v>
      </c>
      <c r="B13" s="91"/>
      <c r="C13" s="87"/>
      <c r="D13" s="92"/>
      <c r="E13" s="87"/>
      <c r="F13" s="87"/>
      <c r="G13" s="87"/>
    </row>
    <row r="14" spans="1:8" s="95" customFormat="1" ht="15.75">
      <c r="A14" s="95" t="s">
        <v>1</v>
      </c>
      <c r="B14" s="91">
        <v>90.8</v>
      </c>
      <c r="C14" s="87">
        <v>89.5</v>
      </c>
      <c r="D14" s="92">
        <v>91.8</v>
      </c>
      <c r="E14" s="87">
        <v>96.2</v>
      </c>
      <c r="F14" s="87">
        <v>94.8</v>
      </c>
      <c r="G14" s="87">
        <v>97.3</v>
      </c>
      <c r="H14" s="6"/>
    </row>
    <row r="15" spans="1:8" s="95" customFormat="1" ht="15.75">
      <c r="A15" s="95" t="s">
        <v>2</v>
      </c>
      <c r="B15" s="91">
        <v>91.5</v>
      </c>
      <c r="C15" s="87">
        <v>89.6</v>
      </c>
      <c r="D15" s="92">
        <v>92.9</v>
      </c>
      <c r="E15" s="87">
        <v>94.1</v>
      </c>
      <c r="F15" s="87">
        <v>93.2</v>
      </c>
      <c r="G15" s="87">
        <v>94.9</v>
      </c>
      <c r="H15" s="6"/>
    </row>
    <row r="16" spans="1:8" s="95" customFormat="1" ht="15.75">
      <c r="A16" s="95" t="s">
        <v>9</v>
      </c>
      <c r="B16" s="91">
        <v>87.2</v>
      </c>
      <c r="C16" s="87">
        <v>87.5</v>
      </c>
      <c r="D16" s="92">
        <v>86.9</v>
      </c>
      <c r="E16" s="87">
        <v>92.4</v>
      </c>
      <c r="F16" s="87">
        <v>89.9</v>
      </c>
      <c r="G16" s="87">
        <v>94.5</v>
      </c>
      <c r="H16" s="6"/>
    </row>
    <row r="17" spans="1:8" s="141" customFormat="1" ht="15.75">
      <c r="A17" s="95" t="s">
        <v>8</v>
      </c>
      <c r="B17" s="91">
        <v>84.9</v>
      </c>
      <c r="C17" s="87">
        <v>85.9</v>
      </c>
      <c r="D17" s="92">
        <v>83.6</v>
      </c>
      <c r="E17" s="87">
        <v>86.9</v>
      </c>
      <c r="F17" s="87">
        <v>88.7</v>
      </c>
      <c r="G17" s="87">
        <v>84.6</v>
      </c>
      <c r="H17" s="6"/>
    </row>
    <row r="18" spans="1:8" s="141" customFormat="1" ht="15.75">
      <c r="A18" s="95"/>
      <c r="B18" s="91"/>
      <c r="C18" s="87"/>
      <c r="D18" s="92"/>
      <c r="E18" s="87"/>
      <c r="F18" s="87"/>
      <c r="G18" s="87"/>
      <c r="H18" s="6"/>
    </row>
    <row r="19" spans="1:7" ht="15.75">
      <c r="A19" s="95" t="s">
        <v>17</v>
      </c>
      <c r="B19" s="91"/>
      <c r="C19" s="87"/>
      <c r="D19" s="92"/>
      <c r="E19" s="87"/>
      <c r="F19" s="87"/>
      <c r="G19" s="87"/>
    </row>
    <row r="20" spans="1:8" s="95" customFormat="1" ht="15.75">
      <c r="A20" s="95" t="s">
        <v>3</v>
      </c>
      <c r="B20" s="91">
        <v>92</v>
      </c>
      <c r="C20" s="87">
        <v>91.6</v>
      </c>
      <c r="D20" s="92">
        <v>92.4</v>
      </c>
      <c r="E20" s="87">
        <v>95.7</v>
      </c>
      <c r="F20" s="87">
        <v>95.4</v>
      </c>
      <c r="G20" s="87">
        <v>96</v>
      </c>
      <c r="H20" s="6"/>
    </row>
    <row r="21" spans="1:8" s="141" customFormat="1" ht="15.75">
      <c r="A21" s="95" t="s">
        <v>4</v>
      </c>
      <c r="B21" s="91">
        <v>89.7</v>
      </c>
      <c r="C21" s="87">
        <v>89.4</v>
      </c>
      <c r="D21" s="92">
        <v>89.9</v>
      </c>
      <c r="E21" s="87">
        <v>90.7</v>
      </c>
      <c r="F21" s="87">
        <v>90.1</v>
      </c>
      <c r="G21" s="87">
        <v>91.1</v>
      </c>
      <c r="H21" s="6"/>
    </row>
    <row r="22" spans="1:8" s="95" customFormat="1" ht="15.75">
      <c r="A22" s="95" t="s">
        <v>5</v>
      </c>
      <c r="B22" s="91">
        <v>89.2</v>
      </c>
      <c r="C22" s="87">
        <v>80.7</v>
      </c>
      <c r="D22" s="92">
        <v>90.8</v>
      </c>
      <c r="E22" s="87">
        <v>96.7</v>
      </c>
      <c r="F22" s="87">
        <v>95.9</v>
      </c>
      <c r="G22" s="87">
        <v>96.8</v>
      </c>
      <c r="H22" s="6"/>
    </row>
    <row r="23" spans="1:8" s="141" customFormat="1" ht="15.75">
      <c r="A23" s="95" t="s">
        <v>7</v>
      </c>
      <c r="B23" s="91">
        <v>21.9</v>
      </c>
      <c r="C23" s="87">
        <v>8.7</v>
      </c>
      <c r="D23" s="92">
        <v>35.2</v>
      </c>
      <c r="E23" s="87">
        <v>23.5</v>
      </c>
      <c r="F23" s="87">
        <v>8.9</v>
      </c>
      <c r="G23" s="87">
        <v>37.6</v>
      </c>
      <c r="H23" s="6"/>
    </row>
    <row r="24" spans="1:8" s="141" customFormat="1" ht="15.75">
      <c r="A24" s="95"/>
      <c r="B24" s="91"/>
      <c r="C24" s="87"/>
      <c r="D24" s="92"/>
      <c r="E24" s="87"/>
      <c r="F24" s="87"/>
      <c r="G24" s="87"/>
      <c r="H24" s="6"/>
    </row>
    <row r="25" spans="1:7" ht="15.75">
      <c r="A25" s="95" t="s">
        <v>25</v>
      </c>
      <c r="B25" s="91"/>
      <c r="C25" s="87"/>
      <c r="D25" s="92"/>
      <c r="E25" s="87"/>
      <c r="F25" s="87"/>
      <c r="G25" s="87"/>
    </row>
    <row r="26" spans="1:8" s="95" customFormat="1" ht="15.75">
      <c r="A26" s="95" t="s">
        <v>26</v>
      </c>
      <c r="B26" s="91">
        <v>87.3</v>
      </c>
      <c r="C26" s="87">
        <v>85.2</v>
      </c>
      <c r="D26" s="92">
        <v>89</v>
      </c>
      <c r="E26" s="87">
        <v>91.9</v>
      </c>
      <c r="F26" s="87">
        <v>89.4</v>
      </c>
      <c r="G26" s="87">
        <v>94.2</v>
      </c>
      <c r="H26" s="6"/>
    </row>
    <row r="27" spans="1:8" s="95" customFormat="1" ht="15.75">
      <c r="A27" s="95" t="s">
        <v>59</v>
      </c>
      <c r="B27" s="91">
        <v>89.9</v>
      </c>
      <c r="C27" s="87">
        <v>89.1</v>
      </c>
      <c r="D27" s="92">
        <v>90.5</v>
      </c>
      <c r="E27" s="87">
        <v>92.1</v>
      </c>
      <c r="F27" s="87">
        <v>91.8</v>
      </c>
      <c r="G27" s="87">
        <v>92.5</v>
      </c>
      <c r="H27" s="6"/>
    </row>
    <row r="28" spans="2:8" s="95" customFormat="1" ht="15.75">
      <c r="B28" s="91"/>
      <c r="C28" s="87"/>
      <c r="D28" s="92"/>
      <c r="E28" s="87"/>
      <c r="F28" s="87"/>
      <c r="G28" s="87"/>
      <c r="H28" s="6"/>
    </row>
    <row r="29" spans="1:7" ht="15.75">
      <c r="A29" s="95" t="s">
        <v>27</v>
      </c>
      <c r="B29" s="91"/>
      <c r="C29" s="87"/>
      <c r="D29" s="92"/>
      <c r="E29" s="87"/>
      <c r="F29" s="87"/>
      <c r="G29" s="87"/>
    </row>
    <row r="30" spans="1:8" s="95" customFormat="1" ht="15.75">
      <c r="A30" s="95" t="s">
        <v>28</v>
      </c>
      <c r="B30" s="91">
        <v>90.1</v>
      </c>
      <c r="C30" s="87">
        <v>89.8</v>
      </c>
      <c r="D30" s="92">
        <v>90.4</v>
      </c>
      <c r="E30" s="87">
        <v>92.6</v>
      </c>
      <c r="F30" s="87">
        <v>93.3</v>
      </c>
      <c r="G30" s="87">
        <v>91.7</v>
      </c>
      <c r="H30" s="6"/>
    </row>
    <row r="31" spans="1:8" s="141" customFormat="1" ht="15.75">
      <c r="A31" s="95" t="s">
        <v>29</v>
      </c>
      <c r="B31" s="91">
        <v>90.2</v>
      </c>
      <c r="C31" s="87">
        <v>87.5</v>
      </c>
      <c r="D31" s="92">
        <v>91.6</v>
      </c>
      <c r="E31" s="87">
        <v>90.1</v>
      </c>
      <c r="F31" s="87">
        <v>88.1</v>
      </c>
      <c r="G31" s="87">
        <v>91.4</v>
      </c>
      <c r="H31" s="6"/>
    </row>
    <row r="32" spans="1:8" s="141" customFormat="1" ht="15.75">
      <c r="A32" s="95" t="s">
        <v>6</v>
      </c>
      <c r="B32" s="91">
        <v>84.5</v>
      </c>
      <c r="C32" s="87">
        <v>86.5</v>
      </c>
      <c r="D32" s="92">
        <v>82.6</v>
      </c>
      <c r="E32" s="87">
        <v>81.9</v>
      </c>
      <c r="F32" s="87">
        <v>77.1</v>
      </c>
      <c r="G32" s="87">
        <v>88</v>
      </c>
      <c r="H32" s="6"/>
    </row>
    <row r="33" spans="1:8" s="95" customFormat="1" ht="15.75">
      <c r="A33" s="95" t="s">
        <v>30</v>
      </c>
      <c r="B33" s="91">
        <v>89.4</v>
      </c>
      <c r="C33" s="87">
        <v>86</v>
      </c>
      <c r="D33" s="92">
        <v>91.4</v>
      </c>
      <c r="E33" s="87">
        <v>92.8</v>
      </c>
      <c r="F33" s="87">
        <v>89.5</v>
      </c>
      <c r="G33" s="87">
        <v>94.9</v>
      </c>
      <c r="H33" s="6"/>
    </row>
    <row r="34" spans="2:8" s="95" customFormat="1" ht="15.75">
      <c r="B34" s="91"/>
      <c r="C34" s="87"/>
      <c r="D34" s="92"/>
      <c r="E34" s="87"/>
      <c r="F34" s="87"/>
      <c r="G34" s="87"/>
      <c r="H34" s="6"/>
    </row>
    <row r="35" spans="1:7" ht="15.75">
      <c r="A35" s="95" t="s">
        <v>18</v>
      </c>
      <c r="B35" s="91"/>
      <c r="C35" s="87"/>
      <c r="D35" s="92"/>
      <c r="E35" s="87"/>
      <c r="F35" s="87"/>
      <c r="G35" s="87"/>
    </row>
    <row r="36" spans="1:8" s="141" customFormat="1" ht="15.75">
      <c r="A36" s="189" t="s">
        <v>47</v>
      </c>
      <c r="B36" s="93">
        <v>89</v>
      </c>
      <c r="C36" s="94">
        <v>89.2</v>
      </c>
      <c r="D36" s="129">
        <v>81.1</v>
      </c>
      <c r="E36" s="94">
        <v>91.5</v>
      </c>
      <c r="F36" s="94">
        <v>91.5</v>
      </c>
      <c r="G36" s="94">
        <v>89</v>
      </c>
      <c r="H36" s="6"/>
    </row>
    <row r="38" ht="15.75">
      <c r="A38" s="20" t="s">
        <v>102</v>
      </c>
    </row>
    <row r="39" ht="15.75">
      <c r="A39" s="20" t="s">
        <v>158</v>
      </c>
    </row>
  </sheetData>
  <hyperlinks>
    <hyperlink ref="H2" location="'Appendix A'!A1" display="[Return to Menu]"/>
  </hyperlinks>
  <printOptions/>
  <pageMargins left="0.75" right="0.75" top="1" bottom="1" header="0.5" footer="0.5"/>
  <pageSetup fitToHeight="1" fitToWidth="1" horizontalDpi="600" verticalDpi="600" orientation="landscape" scale="74" r:id="rId1"/>
</worksheet>
</file>

<file path=xl/worksheets/sheet13.xml><?xml version="1.0" encoding="utf-8"?>
<worksheet xmlns="http://schemas.openxmlformats.org/spreadsheetml/2006/main" xmlns:r="http://schemas.openxmlformats.org/officeDocument/2006/relationships">
  <dimension ref="A1:G64"/>
  <sheetViews>
    <sheetView workbookViewId="0" topLeftCell="A1">
      <pane xSplit="15" topLeftCell="P1" activePane="topRight" state="frozen"/>
      <selection pane="topLeft" activeCell="A1" sqref="A1"/>
      <selection pane="topRight" activeCell="A1" sqref="A1"/>
    </sheetView>
  </sheetViews>
  <sheetFormatPr defaultColWidth="9.140625" defaultRowHeight="12.75"/>
  <cols>
    <col min="1" max="1" width="34.28125" style="6" customWidth="1"/>
    <col min="2" max="4" width="13.140625" style="6" customWidth="1"/>
    <col min="5" max="6" width="9.140625" style="6" customWidth="1"/>
    <col min="7" max="7" width="16.140625" style="6" bestFit="1" customWidth="1"/>
    <col min="8" max="16384" width="9.140625" style="6" customWidth="1"/>
  </cols>
  <sheetData>
    <row r="1" ht="15.75">
      <c r="A1" s="95" t="s">
        <v>157</v>
      </c>
    </row>
    <row r="2" spans="1:7" ht="15.75">
      <c r="A2" s="95"/>
      <c r="G2" s="96" t="s">
        <v>71</v>
      </c>
    </row>
    <row r="3" spans="1:4" s="95" customFormat="1" ht="47.25">
      <c r="A3" s="189" t="s">
        <v>13</v>
      </c>
      <c r="B3" s="191" t="s">
        <v>211</v>
      </c>
      <c r="C3" s="191" t="s">
        <v>212</v>
      </c>
      <c r="D3" s="191" t="s">
        <v>213</v>
      </c>
    </row>
    <row r="4" spans="1:4" s="95" customFormat="1" ht="15.75">
      <c r="A4" s="95" t="s">
        <v>0</v>
      </c>
      <c r="B4" s="8">
        <v>8</v>
      </c>
      <c r="C4" s="87">
        <v>6.7</v>
      </c>
      <c r="D4" s="87">
        <v>9.3</v>
      </c>
    </row>
    <row r="5" spans="1:4" s="95" customFormat="1" ht="15.75">
      <c r="A5" s="194" t="s">
        <v>166</v>
      </c>
      <c r="B5" s="178">
        <v>0.5752</v>
      </c>
      <c r="C5" s="178">
        <v>0.6532</v>
      </c>
      <c r="D5" s="178">
        <v>0.6806</v>
      </c>
    </row>
    <row r="6" spans="2:4" s="95" customFormat="1" ht="15.75">
      <c r="B6" s="8"/>
      <c r="C6" s="87"/>
      <c r="D6" s="87"/>
    </row>
    <row r="7" spans="1:4" ht="15.75">
      <c r="A7" s="95" t="s">
        <v>14</v>
      </c>
      <c r="B7" s="8"/>
      <c r="C7" s="87"/>
      <c r="D7" s="87"/>
    </row>
    <row r="8" spans="1:4" s="95" customFormat="1" ht="15.75">
      <c r="A8" s="95" t="s">
        <v>68</v>
      </c>
      <c r="B8" s="8">
        <v>9.7</v>
      </c>
      <c r="C8" s="87">
        <v>8</v>
      </c>
      <c r="D8" s="87">
        <v>11.3</v>
      </c>
    </row>
    <row r="9" spans="1:4" s="95" customFormat="1" ht="15.75">
      <c r="A9" s="95" t="s">
        <v>225</v>
      </c>
      <c r="B9" s="177">
        <v>0.7018</v>
      </c>
      <c r="C9" s="177">
        <v>0.8084</v>
      </c>
      <c r="D9" s="177">
        <v>0.8162</v>
      </c>
    </row>
    <row r="10" spans="1:4" s="95" customFormat="1" ht="15.75">
      <c r="A10" s="95" t="s">
        <v>69</v>
      </c>
      <c r="B10" s="8">
        <v>1.8</v>
      </c>
      <c r="C10" s="87">
        <v>1.2</v>
      </c>
      <c r="D10" s="87">
        <v>2.3</v>
      </c>
    </row>
    <row r="11" spans="1:4" s="95" customFormat="1" ht="15.75">
      <c r="A11" s="95" t="s">
        <v>225</v>
      </c>
      <c r="B11" s="177">
        <v>0.5519</v>
      </c>
      <c r="C11" s="177">
        <v>0.5735</v>
      </c>
      <c r="D11" s="177">
        <v>0.7737</v>
      </c>
    </row>
    <row r="12" spans="1:4" s="95" customFormat="1" ht="15.75">
      <c r="A12" s="95" t="s">
        <v>116</v>
      </c>
      <c r="B12" s="87">
        <v>1.6</v>
      </c>
      <c r="C12" s="87">
        <v>3.3</v>
      </c>
      <c r="D12" s="87">
        <v>0</v>
      </c>
    </row>
    <row r="13" spans="1:4" s="95" customFormat="1" ht="15.75">
      <c r="A13" s="95" t="s">
        <v>225</v>
      </c>
      <c r="B13" s="177">
        <v>1.0367</v>
      </c>
      <c r="C13" s="177">
        <v>2.0104</v>
      </c>
      <c r="D13" s="177" t="s">
        <v>169</v>
      </c>
    </row>
    <row r="14" spans="1:4" s="95" customFormat="1" ht="15.75">
      <c r="A14" s="95" t="s">
        <v>70</v>
      </c>
      <c r="B14" s="8">
        <v>1.7</v>
      </c>
      <c r="C14" s="87">
        <v>0.4</v>
      </c>
      <c r="D14" s="87">
        <v>2.8</v>
      </c>
    </row>
    <row r="15" spans="1:4" s="95" customFormat="1" ht="15.75">
      <c r="A15" s="95" t="s">
        <v>225</v>
      </c>
      <c r="B15" s="177">
        <v>0.7181</v>
      </c>
      <c r="C15" s="177">
        <v>0.3848</v>
      </c>
      <c r="D15" s="177">
        <v>1.2484</v>
      </c>
    </row>
    <row r="16" spans="1:4" s="95" customFormat="1" ht="15.75">
      <c r="A16" s="95" t="s">
        <v>16</v>
      </c>
      <c r="B16" s="8"/>
      <c r="C16" s="87"/>
      <c r="D16" s="87"/>
    </row>
    <row r="17" spans="1:4" ht="15.75">
      <c r="A17" s="95" t="s">
        <v>77</v>
      </c>
      <c r="B17" s="8">
        <v>2.3</v>
      </c>
      <c r="C17" s="87">
        <v>1</v>
      </c>
      <c r="D17" s="87">
        <v>3.2</v>
      </c>
    </row>
    <row r="18" spans="1:4" ht="15.75">
      <c r="A18" s="95" t="s">
        <v>225</v>
      </c>
      <c r="B18" s="177">
        <v>0.6652</v>
      </c>
      <c r="C18" s="177">
        <v>0.5641</v>
      </c>
      <c r="D18" s="177">
        <v>0.9655</v>
      </c>
    </row>
    <row r="19" spans="1:4" s="95" customFormat="1" ht="15.75">
      <c r="A19" s="95" t="s">
        <v>78</v>
      </c>
      <c r="B19" s="8">
        <v>5.2</v>
      </c>
      <c r="C19" s="87">
        <v>3.3</v>
      </c>
      <c r="D19" s="87">
        <v>6.6</v>
      </c>
    </row>
    <row r="20" spans="1:4" s="95" customFormat="1" ht="15.75">
      <c r="A20" s="95" t="s">
        <v>225</v>
      </c>
      <c r="B20" s="177">
        <v>0.6288</v>
      </c>
      <c r="C20" s="177">
        <v>0.7572</v>
      </c>
      <c r="D20" s="177">
        <v>0.7933</v>
      </c>
    </row>
    <row r="21" spans="1:4" s="95" customFormat="1" ht="15.75">
      <c r="A21" s="95" t="s">
        <v>79</v>
      </c>
      <c r="B21" s="8">
        <v>6.2</v>
      </c>
      <c r="C21" s="87">
        <v>4.1</v>
      </c>
      <c r="D21" s="87">
        <v>8.1</v>
      </c>
    </row>
    <row r="22" spans="1:4" s="95" customFormat="1" ht="15.75">
      <c r="A22" s="95" t="s">
        <v>225</v>
      </c>
      <c r="B22" s="177">
        <v>0.5947</v>
      </c>
      <c r="C22" s="177">
        <v>0.7928</v>
      </c>
      <c r="D22" s="177">
        <v>1.0135</v>
      </c>
    </row>
    <row r="23" spans="1:4" s="95" customFormat="1" ht="15.75">
      <c r="A23" s="95" t="s">
        <v>80</v>
      </c>
      <c r="B23" s="8">
        <v>16.6</v>
      </c>
      <c r="C23" s="87">
        <v>14.6</v>
      </c>
      <c r="D23" s="87">
        <v>19.3</v>
      </c>
    </row>
    <row r="24" spans="1:4" s="95" customFormat="1" ht="15.75">
      <c r="A24" s="95" t="s">
        <v>225</v>
      </c>
      <c r="B24" s="177">
        <v>1.3164</v>
      </c>
      <c r="C24" s="177">
        <v>1.4737</v>
      </c>
      <c r="D24" s="177">
        <v>1.7614</v>
      </c>
    </row>
    <row r="25" s="95" customFormat="1" ht="15.75">
      <c r="A25" s="95" t="s">
        <v>17</v>
      </c>
    </row>
    <row r="26" spans="1:4" s="95" customFormat="1" ht="15.75">
      <c r="A26" s="95" t="s">
        <v>81</v>
      </c>
      <c r="B26" s="8">
        <v>8.7</v>
      </c>
      <c r="C26" s="87">
        <v>7.1</v>
      </c>
      <c r="D26" s="87">
        <v>10.5</v>
      </c>
    </row>
    <row r="27" spans="1:4" s="95" customFormat="1" ht="15.75">
      <c r="A27" s="95" t="s">
        <v>225</v>
      </c>
      <c r="B27" s="177">
        <v>0.638</v>
      </c>
      <c r="C27" s="177">
        <v>0.628</v>
      </c>
      <c r="D27" s="177">
        <v>0.8726</v>
      </c>
    </row>
    <row r="28" spans="1:4" ht="15.75">
      <c r="A28" s="95" t="s">
        <v>82</v>
      </c>
      <c r="B28" s="8">
        <v>6.6</v>
      </c>
      <c r="C28" s="87">
        <v>5.4</v>
      </c>
      <c r="D28" s="87">
        <v>7.3</v>
      </c>
    </row>
    <row r="29" spans="1:4" ht="15.75">
      <c r="A29" s="95" t="s">
        <v>225</v>
      </c>
      <c r="B29" s="177">
        <v>1.0775</v>
      </c>
      <c r="C29" s="177">
        <v>1.8349</v>
      </c>
      <c r="D29" s="177">
        <v>1.3533</v>
      </c>
    </row>
    <row r="30" spans="1:4" s="95" customFormat="1" ht="15.75">
      <c r="A30" s="95" t="s">
        <v>83</v>
      </c>
      <c r="B30" s="8">
        <v>4.6</v>
      </c>
      <c r="C30" s="87">
        <v>3</v>
      </c>
      <c r="D30" s="87">
        <v>4.8</v>
      </c>
    </row>
    <row r="31" spans="1:4" s="95" customFormat="1" ht="15.75">
      <c r="A31" s="95" t="s">
        <v>225</v>
      </c>
      <c r="B31" s="177">
        <v>1.0439</v>
      </c>
      <c r="C31" s="177">
        <v>2.3011</v>
      </c>
      <c r="D31" s="177">
        <v>1.2265</v>
      </c>
    </row>
    <row r="32" spans="1:4" s="141" customFormat="1" ht="15.75">
      <c r="A32" s="95" t="s">
        <v>84</v>
      </c>
      <c r="B32" s="8">
        <v>5.7</v>
      </c>
      <c r="C32" s="87">
        <v>3.6</v>
      </c>
      <c r="D32" s="87">
        <v>7.8</v>
      </c>
    </row>
    <row r="33" spans="1:4" s="141" customFormat="1" ht="15.75">
      <c r="A33" s="95" t="s">
        <v>225</v>
      </c>
      <c r="B33" s="177">
        <v>1.8363</v>
      </c>
      <c r="C33" s="177">
        <v>2.3154</v>
      </c>
      <c r="D33" s="177">
        <v>2.7076</v>
      </c>
    </row>
    <row r="34" s="95" customFormat="1" ht="15.75">
      <c r="A34" s="95" t="s">
        <v>21</v>
      </c>
    </row>
    <row r="35" spans="1:4" s="95" customFormat="1" ht="15.75">
      <c r="A35" s="95" t="s">
        <v>89</v>
      </c>
      <c r="B35" s="8">
        <v>2.1</v>
      </c>
      <c r="C35" s="87">
        <v>1.9</v>
      </c>
      <c r="D35" s="87">
        <v>2.2</v>
      </c>
    </row>
    <row r="36" spans="1:4" s="95" customFormat="1" ht="15.75">
      <c r="A36" s="95" t="s">
        <v>225</v>
      </c>
      <c r="B36" s="177">
        <v>1.1322</v>
      </c>
      <c r="C36" s="177">
        <v>1.3725</v>
      </c>
      <c r="D36" s="177">
        <v>1.0422</v>
      </c>
    </row>
    <row r="37" spans="1:4" s="95" customFormat="1" ht="15.75">
      <c r="A37" s="95" t="s">
        <v>105</v>
      </c>
      <c r="B37" s="8">
        <v>3.7</v>
      </c>
      <c r="C37" s="87">
        <v>4.2</v>
      </c>
      <c r="D37" s="87">
        <v>3.4</v>
      </c>
    </row>
    <row r="38" spans="1:4" s="95" customFormat="1" ht="15.75">
      <c r="A38" s="95" t="s">
        <v>225</v>
      </c>
      <c r="B38" s="177">
        <v>1.1985</v>
      </c>
      <c r="C38" s="177">
        <v>1.7102</v>
      </c>
      <c r="D38" s="177">
        <v>1.0058</v>
      </c>
    </row>
    <row r="39" spans="1:4" ht="15.75">
      <c r="A39" s="95" t="s">
        <v>106</v>
      </c>
      <c r="B39" s="8">
        <v>4.6</v>
      </c>
      <c r="C39" s="87">
        <v>2.7</v>
      </c>
      <c r="D39" s="87">
        <v>6.1</v>
      </c>
    </row>
    <row r="40" spans="1:4" ht="15.75">
      <c r="A40" s="95" t="s">
        <v>225</v>
      </c>
      <c r="B40" s="177">
        <v>0.8722</v>
      </c>
      <c r="C40" s="177">
        <v>0.929</v>
      </c>
      <c r="D40" s="177">
        <v>1.0365</v>
      </c>
    </row>
    <row r="41" spans="1:4" s="141" customFormat="1" ht="15.75">
      <c r="A41" s="95" t="s">
        <v>107</v>
      </c>
      <c r="B41" s="8">
        <v>11.2</v>
      </c>
      <c r="C41" s="87">
        <v>9</v>
      </c>
      <c r="D41" s="87">
        <v>13.7</v>
      </c>
    </row>
    <row r="42" spans="1:4" s="141" customFormat="1" ht="15.75">
      <c r="A42" s="95" t="s">
        <v>225</v>
      </c>
      <c r="B42" s="177">
        <v>0.7019</v>
      </c>
      <c r="C42" s="177">
        <v>0.8757</v>
      </c>
      <c r="D42" s="177">
        <v>0.8808</v>
      </c>
    </row>
    <row r="43" s="141" customFormat="1" ht="15.75">
      <c r="A43" s="95" t="s">
        <v>25</v>
      </c>
    </row>
    <row r="44" spans="1:4" s="95" customFormat="1" ht="15.75">
      <c r="A44" s="95" t="s">
        <v>117</v>
      </c>
      <c r="B44" s="8">
        <v>2.4</v>
      </c>
      <c r="C44" s="87">
        <v>1.7</v>
      </c>
      <c r="D44" s="87">
        <v>3</v>
      </c>
    </row>
    <row r="45" spans="1:4" s="95" customFormat="1" ht="15.75">
      <c r="A45" s="95" t="s">
        <v>225</v>
      </c>
      <c r="B45" s="177">
        <v>0.5159</v>
      </c>
      <c r="C45" s="177">
        <v>0.6939</v>
      </c>
      <c r="D45" s="177">
        <v>0.769</v>
      </c>
    </row>
    <row r="46" spans="1:4" s="95" customFormat="1" ht="15.75">
      <c r="A46" s="95" t="s">
        <v>118</v>
      </c>
      <c r="B46" s="8">
        <v>9.8</v>
      </c>
      <c r="C46" s="87">
        <v>8.2</v>
      </c>
      <c r="D46" s="87">
        <v>11.3</v>
      </c>
    </row>
    <row r="47" spans="1:4" s="95" customFormat="1" ht="15.75">
      <c r="A47" s="95" t="s">
        <v>225</v>
      </c>
      <c r="B47" s="177">
        <v>0.7127</v>
      </c>
      <c r="C47" s="177">
        <v>0.8761</v>
      </c>
      <c r="D47" s="177">
        <v>0.8062</v>
      </c>
    </row>
    <row r="48" spans="1:4" s="95" customFormat="1" ht="15.75">
      <c r="A48" s="95" t="s">
        <v>27</v>
      </c>
      <c r="B48" s="8"/>
      <c r="C48" s="87"/>
      <c r="D48" s="87"/>
    </row>
    <row r="49" spans="1:4" ht="15.75">
      <c r="A49" s="54" t="s">
        <v>120</v>
      </c>
      <c r="B49" s="8">
        <v>8.5</v>
      </c>
      <c r="C49" s="87">
        <v>7.3</v>
      </c>
      <c r="D49" s="87">
        <v>10.2</v>
      </c>
    </row>
    <row r="50" spans="1:4" ht="15.75">
      <c r="A50" s="95" t="s">
        <v>225</v>
      </c>
      <c r="B50" s="177">
        <v>0.7504</v>
      </c>
      <c r="C50" s="177">
        <v>1.035</v>
      </c>
      <c r="D50" s="177">
        <v>1.0733</v>
      </c>
    </row>
    <row r="51" spans="1:4" s="95" customFormat="1" ht="15.75">
      <c r="A51" s="54" t="s">
        <v>121</v>
      </c>
      <c r="B51" s="8">
        <v>9.5</v>
      </c>
      <c r="C51" s="87">
        <v>7.8</v>
      </c>
      <c r="D51" s="87">
        <v>10.5</v>
      </c>
    </row>
    <row r="52" spans="1:4" s="95" customFormat="1" ht="15.75">
      <c r="A52" s="95" t="s">
        <v>225</v>
      </c>
      <c r="B52" s="177">
        <v>1.1602</v>
      </c>
      <c r="C52" s="177">
        <v>1.8199</v>
      </c>
      <c r="D52" s="177">
        <v>1.4573</v>
      </c>
    </row>
    <row r="53" spans="1:4" s="95" customFormat="1" ht="15.75">
      <c r="A53" s="54" t="s">
        <v>122</v>
      </c>
      <c r="B53" s="8">
        <v>8.4</v>
      </c>
      <c r="C53" s="87">
        <v>13.9</v>
      </c>
      <c r="D53" s="87">
        <v>1.6</v>
      </c>
    </row>
    <row r="54" spans="1:4" s="95" customFormat="1" ht="15.75">
      <c r="A54" s="95" t="s">
        <v>225</v>
      </c>
      <c r="B54" s="177">
        <v>3.7481</v>
      </c>
      <c r="C54" s="177">
        <v>6.9445</v>
      </c>
      <c r="D54" s="177">
        <v>1.5984</v>
      </c>
    </row>
    <row r="55" spans="1:4" s="95" customFormat="1" ht="15.75">
      <c r="A55" s="54" t="s">
        <v>123</v>
      </c>
      <c r="B55" s="8">
        <v>6.7</v>
      </c>
      <c r="C55" s="87">
        <v>4.4</v>
      </c>
      <c r="D55" s="87">
        <v>8.2</v>
      </c>
    </row>
    <row r="56" spans="1:4" s="95" customFormat="1" ht="15.75">
      <c r="A56" s="95" t="s">
        <v>225</v>
      </c>
      <c r="B56" s="177">
        <v>0.7478</v>
      </c>
      <c r="C56" s="177">
        <v>0.8837</v>
      </c>
      <c r="D56" s="177">
        <v>0.852</v>
      </c>
    </row>
    <row r="57" spans="1:4" ht="15.75">
      <c r="A57" s="95" t="s">
        <v>18</v>
      </c>
      <c r="B57" s="8"/>
      <c r="C57" s="87"/>
      <c r="D57" s="87"/>
    </row>
    <row r="58" spans="1:4" s="141" customFormat="1" ht="15.75">
      <c r="A58" s="95" t="s">
        <v>90</v>
      </c>
      <c r="B58" s="8">
        <v>7</v>
      </c>
      <c r="C58" s="87">
        <v>7</v>
      </c>
      <c r="D58" s="87">
        <v>7.5</v>
      </c>
    </row>
    <row r="59" spans="1:4" s="141" customFormat="1" ht="15.75">
      <c r="A59" s="189" t="s">
        <v>225</v>
      </c>
      <c r="B59" s="178">
        <v>0.8901</v>
      </c>
      <c r="C59" s="178">
        <v>0.9356</v>
      </c>
      <c r="D59" s="178">
        <v>7.1501</v>
      </c>
    </row>
    <row r="60" s="95" customFormat="1" ht="15.75"/>
    <row r="61" s="95" customFormat="1" ht="15.75">
      <c r="A61" s="20" t="s">
        <v>160</v>
      </c>
    </row>
    <row r="62" s="95" customFormat="1" ht="15.75">
      <c r="A62" s="20" t="s">
        <v>161</v>
      </c>
    </row>
    <row r="63" spans="2:4" s="95" customFormat="1" ht="15.75">
      <c r="B63" s="8"/>
      <c r="C63" s="87"/>
      <c r="D63" s="87"/>
    </row>
    <row r="64" spans="2:4" ht="15.75">
      <c r="B64" s="8"/>
      <c r="C64" s="87"/>
      <c r="D64" s="87"/>
    </row>
    <row r="65" s="141" customFormat="1" ht="15.75"/>
  </sheetData>
  <hyperlinks>
    <hyperlink ref="G2" location="'Appendix A'!A1" display="[Return to Menu]"/>
  </hyperlink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C43"/>
  <sheetViews>
    <sheetView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27.28125" style="52" customWidth="1"/>
    <col min="2" max="10" width="9.140625" style="52" customWidth="1"/>
    <col min="11" max="11" width="16.140625" style="52" bestFit="1" customWidth="1"/>
    <col min="12" max="16384" width="9.140625" style="52" customWidth="1"/>
  </cols>
  <sheetData>
    <row r="1" spans="1:29" ht="15.75">
      <c r="A1" s="48" t="s">
        <v>42</v>
      </c>
      <c r="B1" s="49"/>
      <c r="C1" s="49"/>
      <c r="D1" s="49"/>
      <c r="E1" s="49"/>
      <c r="F1" s="49"/>
      <c r="G1" s="49"/>
      <c r="H1" s="49"/>
      <c r="I1" s="49"/>
      <c r="J1" s="49"/>
      <c r="K1" s="49"/>
      <c r="L1" s="49"/>
      <c r="M1" s="49"/>
      <c r="N1" s="49"/>
      <c r="O1" s="49"/>
      <c r="P1" s="49"/>
      <c r="Q1" s="49"/>
      <c r="R1" s="49"/>
      <c r="S1" s="49"/>
      <c r="T1" s="49"/>
      <c r="U1" s="49"/>
      <c r="V1" s="50"/>
      <c r="W1" s="49"/>
      <c r="X1" s="49"/>
      <c r="Y1" s="49"/>
      <c r="Z1" s="49"/>
      <c r="AA1" s="49"/>
      <c r="AB1" s="49"/>
      <c r="AC1" s="51"/>
    </row>
    <row r="2" spans="1:29" ht="15.75">
      <c r="A2" s="48"/>
      <c r="B2" s="49"/>
      <c r="C2" s="49"/>
      <c r="D2" s="49"/>
      <c r="E2" s="50"/>
      <c r="F2" s="50"/>
      <c r="G2" s="50"/>
      <c r="H2" s="50"/>
      <c r="K2" s="53" t="s">
        <v>71</v>
      </c>
      <c r="L2" s="49"/>
      <c r="M2" s="49"/>
      <c r="N2" s="49"/>
      <c r="O2" s="49"/>
      <c r="P2" s="49"/>
      <c r="Q2" s="49"/>
      <c r="R2" s="49"/>
      <c r="S2" s="49"/>
      <c r="T2" s="49"/>
      <c r="U2" s="49"/>
      <c r="V2" s="50"/>
      <c r="W2" s="49"/>
      <c r="X2" s="49"/>
      <c r="Y2" s="49"/>
      <c r="Z2" s="49"/>
      <c r="AA2" s="49"/>
      <c r="AB2" s="49"/>
      <c r="AC2" s="51"/>
    </row>
    <row r="3" spans="1:29" s="48" customFormat="1" ht="31.5">
      <c r="A3" s="57"/>
      <c r="B3" s="173" t="s">
        <v>170</v>
      </c>
      <c r="C3" s="182" t="s">
        <v>171</v>
      </c>
      <c r="D3" s="183" t="s">
        <v>172</v>
      </c>
      <c r="E3" s="173" t="s">
        <v>173</v>
      </c>
      <c r="F3" s="182" t="s">
        <v>174</v>
      </c>
      <c r="G3" s="183" t="s">
        <v>175</v>
      </c>
      <c r="H3" s="182" t="s">
        <v>176</v>
      </c>
      <c r="I3" s="182" t="s">
        <v>177</v>
      </c>
      <c r="J3" s="182" t="s">
        <v>178</v>
      </c>
      <c r="K3" s="55"/>
      <c r="L3" s="55"/>
      <c r="M3" s="55"/>
      <c r="N3" s="55"/>
      <c r="O3" s="55"/>
      <c r="P3" s="55"/>
      <c r="Q3" s="55"/>
      <c r="R3" s="55"/>
      <c r="S3" s="55"/>
      <c r="T3" s="55"/>
      <c r="U3" s="55"/>
      <c r="V3" s="56"/>
      <c r="W3" s="55"/>
      <c r="X3" s="55"/>
      <c r="Y3" s="55"/>
      <c r="Z3" s="55"/>
      <c r="AA3" s="55"/>
      <c r="AB3" s="55"/>
      <c r="AC3" s="54"/>
    </row>
    <row r="4" spans="1:29" ht="15.75">
      <c r="A4" s="48" t="s">
        <v>10</v>
      </c>
      <c r="B4" s="58"/>
      <c r="C4" s="59"/>
      <c r="D4" s="60"/>
      <c r="E4" s="61"/>
      <c r="F4" s="59"/>
      <c r="G4" s="60"/>
      <c r="H4" s="62"/>
      <c r="I4" s="62"/>
      <c r="J4" s="62"/>
      <c r="K4" s="49"/>
      <c r="L4" s="49"/>
      <c r="M4" s="49"/>
      <c r="N4" s="49"/>
      <c r="O4" s="49"/>
      <c r="P4" s="49"/>
      <c r="Q4" s="49"/>
      <c r="R4" s="49"/>
      <c r="S4" s="49"/>
      <c r="T4" s="49"/>
      <c r="U4" s="49"/>
      <c r="V4" s="50"/>
      <c r="W4" s="49"/>
      <c r="X4" s="49"/>
      <c r="Y4" s="49"/>
      <c r="Z4" s="49"/>
      <c r="AA4" s="49"/>
      <c r="AB4" s="49"/>
      <c r="AC4" s="51"/>
    </row>
    <row r="5" spans="1:29" ht="15.75">
      <c r="A5" s="48" t="s">
        <v>66</v>
      </c>
      <c r="B5" s="63">
        <v>22154</v>
      </c>
      <c r="C5" s="64">
        <v>10382</v>
      </c>
      <c r="D5" s="65">
        <v>11772</v>
      </c>
      <c r="E5" s="63">
        <v>21008</v>
      </c>
      <c r="F5" s="64">
        <v>9975</v>
      </c>
      <c r="G5" s="65">
        <v>11033</v>
      </c>
      <c r="H5" s="64">
        <v>29076</v>
      </c>
      <c r="I5" s="64">
        <v>13998</v>
      </c>
      <c r="J5" s="64">
        <v>15078</v>
      </c>
      <c r="K5" s="49"/>
      <c r="L5" s="49"/>
      <c r="M5" s="49"/>
      <c r="N5" s="49"/>
      <c r="O5" s="49"/>
      <c r="P5" s="49"/>
      <c r="Q5" s="49"/>
      <c r="R5" s="49"/>
      <c r="S5" s="49"/>
      <c r="T5" s="49"/>
      <c r="U5" s="49"/>
      <c r="V5" s="50"/>
      <c r="W5" s="49"/>
      <c r="X5" s="49"/>
      <c r="Y5" s="49"/>
      <c r="Z5" s="49"/>
      <c r="AA5" s="49"/>
      <c r="AB5" s="49"/>
      <c r="AC5" s="51"/>
    </row>
    <row r="6" spans="1:29" ht="15.75">
      <c r="A6" s="48" t="s">
        <v>67</v>
      </c>
      <c r="B6" s="66">
        <v>100</v>
      </c>
      <c r="C6" s="67">
        <v>46.9</v>
      </c>
      <c r="D6" s="68">
        <v>53.1</v>
      </c>
      <c r="E6" s="66">
        <v>100</v>
      </c>
      <c r="F6" s="67">
        <v>47.5</v>
      </c>
      <c r="G6" s="68">
        <v>52.5</v>
      </c>
      <c r="H6" s="67">
        <v>100</v>
      </c>
      <c r="I6" s="67">
        <v>48.1</v>
      </c>
      <c r="J6" s="67">
        <v>51.9</v>
      </c>
      <c r="K6" s="49"/>
      <c r="L6" s="49"/>
      <c r="M6" s="49"/>
      <c r="N6" s="49"/>
      <c r="O6" s="49"/>
      <c r="P6" s="49"/>
      <c r="Q6" s="49"/>
      <c r="R6" s="49"/>
      <c r="S6" s="49"/>
      <c r="T6" s="49"/>
      <c r="U6" s="49"/>
      <c r="V6" s="50"/>
      <c r="W6" s="49"/>
      <c r="X6" s="49"/>
      <c r="Y6" s="49"/>
      <c r="Z6" s="49"/>
      <c r="AA6" s="49"/>
      <c r="AB6" s="49"/>
      <c r="AC6" s="51"/>
    </row>
    <row r="7" spans="1:29" s="40" customFormat="1" ht="15.75">
      <c r="A7" s="207" t="s">
        <v>92</v>
      </c>
      <c r="B7" s="41" t="s">
        <v>19</v>
      </c>
      <c r="C7" s="42">
        <v>0.4487327551894118</v>
      </c>
      <c r="D7" s="43">
        <v>0.4487327551894118</v>
      </c>
      <c r="E7" s="41" t="s">
        <v>19</v>
      </c>
      <c r="F7" s="42">
        <v>0.48006278874746305</v>
      </c>
      <c r="G7" s="43">
        <v>0.48006278874746305</v>
      </c>
      <c r="H7" s="44" t="s">
        <v>19</v>
      </c>
      <c r="I7" s="42">
        <v>0.3041509201081647</v>
      </c>
      <c r="J7" s="42">
        <v>0.3041509201081647</v>
      </c>
      <c r="K7" s="45"/>
      <c r="L7" s="45"/>
      <c r="M7" s="45"/>
      <c r="N7" s="45"/>
      <c r="O7" s="45"/>
      <c r="P7" s="45"/>
      <c r="Q7" s="45"/>
      <c r="R7" s="45"/>
      <c r="S7" s="45"/>
      <c r="T7" s="45"/>
      <c r="U7" s="45"/>
      <c r="V7" s="46"/>
      <c r="W7" s="45"/>
      <c r="X7" s="45"/>
      <c r="Y7" s="45"/>
      <c r="Z7" s="45"/>
      <c r="AA7" s="45"/>
      <c r="AB7" s="45"/>
      <c r="AC7" s="47"/>
    </row>
    <row r="8" spans="1:29" ht="15.75">
      <c r="A8" s="48"/>
      <c r="B8" s="69"/>
      <c r="C8" s="64"/>
      <c r="D8" s="65"/>
      <c r="E8" s="63"/>
      <c r="F8" s="64"/>
      <c r="G8" s="65"/>
      <c r="H8" s="64"/>
      <c r="I8" s="64"/>
      <c r="J8" s="64"/>
      <c r="K8" s="49"/>
      <c r="L8" s="49"/>
      <c r="M8" s="49"/>
      <c r="N8" s="49"/>
      <c r="O8" s="49"/>
      <c r="P8" s="49"/>
      <c r="Q8" s="49"/>
      <c r="R8" s="49"/>
      <c r="S8" s="49"/>
      <c r="T8" s="49"/>
      <c r="U8" s="49"/>
      <c r="V8" s="50"/>
      <c r="W8" s="49"/>
      <c r="X8" s="49"/>
      <c r="Y8" s="49"/>
      <c r="Z8" s="49"/>
      <c r="AA8" s="49"/>
      <c r="AB8" s="49"/>
      <c r="AC8" s="51"/>
    </row>
    <row r="9" spans="1:29" ht="12" customHeight="1">
      <c r="A9" s="48" t="s">
        <v>14</v>
      </c>
      <c r="B9" s="70"/>
      <c r="C9" s="64"/>
      <c r="D9" s="65"/>
      <c r="E9" s="63"/>
      <c r="F9" s="64"/>
      <c r="G9" s="65"/>
      <c r="H9" s="64"/>
      <c r="I9" s="64"/>
      <c r="J9" s="64"/>
      <c r="K9" s="49"/>
      <c r="L9" s="49"/>
      <c r="M9" s="49"/>
      <c r="N9" s="49"/>
      <c r="O9" s="49"/>
      <c r="P9" s="49"/>
      <c r="Q9" s="49"/>
      <c r="R9" s="49"/>
      <c r="S9" s="49"/>
      <c r="T9" s="49"/>
      <c r="U9" s="49"/>
      <c r="V9" s="50"/>
      <c r="W9" s="49"/>
      <c r="X9" s="49"/>
      <c r="Y9" s="49"/>
      <c r="Z9" s="49"/>
      <c r="AA9" s="49"/>
      <c r="AB9" s="49"/>
      <c r="AC9" s="51"/>
    </row>
    <row r="10" spans="1:29" ht="15.75">
      <c r="A10" s="48" t="s">
        <v>68</v>
      </c>
      <c r="B10" s="69">
        <v>84.9</v>
      </c>
      <c r="C10" s="71">
        <v>85.40877464244299</v>
      </c>
      <c r="D10" s="72">
        <v>84.4</v>
      </c>
      <c r="E10" s="69">
        <v>80.7</v>
      </c>
      <c r="F10" s="71">
        <v>81.8</v>
      </c>
      <c r="G10" s="72">
        <v>79.8</v>
      </c>
      <c r="H10" s="71">
        <v>77.70114537444934</v>
      </c>
      <c r="I10" s="71">
        <v>78.7</v>
      </c>
      <c r="J10" s="71">
        <v>76.8</v>
      </c>
      <c r="K10" s="49"/>
      <c r="L10" s="49"/>
      <c r="M10" s="49"/>
      <c r="N10" s="49"/>
      <c r="O10" s="49"/>
      <c r="P10" s="49"/>
      <c r="Q10" s="49"/>
      <c r="R10" s="49"/>
      <c r="S10" s="49"/>
      <c r="T10" s="49"/>
      <c r="U10" s="49"/>
      <c r="V10" s="50"/>
      <c r="W10" s="49"/>
      <c r="X10" s="49"/>
      <c r="Y10" s="49"/>
      <c r="Z10" s="49"/>
      <c r="AA10" s="49"/>
      <c r="AB10" s="49"/>
      <c r="AC10" s="51"/>
    </row>
    <row r="11" spans="1:29" s="40" customFormat="1" ht="15.75">
      <c r="A11" s="207" t="s">
        <v>92</v>
      </c>
      <c r="B11" s="41">
        <v>0.3246045261944282</v>
      </c>
      <c r="C11" s="42">
        <v>0.4641527313513017</v>
      </c>
      <c r="D11" s="43">
        <v>0.452042981521511</v>
      </c>
      <c r="E11" s="41">
        <v>0.377748170582027</v>
      </c>
      <c r="F11" s="42">
        <v>0.5275822431202685</v>
      </c>
      <c r="G11" s="43">
        <v>0.5374431084900886</v>
      </c>
      <c r="H11" s="42">
        <v>0.25345617456062797</v>
      </c>
      <c r="I11" s="42">
        <v>0.361360232485972</v>
      </c>
      <c r="J11" s="42">
        <v>0.3550539320403486</v>
      </c>
      <c r="K11" s="45"/>
      <c r="L11" s="45"/>
      <c r="M11" s="45"/>
      <c r="N11" s="45"/>
      <c r="O11" s="45"/>
      <c r="P11" s="45"/>
      <c r="Q11" s="45"/>
      <c r="R11" s="45"/>
      <c r="S11" s="45"/>
      <c r="T11" s="45"/>
      <c r="U11" s="45"/>
      <c r="V11" s="46"/>
      <c r="W11" s="45"/>
      <c r="X11" s="45"/>
      <c r="Y11" s="45"/>
      <c r="Z11" s="45"/>
      <c r="AA11" s="45"/>
      <c r="AB11" s="45"/>
      <c r="AC11" s="47"/>
    </row>
    <row r="12" spans="1:29" ht="15.75">
      <c r="A12" s="48" t="s">
        <v>69</v>
      </c>
      <c r="B12" s="69">
        <v>8.8</v>
      </c>
      <c r="C12" s="71">
        <v>8.3</v>
      </c>
      <c r="D12" s="72">
        <v>9.3</v>
      </c>
      <c r="E12" s="69">
        <v>9.6</v>
      </c>
      <c r="F12" s="71">
        <v>8.8</v>
      </c>
      <c r="G12" s="72">
        <v>10.4</v>
      </c>
      <c r="H12" s="71">
        <v>9.576563876651981</v>
      </c>
      <c r="I12" s="71">
        <v>8.88347723415246</v>
      </c>
      <c r="J12" s="71">
        <v>10.20979492714517</v>
      </c>
      <c r="K12" s="49"/>
      <c r="L12" s="49"/>
      <c r="M12" s="49"/>
      <c r="N12" s="49"/>
      <c r="O12" s="49"/>
      <c r="P12" s="49"/>
      <c r="Q12" s="49"/>
      <c r="R12" s="49"/>
      <c r="S12" s="49"/>
      <c r="T12" s="49"/>
      <c r="U12" s="49"/>
      <c r="V12" s="50"/>
      <c r="W12" s="49"/>
      <c r="X12" s="49"/>
      <c r="Y12" s="49"/>
      <c r="Z12" s="49"/>
      <c r="AA12" s="49"/>
      <c r="AB12" s="49"/>
      <c r="AC12" s="51"/>
    </row>
    <row r="13" spans="1:29" s="40" customFormat="1" ht="15.75">
      <c r="A13" s="207" t="s">
        <v>92</v>
      </c>
      <c r="B13" s="41">
        <v>0.2586495142000989</v>
      </c>
      <c r="C13" s="42">
        <v>0.3704678818578073</v>
      </c>
      <c r="D13" s="43">
        <v>0.3615481874338948</v>
      </c>
      <c r="E13" s="41">
        <v>0.28309438603194975</v>
      </c>
      <c r="F13" s="42">
        <v>0.39132643500987957</v>
      </c>
      <c r="G13" s="43">
        <v>0.408110877902876</v>
      </c>
      <c r="H13" s="42">
        <v>0.17937411302333314</v>
      </c>
      <c r="I13" s="42">
        <v>0.25088597786888317</v>
      </c>
      <c r="J13" s="42">
        <v>0.25495493395622654</v>
      </c>
      <c r="K13" s="45"/>
      <c r="L13" s="45"/>
      <c r="M13" s="45"/>
      <c r="N13" s="45"/>
      <c r="O13" s="45"/>
      <c r="P13" s="45"/>
      <c r="Q13" s="45"/>
      <c r="R13" s="45"/>
      <c r="S13" s="45"/>
      <c r="T13" s="45"/>
      <c r="U13" s="45"/>
      <c r="V13" s="46"/>
      <c r="W13" s="45"/>
      <c r="X13" s="45"/>
      <c r="Y13" s="45"/>
      <c r="Z13" s="45"/>
      <c r="AA13" s="45"/>
      <c r="AB13" s="45"/>
      <c r="AC13" s="47"/>
    </row>
    <row r="14" spans="1:29" ht="15.75">
      <c r="A14" s="54" t="s">
        <v>70</v>
      </c>
      <c r="B14" s="69">
        <v>4.42794463542609</v>
      </c>
      <c r="C14" s="71">
        <v>4.4</v>
      </c>
      <c r="D14" s="72">
        <v>4.4</v>
      </c>
      <c r="E14" s="69">
        <v>6.4</v>
      </c>
      <c r="F14" s="71">
        <v>6.3</v>
      </c>
      <c r="G14" s="72">
        <v>6.5</v>
      </c>
      <c r="H14" s="71">
        <v>7.6175506607929515</v>
      </c>
      <c r="I14" s="71">
        <v>7.6</v>
      </c>
      <c r="J14" s="71">
        <v>7.679438747976255</v>
      </c>
      <c r="K14" s="49"/>
      <c r="L14" s="49"/>
      <c r="M14" s="49"/>
      <c r="N14" s="49"/>
      <c r="O14" s="49"/>
      <c r="P14" s="49"/>
      <c r="Q14" s="49"/>
      <c r="R14" s="49"/>
      <c r="S14" s="49"/>
      <c r="T14" s="49"/>
      <c r="U14" s="49"/>
      <c r="V14" s="50"/>
      <c r="W14" s="49"/>
      <c r="X14" s="49"/>
      <c r="Y14" s="49"/>
      <c r="Z14" s="49"/>
      <c r="AA14" s="49"/>
      <c r="AB14" s="49"/>
      <c r="AC14" s="51"/>
    </row>
    <row r="15" spans="1:29" s="40" customFormat="1" ht="15.75">
      <c r="A15" s="208" t="s">
        <v>92</v>
      </c>
      <c r="B15" s="73">
        <v>0.18444390722452436</v>
      </c>
      <c r="C15" s="74">
        <v>0.26367135252331947</v>
      </c>
      <c r="D15" s="75">
        <v>0.2583052299833178</v>
      </c>
      <c r="E15" s="73">
        <v>0.23859252385319255</v>
      </c>
      <c r="F15" s="74">
        <v>0.3323088328264977</v>
      </c>
      <c r="G15" s="75">
        <v>0.339674150413373</v>
      </c>
      <c r="H15" s="74">
        <v>0.16135510732788397</v>
      </c>
      <c r="I15" s="74">
        <v>0.23207250781167796</v>
      </c>
      <c r="J15" s="74">
        <v>0.22458015635200543</v>
      </c>
      <c r="K15" s="45"/>
      <c r="L15" s="45"/>
      <c r="M15" s="45"/>
      <c r="N15" s="45"/>
      <c r="O15" s="45"/>
      <c r="P15" s="45"/>
      <c r="Q15" s="45"/>
      <c r="R15" s="45"/>
      <c r="S15" s="45"/>
      <c r="T15" s="45"/>
      <c r="U15" s="45"/>
      <c r="V15" s="46"/>
      <c r="W15" s="45"/>
      <c r="X15" s="45"/>
      <c r="Y15" s="45"/>
      <c r="Z15" s="45"/>
      <c r="AA15" s="45"/>
      <c r="AB15" s="45"/>
      <c r="AC15" s="47"/>
    </row>
    <row r="16" spans="1:29" ht="15.75">
      <c r="A16" s="48"/>
      <c r="B16" s="63"/>
      <c r="C16" s="64"/>
      <c r="D16" s="65"/>
      <c r="E16" s="63"/>
      <c r="F16" s="64"/>
      <c r="G16" s="65"/>
      <c r="H16" s="64"/>
      <c r="I16" s="64"/>
      <c r="J16" s="64"/>
      <c r="K16" s="49"/>
      <c r="L16" s="49"/>
      <c r="M16" s="49"/>
      <c r="N16" s="49"/>
      <c r="O16" s="49"/>
      <c r="P16" s="49"/>
      <c r="Q16" s="49"/>
      <c r="R16" s="49"/>
      <c r="S16" s="49"/>
      <c r="T16" s="49"/>
      <c r="U16" s="49"/>
      <c r="V16" s="50"/>
      <c r="W16" s="49"/>
      <c r="X16" s="49"/>
      <c r="Y16" s="49"/>
      <c r="Z16" s="49"/>
      <c r="AA16" s="49"/>
      <c r="AB16" s="49"/>
      <c r="AC16" s="51"/>
    </row>
    <row r="17" spans="1:29" ht="15.75">
      <c r="A17" s="48" t="s">
        <v>11</v>
      </c>
      <c r="B17" s="63"/>
      <c r="C17" s="64"/>
      <c r="D17" s="65"/>
      <c r="E17" s="63"/>
      <c r="F17" s="64"/>
      <c r="G17" s="65"/>
      <c r="H17" s="64"/>
      <c r="I17" s="64"/>
      <c r="J17" s="64"/>
      <c r="K17" s="49"/>
      <c r="L17" s="49"/>
      <c r="M17" s="49"/>
      <c r="N17" s="49"/>
      <c r="O17" s="49"/>
      <c r="P17" s="49"/>
      <c r="Q17" s="49"/>
      <c r="R17" s="49"/>
      <c r="S17" s="49"/>
      <c r="T17" s="49"/>
      <c r="U17" s="49"/>
      <c r="V17" s="50"/>
      <c r="W17" s="49"/>
      <c r="X17" s="49"/>
      <c r="Y17" s="49"/>
      <c r="Z17" s="49"/>
      <c r="AA17" s="49"/>
      <c r="AB17" s="49"/>
      <c r="AC17" s="51"/>
    </row>
    <row r="18" spans="1:29" ht="15.75">
      <c r="A18" s="48" t="s">
        <v>66</v>
      </c>
      <c r="B18" s="63">
        <v>15796</v>
      </c>
      <c r="C18" s="64">
        <v>7434</v>
      </c>
      <c r="D18" s="65">
        <v>8362</v>
      </c>
      <c r="E18" s="63">
        <v>14863</v>
      </c>
      <c r="F18" s="64">
        <v>7096</v>
      </c>
      <c r="G18" s="65">
        <v>7767</v>
      </c>
      <c r="H18" s="64">
        <v>22045</v>
      </c>
      <c r="I18" s="64">
        <v>10665</v>
      </c>
      <c r="J18" s="64">
        <v>11380</v>
      </c>
      <c r="K18" s="49"/>
      <c r="L18" s="49"/>
      <c r="M18" s="49"/>
      <c r="N18" s="49"/>
      <c r="O18" s="49"/>
      <c r="P18" s="49"/>
      <c r="Q18" s="49"/>
      <c r="R18" s="49"/>
      <c r="S18" s="49"/>
      <c r="T18" s="49"/>
      <c r="U18" s="49"/>
      <c r="V18" s="50"/>
      <c r="W18" s="49"/>
      <c r="X18" s="49"/>
      <c r="Y18" s="49"/>
      <c r="Z18" s="49"/>
      <c r="AA18" s="49"/>
      <c r="AB18" s="49"/>
      <c r="AC18" s="51"/>
    </row>
    <row r="19" spans="1:29" ht="15.75">
      <c r="A19" s="48" t="s">
        <v>67</v>
      </c>
      <c r="B19" s="66">
        <v>100</v>
      </c>
      <c r="C19" s="67">
        <v>47.1</v>
      </c>
      <c r="D19" s="68">
        <v>52.9</v>
      </c>
      <c r="E19" s="66">
        <v>100</v>
      </c>
      <c r="F19" s="67">
        <v>47.7</v>
      </c>
      <c r="G19" s="68">
        <v>52.3</v>
      </c>
      <c r="H19" s="67">
        <v>100</v>
      </c>
      <c r="I19" s="67">
        <v>48.4</v>
      </c>
      <c r="J19" s="67">
        <v>51.6</v>
      </c>
      <c r="K19" s="49"/>
      <c r="L19" s="49"/>
      <c r="M19" s="49"/>
      <c r="N19" s="49"/>
      <c r="O19" s="49"/>
      <c r="P19" s="49"/>
      <c r="Q19" s="49"/>
      <c r="R19" s="49"/>
      <c r="S19" s="49"/>
      <c r="T19" s="49"/>
      <c r="U19" s="49"/>
      <c r="V19" s="50"/>
      <c r="W19" s="49"/>
      <c r="X19" s="49"/>
      <c r="Y19" s="49"/>
      <c r="Z19" s="49"/>
      <c r="AA19" s="49"/>
      <c r="AB19" s="49"/>
      <c r="AC19" s="51"/>
    </row>
    <row r="20" spans="1:29" ht="15.75">
      <c r="A20" s="207" t="s">
        <v>92</v>
      </c>
      <c r="B20" s="66" t="s">
        <v>19</v>
      </c>
      <c r="C20" s="71">
        <v>0.5292820589773772</v>
      </c>
      <c r="D20" s="72">
        <v>0.5292820589773772</v>
      </c>
      <c r="E20" s="69" t="s">
        <v>19</v>
      </c>
      <c r="F20" s="71">
        <v>0.5695802118025237</v>
      </c>
      <c r="G20" s="72">
        <v>0.5695802118025237</v>
      </c>
      <c r="H20" s="76" t="s">
        <v>19</v>
      </c>
      <c r="I20" s="71">
        <v>0.3485913510672164</v>
      </c>
      <c r="J20" s="71">
        <v>0.34859135106721634</v>
      </c>
      <c r="K20" s="49"/>
      <c r="L20" s="49"/>
      <c r="M20" s="49"/>
      <c r="N20" s="49"/>
      <c r="O20" s="49"/>
      <c r="P20" s="49"/>
      <c r="Q20" s="49"/>
      <c r="R20" s="49"/>
      <c r="S20" s="49"/>
      <c r="T20" s="49"/>
      <c r="U20" s="49"/>
      <c r="V20" s="50"/>
      <c r="W20" s="49"/>
      <c r="X20" s="49"/>
      <c r="Y20" s="49"/>
      <c r="Z20" s="49"/>
      <c r="AA20" s="49"/>
      <c r="AB20" s="49"/>
      <c r="AC20" s="51"/>
    </row>
    <row r="21" spans="1:29" ht="15.75">
      <c r="A21" s="48"/>
      <c r="B21" s="63"/>
      <c r="C21" s="64"/>
      <c r="D21" s="65"/>
      <c r="E21" s="63"/>
      <c r="F21" s="64"/>
      <c r="G21" s="65"/>
      <c r="H21" s="64"/>
      <c r="I21" s="64"/>
      <c r="J21" s="64"/>
      <c r="K21" s="49"/>
      <c r="L21" s="49"/>
      <c r="M21" s="49"/>
      <c r="N21" s="49"/>
      <c r="O21" s="49"/>
      <c r="P21" s="49"/>
      <c r="Q21" s="49"/>
      <c r="R21" s="49"/>
      <c r="S21" s="49"/>
      <c r="T21" s="49"/>
      <c r="U21" s="49"/>
      <c r="V21" s="50"/>
      <c r="W21" s="49"/>
      <c r="X21" s="49"/>
      <c r="Y21" s="49"/>
      <c r="Z21" s="49"/>
      <c r="AA21" s="49"/>
      <c r="AB21" s="49"/>
      <c r="AC21" s="51"/>
    </row>
    <row r="22" spans="1:29" ht="15.75">
      <c r="A22" s="48" t="s">
        <v>14</v>
      </c>
      <c r="B22" s="63"/>
      <c r="C22" s="64"/>
      <c r="D22" s="65"/>
      <c r="E22" s="63"/>
      <c r="F22" s="64"/>
      <c r="G22" s="65"/>
      <c r="H22" s="64"/>
      <c r="I22" s="64"/>
      <c r="J22" s="64"/>
      <c r="K22" s="49"/>
      <c r="L22" s="49"/>
      <c r="M22" s="49"/>
      <c r="N22" s="49"/>
      <c r="O22" s="49"/>
      <c r="P22" s="49"/>
      <c r="Q22" s="49"/>
      <c r="R22" s="49"/>
      <c r="S22" s="49"/>
      <c r="T22" s="49"/>
      <c r="U22" s="49"/>
      <c r="V22" s="50"/>
      <c r="W22" s="49"/>
      <c r="X22" s="49"/>
      <c r="Y22" s="49"/>
      <c r="Z22" s="49"/>
      <c r="AA22" s="49"/>
      <c r="AB22" s="49"/>
      <c r="AC22" s="51"/>
    </row>
    <row r="23" spans="1:29" ht="15.75">
      <c r="A23" s="48" t="s">
        <v>68</v>
      </c>
      <c r="B23" s="69">
        <v>84.3</v>
      </c>
      <c r="C23" s="71">
        <v>84.9</v>
      </c>
      <c r="D23" s="72">
        <v>83.9</v>
      </c>
      <c r="E23" s="69">
        <v>80.27153621614282</v>
      </c>
      <c r="F23" s="71">
        <v>81.3</v>
      </c>
      <c r="G23" s="72">
        <v>79.3</v>
      </c>
      <c r="H23" s="71">
        <v>77.6</v>
      </c>
      <c r="I23" s="71">
        <v>78.5</v>
      </c>
      <c r="J23" s="71">
        <v>76.7</v>
      </c>
      <c r="K23" s="49"/>
      <c r="L23" s="49"/>
      <c r="M23" s="49"/>
      <c r="N23" s="49"/>
      <c r="O23" s="49"/>
      <c r="P23" s="49"/>
      <c r="Q23" s="49"/>
      <c r="R23" s="49"/>
      <c r="S23" s="49"/>
      <c r="T23" s="49"/>
      <c r="U23" s="49"/>
      <c r="V23" s="50"/>
      <c r="W23" s="49"/>
      <c r="X23" s="49"/>
      <c r="Y23" s="49"/>
      <c r="Z23" s="49"/>
      <c r="AA23" s="49"/>
      <c r="AB23" s="49"/>
      <c r="AC23" s="51"/>
    </row>
    <row r="24" spans="1:29" s="40" customFormat="1" ht="15.75">
      <c r="A24" s="207" t="s">
        <v>92</v>
      </c>
      <c r="B24" s="41">
        <v>0.3888240552715951</v>
      </c>
      <c r="C24" s="42">
        <v>0.5513169792263994</v>
      </c>
      <c r="D24" s="43">
        <v>0.5468635514956915</v>
      </c>
      <c r="E24" s="41">
        <v>0.45348106730720555</v>
      </c>
      <c r="F24" s="42">
        <v>0.6329640710478125</v>
      </c>
      <c r="G24" s="43">
        <v>0.64668691567856</v>
      </c>
      <c r="H24" s="42">
        <v>0.28995237886590003</v>
      </c>
      <c r="I24" s="42">
        <v>0.4109575828746322</v>
      </c>
      <c r="J24" s="42">
        <v>0.4083680165105965</v>
      </c>
      <c r="K24" s="45"/>
      <c r="L24" s="45"/>
      <c r="M24" s="45"/>
      <c r="N24" s="45"/>
      <c r="O24" s="45"/>
      <c r="P24" s="45"/>
      <c r="Q24" s="45"/>
      <c r="R24" s="45"/>
      <c r="S24" s="45"/>
      <c r="T24" s="45"/>
      <c r="U24" s="45"/>
      <c r="V24" s="46"/>
      <c r="W24" s="45"/>
      <c r="X24" s="45"/>
      <c r="Y24" s="45"/>
      <c r="Z24" s="45"/>
      <c r="AA24" s="45"/>
      <c r="AB24" s="45"/>
      <c r="AC24" s="47"/>
    </row>
    <row r="25" spans="1:29" ht="15.75">
      <c r="A25" s="48" t="s">
        <v>69</v>
      </c>
      <c r="B25" s="69">
        <v>9.1</v>
      </c>
      <c r="C25" s="71">
        <v>8.6</v>
      </c>
      <c r="D25" s="72">
        <v>9.5</v>
      </c>
      <c r="E25" s="69">
        <v>9.7</v>
      </c>
      <c r="F25" s="71">
        <v>8.9</v>
      </c>
      <c r="G25" s="72">
        <v>10.5</v>
      </c>
      <c r="H25" s="71">
        <v>9.6</v>
      </c>
      <c r="I25" s="71">
        <v>8.9</v>
      </c>
      <c r="J25" s="71">
        <v>10.2</v>
      </c>
      <c r="K25" s="49"/>
      <c r="L25" s="49"/>
      <c r="M25" s="49"/>
      <c r="N25" s="49"/>
      <c r="O25" s="49"/>
      <c r="P25" s="49"/>
      <c r="Q25" s="49"/>
      <c r="R25" s="49"/>
      <c r="S25" s="49"/>
      <c r="T25" s="49"/>
      <c r="U25" s="49"/>
      <c r="V25" s="50"/>
      <c r="W25" s="49"/>
      <c r="X25" s="49"/>
      <c r="Y25" s="49"/>
      <c r="Z25" s="49"/>
      <c r="AA25" s="49"/>
      <c r="AB25" s="49"/>
      <c r="AC25" s="51"/>
    </row>
    <row r="26" spans="1:29" s="40" customFormat="1" ht="15.75">
      <c r="A26" s="207" t="s">
        <v>92</v>
      </c>
      <c r="B26" s="41">
        <v>0.30951486865145256</v>
      </c>
      <c r="C26" s="42">
        <v>0.45182627135644404</v>
      </c>
      <c r="D26" s="43">
        <v>0.43086896550326637</v>
      </c>
      <c r="E26" s="41">
        <v>0.3420499482978196</v>
      </c>
      <c r="F26" s="42">
        <v>0.4667395845971369</v>
      </c>
      <c r="G26" s="43">
        <v>0.496168599421194</v>
      </c>
      <c r="H26" s="42">
        <v>0.20360498930844922</v>
      </c>
      <c r="I26" s="42">
        <v>0.28189559054185676</v>
      </c>
      <c r="J26" s="42">
        <v>0.2919598242857498</v>
      </c>
      <c r="K26" s="45"/>
      <c r="L26" s="45"/>
      <c r="M26" s="45"/>
      <c r="N26" s="45"/>
      <c r="O26" s="45"/>
      <c r="P26" s="45"/>
      <c r="Q26" s="45"/>
      <c r="R26" s="45"/>
      <c r="S26" s="45"/>
      <c r="T26" s="45"/>
      <c r="U26" s="45"/>
      <c r="V26" s="46"/>
      <c r="W26" s="45"/>
      <c r="X26" s="45"/>
      <c r="Y26" s="45"/>
      <c r="Z26" s="45"/>
      <c r="AA26" s="45"/>
      <c r="AB26" s="45"/>
      <c r="AC26" s="47"/>
    </row>
    <row r="27" spans="1:28" s="51" customFormat="1" ht="15.75">
      <c r="A27" s="54" t="s">
        <v>70</v>
      </c>
      <c r="B27" s="69">
        <v>4.6</v>
      </c>
      <c r="C27" s="71">
        <v>4.7</v>
      </c>
      <c r="D27" s="72">
        <v>4.6</v>
      </c>
      <c r="E27" s="69">
        <v>6.615979906320006</v>
      </c>
      <c r="F27" s="71">
        <v>6.5</v>
      </c>
      <c r="G27" s="72">
        <v>6.7</v>
      </c>
      <c r="H27" s="71">
        <v>7.7</v>
      </c>
      <c r="I27" s="71">
        <v>7.7</v>
      </c>
      <c r="J27" s="71">
        <v>7.8</v>
      </c>
      <c r="K27" s="50"/>
      <c r="L27" s="50"/>
      <c r="M27" s="50"/>
      <c r="N27" s="50"/>
      <c r="O27" s="50"/>
      <c r="P27" s="50"/>
      <c r="Q27" s="50"/>
      <c r="R27" s="50"/>
      <c r="S27" s="50"/>
      <c r="T27" s="50"/>
      <c r="U27" s="50"/>
      <c r="V27" s="50"/>
      <c r="W27" s="50"/>
      <c r="X27" s="50"/>
      <c r="Y27" s="50"/>
      <c r="Z27" s="50"/>
      <c r="AA27" s="50"/>
      <c r="AB27" s="50"/>
    </row>
    <row r="28" spans="1:29" s="40" customFormat="1" ht="15.75">
      <c r="A28" s="208" t="s">
        <v>92</v>
      </c>
      <c r="B28" s="73">
        <v>0.22446512286085205</v>
      </c>
      <c r="C28" s="74">
        <v>0.3140752038563959</v>
      </c>
      <c r="D28" s="75">
        <v>0.3172943045118769</v>
      </c>
      <c r="E28" s="73">
        <v>0.28308292885056124</v>
      </c>
      <c r="F28" s="74">
        <v>0.39731333733299085</v>
      </c>
      <c r="G28" s="75">
        <v>0.40300218462549736</v>
      </c>
      <c r="H28" s="74">
        <v>0.18599728444380612</v>
      </c>
      <c r="I28" s="74">
        <v>0.2664457153697552</v>
      </c>
      <c r="J28" s="74">
        <v>0.2583025977774159</v>
      </c>
      <c r="K28" s="45"/>
      <c r="L28" s="45"/>
      <c r="M28" s="45"/>
      <c r="N28" s="45"/>
      <c r="O28" s="45"/>
      <c r="P28" s="45"/>
      <c r="Q28" s="45"/>
      <c r="R28" s="45"/>
      <c r="S28" s="45"/>
      <c r="T28" s="45"/>
      <c r="U28" s="45"/>
      <c r="V28" s="46"/>
      <c r="W28" s="45"/>
      <c r="X28" s="45"/>
      <c r="Y28" s="45"/>
      <c r="Z28" s="45"/>
      <c r="AA28" s="45"/>
      <c r="AB28" s="45"/>
      <c r="AC28" s="47"/>
    </row>
    <row r="29" spans="1:29" ht="15.75">
      <c r="A29" s="54"/>
      <c r="B29" s="77"/>
      <c r="C29" s="78"/>
      <c r="D29" s="79"/>
      <c r="E29" s="77"/>
      <c r="F29" s="78"/>
      <c r="G29" s="79"/>
      <c r="H29" s="71"/>
      <c r="I29" s="71"/>
      <c r="J29" s="71"/>
      <c r="K29" s="49"/>
      <c r="L29" s="49"/>
      <c r="M29" s="49"/>
      <c r="N29" s="49"/>
      <c r="O29" s="49"/>
      <c r="P29" s="49"/>
      <c r="Q29" s="49"/>
      <c r="R29" s="49"/>
      <c r="S29" s="49"/>
      <c r="T29" s="49"/>
      <c r="U29" s="49"/>
      <c r="V29" s="50"/>
      <c r="W29" s="49"/>
      <c r="X29" s="49"/>
      <c r="Y29" s="49"/>
      <c r="Z29" s="49"/>
      <c r="AA29" s="49"/>
      <c r="AB29" s="49"/>
      <c r="AC29" s="51"/>
    </row>
    <row r="30" spans="1:29" ht="15.75">
      <c r="A30" s="54" t="s">
        <v>12</v>
      </c>
      <c r="B30" s="80"/>
      <c r="C30" s="81"/>
      <c r="D30" s="82"/>
      <c r="E30" s="80"/>
      <c r="F30" s="81"/>
      <c r="G30" s="82"/>
      <c r="H30" s="81"/>
      <c r="I30" s="81"/>
      <c r="J30" s="81"/>
      <c r="K30" s="49"/>
      <c r="L30" s="49"/>
      <c r="M30" s="49"/>
      <c r="N30" s="49"/>
      <c r="O30" s="49"/>
      <c r="P30" s="49"/>
      <c r="Q30" s="49"/>
      <c r="R30" s="49"/>
      <c r="S30" s="49"/>
      <c r="T30" s="49"/>
      <c r="U30" s="49"/>
      <c r="V30" s="50"/>
      <c r="W30" s="49"/>
      <c r="X30" s="49"/>
      <c r="Y30" s="49"/>
      <c r="Z30" s="49"/>
      <c r="AA30" s="49"/>
      <c r="AB30" s="49"/>
      <c r="AC30" s="51"/>
    </row>
    <row r="31" spans="1:29" ht="15.75">
      <c r="A31" s="48" t="s">
        <v>66</v>
      </c>
      <c r="B31" s="63">
        <v>6358</v>
      </c>
      <c r="C31" s="64">
        <v>2948</v>
      </c>
      <c r="D31" s="65">
        <v>3410</v>
      </c>
      <c r="E31" s="63">
        <v>6145</v>
      </c>
      <c r="F31" s="64">
        <v>2879</v>
      </c>
      <c r="G31" s="65">
        <v>3266</v>
      </c>
      <c r="H31" s="64">
        <v>7031</v>
      </c>
      <c r="I31" s="64">
        <v>3333</v>
      </c>
      <c r="J31" s="64">
        <v>3698</v>
      </c>
      <c r="K31" s="49"/>
      <c r="L31" s="49"/>
      <c r="M31" s="49"/>
      <c r="N31" s="49"/>
      <c r="O31" s="49"/>
      <c r="P31" s="49"/>
      <c r="Q31" s="49"/>
      <c r="R31" s="49"/>
      <c r="S31" s="49"/>
      <c r="T31" s="49"/>
      <c r="U31" s="49"/>
      <c r="V31" s="50"/>
      <c r="W31" s="49"/>
      <c r="X31" s="49"/>
      <c r="Y31" s="49"/>
      <c r="Z31" s="49"/>
      <c r="AA31" s="49"/>
      <c r="AB31" s="49"/>
      <c r="AC31" s="51"/>
    </row>
    <row r="32" spans="1:29" ht="15.75">
      <c r="A32" s="48" t="s">
        <v>67</v>
      </c>
      <c r="B32" s="66">
        <v>100</v>
      </c>
      <c r="C32" s="67">
        <v>46.4</v>
      </c>
      <c r="D32" s="68">
        <v>53.6</v>
      </c>
      <c r="E32" s="66">
        <v>100</v>
      </c>
      <c r="F32" s="67">
        <v>46.9</v>
      </c>
      <c r="G32" s="68">
        <v>53.1</v>
      </c>
      <c r="H32" s="67">
        <v>100</v>
      </c>
      <c r="I32" s="67">
        <v>47.4</v>
      </c>
      <c r="J32" s="67">
        <v>52.6</v>
      </c>
      <c r="K32" s="49"/>
      <c r="L32" s="49"/>
      <c r="M32" s="49"/>
      <c r="N32" s="49"/>
      <c r="O32" s="49"/>
      <c r="P32" s="49"/>
      <c r="Q32" s="49"/>
      <c r="R32" s="49"/>
      <c r="S32" s="49"/>
      <c r="T32" s="49"/>
      <c r="U32" s="49"/>
      <c r="V32" s="50"/>
      <c r="W32" s="49"/>
      <c r="X32" s="49"/>
      <c r="Y32" s="49"/>
      <c r="Z32" s="49"/>
      <c r="AA32" s="49"/>
      <c r="AB32" s="49"/>
      <c r="AC32" s="51"/>
    </row>
    <row r="33" spans="1:29" ht="15.75">
      <c r="A33" s="86" t="s">
        <v>92</v>
      </c>
      <c r="B33" s="69" t="s">
        <v>19</v>
      </c>
      <c r="C33" s="71">
        <v>0.8461287422032324</v>
      </c>
      <c r="D33" s="72">
        <v>0.8461287422032324</v>
      </c>
      <c r="E33" s="69" t="s">
        <v>19</v>
      </c>
      <c r="F33" s="71">
        <v>0.8919534538727224</v>
      </c>
      <c r="G33" s="72">
        <v>0.8919534538727224</v>
      </c>
      <c r="H33" s="71" t="s">
        <v>19</v>
      </c>
      <c r="I33" s="71">
        <v>0.6221192706127906</v>
      </c>
      <c r="J33" s="71">
        <v>0.6221192706127906</v>
      </c>
      <c r="K33" s="49"/>
      <c r="L33" s="49"/>
      <c r="M33" s="49"/>
      <c r="N33" s="49"/>
      <c r="O33" s="49"/>
      <c r="P33" s="49"/>
      <c r="Q33" s="49"/>
      <c r="R33" s="49"/>
      <c r="S33" s="49"/>
      <c r="T33" s="49"/>
      <c r="U33" s="49"/>
      <c r="V33" s="50"/>
      <c r="W33" s="49"/>
      <c r="X33" s="49"/>
      <c r="Y33" s="49"/>
      <c r="Z33" s="49"/>
      <c r="AA33" s="49"/>
      <c r="AB33" s="49"/>
      <c r="AC33" s="51"/>
    </row>
    <row r="34" spans="1:29" ht="15.75">
      <c r="A34" s="48"/>
      <c r="B34" s="63"/>
      <c r="C34" s="64"/>
      <c r="D34" s="65"/>
      <c r="E34" s="63"/>
      <c r="F34" s="64"/>
      <c r="G34" s="65"/>
      <c r="H34" s="64"/>
      <c r="I34" s="64"/>
      <c r="J34" s="81"/>
      <c r="K34" s="49"/>
      <c r="L34" s="49"/>
      <c r="M34" s="49"/>
      <c r="N34" s="49"/>
      <c r="O34" s="49"/>
      <c r="P34" s="49"/>
      <c r="Q34" s="49"/>
      <c r="R34" s="49"/>
      <c r="S34" s="49"/>
      <c r="T34" s="49"/>
      <c r="U34" s="49"/>
      <c r="V34" s="50"/>
      <c r="W34" s="49"/>
      <c r="X34" s="49"/>
      <c r="Y34" s="49"/>
      <c r="Z34" s="49"/>
      <c r="AA34" s="49"/>
      <c r="AB34" s="49"/>
      <c r="AC34" s="51"/>
    </row>
    <row r="35" spans="1:29" ht="15.75">
      <c r="A35" s="48" t="s">
        <v>14</v>
      </c>
      <c r="B35" s="63"/>
      <c r="C35" s="64"/>
      <c r="D35" s="65"/>
      <c r="E35" s="63"/>
      <c r="F35" s="64"/>
      <c r="G35" s="65"/>
      <c r="H35" s="64"/>
      <c r="I35" s="64"/>
      <c r="J35" s="81"/>
      <c r="K35" s="49"/>
      <c r="L35" s="49"/>
      <c r="M35" s="49"/>
      <c r="N35" s="49"/>
      <c r="O35" s="49"/>
      <c r="P35" s="49"/>
      <c r="Q35" s="49"/>
      <c r="R35" s="49"/>
      <c r="S35" s="49"/>
      <c r="T35" s="49"/>
      <c r="U35" s="49"/>
      <c r="V35" s="50"/>
      <c r="W35" s="49"/>
      <c r="X35" s="49"/>
      <c r="Y35" s="49"/>
      <c r="Z35" s="49"/>
      <c r="AA35" s="49"/>
      <c r="AB35" s="49"/>
      <c r="AC35" s="51"/>
    </row>
    <row r="36" spans="1:29" ht="15.75">
      <c r="A36" s="48" t="s">
        <v>68</v>
      </c>
      <c r="B36" s="69">
        <v>86.31812767601326</v>
      </c>
      <c r="C36" s="71">
        <v>86.8</v>
      </c>
      <c r="D36" s="72">
        <v>85.8</v>
      </c>
      <c r="E36" s="69">
        <v>81.8</v>
      </c>
      <c r="F36" s="71">
        <v>82.9</v>
      </c>
      <c r="G36" s="72">
        <v>80.8</v>
      </c>
      <c r="H36" s="71">
        <v>78.2</v>
      </c>
      <c r="I36" s="71">
        <v>79.2</v>
      </c>
      <c r="J36" s="71">
        <v>77.3</v>
      </c>
      <c r="K36" s="49"/>
      <c r="L36" s="49"/>
      <c r="M36" s="49"/>
      <c r="N36" s="49"/>
      <c r="O36" s="49"/>
      <c r="P36" s="49"/>
      <c r="Q36" s="49"/>
      <c r="R36" s="49"/>
      <c r="S36" s="49"/>
      <c r="T36" s="49"/>
      <c r="U36" s="49"/>
      <c r="V36" s="50"/>
      <c r="W36" s="49"/>
      <c r="X36" s="49"/>
      <c r="Y36" s="49"/>
      <c r="Z36" s="49"/>
      <c r="AA36" s="49"/>
      <c r="AB36" s="49"/>
      <c r="AC36" s="51"/>
    </row>
    <row r="37" spans="1:29" ht="15.75">
      <c r="A37" s="86" t="s">
        <v>92</v>
      </c>
      <c r="B37" s="69">
        <v>0.5833091135667802</v>
      </c>
      <c r="C37" s="71">
        <v>0.8606349174064403</v>
      </c>
      <c r="D37" s="72">
        <v>0.7925527690297668</v>
      </c>
      <c r="E37" s="69">
        <v>0.6768933086955067</v>
      </c>
      <c r="F37" s="71">
        <v>0.9551334548683531</v>
      </c>
      <c r="G37" s="72">
        <v>0.9585959691251631</v>
      </c>
      <c r="H37" s="71">
        <v>0.5216689482521855</v>
      </c>
      <c r="I37" s="71">
        <v>0.7588613091247217</v>
      </c>
      <c r="J37" s="71">
        <v>0.7186918972116942</v>
      </c>
      <c r="K37" s="49"/>
      <c r="L37" s="49"/>
      <c r="M37" s="49"/>
      <c r="N37" s="49"/>
      <c r="O37" s="49"/>
      <c r="P37" s="49"/>
      <c r="Q37" s="49"/>
      <c r="R37" s="49"/>
      <c r="S37" s="49"/>
      <c r="T37" s="49"/>
      <c r="U37" s="49"/>
      <c r="V37" s="50"/>
      <c r="W37" s="49"/>
      <c r="X37" s="49"/>
      <c r="Y37" s="49"/>
      <c r="Z37" s="49"/>
      <c r="AA37" s="49"/>
      <c r="AB37" s="49"/>
      <c r="AC37" s="51"/>
    </row>
    <row r="38" spans="1:29" ht="15.75">
      <c r="A38" s="48" t="s">
        <v>69</v>
      </c>
      <c r="B38" s="69">
        <v>8.2</v>
      </c>
      <c r="C38" s="71">
        <v>7.7</v>
      </c>
      <c r="D38" s="72">
        <v>8.7</v>
      </c>
      <c r="E38" s="69">
        <v>9.3</v>
      </c>
      <c r="F38" s="71">
        <v>8.5</v>
      </c>
      <c r="G38" s="72">
        <v>10</v>
      </c>
      <c r="H38" s="71">
        <v>9.5</v>
      </c>
      <c r="I38" s="71">
        <v>8.7</v>
      </c>
      <c r="J38" s="71">
        <v>10.2</v>
      </c>
      <c r="K38" s="49"/>
      <c r="L38" s="49"/>
      <c r="M38" s="49"/>
      <c r="N38" s="49"/>
      <c r="O38" s="49"/>
      <c r="P38" s="49"/>
      <c r="Q38" s="49"/>
      <c r="R38" s="49"/>
      <c r="S38" s="49"/>
      <c r="T38" s="49"/>
      <c r="U38" s="49"/>
      <c r="V38" s="50"/>
      <c r="W38" s="49"/>
      <c r="X38" s="49"/>
      <c r="Y38" s="49"/>
      <c r="Z38" s="49"/>
      <c r="AA38" s="49"/>
      <c r="AB38" s="49"/>
      <c r="AC38" s="51"/>
    </row>
    <row r="39" spans="1:29" ht="15.75">
      <c r="A39" s="86" t="s">
        <v>92</v>
      </c>
      <c r="B39" s="69">
        <v>0.4705659085225372</v>
      </c>
      <c r="C39" s="71">
        <v>0.671047630290414</v>
      </c>
      <c r="D39" s="72">
        <v>0.6604005731126442</v>
      </c>
      <c r="E39" s="69">
        <v>0.5058180563300789</v>
      </c>
      <c r="F39" s="71">
        <v>0.7116438628213647</v>
      </c>
      <c r="G39" s="72">
        <v>0.7150204211214148</v>
      </c>
      <c r="H39" s="71">
        <v>0.37584676753284985</v>
      </c>
      <c r="I39" s="71">
        <v>0.5412866142148168</v>
      </c>
      <c r="J39" s="71">
        <v>0.5227328049838673</v>
      </c>
      <c r="K39" s="49"/>
      <c r="L39" s="49"/>
      <c r="M39" s="49"/>
      <c r="N39" s="49"/>
      <c r="O39" s="49"/>
      <c r="P39" s="49"/>
      <c r="Q39" s="49"/>
      <c r="R39" s="49"/>
      <c r="S39" s="49"/>
      <c r="T39" s="49"/>
      <c r="U39" s="49"/>
      <c r="V39" s="50"/>
      <c r="W39" s="49"/>
      <c r="X39" s="49"/>
      <c r="Y39" s="49"/>
      <c r="Z39" s="49"/>
      <c r="AA39" s="49"/>
      <c r="AB39" s="49"/>
      <c r="AC39" s="51"/>
    </row>
    <row r="40" spans="1:29" ht="15.75">
      <c r="A40" s="54" t="s">
        <v>70</v>
      </c>
      <c r="B40" s="69">
        <v>3.7826352895728035</v>
      </c>
      <c r="C40" s="71">
        <v>3.8</v>
      </c>
      <c r="D40" s="72">
        <v>3.8</v>
      </c>
      <c r="E40" s="69">
        <v>5.9</v>
      </c>
      <c r="F40" s="71">
        <v>5.8</v>
      </c>
      <c r="G40" s="72">
        <v>6</v>
      </c>
      <c r="H40" s="71">
        <v>7.4</v>
      </c>
      <c r="I40" s="71">
        <v>7.2</v>
      </c>
      <c r="J40" s="71">
        <v>7.5</v>
      </c>
      <c r="K40" s="49"/>
      <c r="L40" s="49"/>
      <c r="M40" s="49"/>
      <c r="N40" s="49"/>
      <c r="O40" s="49"/>
      <c r="P40" s="49"/>
      <c r="Q40" s="49"/>
      <c r="R40" s="49"/>
      <c r="S40" s="49"/>
      <c r="T40" s="49"/>
      <c r="U40" s="49"/>
      <c r="V40" s="50"/>
      <c r="W40" s="49"/>
      <c r="X40" s="49"/>
      <c r="Y40" s="49"/>
      <c r="Z40" s="49"/>
      <c r="AA40" s="49"/>
      <c r="AB40" s="49"/>
      <c r="AC40" s="51"/>
    </row>
    <row r="41" spans="1:29" ht="15.75">
      <c r="A41" s="208" t="s">
        <v>92</v>
      </c>
      <c r="B41" s="83">
        <v>0.3243488890606262</v>
      </c>
      <c r="C41" s="84">
        <v>0.4990193498517666</v>
      </c>
      <c r="D41" s="85">
        <v>0.42623678611064886</v>
      </c>
      <c r="E41" s="83">
        <v>0.44016758503241454</v>
      </c>
      <c r="F41" s="84">
        <v>0.6126021918408617</v>
      </c>
      <c r="G41" s="85">
        <v>0.6312074292908364</v>
      </c>
      <c r="H41" s="84">
        <v>0.3265063559461481</v>
      </c>
      <c r="I41" s="84">
        <v>0.4757719591093214</v>
      </c>
      <c r="J41" s="84">
        <v>0.44913312486102547</v>
      </c>
      <c r="K41" s="49"/>
      <c r="L41" s="49"/>
      <c r="M41" s="49"/>
      <c r="N41" s="49"/>
      <c r="O41" s="49"/>
      <c r="P41" s="49"/>
      <c r="Q41" s="49"/>
      <c r="R41" s="49"/>
      <c r="S41" s="49"/>
      <c r="T41" s="49"/>
      <c r="U41" s="49"/>
      <c r="V41" s="50"/>
      <c r="W41" s="49"/>
      <c r="X41" s="49"/>
      <c r="Y41" s="49"/>
      <c r="Z41" s="49"/>
      <c r="AA41" s="49"/>
      <c r="AB41" s="49"/>
      <c r="AC41" s="51"/>
    </row>
    <row r="42" spans="1:29" ht="15.75">
      <c r="A42" s="86" t="s">
        <v>72</v>
      </c>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51"/>
    </row>
    <row r="43" spans="1:29" ht="15.75">
      <c r="A43" s="86" t="s">
        <v>73</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51"/>
    </row>
  </sheetData>
  <hyperlinks>
    <hyperlink ref="K2" location="'Appendix A'!A1" display="[Return to Menu]"/>
  </hyperlinks>
  <printOptions/>
  <pageMargins left="0.5" right="0.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C8"/>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26.57421875" style="0" customWidth="1"/>
    <col min="11" max="11" width="16.140625" style="0" bestFit="1" customWidth="1"/>
  </cols>
  <sheetData>
    <row r="1" s="3" customFormat="1" ht="15.75">
      <c r="A1" s="3" t="s">
        <v>44</v>
      </c>
    </row>
    <row r="2" s="7" customFormat="1" ht="15.75">
      <c r="K2" s="10" t="s">
        <v>71</v>
      </c>
    </row>
    <row r="3" spans="1:29" s="188" customFormat="1" ht="31.5">
      <c r="A3" s="135"/>
      <c r="B3" s="186" t="s">
        <v>179</v>
      </c>
      <c r="C3" s="184" t="s">
        <v>180</v>
      </c>
      <c r="D3" s="185" t="s">
        <v>181</v>
      </c>
      <c r="E3" s="186" t="s">
        <v>182</v>
      </c>
      <c r="F3" s="184" t="s">
        <v>183</v>
      </c>
      <c r="G3" s="185" t="s">
        <v>184</v>
      </c>
      <c r="H3" s="186" t="s">
        <v>185</v>
      </c>
      <c r="I3" s="184" t="s">
        <v>186</v>
      </c>
      <c r="J3" s="185" t="s">
        <v>187</v>
      </c>
      <c r="K3" s="187"/>
      <c r="L3" s="187"/>
      <c r="M3" s="187"/>
      <c r="N3" s="187"/>
      <c r="O3" s="187"/>
      <c r="P3" s="187"/>
      <c r="Q3" s="187"/>
      <c r="R3" s="187"/>
      <c r="S3" s="187"/>
      <c r="T3" s="187"/>
      <c r="U3" s="187"/>
      <c r="V3" s="187"/>
      <c r="W3" s="187"/>
      <c r="X3" s="187"/>
      <c r="Y3" s="187"/>
      <c r="Z3" s="187"/>
      <c r="AA3" s="187"/>
      <c r="AB3" s="187"/>
      <c r="AC3" s="121"/>
    </row>
    <row r="4" spans="1:29" s="7" customFormat="1" ht="15.75">
      <c r="A4" s="22" t="s">
        <v>10</v>
      </c>
      <c r="B4" s="24"/>
      <c r="C4" s="25"/>
      <c r="D4" s="25"/>
      <c r="E4" s="24"/>
      <c r="F4" s="25"/>
      <c r="G4" s="25"/>
      <c r="H4" s="26"/>
      <c r="I4" s="27"/>
      <c r="J4" s="28"/>
      <c r="K4" s="8"/>
      <c r="L4" s="8"/>
      <c r="M4" s="8"/>
      <c r="N4" s="8"/>
      <c r="O4" s="8"/>
      <c r="P4" s="8"/>
      <c r="Q4" s="8"/>
      <c r="R4" s="8"/>
      <c r="S4" s="8"/>
      <c r="T4" s="8"/>
      <c r="U4" s="8"/>
      <c r="V4" s="8"/>
      <c r="W4" s="8"/>
      <c r="X4" s="8"/>
      <c r="Y4" s="8"/>
      <c r="Z4" s="8"/>
      <c r="AA4" s="8"/>
      <c r="AB4" s="8"/>
      <c r="AC4" s="6"/>
    </row>
    <row r="5" spans="1:29" s="7" customFormat="1" ht="15.75">
      <c r="A5" s="22" t="s">
        <v>74</v>
      </c>
      <c r="B5" s="12">
        <v>39589</v>
      </c>
      <c r="C5" s="13">
        <v>19104</v>
      </c>
      <c r="D5" s="13">
        <v>20484</v>
      </c>
      <c r="E5" s="12">
        <v>41636</v>
      </c>
      <c r="F5" s="13">
        <v>20216</v>
      </c>
      <c r="G5" s="13">
        <v>21420</v>
      </c>
      <c r="H5" s="12">
        <v>39307</v>
      </c>
      <c r="I5" s="13">
        <v>19243</v>
      </c>
      <c r="J5" s="14">
        <v>20064</v>
      </c>
      <c r="K5" s="8"/>
      <c r="L5" s="8"/>
      <c r="M5" s="8"/>
      <c r="N5" s="8"/>
      <c r="O5" s="8"/>
      <c r="P5" s="8"/>
      <c r="Q5" s="8"/>
      <c r="R5" s="8"/>
      <c r="S5" s="8"/>
      <c r="T5" s="8"/>
      <c r="U5" s="8"/>
      <c r="V5" s="8"/>
      <c r="W5" s="8"/>
      <c r="X5" s="8"/>
      <c r="Y5" s="8"/>
      <c r="Z5" s="8"/>
      <c r="AA5" s="8"/>
      <c r="AB5" s="8"/>
      <c r="AC5" s="6"/>
    </row>
    <row r="6" spans="1:29" s="7" customFormat="1" ht="15.75">
      <c r="A6" s="206" t="s">
        <v>67</v>
      </c>
      <c r="B6" s="16">
        <v>100</v>
      </c>
      <c r="C6" s="17">
        <v>48.3</v>
      </c>
      <c r="D6" s="17">
        <v>51.7</v>
      </c>
      <c r="E6" s="16">
        <v>100</v>
      </c>
      <c r="F6" s="17">
        <v>48.6</v>
      </c>
      <c r="G6" s="17">
        <v>51.4</v>
      </c>
      <c r="H6" s="16">
        <v>100</v>
      </c>
      <c r="I6" s="17">
        <v>49</v>
      </c>
      <c r="J6" s="18">
        <v>51</v>
      </c>
      <c r="K6" s="8"/>
      <c r="L6" s="8"/>
      <c r="M6" s="8"/>
      <c r="N6" s="8"/>
      <c r="O6" s="8"/>
      <c r="P6" s="8"/>
      <c r="Q6" s="8"/>
      <c r="R6" s="8"/>
      <c r="S6" s="8"/>
      <c r="T6" s="8"/>
      <c r="U6" s="8"/>
      <c r="V6" s="8"/>
      <c r="W6" s="8"/>
      <c r="X6" s="8"/>
      <c r="Y6" s="8"/>
      <c r="Z6" s="8"/>
      <c r="AA6" s="8"/>
      <c r="AB6" s="8"/>
      <c r="AC6" s="6"/>
    </row>
    <row r="7" spans="1:29" s="7" customFormat="1" ht="15.75">
      <c r="A7" s="20" t="s">
        <v>75</v>
      </c>
      <c r="B7" s="8"/>
      <c r="C7" s="8"/>
      <c r="D7" s="8"/>
      <c r="E7" s="8"/>
      <c r="F7" s="8"/>
      <c r="G7" s="8"/>
      <c r="H7" s="8"/>
      <c r="I7" s="8"/>
      <c r="J7" s="8"/>
      <c r="K7" s="8"/>
      <c r="L7" s="8"/>
      <c r="M7" s="8"/>
      <c r="N7" s="8"/>
      <c r="O7" s="8"/>
      <c r="P7" s="8"/>
      <c r="Q7" s="8"/>
      <c r="R7" s="8"/>
      <c r="S7" s="8"/>
      <c r="T7" s="8"/>
      <c r="U7" s="8"/>
      <c r="V7" s="8"/>
      <c r="W7" s="8"/>
      <c r="X7" s="8"/>
      <c r="Y7" s="8"/>
      <c r="Z7" s="8"/>
      <c r="AA7" s="8"/>
      <c r="AB7" s="8"/>
      <c r="AC7" s="6"/>
    </row>
    <row r="8" spans="1:29" s="7" customFormat="1" ht="15.75">
      <c r="A8" s="20" t="s">
        <v>76</v>
      </c>
      <c r="B8" s="8"/>
      <c r="C8" s="8"/>
      <c r="D8" s="8"/>
      <c r="E8" s="8"/>
      <c r="F8" s="8"/>
      <c r="G8" s="8"/>
      <c r="H8" s="8"/>
      <c r="I8" s="8"/>
      <c r="J8" s="8"/>
      <c r="K8" s="8"/>
      <c r="L8" s="8"/>
      <c r="M8" s="8"/>
      <c r="N8" s="8"/>
      <c r="O8" s="8"/>
      <c r="P8" s="8"/>
      <c r="Q8" s="8"/>
      <c r="R8" s="8"/>
      <c r="S8" s="8"/>
      <c r="T8" s="8"/>
      <c r="U8" s="8"/>
      <c r="V8" s="8"/>
      <c r="W8" s="8"/>
      <c r="X8" s="8"/>
      <c r="Y8" s="8"/>
      <c r="Z8" s="8"/>
      <c r="AA8" s="8"/>
      <c r="AB8" s="8"/>
      <c r="AC8" s="6"/>
    </row>
    <row r="9" s="7" customFormat="1" ht="15.75"/>
  </sheetData>
  <hyperlinks>
    <hyperlink ref="K2" location="'Appendix A'!A1" display="[Return to Menu]"/>
  </hyperlinks>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AC131"/>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24.57421875" style="6" customWidth="1"/>
    <col min="2" max="10" width="9.140625" style="7" customWidth="1"/>
    <col min="11" max="11" width="16.140625" style="7" bestFit="1" customWidth="1"/>
    <col min="12" max="16384" width="9.140625" style="7" customWidth="1"/>
  </cols>
  <sheetData>
    <row r="1" s="3" customFormat="1" ht="15.75">
      <c r="A1" s="95" t="s">
        <v>93</v>
      </c>
    </row>
    <row r="2" ht="15.75">
      <c r="K2" s="88" t="s">
        <v>71</v>
      </c>
    </row>
    <row r="3" spans="1:10" s="3" customFormat="1" ht="15.75">
      <c r="A3" s="198" t="s">
        <v>10</v>
      </c>
      <c r="B3" s="172"/>
      <c r="C3" s="172"/>
      <c r="D3" s="174"/>
      <c r="E3" s="172"/>
      <c r="F3" s="172"/>
      <c r="G3" s="174"/>
      <c r="H3" s="172"/>
      <c r="I3" s="172"/>
      <c r="J3" s="172"/>
    </row>
    <row r="4" spans="1:10" s="95" customFormat="1" ht="31.5">
      <c r="A4" s="200" t="s">
        <v>13</v>
      </c>
      <c r="B4" s="184" t="s">
        <v>170</v>
      </c>
      <c r="C4" s="184" t="s">
        <v>171</v>
      </c>
      <c r="D4" s="185" t="s">
        <v>172</v>
      </c>
      <c r="E4" s="184" t="s">
        <v>173</v>
      </c>
      <c r="F4" s="184" t="s">
        <v>174</v>
      </c>
      <c r="G4" s="185" t="s">
        <v>175</v>
      </c>
      <c r="H4" s="184" t="s">
        <v>176</v>
      </c>
      <c r="I4" s="184" t="s">
        <v>177</v>
      </c>
      <c r="J4" s="184" t="s">
        <v>178</v>
      </c>
    </row>
    <row r="5" spans="1:10" ht="15.75">
      <c r="A5" s="199" t="s">
        <v>16</v>
      </c>
      <c r="B5" s="8"/>
      <c r="C5" s="5"/>
      <c r="D5" s="14"/>
      <c r="E5" s="5"/>
      <c r="F5" s="5"/>
      <c r="G5" s="29"/>
      <c r="H5" s="5"/>
      <c r="I5" s="5"/>
      <c r="J5" s="5"/>
    </row>
    <row r="6" spans="1:10" ht="15.75">
      <c r="A6" s="199" t="s">
        <v>77</v>
      </c>
      <c r="B6" s="8">
        <v>33.322326759544055</v>
      </c>
      <c r="C6" s="8">
        <v>34.47816003092385</v>
      </c>
      <c r="D6" s="15">
        <v>32.30527210884354</v>
      </c>
      <c r="E6" s="8">
        <v>24.44466412692289</v>
      </c>
      <c r="F6" s="8">
        <v>24.746544242753732</v>
      </c>
      <c r="G6" s="23">
        <v>24.165664044423877</v>
      </c>
      <c r="H6" s="8">
        <v>13.584070484581497</v>
      </c>
      <c r="I6" s="8">
        <v>13.866873293483875</v>
      </c>
      <c r="J6" s="8">
        <v>13.325013491635184</v>
      </c>
    </row>
    <row r="7" spans="1:10" s="33" customFormat="1" ht="15.75">
      <c r="A7" s="203" t="s">
        <v>92</v>
      </c>
      <c r="B7" s="34">
        <v>0.42383231174413644</v>
      </c>
      <c r="C7" s="34">
        <v>0.6248643455411469</v>
      </c>
      <c r="D7" s="35">
        <v>0.5766013991219479</v>
      </c>
      <c r="E7" s="34">
        <v>0.4127311392383732</v>
      </c>
      <c r="F7" s="34">
        <v>0.5988115053730009</v>
      </c>
      <c r="G7" s="35">
        <v>0.5701830323861815</v>
      </c>
      <c r="H7" s="34">
        <v>0.20872105449692513</v>
      </c>
      <c r="I7" s="34">
        <v>0.3048113771622603</v>
      </c>
      <c r="J7" s="34">
        <v>0.28606224061310004</v>
      </c>
    </row>
    <row r="8" spans="1:10" ht="15.75">
      <c r="A8" s="199" t="s">
        <v>78</v>
      </c>
      <c r="B8" s="8">
        <v>39.76397684096255</v>
      </c>
      <c r="C8" s="8">
        <v>33.7379203710862</v>
      </c>
      <c r="D8" s="15">
        <v>45.0671768707483</v>
      </c>
      <c r="E8" s="8">
        <v>37.22804648695568</v>
      </c>
      <c r="F8" s="8">
        <v>32.83095230903984</v>
      </c>
      <c r="G8" s="23">
        <v>41.26793151318834</v>
      </c>
      <c r="H8" s="8">
        <v>33.25473127753304</v>
      </c>
      <c r="I8" s="8">
        <v>29.93210833148845</v>
      </c>
      <c r="J8" s="8">
        <v>36.29182406907717</v>
      </c>
    </row>
    <row r="9" spans="1:10" s="33" customFormat="1" ht="15.75">
      <c r="A9" s="203" t="s">
        <v>92</v>
      </c>
      <c r="B9" s="34">
        <v>0.44019875603681125</v>
      </c>
      <c r="C9" s="34">
        <v>0.6213370653226143</v>
      </c>
      <c r="D9" s="35">
        <v>0.6135564691341184</v>
      </c>
      <c r="E9" s="34">
        <v>0.46447539969666174</v>
      </c>
      <c r="F9" s="34">
        <v>0.6518771074470484</v>
      </c>
      <c r="G9" s="35">
        <v>0.6554900142052612</v>
      </c>
      <c r="H9" s="34">
        <v>0.2869623819150539</v>
      </c>
      <c r="I9" s="34">
        <v>0.4033822651819626</v>
      </c>
      <c r="J9" s="34">
        <v>0.40508689679591886</v>
      </c>
    </row>
    <row r="10" spans="1:10" ht="15.75">
      <c r="A10" s="199" t="s">
        <v>79</v>
      </c>
      <c r="B10" s="8">
        <v>12.52587298715397</v>
      </c>
      <c r="C10" s="8">
        <v>12.668148434480095</v>
      </c>
      <c r="D10" s="15">
        <v>12.401360544217688</v>
      </c>
      <c r="E10" s="8">
        <v>19.471186767613442</v>
      </c>
      <c r="F10" s="8">
        <v>18.923354173588248</v>
      </c>
      <c r="G10" s="23">
        <v>19.97316057380842</v>
      </c>
      <c r="H10" s="8">
        <v>24.8928281938326</v>
      </c>
      <c r="I10" s="8">
        <v>23.70230979263523</v>
      </c>
      <c r="J10" s="8">
        <v>25.98084187803562</v>
      </c>
    </row>
    <row r="11" spans="1:10" s="33" customFormat="1" ht="15.75">
      <c r="A11" s="203" t="s">
        <v>92</v>
      </c>
      <c r="B11" s="34">
        <v>0.297418557057461</v>
      </c>
      <c r="C11" s="34">
        <v>0.437687888861073</v>
      </c>
      <c r="D11" s="35">
        <v>0.4063899805931867</v>
      </c>
      <c r="E11" s="34">
        <v>0.38073839182197694</v>
      </c>
      <c r="F11" s="34">
        <v>0.5436075759381358</v>
      </c>
      <c r="G11" s="35">
        <v>0.5325151830472484</v>
      </c>
      <c r="H11" s="34">
        <v>0.2633052853703563</v>
      </c>
      <c r="I11" s="34">
        <v>0.37467838470305803</v>
      </c>
      <c r="J11" s="34">
        <v>0.36951128003977424</v>
      </c>
    </row>
    <row r="12" spans="1:10" ht="15.75">
      <c r="A12" s="199" t="s">
        <v>80</v>
      </c>
      <c r="B12" s="8">
        <v>14.3857427175683</v>
      </c>
      <c r="C12" s="8">
        <v>19.11673753382296</v>
      </c>
      <c r="D12" s="15">
        <v>10.22278911564626</v>
      </c>
      <c r="E12" s="8">
        <v>18.858369098712448</v>
      </c>
      <c r="F12" s="8">
        <v>23.499149274618176</v>
      </c>
      <c r="G12" s="23">
        <v>14.591392873669594</v>
      </c>
      <c r="H12" s="8">
        <v>28.267066079295155</v>
      </c>
      <c r="I12" s="8">
        <v>32.495756770718025</v>
      </c>
      <c r="J12" s="8">
        <v>24.401645979492717</v>
      </c>
    </row>
    <row r="13" spans="1:10" s="33" customFormat="1" ht="15.75">
      <c r="A13" s="203" t="s">
        <v>92</v>
      </c>
      <c r="B13" s="34">
        <v>0.31573822101296406</v>
      </c>
      <c r="C13" s="34">
        <v>0.5167095538559348</v>
      </c>
      <c r="D13" s="35">
        <v>0.373179991589111</v>
      </c>
      <c r="E13" s="34">
        <v>0.37622942126048475</v>
      </c>
      <c r="F13" s="34">
        <v>0.5887200409535558</v>
      </c>
      <c r="G13" s="35">
        <v>0.4700860535397016</v>
      </c>
      <c r="H13" s="34">
        <v>0.27427910926597326</v>
      </c>
      <c r="I13" s="34">
        <v>0.41268222573510466</v>
      </c>
      <c r="J13" s="34">
        <v>0.36181034290215747</v>
      </c>
    </row>
    <row r="14" spans="1:10" ht="15.75">
      <c r="A14" s="199" t="s">
        <v>17</v>
      </c>
      <c r="B14" s="197"/>
      <c r="C14" s="5"/>
      <c r="D14" s="14"/>
      <c r="E14" s="5"/>
      <c r="F14" s="5"/>
      <c r="G14" s="29"/>
      <c r="H14" s="5"/>
      <c r="I14" s="5"/>
      <c r="J14" s="5"/>
    </row>
    <row r="15" spans="1:10" ht="15.75">
      <c r="A15" s="199" t="s">
        <v>81</v>
      </c>
      <c r="B15" s="8">
        <v>76.6272209155057</v>
      </c>
      <c r="C15" s="8">
        <v>84.78256667955159</v>
      </c>
      <c r="D15" s="15">
        <v>69.4515306122449</v>
      </c>
      <c r="E15" s="8">
        <v>74.90909967690601</v>
      </c>
      <c r="F15" s="8">
        <v>80.88636523805208</v>
      </c>
      <c r="G15" s="23">
        <v>69.40953262378528</v>
      </c>
      <c r="H15" s="8">
        <v>73.05550660792952</v>
      </c>
      <c r="I15" s="8">
        <v>79.37421592502399</v>
      </c>
      <c r="J15" s="8">
        <v>67.27806260118726</v>
      </c>
    </row>
    <row r="16" spans="1:10" s="33" customFormat="1" ht="15.75">
      <c r="A16" s="203" t="s">
        <v>92</v>
      </c>
      <c r="B16" s="34">
        <v>0.38074248736681254</v>
      </c>
      <c r="C16" s="34">
        <v>0.47192748062133155</v>
      </c>
      <c r="D16" s="35">
        <v>0.5677046066469457</v>
      </c>
      <c r="E16" s="34">
        <v>0.41666708556343574</v>
      </c>
      <c r="F16" s="34">
        <v>0.5458019913413099</v>
      </c>
      <c r="G16" s="35">
        <v>0.6134970122086121</v>
      </c>
      <c r="H16" s="34">
        <v>0.27000683822308036</v>
      </c>
      <c r="I16" s="34">
        <v>0.35634121681303355</v>
      </c>
      <c r="J16" s="34">
        <v>0.3951905720475807</v>
      </c>
    </row>
    <row r="17" spans="1:10" ht="15.75">
      <c r="A17" s="199" t="s">
        <v>82</v>
      </c>
      <c r="B17" s="8">
        <v>11.000271394970147</v>
      </c>
      <c r="C17" s="8">
        <v>3.6730769230769225</v>
      </c>
      <c r="D17" s="15">
        <v>17.447278911564627</v>
      </c>
      <c r="E17" s="8">
        <v>8.814437961132276</v>
      </c>
      <c r="F17" s="8">
        <v>3.2876257211030233</v>
      </c>
      <c r="G17" s="23">
        <v>13.894493290143451</v>
      </c>
      <c r="H17" s="8">
        <v>6.173356828193833</v>
      </c>
      <c r="I17" s="8">
        <v>2.168474651317246</v>
      </c>
      <c r="J17" s="8">
        <v>9.834052887209928</v>
      </c>
    </row>
    <row r="18" spans="1:10" s="33" customFormat="1" ht="15.75">
      <c r="A18" s="203" t="s">
        <v>92</v>
      </c>
      <c r="B18" s="34">
        <v>0.28138463245261947</v>
      </c>
      <c r="C18" s="34">
        <v>0.24812444506670409</v>
      </c>
      <c r="D18" s="35">
        <v>0.4674603115315169</v>
      </c>
      <c r="E18" s="34">
        <v>0.2722388995371153</v>
      </c>
      <c r="F18" s="34">
        <v>0.24803580547441567</v>
      </c>
      <c r="G18" s="35">
        <v>0.46055444625354086</v>
      </c>
      <c r="H18" s="34">
        <v>0.1468375733643874</v>
      </c>
      <c r="I18" s="34">
        <v>0.129241790209307</v>
      </c>
      <c r="J18" s="34">
        <v>0.250461786135301</v>
      </c>
    </row>
    <row r="19" spans="1:10" ht="15.75">
      <c r="A19" s="199" t="s">
        <v>83</v>
      </c>
      <c r="B19" s="8">
        <v>7.494662565587118</v>
      </c>
      <c r="C19" s="8">
        <v>5.920854271356784</v>
      </c>
      <c r="D19" s="15">
        <v>8.879251700680273</v>
      </c>
      <c r="E19" s="8">
        <v>11.555287650094034</v>
      </c>
      <c r="F19" s="8">
        <v>10.394958067796269</v>
      </c>
      <c r="G19" s="23">
        <v>12.62100879222582</v>
      </c>
      <c r="H19" s="8">
        <v>15.130044052863434</v>
      </c>
      <c r="I19" s="8">
        <v>12.522323075787764</v>
      </c>
      <c r="J19" s="8">
        <v>17.513491635186185</v>
      </c>
    </row>
    <row r="20" spans="1:10" s="33" customFormat="1" ht="15.75">
      <c r="A20" s="203" t="s">
        <v>92</v>
      </c>
      <c r="B20" s="34">
        <v>0.2368702548668217</v>
      </c>
      <c r="C20" s="34">
        <v>0.309725073545616</v>
      </c>
      <c r="D20" s="35">
        <v>0.3511027961571764</v>
      </c>
      <c r="E20" s="34">
        <v>0.3077276727666712</v>
      </c>
      <c r="F20" s="34">
        <v>0.42385259447875356</v>
      </c>
      <c r="G20" s="35">
        <v>0.44178706125975375</v>
      </c>
      <c r="H20" s="34">
        <v>0.21801293095060673</v>
      </c>
      <c r="I20" s="34">
        <v>0.29139441946758166</v>
      </c>
      <c r="J20" s="34">
        <v>0.3200893063791477</v>
      </c>
    </row>
    <row r="21" spans="1:10" ht="15.75">
      <c r="A21" s="199" t="s">
        <v>84</v>
      </c>
      <c r="B21" s="8">
        <v>4.875746336167904</v>
      </c>
      <c r="C21" s="8">
        <v>5.623598763045998</v>
      </c>
      <c r="D21" s="15">
        <v>4.217687074829931</v>
      </c>
      <c r="E21" s="8">
        <v>4.723537638038289</v>
      </c>
      <c r="F21" s="8">
        <v>5.4304469076887445</v>
      </c>
      <c r="G21" s="23">
        <v>4.073391948172143</v>
      </c>
      <c r="H21" s="8">
        <v>5.639647577092511</v>
      </c>
      <c r="I21" s="8">
        <v>5.92989447273264</v>
      </c>
      <c r="J21" s="8">
        <v>5.374392876416622</v>
      </c>
    </row>
    <row r="22" spans="1:10" s="33" customFormat="1" ht="15.75">
      <c r="A22" s="203" t="s">
        <v>92</v>
      </c>
      <c r="B22" s="34">
        <v>0.1941320889428137</v>
      </c>
      <c r="C22" s="34">
        <v>0.302228598935787</v>
      </c>
      <c r="D22" s="35">
        <v>0.24733609291234235</v>
      </c>
      <c r="E22" s="34">
        <v>0.2033793264013926</v>
      </c>
      <c r="F22" s="34">
        <v>0.3138243366689624</v>
      </c>
      <c r="G22" s="35">
        <v>0.2639813439063218</v>
      </c>
      <c r="H22" s="34">
        <v>0.13999739204619377</v>
      </c>
      <c r="I22" s="34">
        <v>0.20760748856565392</v>
      </c>
      <c r="J22" s="34">
        <v>0.1904002940947449</v>
      </c>
    </row>
    <row r="23" spans="1:10" ht="15.75">
      <c r="A23" s="199" t="s">
        <v>20</v>
      </c>
      <c r="B23" s="8"/>
      <c r="C23" s="5"/>
      <c r="D23" s="14"/>
      <c r="E23" s="5"/>
      <c r="F23" s="5"/>
      <c r="G23" s="29"/>
      <c r="H23" s="5"/>
      <c r="I23" s="5"/>
      <c r="J23" s="5"/>
    </row>
    <row r="24" spans="1:10" ht="15.75">
      <c r="A24" s="199" t="s">
        <v>85</v>
      </c>
      <c r="B24" s="8">
        <v>73.8090736385019</v>
      </c>
      <c r="C24" s="8">
        <v>82.29087746424429</v>
      </c>
      <c r="D24" s="15">
        <v>66.34566326530611</v>
      </c>
      <c r="E24" s="8">
        <v>71.73313401166996</v>
      </c>
      <c r="F24" s="8">
        <v>77.85556797245461</v>
      </c>
      <c r="G24" s="23">
        <v>66.10032392410922</v>
      </c>
      <c r="H24" s="8">
        <v>69.53511894273127</v>
      </c>
      <c r="I24" s="8">
        <v>76.06818684967898</v>
      </c>
      <c r="J24" s="8">
        <v>63.56307339449542</v>
      </c>
    </row>
    <row r="25" spans="1:10" s="33" customFormat="1" ht="15.75">
      <c r="A25" s="203" t="s">
        <v>92</v>
      </c>
      <c r="B25" s="34">
        <v>0.3954466090713356</v>
      </c>
      <c r="C25" s="34">
        <v>0.5016976860876918</v>
      </c>
      <c r="D25" s="35">
        <v>0.5828433034071255</v>
      </c>
      <c r="E25" s="34">
        <v>0.43287671074889367</v>
      </c>
      <c r="F25" s="34">
        <v>0.5761148066243036</v>
      </c>
      <c r="G25" s="35">
        <v>0.6301915598678263</v>
      </c>
      <c r="H25" s="34">
        <v>0.28033818469369604</v>
      </c>
      <c r="I25" s="34">
        <v>0.37576253419499095</v>
      </c>
      <c r="J25" s="34">
        <v>0.4053259566554971</v>
      </c>
    </row>
    <row r="26" spans="1:10" ht="15.75">
      <c r="A26" s="199" t="s">
        <v>86</v>
      </c>
      <c r="B26" s="8">
        <v>10.149176768590554</v>
      </c>
      <c r="C26" s="8">
        <v>5.834750676459219</v>
      </c>
      <c r="D26" s="15">
        <v>13.945578231292515</v>
      </c>
      <c r="E26" s="8">
        <v>10.917442252977768</v>
      </c>
      <c r="F26" s="8">
        <v>7.660052150976068</v>
      </c>
      <c r="G26" s="23">
        <v>13.911152244331326</v>
      </c>
      <c r="H26" s="8">
        <v>10.4784845814978</v>
      </c>
      <c r="I26" s="8">
        <v>6.327724891151945</v>
      </c>
      <c r="J26" s="8">
        <v>14.272800863464653</v>
      </c>
    </row>
    <row r="27" spans="1:10" s="33" customFormat="1" ht="15.75">
      <c r="A27" s="203" t="s">
        <v>92</v>
      </c>
      <c r="B27" s="34">
        <v>0.27098768947154034</v>
      </c>
      <c r="C27" s="34">
        <v>0.3072521958701474</v>
      </c>
      <c r="D27" s="35">
        <v>0.4265687852755152</v>
      </c>
      <c r="E27" s="34">
        <v>0.2994770361039227</v>
      </c>
      <c r="F27" s="34">
        <v>0.37016076540884507</v>
      </c>
      <c r="G27" s="35">
        <v>0.46055444625354086</v>
      </c>
      <c r="H27" s="34">
        <v>0.1866577824611231</v>
      </c>
      <c r="I27" s="34">
        <v>0.21407318345015036</v>
      </c>
      <c r="J27" s="34">
        <v>0.29490599177149773</v>
      </c>
    </row>
    <row r="28" spans="1:10" ht="15.75">
      <c r="A28" s="199" t="s">
        <v>87</v>
      </c>
      <c r="B28" s="8">
        <v>1.7559146010493936</v>
      </c>
      <c r="C28" s="8">
        <v>2.121819675299575</v>
      </c>
      <c r="D28" s="15">
        <v>1.4339430272108842</v>
      </c>
      <c r="E28" s="8">
        <v>3.0509234701258623</v>
      </c>
      <c r="F28" s="8">
        <v>4.0238807172269375</v>
      </c>
      <c r="G28" s="23">
        <v>2.15631652012957</v>
      </c>
      <c r="H28" s="8">
        <v>3.74466396475771</v>
      </c>
      <c r="I28" s="8">
        <v>4.08389565345731</v>
      </c>
      <c r="J28" s="8">
        <v>3.434563545601727</v>
      </c>
    </row>
    <row r="29" spans="1:10" s="33" customFormat="1" ht="15.75">
      <c r="A29" s="203" t="s">
        <v>92</v>
      </c>
      <c r="B29" s="34">
        <v>0.11956416238608131</v>
      </c>
      <c r="C29" s="34">
        <v>0.1884762101528554</v>
      </c>
      <c r="D29" s="35">
        <v>0.14487137151871754</v>
      </c>
      <c r="E29" s="34">
        <v>0.44444376463381585</v>
      </c>
      <c r="F29" s="34">
        <v>0.27208824762773337</v>
      </c>
      <c r="G29" s="35">
        <v>0.19527775398940528</v>
      </c>
      <c r="H29" s="34">
        <v>0.11493543408718902</v>
      </c>
      <c r="I29" s="34">
        <v>0.17471227915783377</v>
      </c>
      <c r="J29" s="34">
        <v>0.1526698182172737</v>
      </c>
    </row>
    <row r="30" spans="1:10" ht="15.75">
      <c r="A30" s="199" t="s">
        <v>88</v>
      </c>
      <c r="B30" s="8">
        <v>14.28383390627827</v>
      </c>
      <c r="C30" s="8">
        <v>9.75241592578276</v>
      </c>
      <c r="D30" s="15">
        <v>18.271173469387755</v>
      </c>
      <c r="E30" s="8">
        <v>14.300959637363167</v>
      </c>
      <c r="F30" s="8">
        <v>10.460499159342373</v>
      </c>
      <c r="G30" s="23">
        <v>17.830448866265616</v>
      </c>
      <c r="H30" s="8">
        <v>16.239295154185022</v>
      </c>
      <c r="I30" s="8">
        <v>13.514722160726148</v>
      </c>
      <c r="J30" s="8">
        <v>18.729897463572584</v>
      </c>
    </row>
    <row r="31" spans="1:10" s="33" customFormat="1" ht="15.75">
      <c r="A31" s="203" t="s">
        <v>92</v>
      </c>
      <c r="B31" s="34">
        <v>0.3148237291875601</v>
      </c>
      <c r="C31" s="34">
        <v>0.3908155666199666</v>
      </c>
      <c r="D31" s="35">
        <v>0.4767785071686424</v>
      </c>
      <c r="E31" s="34">
        <v>0.3364107420914383</v>
      </c>
      <c r="F31" s="34">
        <v>0.42564774665012595</v>
      </c>
      <c r="G31" s="35">
        <v>0.5092346109017978</v>
      </c>
      <c r="H31" s="34">
        <v>0.22434657895538945</v>
      </c>
      <c r="I31" s="34">
        <v>0.30109055710466204</v>
      </c>
      <c r="J31" s="34">
        <v>0.32846662098441204</v>
      </c>
    </row>
    <row r="32" spans="1:10" ht="15.75">
      <c r="A32" s="199" t="s">
        <v>21</v>
      </c>
      <c r="B32" s="8"/>
      <c r="C32" s="5"/>
      <c r="D32" s="14"/>
      <c r="E32" s="5"/>
      <c r="F32" s="5"/>
      <c r="G32" s="29"/>
      <c r="H32" s="5"/>
      <c r="I32" s="5"/>
      <c r="J32" s="5"/>
    </row>
    <row r="33" spans="1:10" ht="15.75">
      <c r="A33" s="204" t="s">
        <v>89</v>
      </c>
      <c r="B33" s="8">
        <v>11.2</v>
      </c>
      <c r="C33" s="8">
        <v>9.1</v>
      </c>
      <c r="D33" s="15">
        <v>13.1</v>
      </c>
      <c r="E33" s="8">
        <f>0.108793061912792*100</f>
        <v>10.87930619127921</v>
      </c>
      <c r="F33" s="8">
        <f>0.0933387325369508*100</f>
        <v>9.33387325369508</v>
      </c>
      <c r="G33" s="23">
        <f>0.122908622908623*100</f>
        <v>12.290862290862291</v>
      </c>
      <c r="H33" s="8">
        <f>0.0928020043336945*100</f>
        <v>9.280200433369448</v>
      </c>
      <c r="I33" s="8">
        <f>0.0834104334211088*100</f>
        <v>8.341043342110883</v>
      </c>
      <c r="J33" s="8">
        <f>0.101388440426219*100</f>
        <v>10.138844042621892</v>
      </c>
    </row>
    <row r="34" spans="1:10" s="33" customFormat="1" ht="15.75">
      <c r="A34" s="203" t="s">
        <v>92</v>
      </c>
      <c r="B34" s="34">
        <v>0.2836119484254302</v>
      </c>
      <c r="C34" s="34">
        <v>0.37805778452798866</v>
      </c>
      <c r="D34" s="35">
        <v>0.4160309422362226</v>
      </c>
      <c r="E34" s="34">
        <v>0.2994770361039227</v>
      </c>
      <c r="F34" s="34">
        <v>0.4032638473691714</v>
      </c>
      <c r="G34" s="35">
        <v>0.4372445006571589</v>
      </c>
      <c r="H34" s="34">
        <v>0.17684185124687798</v>
      </c>
      <c r="I34" s="34">
        <v>0.24307814378594736</v>
      </c>
      <c r="J34" s="34">
        <v>0.2538432967797684</v>
      </c>
    </row>
    <row r="35" spans="1:10" ht="15.75">
      <c r="A35" s="199" t="s">
        <v>18</v>
      </c>
      <c r="B35" s="8"/>
      <c r="C35" s="5"/>
      <c r="D35" s="14"/>
      <c r="E35" s="5"/>
      <c r="F35" s="5"/>
      <c r="G35" s="29"/>
      <c r="H35" s="5"/>
      <c r="I35" s="5"/>
      <c r="J35" s="5"/>
    </row>
    <row r="36" spans="1:10" ht="15.75">
      <c r="A36" s="199" t="s">
        <v>90</v>
      </c>
      <c r="B36" s="8">
        <v>33.67242627103311</v>
      </c>
      <c r="C36" s="8">
        <v>71.93950521839969</v>
      </c>
      <c r="D36" s="14" t="s">
        <v>19</v>
      </c>
      <c r="E36" s="8">
        <v>26.272797415248107</v>
      </c>
      <c r="F36" s="8">
        <v>53.504082475057125</v>
      </c>
      <c r="G36" s="23">
        <v>1.2385006941230912</v>
      </c>
      <c r="H36" s="8">
        <v>20.472</v>
      </c>
      <c r="I36" s="8">
        <v>41.866282931148994</v>
      </c>
      <c r="J36" s="8">
        <v>0.9148003237992445</v>
      </c>
    </row>
    <row r="37" spans="1:10" s="33" customFormat="1" ht="15.75">
      <c r="A37" s="205" t="s">
        <v>92</v>
      </c>
      <c r="B37" s="38">
        <v>0.4250898584216605</v>
      </c>
      <c r="C37" s="38">
        <v>0.5908444390364668</v>
      </c>
      <c r="D37" s="39" t="s">
        <v>19</v>
      </c>
      <c r="E37" s="38">
        <v>0.4230805336646376</v>
      </c>
      <c r="F37" s="38">
        <v>0.6925442676608394</v>
      </c>
      <c r="G37" s="39">
        <v>0.1449576363460376</v>
      </c>
      <c r="H37" s="38">
        <v>0.24581049969867957</v>
      </c>
      <c r="I37" s="38">
        <v>0.434727661439541</v>
      </c>
      <c r="J37" s="38">
        <v>0.07955788858601963</v>
      </c>
    </row>
    <row r="38" spans="1:10" s="3" customFormat="1" ht="15.75">
      <c r="A38" s="199"/>
      <c r="B38" s="172"/>
      <c r="C38" s="172"/>
      <c r="D38" s="174"/>
      <c r="E38" s="172"/>
      <c r="F38" s="172"/>
      <c r="G38" s="174"/>
      <c r="H38" s="172"/>
      <c r="I38" s="172"/>
      <c r="J38" s="172"/>
    </row>
    <row r="39" spans="1:10" s="3" customFormat="1" ht="15.75">
      <c r="A39" s="198" t="s">
        <v>11</v>
      </c>
      <c r="B39" s="172"/>
      <c r="C39" s="172"/>
      <c r="D39" s="174"/>
      <c r="E39" s="172"/>
      <c r="F39" s="172"/>
      <c r="G39" s="174"/>
      <c r="H39" s="172"/>
      <c r="I39" s="172"/>
      <c r="J39" s="172"/>
    </row>
    <row r="40" spans="1:10" ht="15.75">
      <c r="A40" s="199" t="s">
        <v>16</v>
      </c>
      <c r="B40" s="6"/>
      <c r="C40" s="6"/>
      <c r="D40" s="19"/>
      <c r="E40" s="6"/>
      <c r="F40" s="6"/>
      <c r="G40" s="30"/>
      <c r="H40" s="6"/>
      <c r="I40" s="6"/>
      <c r="J40" s="6"/>
    </row>
    <row r="41" spans="1:10" ht="15.75">
      <c r="A41" s="199" t="s">
        <v>77</v>
      </c>
      <c r="B41" s="8">
        <v>32.50500157282164</v>
      </c>
      <c r="C41" s="8">
        <v>34.14042285055437</v>
      </c>
      <c r="D41" s="15">
        <v>31.05937577790685</v>
      </c>
      <c r="E41" s="8">
        <v>22.865725341117372</v>
      </c>
      <c r="F41" s="8">
        <v>23.287030474840538</v>
      </c>
      <c r="G41" s="23">
        <v>22.479741525313322</v>
      </c>
      <c r="H41" s="8">
        <v>12.584305015732</v>
      </c>
      <c r="I41" s="8">
        <v>12.801268498942916</v>
      </c>
      <c r="J41" s="8">
        <v>12.38265215063359</v>
      </c>
    </row>
    <row r="42" spans="1:10" s="33" customFormat="1" ht="15.75">
      <c r="A42" s="203" t="s">
        <v>92</v>
      </c>
      <c r="B42" s="42">
        <v>0.4967605028269871</v>
      </c>
      <c r="C42" s="42">
        <v>0.7339447198916397</v>
      </c>
      <c r="D42" s="43">
        <v>0.6739152392136426</v>
      </c>
      <c r="E42" s="34">
        <v>0.4790856962358519</v>
      </c>
      <c r="F42" s="34">
        <v>0.69648460710746</v>
      </c>
      <c r="G42" s="35">
        <v>0.6595671486710393</v>
      </c>
      <c r="H42" s="34">
        <v>0.2315268586695656</v>
      </c>
      <c r="I42" s="34">
        <v>0.3359148368683518</v>
      </c>
      <c r="J42" s="34">
        <v>0.3193342172655729</v>
      </c>
    </row>
    <row r="43" spans="1:10" ht="15.75">
      <c r="A43" s="199" t="s">
        <v>78</v>
      </c>
      <c r="B43" s="8">
        <v>39.94501415539478</v>
      </c>
      <c r="C43" s="8">
        <v>33.21937551113435</v>
      </c>
      <c r="D43" s="15">
        <v>45.89205912684771</v>
      </c>
      <c r="E43" s="8">
        <v>37.785961577625415</v>
      </c>
      <c r="F43" s="8">
        <v>33.05457122608079</v>
      </c>
      <c r="G43" s="23">
        <v>42.13502175668985</v>
      </c>
      <c r="H43" s="8">
        <v>32.120997593929296</v>
      </c>
      <c r="I43" s="8">
        <v>28.817028637324622</v>
      </c>
      <c r="J43" s="8">
        <v>35.18918436551847</v>
      </c>
    </row>
    <row r="44" spans="1:10" s="33" customFormat="1" ht="15.75">
      <c r="A44" s="203" t="s">
        <v>92</v>
      </c>
      <c r="B44" s="34">
        <v>0.519370376437403</v>
      </c>
      <c r="C44" s="34">
        <v>0.7291228801005338</v>
      </c>
      <c r="D44" s="35">
        <v>0.7254716521446126</v>
      </c>
      <c r="E44" s="34">
        <v>0.5528526131002958</v>
      </c>
      <c r="F44" s="34">
        <v>0.7752877749246114</v>
      </c>
      <c r="G44" s="35">
        <v>0.7798251472553437</v>
      </c>
      <c r="H44" s="34">
        <v>0.3257225257759894</v>
      </c>
      <c r="I44" s="34">
        <v>0.45530476959022587</v>
      </c>
      <c r="J44" s="34">
        <v>0.46274463842668867</v>
      </c>
    </row>
    <row r="45" spans="1:10" ht="15.75">
      <c r="A45" s="199" t="s">
        <v>79</v>
      </c>
      <c r="B45" s="8">
        <v>12.61698647373388</v>
      </c>
      <c r="C45" s="8">
        <v>12.934883159715241</v>
      </c>
      <c r="D45" s="15">
        <v>12.33626912909994</v>
      </c>
      <c r="E45" s="8">
        <v>19.873939311655693</v>
      </c>
      <c r="F45" s="8">
        <v>19.407512402551383</v>
      </c>
      <c r="G45" s="23">
        <v>20.302769743870346</v>
      </c>
      <c r="H45" s="8">
        <v>25.69049602072922</v>
      </c>
      <c r="I45" s="8">
        <v>24.8962137228522</v>
      </c>
      <c r="J45" s="8">
        <v>26.428698911297516</v>
      </c>
    </row>
    <row r="46" spans="1:10" s="33" customFormat="1" ht="15.75">
      <c r="A46" s="203" t="s">
        <v>92</v>
      </c>
      <c r="B46" s="34">
        <v>0.35196094896197216</v>
      </c>
      <c r="C46" s="34">
        <v>0.5189761337251684</v>
      </c>
      <c r="D46" s="35">
        <v>0.47815403399699147</v>
      </c>
      <c r="E46" s="34">
        <v>0.4552092417832718</v>
      </c>
      <c r="F46" s="34">
        <v>0.6514847677048037</v>
      </c>
      <c r="G46" s="35">
        <v>0.6353222799703978</v>
      </c>
      <c r="H46" s="34">
        <v>0.3048746810808796</v>
      </c>
      <c r="I46" s="34">
        <v>0.4347960612029434</v>
      </c>
      <c r="J46" s="34">
        <v>0.42709396177694764</v>
      </c>
    </row>
    <row r="47" spans="1:10" ht="15.75">
      <c r="A47" s="199" t="s">
        <v>80</v>
      </c>
      <c r="B47" s="8">
        <v>14.932557407989936</v>
      </c>
      <c r="C47" s="8">
        <v>19.70531847859604</v>
      </c>
      <c r="D47" s="15">
        <v>10.712888657080878</v>
      </c>
      <c r="E47" s="8">
        <v>19.472880320412735</v>
      </c>
      <c r="F47" s="8">
        <v>24.24946846208363</v>
      </c>
      <c r="G47" s="23">
        <v>15.082466974126477</v>
      </c>
      <c r="H47" s="8">
        <v>29.605265593188967</v>
      </c>
      <c r="I47" s="8">
        <v>33.48356717278493</v>
      </c>
      <c r="J47" s="8">
        <v>26.003926467963588</v>
      </c>
    </row>
    <row r="48" spans="1:10" s="33" customFormat="1" ht="15.75">
      <c r="A48" s="203" t="s">
        <v>92</v>
      </c>
      <c r="B48" s="34">
        <v>0.37766905828270597</v>
      </c>
      <c r="C48" s="34">
        <v>0.615792420926891</v>
      </c>
      <c r="D48" s="35">
        <v>0.4500213208162356</v>
      </c>
      <c r="E48" s="34">
        <v>0.45173477082264246</v>
      </c>
      <c r="F48" s="34">
        <v>0.705631834827311</v>
      </c>
      <c r="G48" s="35">
        <v>0.5655346575867258</v>
      </c>
      <c r="H48" s="34">
        <v>0.318487634761863</v>
      </c>
      <c r="I48" s="34">
        <v>0.4745688029378788</v>
      </c>
      <c r="J48" s="34">
        <v>0.4249962467419914</v>
      </c>
    </row>
    <row r="49" spans="1:10" ht="15.75">
      <c r="A49" s="199" t="s">
        <v>17</v>
      </c>
      <c r="B49" s="5"/>
      <c r="C49" s="5"/>
      <c r="D49" s="14"/>
      <c r="E49" s="5"/>
      <c r="F49" s="5"/>
      <c r="G49" s="29"/>
      <c r="H49" s="5"/>
      <c r="I49" s="5"/>
      <c r="J49" s="5"/>
    </row>
    <row r="50" spans="1:10" ht="15.75">
      <c r="A50" s="199" t="s">
        <v>81</v>
      </c>
      <c r="B50" s="8">
        <v>77.81588549858446</v>
      </c>
      <c r="C50" s="8">
        <v>85.44999932965987</v>
      </c>
      <c r="D50" s="15">
        <v>71.06719929825394</v>
      </c>
      <c r="E50" s="8">
        <v>75.71855271196796</v>
      </c>
      <c r="F50" s="8">
        <v>80.97802976612331</v>
      </c>
      <c r="G50" s="23">
        <v>70.88642226217463</v>
      </c>
      <c r="H50" s="8">
        <v>73.68637793818249</v>
      </c>
      <c r="I50" s="8">
        <v>79.61560638093407</v>
      </c>
      <c r="J50" s="8">
        <v>68.18043905050865</v>
      </c>
    </row>
    <row r="51" spans="1:10" s="33" customFormat="1" ht="15.75">
      <c r="A51" s="203" t="s">
        <v>92</v>
      </c>
      <c r="B51" s="34">
        <v>0.4407778648483788</v>
      </c>
      <c r="C51" s="34">
        <v>0.5466996764814435</v>
      </c>
      <c r="D51" s="35">
        <v>0.6599320086535576</v>
      </c>
      <c r="E51" s="34">
        <v>0.48901181355680234</v>
      </c>
      <c r="F51" s="34">
        <v>0.6463313028802797</v>
      </c>
      <c r="G51" s="35">
        <v>0.7174415390171129</v>
      </c>
      <c r="H51" s="34">
        <v>0.3071651982309469</v>
      </c>
      <c r="I51" s="34">
        <v>0.4051702754929024</v>
      </c>
      <c r="J51" s="34">
        <v>0.4512199656858257</v>
      </c>
    </row>
    <row r="52" spans="1:10" ht="16.5" customHeight="1">
      <c r="A52" s="199" t="s">
        <v>82</v>
      </c>
      <c r="B52" s="8">
        <v>9.499024850581943</v>
      </c>
      <c r="C52" s="8">
        <v>3.008486506053172</v>
      </c>
      <c r="D52" s="15">
        <v>15.23808394874409</v>
      </c>
      <c r="E52" s="8">
        <v>7.290000678840541</v>
      </c>
      <c r="F52" s="8">
        <v>2.5593196314670448</v>
      </c>
      <c r="G52" s="23">
        <v>11.638395997811303</v>
      </c>
      <c r="H52" s="8">
        <v>5.076716638904313</v>
      </c>
      <c r="I52" s="8">
        <v>1.7516817220834133</v>
      </c>
      <c r="J52" s="8">
        <v>8.164286989112975</v>
      </c>
    </row>
    <row r="53" spans="1:10" s="33" customFormat="1" ht="15.75">
      <c r="A53" s="203" t="s">
        <v>92</v>
      </c>
      <c r="B53" s="34">
        <v>0.31098510133035234</v>
      </c>
      <c r="C53" s="34">
        <v>0.26411310329341414</v>
      </c>
      <c r="D53" s="35">
        <v>0.522679168815358</v>
      </c>
      <c r="E53" s="34">
        <v>0.29659892424864553</v>
      </c>
      <c r="F53" s="34">
        <v>0.26218149317789263</v>
      </c>
      <c r="G53" s="35">
        <v>0.5057920900462057</v>
      </c>
      <c r="H53" s="34">
        <v>0.15348946938685934</v>
      </c>
      <c r="I53" s="34">
        <v>0.1336773893966454</v>
      </c>
      <c r="J53" s="34">
        <v>0.2658341845422585</v>
      </c>
    </row>
    <row r="54" spans="1:10" ht="15.75">
      <c r="A54" s="199" t="s">
        <v>83</v>
      </c>
      <c r="B54" s="8">
        <v>7.953192827933313</v>
      </c>
      <c r="C54" s="8">
        <v>6.175977691080455</v>
      </c>
      <c r="D54" s="15">
        <v>9.524543331634286</v>
      </c>
      <c r="E54" s="8">
        <v>12.28952549046229</v>
      </c>
      <c r="F54" s="8">
        <v>10.96541459957477</v>
      </c>
      <c r="G54" s="23">
        <v>13.507386852184789</v>
      </c>
      <c r="H54" s="8">
        <v>15.283314825097168</v>
      </c>
      <c r="I54" s="8">
        <v>12.26023448010763</v>
      </c>
      <c r="J54" s="8">
        <v>18.091201142245225</v>
      </c>
    </row>
    <row r="55" spans="1:10" s="33" customFormat="1" ht="15.75">
      <c r="A55" s="203" t="s">
        <v>92</v>
      </c>
      <c r="B55" s="34">
        <v>0.28773480502806054</v>
      </c>
      <c r="C55" s="34">
        <v>0.7515036542324384</v>
      </c>
      <c r="D55" s="35">
        <v>0.42687582851805167</v>
      </c>
      <c r="E55" s="34">
        <v>0.3744731007479204</v>
      </c>
      <c r="F55" s="34">
        <v>0.5154982864618906</v>
      </c>
      <c r="G55" s="35">
        <v>0.5397489971620767</v>
      </c>
      <c r="H55" s="34">
        <v>0.2511584597510056</v>
      </c>
      <c r="I55" s="34">
        <v>0.3302313588021955</v>
      </c>
      <c r="J55" s="34">
        <v>0.37304721247828543</v>
      </c>
    </row>
    <row r="56" spans="1:10" ht="15.75">
      <c r="A56" s="199" t="s">
        <v>84</v>
      </c>
      <c r="B56" s="8">
        <v>4.7312425290972</v>
      </c>
      <c r="C56" s="8">
        <v>5.365134269128156</v>
      </c>
      <c r="D56" s="15">
        <v>4.170766112303078</v>
      </c>
      <c r="E56" s="8">
        <v>4.700230805783721</v>
      </c>
      <c r="F56" s="8">
        <v>5.496527285613039</v>
      </c>
      <c r="G56" s="23">
        <v>3.9684462857291747</v>
      </c>
      <c r="H56" s="8">
        <v>5.954469739033871</v>
      </c>
      <c r="I56" s="8">
        <v>6.370363251970017</v>
      </c>
      <c r="J56" s="8">
        <v>5.568266999821525</v>
      </c>
    </row>
    <row r="57" spans="1:10" s="33" customFormat="1" ht="15.75">
      <c r="A57" s="203" t="s">
        <v>92</v>
      </c>
      <c r="B57" s="34">
        <v>0.22446512286085205</v>
      </c>
      <c r="C57" s="34">
        <v>0.34993380715883965</v>
      </c>
      <c r="D57" s="35">
        <v>0.2920269088713892</v>
      </c>
      <c r="E57" s="34">
        <v>0.2413035180464651</v>
      </c>
      <c r="F57" s="34">
        <v>0.37560652580243076</v>
      </c>
      <c r="G57" s="35">
        <v>0.3095155824494973</v>
      </c>
      <c r="H57" s="34">
        <v>0.1656913904474413</v>
      </c>
      <c r="I57" s="34">
        <v>0.24608994572647813</v>
      </c>
      <c r="J57" s="34">
        <v>0.22277300929701413</v>
      </c>
    </row>
    <row r="58" spans="1:10" ht="15.75">
      <c r="A58" s="199" t="s">
        <v>20</v>
      </c>
      <c r="B58" s="5"/>
      <c r="C58" s="5"/>
      <c r="D58" s="14"/>
      <c r="E58" s="5"/>
      <c r="F58" s="5"/>
      <c r="G58" s="29"/>
      <c r="H58" s="5"/>
      <c r="I58" s="5"/>
      <c r="J58" s="5"/>
    </row>
    <row r="59" spans="1:10" ht="15.75">
      <c r="A59" s="199" t="s">
        <v>85</v>
      </c>
      <c r="B59" s="8">
        <v>74.80805284680717</v>
      </c>
      <c r="C59" s="8">
        <v>82.82172974567295</v>
      </c>
      <c r="D59" s="15">
        <v>67.7226443498773</v>
      </c>
      <c r="E59" s="8">
        <v>72.24431471047451</v>
      </c>
      <c r="F59" s="8">
        <v>77.79404677533664</v>
      </c>
      <c r="G59" s="23">
        <v>67.14531384350816</v>
      </c>
      <c r="H59" s="8">
        <v>70.11678697020174</v>
      </c>
      <c r="I59" s="8">
        <v>76.2597539880838</v>
      </c>
      <c r="J59" s="8">
        <v>64.41236837408532</v>
      </c>
    </row>
    <row r="60" spans="1:10" s="33" customFormat="1" ht="15.75">
      <c r="A60" s="203" t="s">
        <v>92</v>
      </c>
      <c r="B60" s="34">
        <v>0.46047341367975025</v>
      </c>
      <c r="C60" s="34">
        <v>0.584282455151423</v>
      </c>
      <c r="D60" s="35">
        <v>0.6807867070827254</v>
      </c>
      <c r="E60" s="34">
        <v>0.5108098593168138</v>
      </c>
      <c r="F60" s="34">
        <v>0.6847028976971049</v>
      </c>
      <c r="G60" s="35">
        <v>0.7421233821828354</v>
      </c>
      <c r="H60" s="34">
        <v>0.3194147694280014</v>
      </c>
      <c r="I60" s="34">
        <v>0.4275652500520656</v>
      </c>
      <c r="J60" s="34">
        <v>0.46392790247745025</v>
      </c>
    </row>
    <row r="61" spans="1:10" ht="15.75">
      <c r="A61" s="199" t="s">
        <v>86</v>
      </c>
      <c r="B61" s="8">
        <v>10.440327146901542</v>
      </c>
      <c r="C61" s="8">
        <v>5.78892329968226</v>
      </c>
      <c r="D61" s="15">
        <v>14.552933227439219</v>
      </c>
      <c r="E61" s="8">
        <v>11.592220487407507</v>
      </c>
      <c r="F61" s="8">
        <v>8.002126151665486</v>
      </c>
      <c r="G61" s="23">
        <v>14.892258787357667</v>
      </c>
      <c r="H61" s="8">
        <v>10.575050897649454</v>
      </c>
      <c r="I61" s="8">
        <v>6.3298097251585626</v>
      </c>
      <c r="J61" s="8">
        <v>14.517222916294841</v>
      </c>
    </row>
    <row r="62" spans="1:10" s="33" customFormat="1" ht="15.75">
      <c r="A62" s="203" t="s">
        <v>92</v>
      </c>
      <c r="B62" s="34">
        <v>0.3237607262533679</v>
      </c>
      <c r="C62" s="34">
        <v>0.3618952657919151</v>
      </c>
      <c r="D62" s="35">
        <v>0.5140683130100193</v>
      </c>
      <c r="E62" s="34">
        <v>0.36510972551997145</v>
      </c>
      <c r="F62" s="34">
        <v>0.44696630770874607</v>
      </c>
      <c r="G62" s="35">
        <v>0.5624382138494184</v>
      </c>
      <c r="H62" s="34">
        <v>0.21477418638713666</v>
      </c>
      <c r="I62" s="34">
        <v>0.24429019112977463</v>
      </c>
      <c r="J62" s="34">
        <v>0.34115333356367233</v>
      </c>
    </row>
    <row r="63" spans="1:10" ht="15.75">
      <c r="A63" s="199" t="s">
        <v>87</v>
      </c>
      <c r="B63" s="8">
        <v>1.750500157282164</v>
      </c>
      <c r="C63" s="8">
        <v>2.1215192588719516</v>
      </c>
      <c r="D63" s="15">
        <v>1.422458244923602</v>
      </c>
      <c r="E63" s="8">
        <v>3.1464937886090554</v>
      </c>
      <c r="F63" s="8">
        <v>4.020127569099929</v>
      </c>
      <c r="G63" s="23">
        <v>2.3435993642356494</v>
      </c>
      <c r="H63" s="8">
        <v>3.9139367018323155</v>
      </c>
      <c r="I63" s="8">
        <v>4.118585431481837</v>
      </c>
      <c r="J63" s="8">
        <v>3.723897911832947</v>
      </c>
    </row>
    <row r="64" spans="1:10" s="33" customFormat="1" ht="15.75">
      <c r="A64" s="203" t="s">
        <v>92</v>
      </c>
      <c r="B64" s="34">
        <v>0.14100856325184355</v>
      </c>
      <c r="C64" s="34">
        <v>0.221995640993066</v>
      </c>
      <c r="D64" s="35">
        <v>0.17104797892786056</v>
      </c>
      <c r="E64" s="34">
        <v>0.19761095174425491</v>
      </c>
      <c r="F64" s="34">
        <v>0.3228505215246829</v>
      </c>
      <c r="G64" s="35">
        <v>0.23677078061579562</v>
      </c>
      <c r="H64" s="34">
        <v>0.13506859671659233</v>
      </c>
      <c r="I64" s="34">
        <v>0.19937338895193485</v>
      </c>
      <c r="J64" s="34">
        <v>0.182892782159922</v>
      </c>
    </row>
    <row r="65" spans="1:10" ht="15.75">
      <c r="A65" s="199" t="s">
        <v>88</v>
      </c>
      <c r="B65" s="8">
        <v>13.000692041522491</v>
      </c>
      <c r="C65" s="8">
        <v>9.267318237273594</v>
      </c>
      <c r="D65" s="15">
        <v>16.301608563198634</v>
      </c>
      <c r="E65" s="8">
        <v>13.015531871563372</v>
      </c>
      <c r="F65" s="8">
        <v>10.183245924875974</v>
      </c>
      <c r="G65" s="23">
        <v>15.619088564058469</v>
      </c>
      <c r="H65" s="8">
        <v>15.395104571534333</v>
      </c>
      <c r="I65" s="8">
        <v>13.289640591966172</v>
      </c>
      <c r="J65" s="8">
        <v>17.350258789933964</v>
      </c>
    </row>
    <row r="66" spans="1:10" s="33" customFormat="1" ht="15.75">
      <c r="A66" s="203" t="s">
        <v>92</v>
      </c>
      <c r="B66" s="34">
        <v>0.35668495698644415</v>
      </c>
      <c r="C66" s="34">
        <v>0.449664468018206</v>
      </c>
      <c r="D66" s="35">
        <v>0.5377395790785156</v>
      </c>
      <c r="E66" s="34">
        <v>0.38344190784791193</v>
      </c>
      <c r="F66" s="34">
        <v>0.49862509759518453</v>
      </c>
      <c r="G66" s="35">
        <v>0.5731264194332897</v>
      </c>
      <c r="H66" s="34">
        <v>0.2518291110376616</v>
      </c>
      <c r="I66" s="34">
        <v>0.34142972506700575</v>
      </c>
      <c r="J66" s="34">
        <v>0.36732222695979655</v>
      </c>
    </row>
    <row r="67" spans="1:10" ht="15.75">
      <c r="A67" s="199" t="s">
        <v>21</v>
      </c>
      <c r="B67" s="5"/>
      <c r="C67" s="5"/>
      <c r="D67" s="14"/>
      <c r="E67" s="5"/>
      <c r="F67" s="5"/>
      <c r="G67" s="29"/>
      <c r="H67" s="5"/>
      <c r="I67" s="5"/>
      <c r="J67" s="5"/>
    </row>
    <row r="68" spans="1:10" ht="15.75">
      <c r="A68" s="204" t="s">
        <v>89</v>
      </c>
      <c r="B68" s="8">
        <v>11.1</v>
      </c>
      <c r="C68" s="8">
        <v>9</v>
      </c>
      <c r="D68" s="15">
        <v>12.9</v>
      </c>
      <c r="E68" s="8">
        <f>0.105785573458427*100</f>
        <v>10.578557345842682</v>
      </c>
      <c r="F68" s="8">
        <f>0.0886600886600887*100</f>
        <v>8.866008866008865</v>
      </c>
      <c r="G68" s="23">
        <f>0.121306376360809*100</f>
        <v>12.130637636080872</v>
      </c>
      <c r="H68" s="8">
        <f>0.091040007200396*100</f>
        <v>9.104000720039602</v>
      </c>
      <c r="I68" s="8">
        <f>0.0808816573644878*100</f>
        <v>8.088165736448776</v>
      </c>
      <c r="J68" s="8">
        <f>0.100248905673333*100</f>
        <v>10.024890567333276</v>
      </c>
    </row>
    <row r="69" spans="1:10" s="33" customFormat="1" ht="15.75">
      <c r="A69" s="203" t="s">
        <v>92</v>
      </c>
      <c r="B69" s="34">
        <v>0.33316997863701486</v>
      </c>
      <c r="C69" s="34">
        <v>0.44308332340401907</v>
      </c>
      <c r="D69" s="35">
        <v>0.48799953069958546</v>
      </c>
      <c r="E69" s="34">
        <v>0.35098613948509566</v>
      </c>
      <c r="F69" s="34">
        <v>0.4691266143565735</v>
      </c>
      <c r="G69" s="35">
        <v>0.515114800998185</v>
      </c>
      <c r="H69" s="34">
        <v>0.2006610258795953</v>
      </c>
      <c r="I69" s="34">
        <v>0.2743255283114843</v>
      </c>
      <c r="J69" s="34">
        <v>0.2906724127670458</v>
      </c>
    </row>
    <row r="70" spans="1:10" ht="15.75">
      <c r="A70" s="199" t="s">
        <v>18</v>
      </c>
      <c r="B70" s="5"/>
      <c r="C70" s="5"/>
      <c r="D70" s="14"/>
      <c r="E70" s="5"/>
      <c r="F70" s="5"/>
      <c r="G70" s="29"/>
      <c r="H70" s="5"/>
      <c r="I70" s="5"/>
      <c r="J70" s="5"/>
    </row>
    <row r="71" spans="1:10" ht="15.75">
      <c r="A71" s="199" t="s">
        <v>90</v>
      </c>
      <c r="B71" s="8">
        <v>33.417238125196604</v>
      </c>
      <c r="C71" s="8">
        <v>71.2125112281972</v>
      </c>
      <c r="D71" s="14" t="s">
        <v>19</v>
      </c>
      <c r="E71" s="8">
        <v>24.462765596361415</v>
      </c>
      <c r="F71" s="8">
        <v>49.67824238128987</v>
      </c>
      <c r="G71" s="23">
        <v>1.2868756351129524</v>
      </c>
      <c r="H71" s="8">
        <v>21.11831389968536</v>
      </c>
      <c r="I71" s="8">
        <v>42.87430328656544</v>
      </c>
      <c r="J71" s="8">
        <v>0.9158486525075851</v>
      </c>
    </row>
    <row r="72" spans="1:10" s="33" customFormat="1" ht="15.75">
      <c r="A72" s="205" t="s">
        <v>92</v>
      </c>
      <c r="B72" s="38">
        <v>0.5002232103218518</v>
      </c>
      <c r="C72" s="38">
        <v>0.7010995596723271</v>
      </c>
      <c r="D72" s="39" t="s">
        <v>19</v>
      </c>
      <c r="E72" s="38">
        <v>0.4903710156036258</v>
      </c>
      <c r="F72" s="38">
        <v>0.8237550063083945</v>
      </c>
      <c r="G72" s="38">
        <v>0.17891516718978065</v>
      </c>
      <c r="H72" s="37">
        <v>0.284668963282445</v>
      </c>
      <c r="I72" s="38">
        <v>0.4976369954908737</v>
      </c>
      <c r="J72" s="38">
        <v>0.09150411874878718</v>
      </c>
    </row>
    <row r="73" spans="1:10" s="6" customFormat="1" ht="15.75">
      <c r="A73" s="199"/>
      <c r="B73" s="181"/>
      <c r="C73" s="179"/>
      <c r="D73" s="180"/>
      <c r="E73" s="181"/>
      <c r="F73" s="179"/>
      <c r="G73" s="180"/>
      <c r="H73" s="181"/>
      <c r="I73" s="179"/>
      <c r="J73" s="179"/>
    </row>
    <row r="74" spans="1:10" s="6" customFormat="1" ht="15.75">
      <c r="A74" s="198" t="s">
        <v>12</v>
      </c>
      <c r="B74" s="181"/>
      <c r="C74" s="179"/>
      <c r="D74" s="180"/>
      <c r="E74" s="181"/>
      <c r="F74" s="179"/>
      <c r="G74" s="180"/>
      <c r="H74" s="181"/>
      <c r="I74" s="179"/>
      <c r="J74" s="179"/>
    </row>
    <row r="75" spans="1:10" ht="15.75">
      <c r="A75" s="199" t="s">
        <v>16</v>
      </c>
      <c r="B75" s="6"/>
      <c r="C75" s="6"/>
      <c r="D75" s="19"/>
      <c r="E75" s="6"/>
      <c r="F75" s="6"/>
      <c r="G75" s="30"/>
      <c r="H75" s="6"/>
      <c r="I75" s="6"/>
      <c r="J75" s="6"/>
    </row>
    <row r="76" spans="1:10" ht="15.75">
      <c r="A76" s="199" t="s">
        <v>77</v>
      </c>
      <c r="B76" s="8">
        <v>35.41560699224157</v>
      </c>
      <c r="C76" s="8">
        <v>35.350109030493925</v>
      </c>
      <c r="D76" s="15">
        <v>35.47164134195878</v>
      </c>
      <c r="E76" s="8">
        <v>28.314049311602048</v>
      </c>
      <c r="F76" s="8">
        <v>28.32609375542968</v>
      </c>
      <c r="G76" s="23">
        <v>28.30265260466603</v>
      </c>
      <c r="H76" s="8">
        <v>16.78028510587957</v>
      </c>
      <c r="I76" s="8">
        <v>17.394110913253623</v>
      </c>
      <c r="J76" s="8">
        <v>16.24668288367979</v>
      </c>
    </row>
    <row r="77" spans="1:10" s="33" customFormat="1" ht="15.75">
      <c r="A77" s="203" t="s">
        <v>92</v>
      </c>
      <c r="B77" s="42">
        <v>0.8112430149824392</v>
      </c>
      <c r="C77" s="34">
        <v>1.1896737425475796</v>
      </c>
      <c r="D77" s="35">
        <v>1.1098065496370655</v>
      </c>
      <c r="E77" s="34">
        <v>0.8042820362330773</v>
      </c>
      <c r="F77" s="34">
        <v>1.1619616375406088</v>
      </c>
      <c r="G77" s="35">
        <v>1.1143828073096016</v>
      </c>
      <c r="H77" s="34">
        <v>0.46632273632103544</v>
      </c>
      <c r="I77" s="34">
        <v>0.6933654429807363</v>
      </c>
      <c r="J77" s="34">
        <v>0.6282798121761194</v>
      </c>
    </row>
    <row r="78" spans="1:10" ht="15.75">
      <c r="A78" s="199" t="s">
        <v>78</v>
      </c>
      <c r="B78" s="8">
        <v>39.30335125390336</v>
      </c>
      <c r="C78" s="8">
        <v>35.07666747429995</v>
      </c>
      <c r="D78" s="15">
        <v>42.978787422897554</v>
      </c>
      <c r="E78" s="8">
        <v>35.855461401435065</v>
      </c>
      <c r="F78" s="8">
        <v>32.28029328978003</v>
      </c>
      <c r="G78" s="23">
        <v>39.14349632470437</v>
      </c>
      <c r="H78" s="8">
        <v>36.88098899798889</v>
      </c>
      <c r="I78" s="8">
        <v>33.62375985754261</v>
      </c>
      <c r="J78" s="8">
        <v>39.714175143741706</v>
      </c>
    </row>
    <row r="79" spans="1:10" s="33" customFormat="1" ht="15.75">
      <c r="A79" s="203" t="s">
        <v>92</v>
      </c>
      <c r="B79" s="34">
        <v>0.8285594999771677</v>
      </c>
      <c r="C79" s="34">
        <v>1.1873695107843165</v>
      </c>
      <c r="D79" s="35">
        <v>1.1482194660596325</v>
      </c>
      <c r="E79" s="34">
        <v>0.8565087661678603</v>
      </c>
      <c r="F79" s="34">
        <v>1.2062423994366758</v>
      </c>
      <c r="G79" s="35">
        <v>1.2071983483872868</v>
      </c>
      <c r="H79" s="34">
        <v>0.6018636982480796</v>
      </c>
      <c r="I79" s="34">
        <v>0.8638756313951002</v>
      </c>
      <c r="J79" s="34">
        <v>0.8343100942295576</v>
      </c>
    </row>
    <row r="80" spans="1:10" ht="15.75">
      <c r="A80" s="199" t="s">
        <v>79</v>
      </c>
      <c r="B80" s="8">
        <v>12.29356469111161</v>
      </c>
      <c r="C80" s="8">
        <v>11.978124675504482</v>
      </c>
      <c r="D80" s="15">
        <v>12.567774936061383</v>
      </c>
      <c r="E80" s="8">
        <v>18.481029517039303</v>
      </c>
      <c r="F80" s="8">
        <v>17.737081697188728</v>
      </c>
      <c r="G80" s="23">
        <v>19.16554809843401</v>
      </c>
      <c r="H80" s="8">
        <v>22.34576481722465</v>
      </c>
      <c r="I80" s="8">
        <v>19.753879419994913</v>
      </c>
      <c r="J80" s="8">
        <v>24.599181777974348</v>
      </c>
    </row>
    <row r="81" spans="1:10" s="33" customFormat="1" ht="15.75">
      <c r="A81" s="203" t="s">
        <v>92</v>
      </c>
      <c r="B81" s="34">
        <v>0.5571670600332486</v>
      </c>
      <c r="C81" s="34">
        <v>0.8084291140222214</v>
      </c>
      <c r="D81" s="35">
        <v>0.769651709874431</v>
      </c>
      <c r="E81" s="34">
        <v>0.6932984699513072</v>
      </c>
      <c r="F81" s="34">
        <v>0.984522271735956</v>
      </c>
      <c r="G81" s="35">
        <v>0.9744014068287842</v>
      </c>
      <c r="H81" s="34">
        <v>0.5191982591439773</v>
      </c>
      <c r="I81" s="34">
        <v>0.7288150366935715</v>
      </c>
      <c r="J81" s="34">
        <v>0.7343901024345965</v>
      </c>
    </row>
    <row r="82" spans="1:10" ht="15.75">
      <c r="A82" s="199" t="s">
        <v>80</v>
      </c>
      <c r="B82" s="8">
        <v>12.987670218588029</v>
      </c>
      <c r="C82" s="8">
        <v>17.5971755910145</v>
      </c>
      <c r="D82" s="15">
        <v>8.980893636226869</v>
      </c>
      <c r="E82" s="8">
        <v>17.34912680839729</v>
      </c>
      <c r="F82" s="8">
        <v>21.65722625708031</v>
      </c>
      <c r="G82" s="23">
        <v>13.387024608501118</v>
      </c>
      <c r="H82" s="8">
        <v>23.992961078906898</v>
      </c>
      <c r="I82" s="8">
        <v>29.22952175019079</v>
      </c>
      <c r="J82" s="8">
        <v>19.440789473684212</v>
      </c>
    </row>
    <row r="83" spans="1:10" s="33" customFormat="1" ht="15.75">
      <c r="A83" s="203" t="s">
        <v>92</v>
      </c>
      <c r="B83" s="34">
        <v>0.570511473487585</v>
      </c>
      <c r="C83" s="34">
        <v>0.9473924645191253</v>
      </c>
      <c r="D83" s="35">
        <v>0.6637357353298001</v>
      </c>
      <c r="E83" s="34">
        <v>0.6753538492583036</v>
      </c>
      <c r="F83" s="34">
        <v>1.0632851348395749</v>
      </c>
      <c r="G83" s="35">
        <v>0.8427387288102719</v>
      </c>
      <c r="H83" s="34">
        <v>0.5327000084700182</v>
      </c>
      <c r="I83" s="34">
        <v>0.8315829944326487</v>
      </c>
      <c r="J83" s="34">
        <v>0.6742826337705377</v>
      </c>
    </row>
    <row r="84" spans="1:10" ht="15.75">
      <c r="A84" s="199" t="s">
        <v>17</v>
      </c>
      <c r="B84" s="5"/>
      <c r="C84" s="5"/>
      <c r="D84" s="14"/>
      <c r="E84" s="5"/>
      <c r="F84" s="5"/>
      <c r="G84" s="29"/>
      <c r="H84" s="5"/>
      <c r="I84" s="5"/>
      <c r="J84" s="6"/>
    </row>
    <row r="85" spans="1:10" ht="15.75">
      <c r="A85" s="199" t="s">
        <v>81</v>
      </c>
      <c r="B85" s="8">
        <v>73.59046132054212</v>
      </c>
      <c r="C85" s="8">
        <v>83.05991485237618</v>
      </c>
      <c r="D85" s="15">
        <v>65.35962088160072</v>
      </c>
      <c r="E85" s="8">
        <v>72.91441223966571</v>
      </c>
      <c r="F85" s="8">
        <v>80.66163950377036</v>
      </c>
      <c r="G85" s="23">
        <v>65.79098753595397</v>
      </c>
      <c r="H85" s="8">
        <v>71.04563468591034</v>
      </c>
      <c r="I85" s="8">
        <v>78.5868735690664</v>
      </c>
      <c r="J85" s="8">
        <v>64.49026979212738</v>
      </c>
    </row>
    <row r="86" spans="1:10" s="33" customFormat="1" ht="15.75">
      <c r="A86" s="203" t="s">
        <v>92</v>
      </c>
      <c r="B86" s="34">
        <v>0.7477801818624822</v>
      </c>
      <c r="C86" s="34">
        <v>0.9322960635741006</v>
      </c>
      <c r="D86" s="35">
        <v>1.1032658444208738</v>
      </c>
      <c r="E86" s="34">
        <v>0.7936042460513664</v>
      </c>
      <c r="F86" s="34">
        <v>1.0180155603076466</v>
      </c>
      <c r="G86" s="35">
        <v>1.1735662393409267</v>
      </c>
      <c r="H86" s="34">
        <v>0.5659765793008276</v>
      </c>
      <c r="I86" s="34">
        <v>0.7500940227233371</v>
      </c>
      <c r="J86" s="34">
        <v>0.8159576575038301</v>
      </c>
    </row>
    <row r="87" spans="1:10" ht="15.75">
      <c r="A87" s="199" t="s">
        <v>82</v>
      </c>
      <c r="B87" s="8">
        <v>14.841821459614332</v>
      </c>
      <c r="C87" s="8">
        <v>5.388875428334083</v>
      </c>
      <c r="D87" s="15">
        <v>23.059124417030237</v>
      </c>
      <c r="E87" s="8">
        <v>12.551850433682388</v>
      </c>
      <c r="F87" s="8">
        <v>5.073148695138479</v>
      </c>
      <c r="G87" s="23">
        <v>19.4298497922659</v>
      </c>
      <c r="H87" s="8">
        <v>9.678767893055722</v>
      </c>
      <c r="I87" s="8">
        <v>3.5477613838717876</v>
      </c>
      <c r="J87" s="8">
        <v>15.00856921716055</v>
      </c>
    </row>
    <row r="88" spans="1:10" s="33" customFormat="1" ht="15.75">
      <c r="A88" s="203" t="s">
        <v>92</v>
      </c>
      <c r="B88" s="34">
        <v>0.6023982971037124</v>
      </c>
      <c r="C88" s="34">
        <v>0.5622797388070259</v>
      </c>
      <c r="D88" s="35">
        <v>0.9775127022358794</v>
      </c>
      <c r="E88" s="34">
        <v>0.5925111972736237</v>
      </c>
      <c r="F88" s="34">
        <v>0.5674886614021586</v>
      </c>
      <c r="G88" s="35">
        <v>0.978250308309634</v>
      </c>
      <c r="H88" s="34">
        <v>0.36914758280151144</v>
      </c>
      <c r="I88" s="34">
        <v>0.33612067255419303</v>
      </c>
      <c r="J88" s="34">
        <v>0.6088757549030749</v>
      </c>
    </row>
    <row r="89" spans="1:10" ht="15.75">
      <c r="A89" s="199" t="s">
        <v>83</v>
      </c>
      <c r="B89" s="8">
        <v>6.322071274506646</v>
      </c>
      <c r="C89" s="8">
        <v>5.262192378249282</v>
      </c>
      <c r="D89" s="15">
        <v>7.243267639536633</v>
      </c>
      <c r="E89" s="8">
        <v>9.753275509014934</v>
      </c>
      <c r="F89" s="8">
        <v>8.997810751641937</v>
      </c>
      <c r="G89" s="23">
        <v>10.448066474912112</v>
      </c>
      <c r="H89" s="8">
        <v>14.64162131787531</v>
      </c>
      <c r="I89" s="8">
        <v>13.392902569320784</v>
      </c>
      <c r="J89" s="8">
        <v>15.727277753206547</v>
      </c>
    </row>
    <row r="90" spans="1:10" s="33" customFormat="1" ht="15.75">
      <c r="A90" s="203" t="s">
        <v>92</v>
      </c>
      <c r="B90" s="34">
        <v>0.4121669367816318</v>
      </c>
      <c r="C90" s="34">
        <v>0.5573434615782898</v>
      </c>
      <c r="D90" s="35">
        <v>0.5995059337662461</v>
      </c>
      <c r="E90" s="34">
        <v>0.5308500710204787</v>
      </c>
      <c r="F90" s="34">
        <v>0.7382117359270703</v>
      </c>
      <c r="G90" s="35">
        <v>0.7551831340777717</v>
      </c>
      <c r="H90" s="34">
        <v>0.4404287389806469</v>
      </c>
      <c r="I90" s="34">
        <v>0.623029901009309</v>
      </c>
      <c r="J90" s="34">
        <v>0.6203505936469657</v>
      </c>
    </row>
    <row r="91" spans="1:10" ht="15.75">
      <c r="A91" s="199" t="s">
        <v>84</v>
      </c>
      <c r="B91" s="8">
        <v>5.2457103306184205</v>
      </c>
      <c r="C91" s="8">
        <v>6.290886435222041</v>
      </c>
      <c r="D91" s="15">
        <v>4.337295020309914</v>
      </c>
      <c r="E91" s="8">
        <v>4.780145504186992</v>
      </c>
      <c r="F91" s="8">
        <v>5.268443548667339</v>
      </c>
      <c r="G91" s="23">
        <v>4.330776605944391</v>
      </c>
      <c r="H91" s="8">
        <v>4.634035253756064</v>
      </c>
      <c r="I91" s="8">
        <v>4.472462477741033</v>
      </c>
      <c r="J91" s="8">
        <v>4.774436090225564</v>
      </c>
    </row>
    <row r="92" spans="1:10" s="33" customFormat="1" ht="15.75">
      <c r="A92" s="203" t="s">
        <v>92</v>
      </c>
      <c r="B92" s="34">
        <v>0.37665082316134885</v>
      </c>
      <c r="C92" s="34">
        <v>0.6044356292497507</v>
      </c>
      <c r="D92" s="35">
        <v>0.47048246993127735</v>
      </c>
      <c r="E92" s="34">
        <v>0.3816758364744792</v>
      </c>
      <c r="F92" s="34">
        <v>0.5778989676554495</v>
      </c>
      <c r="G92" s="35">
        <v>0.5018475453489544</v>
      </c>
      <c r="H92" s="34">
        <v>0.2612903615926628</v>
      </c>
      <c r="I92" s="34">
        <v>0.37914513498966</v>
      </c>
      <c r="J92" s="34">
        <v>0.36451271455370404</v>
      </c>
    </row>
    <row r="93" spans="1:10" ht="15.75">
      <c r="A93" s="199" t="s">
        <v>20</v>
      </c>
      <c r="B93" s="5"/>
      <c r="C93" s="5"/>
      <c r="D93" s="14"/>
      <c r="E93" s="5"/>
      <c r="F93" s="5"/>
      <c r="G93" s="29"/>
      <c r="H93" s="5"/>
      <c r="I93" s="5"/>
      <c r="J93" s="6"/>
    </row>
    <row r="94" spans="1:10" ht="15.75">
      <c r="A94" s="199" t="s">
        <v>85</v>
      </c>
      <c r="B94" s="8">
        <v>71.2579274377877</v>
      </c>
      <c r="C94" s="8">
        <v>80.9203558201516</v>
      </c>
      <c r="D94" s="15">
        <v>62.858432375507746</v>
      </c>
      <c r="E94" s="8">
        <v>70.47114055970832</v>
      </c>
      <c r="F94" s="8">
        <v>78.0063939952045</v>
      </c>
      <c r="G94" s="23">
        <v>63.54106743368489</v>
      </c>
      <c r="H94" s="8">
        <v>67.68750739382469</v>
      </c>
      <c r="I94" s="8">
        <v>75.45026710760621</v>
      </c>
      <c r="J94" s="8">
        <v>60.93929677134011</v>
      </c>
    </row>
    <row r="95" spans="1:10" s="33" customFormat="1" ht="15.75">
      <c r="A95" s="203" t="s">
        <v>92</v>
      </c>
      <c r="B95" s="34">
        <v>0.7673946969819769</v>
      </c>
      <c r="C95" s="34">
        <v>0.9779146014908103</v>
      </c>
      <c r="D95" s="35">
        <v>1.1203804633567473</v>
      </c>
      <c r="E95" s="34">
        <v>0.814256322919274</v>
      </c>
      <c r="F95" s="34">
        <v>1.0685568583633005</v>
      </c>
      <c r="G95" s="35">
        <v>1.1910086137626743</v>
      </c>
      <c r="H95" s="34">
        <v>0.5832649539505615</v>
      </c>
      <c r="I95" s="34">
        <v>0.786600219050626</v>
      </c>
      <c r="J95" s="34">
        <v>0.8320905957500393</v>
      </c>
    </row>
    <row r="96" spans="1:10" ht="15.75">
      <c r="A96" s="199" t="s">
        <v>86</v>
      </c>
      <c r="B96" s="8">
        <v>9.404597109100859</v>
      </c>
      <c r="C96" s="8">
        <v>5.953411096881382</v>
      </c>
      <c r="D96" s="15">
        <v>12.4046938468482</v>
      </c>
      <c r="E96" s="8">
        <v>9.260492450097392</v>
      </c>
      <c r="F96" s="8">
        <v>6.821072384195712</v>
      </c>
      <c r="G96" s="23">
        <v>11.503994886545222</v>
      </c>
      <c r="H96" s="8">
        <v>10.16991009109192</v>
      </c>
      <c r="I96" s="8">
        <v>6.320592724497582</v>
      </c>
      <c r="J96" s="8">
        <v>13.516143299425032</v>
      </c>
    </row>
    <row r="97" spans="1:10" s="33" customFormat="1" ht="15.75">
      <c r="A97" s="203" t="s">
        <v>92</v>
      </c>
      <c r="B97" s="34">
        <v>0.4950637259069142</v>
      </c>
      <c r="C97" s="34">
        <v>0.5908123137098217</v>
      </c>
      <c r="D97" s="35">
        <v>0.7643920214489903</v>
      </c>
      <c r="E97" s="34">
        <v>0.5185620027449568</v>
      </c>
      <c r="F97" s="34">
        <v>0.6493837352292279</v>
      </c>
      <c r="G97" s="35">
        <v>0.7892274157113719</v>
      </c>
      <c r="H97" s="34">
        <v>0.3774926854859389</v>
      </c>
      <c r="I97" s="34">
        <v>0.4443627186827974</v>
      </c>
      <c r="J97" s="34">
        <v>0.5827047074800434</v>
      </c>
    </row>
    <row r="98" spans="1:10" ht="15.75">
      <c r="A98" s="199" t="s">
        <v>87</v>
      </c>
      <c r="B98" s="8">
        <v>1.7700898174677269</v>
      </c>
      <c r="C98" s="8">
        <v>2.1228375618704787</v>
      </c>
      <c r="D98" s="15">
        <v>1.463448172107718</v>
      </c>
      <c r="E98" s="8">
        <v>2.8162052374848088</v>
      </c>
      <c r="F98" s="8">
        <v>4.033081975188519</v>
      </c>
      <c r="G98" s="23">
        <v>1.6970597635027163</v>
      </c>
      <c r="H98" s="8">
        <v>3.201285046728972</v>
      </c>
      <c r="I98" s="8">
        <v>3.9693684813024674</v>
      </c>
      <c r="J98" s="8">
        <v>2.5335858027421496</v>
      </c>
    </row>
    <row r="99" spans="1:10" s="33" customFormat="1" ht="15.75">
      <c r="A99" s="203" t="s">
        <v>92</v>
      </c>
      <c r="B99" s="34">
        <v>0.22554077938934214</v>
      </c>
      <c r="C99" s="34">
        <v>0.356706464137717</v>
      </c>
      <c r="D99" s="35">
        <v>0.28191422768096164</v>
      </c>
      <c r="E99" s="34">
        <v>0.2945558967230555</v>
      </c>
      <c r="F99" s="34">
        <v>0.5054807329354959</v>
      </c>
      <c r="G99" s="35">
        <v>0.31980321629971264</v>
      </c>
      <c r="H99" s="34">
        <v>0.21952447869548555</v>
      </c>
      <c r="I99" s="34">
        <v>0.35839600270312316</v>
      </c>
      <c r="J99" s="34">
        <v>0.2662232009107225</v>
      </c>
    </row>
    <row r="100" spans="1:10" ht="15.75">
      <c r="A100" s="199" t="s">
        <v>88</v>
      </c>
      <c r="B100" s="8">
        <v>17.567507967678587</v>
      </c>
      <c r="C100" s="8">
        <v>11.004672735453948</v>
      </c>
      <c r="D100" s="15">
        <v>23.2725440048142</v>
      </c>
      <c r="E100" s="8">
        <v>17.45179549503055</v>
      </c>
      <c r="F100" s="8">
        <v>11.140181394863955</v>
      </c>
      <c r="G100" s="23">
        <v>23.256503675295622</v>
      </c>
      <c r="H100" s="8">
        <v>18.938675618123746</v>
      </c>
      <c r="I100" s="8">
        <v>14.260366319002795</v>
      </c>
      <c r="J100" s="8">
        <v>23.005556169836357</v>
      </c>
    </row>
    <row r="101" spans="1:10" s="33" customFormat="1" ht="15.75">
      <c r="A101" s="203" t="s">
        <v>92</v>
      </c>
      <c r="B101" s="34">
        <v>0.646030497102781</v>
      </c>
      <c r="C101" s="34">
        <v>0.7783973203767329</v>
      </c>
      <c r="D101" s="35">
        <v>0.9804577690156292</v>
      </c>
      <c r="E101" s="34">
        <v>0.6784245758451739</v>
      </c>
      <c r="F101" s="34">
        <v>0.8103103091293523</v>
      </c>
      <c r="G101" s="35">
        <v>1.0458207396562025</v>
      </c>
      <c r="H101" s="34">
        <v>0.48832798773210245</v>
      </c>
      <c r="I101" s="34">
        <v>0.6402594168200175</v>
      </c>
      <c r="J101" s="34">
        <v>0.7176007257157817</v>
      </c>
    </row>
    <row r="102" spans="1:10" ht="15.75">
      <c r="A102" s="199" t="s">
        <v>21</v>
      </c>
      <c r="B102" s="5"/>
      <c r="C102" s="5"/>
      <c r="D102" s="14"/>
      <c r="E102" s="5"/>
      <c r="F102" s="5"/>
      <c r="G102" s="29"/>
      <c r="H102" s="5"/>
      <c r="I102" s="5"/>
      <c r="J102" s="6"/>
    </row>
    <row r="103" spans="1:10" ht="16.5" customHeight="1">
      <c r="A103" s="204" t="s">
        <v>89</v>
      </c>
      <c r="B103" s="8">
        <v>11.6</v>
      </c>
      <c r="C103" s="8">
        <v>9.3</v>
      </c>
      <c r="D103" s="15">
        <v>13.5</v>
      </c>
      <c r="E103" s="8">
        <f>0.116275223288124*100</f>
        <v>11.627522328812438</v>
      </c>
      <c r="F103" s="8">
        <f>0.104715672676838*100</f>
        <v>10.471567267683772</v>
      </c>
      <c r="G103" s="23">
        <f>0.126818469323213*100</f>
        <v>12.681846932321317</v>
      </c>
      <c r="H103" s="8">
        <f>0.0981544771018455*100</f>
        <v>9.815447710184552</v>
      </c>
      <c r="I103" s="8">
        <f>0.0907785119218615*100</f>
        <v>9.077851192186154</v>
      </c>
      <c r="J103" s="8">
        <f>0.104851330203443*100</f>
        <v>10.485133020344287</v>
      </c>
    </row>
    <row r="104" spans="1:10" s="33" customFormat="1" ht="15.75">
      <c r="A104" s="203" t="s">
        <v>92</v>
      </c>
      <c r="B104" s="34">
        <v>0.5432355807432147</v>
      </c>
      <c r="C104" s="34">
        <v>0.722528702444891</v>
      </c>
      <c r="D104" s="35">
        <v>0.7925527690297668</v>
      </c>
      <c r="E104" s="34">
        <v>0.5717559598664016</v>
      </c>
      <c r="F104" s="34">
        <v>0.790760853601519</v>
      </c>
      <c r="G104" s="35">
        <v>0.8237408241370292</v>
      </c>
      <c r="H104" s="34">
        <v>0.37084001785214565</v>
      </c>
      <c r="I104" s="34">
        <v>0.5260174877856058</v>
      </c>
      <c r="J104" s="34">
        <v>0.5227328049838673</v>
      </c>
    </row>
    <row r="105" spans="1:10" ht="15.75">
      <c r="A105" s="199" t="s">
        <v>18</v>
      </c>
      <c r="B105" s="6"/>
      <c r="C105" s="6"/>
      <c r="D105" s="19"/>
      <c r="E105" s="6"/>
      <c r="F105" s="6"/>
      <c r="G105" s="30"/>
      <c r="H105" s="6"/>
      <c r="I105" s="6"/>
      <c r="J105" s="6"/>
    </row>
    <row r="106" spans="1:28" s="6" customFormat="1" ht="15.75">
      <c r="A106" s="199" t="s">
        <v>90</v>
      </c>
      <c r="B106" s="8">
        <v>34.327656697678904</v>
      </c>
      <c r="C106" s="8">
        <v>73.81675954449483</v>
      </c>
      <c r="D106" s="14" t="s">
        <v>19</v>
      </c>
      <c r="E106" s="8">
        <v>30.708708608720265</v>
      </c>
      <c r="F106" s="8">
        <v>62.88007783994163</v>
      </c>
      <c r="G106" s="23">
        <v>1.1200703100031957</v>
      </c>
      <c r="H106" s="8">
        <v>18.408257423399977</v>
      </c>
      <c r="I106" s="8">
        <v>38.53663190027983</v>
      </c>
      <c r="J106" s="8">
        <v>0.911764705882353</v>
      </c>
      <c r="K106" s="8"/>
      <c r="L106" s="8"/>
      <c r="M106" s="8"/>
      <c r="N106" s="8"/>
      <c r="O106" s="8"/>
      <c r="P106" s="8"/>
      <c r="Q106" s="8"/>
      <c r="R106" s="8"/>
      <c r="S106" s="8"/>
      <c r="T106" s="8"/>
      <c r="U106" s="8"/>
      <c r="V106" s="8"/>
      <c r="W106" s="8"/>
      <c r="X106" s="8"/>
      <c r="Y106" s="8"/>
      <c r="Z106" s="8"/>
      <c r="AA106" s="8"/>
      <c r="AB106" s="8"/>
    </row>
    <row r="107" spans="1:28" s="36" customFormat="1" ht="15.75">
      <c r="A107" s="205" t="s">
        <v>92</v>
      </c>
      <c r="B107" s="38">
        <v>0.8053095052984277</v>
      </c>
      <c r="C107" s="38">
        <v>1.0939281870875588</v>
      </c>
      <c r="D107" s="39" t="s">
        <v>19</v>
      </c>
      <c r="E107" s="38">
        <v>0.8235526675150374</v>
      </c>
      <c r="F107" s="38">
        <v>1.246095339950918</v>
      </c>
      <c r="G107" s="39">
        <v>0.2580335016067142</v>
      </c>
      <c r="H107" s="38">
        <v>0.48330832682203</v>
      </c>
      <c r="I107" s="38">
        <v>0.8899497136612757</v>
      </c>
      <c r="J107" s="38">
        <v>0.16103922454109126</v>
      </c>
      <c r="K107" s="89"/>
      <c r="L107" s="89"/>
      <c r="M107" s="89"/>
      <c r="N107" s="89"/>
      <c r="O107" s="89"/>
      <c r="P107" s="89"/>
      <c r="Q107" s="89"/>
      <c r="R107" s="89"/>
      <c r="S107" s="89"/>
      <c r="T107" s="89"/>
      <c r="U107" s="89"/>
      <c r="V107" s="89"/>
      <c r="W107" s="89"/>
      <c r="X107" s="89"/>
      <c r="Y107" s="89"/>
      <c r="Z107" s="89"/>
      <c r="AA107" s="89"/>
      <c r="AB107" s="89"/>
    </row>
    <row r="108" spans="1:28" s="6" customFormat="1" ht="15.75">
      <c r="A108" s="51" t="s">
        <v>94</v>
      </c>
      <c r="B108" s="90"/>
      <c r="C108" s="90"/>
      <c r="D108" s="90"/>
      <c r="E108" s="90"/>
      <c r="F108" s="90"/>
      <c r="G108" s="90"/>
      <c r="H108" s="90"/>
      <c r="I108" s="90"/>
      <c r="J108" s="90"/>
      <c r="K108" s="8"/>
      <c r="L108" s="8"/>
      <c r="M108" s="8"/>
      <c r="N108" s="8"/>
      <c r="O108" s="8"/>
      <c r="P108" s="8"/>
      <c r="Q108" s="8"/>
      <c r="R108" s="8"/>
      <c r="S108" s="8"/>
      <c r="T108" s="8"/>
      <c r="U108" s="8"/>
      <c r="V108" s="8"/>
      <c r="W108" s="8"/>
      <c r="X108" s="8"/>
      <c r="Y108" s="8"/>
      <c r="Z108" s="8"/>
      <c r="AA108" s="8"/>
      <c r="AB108" s="8"/>
    </row>
    <row r="109" spans="1:28" s="6" customFormat="1" ht="15.75">
      <c r="A109" s="51" t="s">
        <v>95</v>
      </c>
      <c r="B109" s="90"/>
      <c r="C109" s="90"/>
      <c r="D109" s="90"/>
      <c r="E109" s="90"/>
      <c r="F109" s="90"/>
      <c r="G109" s="90"/>
      <c r="H109" s="90"/>
      <c r="I109" s="90"/>
      <c r="J109" s="90"/>
      <c r="K109" s="8"/>
      <c r="L109" s="8"/>
      <c r="M109" s="8"/>
      <c r="N109" s="8"/>
      <c r="O109" s="8"/>
      <c r="P109" s="8"/>
      <c r="Q109" s="8"/>
      <c r="R109" s="8"/>
      <c r="S109" s="8"/>
      <c r="T109" s="8"/>
      <c r="U109" s="8"/>
      <c r="V109" s="8"/>
      <c r="W109" s="8"/>
      <c r="X109" s="8"/>
      <c r="Y109" s="8"/>
      <c r="Z109" s="8"/>
      <c r="AA109" s="8"/>
      <c r="AB109" s="8"/>
    </row>
    <row r="110" spans="1:28" s="6" customFormat="1" ht="15.75">
      <c r="A110" s="51"/>
      <c r="B110" s="90"/>
      <c r="C110" s="90"/>
      <c r="D110" s="90"/>
      <c r="E110" s="90"/>
      <c r="F110" s="90"/>
      <c r="G110" s="90"/>
      <c r="H110" s="90"/>
      <c r="I110" s="90"/>
      <c r="J110" s="90"/>
      <c r="K110" s="8"/>
      <c r="L110" s="8"/>
      <c r="M110" s="8"/>
      <c r="N110" s="8"/>
      <c r="O110" s="8"/>
      <c r="P110" s="8"/>
      <c r="Q110" s="8"/>
      <c r="R110" s="8"/>
      <c r="S110" s="8"/>
      <c r="T110" s="8"/>
      <c r="U110" s="8"/>
      <c r="V110" s="8"/>
      <c r="W110" s="8"/>
      <c r="X110" s="8"/>
      <c r="Y110" s="8"/>
      <c r="Z110" s="8"/>
      <c r="AA110" s="8"/>
      <c r="AB110" s="8"/>
    </row>
    <row r="111" ht="15.75">
      <c r="A111" s="20" t="s">
        <v>96</v>
      </c>
    </row>
    <row r="112" ht="15.75">
      <c r="A112" s="6" t="s">
        <v>49</v>
      </c>
    </row>
    <row r="113" ht="15.75">
      <c r="A113" s="6" t="s">
        <v>48</v>
      </c>
    </row>
    <row r="114" spans="1:29" ht="15.75">
      <c r="A114" s="20" t="s">
        <v>91</v>
      </c>
      <c r="B114" s="4"/>
      <c r="C114" s="4"/>
      <c r="D114" s="4"/>
      <c r="E114" s="4"/>
      <c r="F114" s="4"/>
      <c r="G114" s="4"/>
      <c r="H114" s="4"/>
      <c r="I114" s="4"/>
      <c r="J114" s="4"/>
      <c r="K114" s="4"/>
      <c r="L114" s="4"/>
      <c r="M114" s="4"/>
      <c r="N114" s="4"/>
      <c r="O114" s="4"/>
      <c r="P114" s="4"/>
      <c r="Q114" s="4"/>
      <c r="R114" s="4"/>
      <c r="S114" s="4"/>
      <c r="T114" s="4"/>
      <c r="U114" s="4"/>
      <c r="V114" s="5"/>
      <c r="W114" s="4"/>
      <c r="X114" s="4"/>
      <c r="Y114" s="4"/>
      <c r="Z114" s="4"/>
      <c r="AA114" s="4"/>
      <c r="AB114" s="4"/>
      <c r="AC114" s="6"/>
    </row>
    <row r="115" spans="1:29" ht="15.75">
      <c r="A115" s="20" t="s">
        <v>97</v>
      </c>
      <c r="B115" s="4"/>
      <c r="C115" s="4"/>
      <c r="D115" s="4"/>
      <c r="E115" s="4"/>
      <c r="F115" s="4"/>
      <c r="G115" s="4"/>
      <c r="H115" s="4"/>
      <c r="I115" s="4"/>
      <c r="J115" s="4"/>
      <c r="K115" s="4"/>
      <c r="L115" s="4"/>
      <c r="M115" s="4"/>
      <c r="N115" s="4"/>
      <c r="O115" s="4"/>
      <c r="P115" s="4"/>
      <c r="Q115" s="4"/>
      <c r="R115" s="4"/>
      <c r="S115" s="4"/>
      <c r="T115" s="4"/>
      <c r="U115" s="4"/>
      <c r="V115" s="5"/>
      <c r="W115" s="4"/>
      <c r="X115" s="4"/>
      <c r="Y115" s="4"/>
      <c r="Z115" s="4"/>
      <c r="AA115" s="4"/>
      <c r="AB115" s="4"/>
      <c r="AC115" s="6"/>
    </row>
    <row r="117" spans="2:29" ht="15.75">
      <c r="B117" s="4"/>
      <c r="C117" s="4"/>
      <c r="D117" s="4"/>
      <c r="E117" s="4"/>
      <c r="F117" s="4"/>
      <c r="G117" s="4"/>
      <c r="H117" s="4"/>
      <c r="I117" s="4"/>
      <c r="J117" s="4"/>
      <c r="K117" s="4"/>
      <c r="L117" s="4"/>
      <c r="M117" s="4"/>
      <c r="N117" s="4"/>
      <c r="O117" s="4"/>
      <c r="P117" s="4"/>
      <c r="Q117" s="4"/>
      <c r="R117" s="4"/>
      <c r="S117" s="4"/>
      <c r="T117" s="4"/>
      <c r="U117" s="4"/>
      <c r="V117" s="5"/>
      <c r="W117" s="4"/>
      <c r="X117" s="4"/>
      <c r="Y117" s="4"/>
      <c r="Z117" s="4"/>
      <c r="AA117" s="4"/>
      <c r="AB117" s="4"/>
      <c r="AC117" s="6"/>
    </row>
    <row r="118" spans="2:29" ht="15.75">
      <c r="B118" s="4"/>
      <c r="C118" s="4"/>
      <c r="D118" s="4"/>
      <c r="E118" s="4"/>
      <c r="F118" s="4"/>
      <c r="G118" s="4"/>
      <c r="H118" s="4"/>
      <c r="I118" s="4"/>
      <c r="J118" s="4"/>
      <c r="K118" s="4"/>
      <c r="L118" s="4"/>
      <c r="M118" s="4"/>
      <c r="N118" s="4"/>
      <c r="O118" s="4"/>
      <c r="P118" s="4"/>
      <c r="Q118" s="4"/>
      <c r="R118" s="4"/>
      <c r="S118" s="4"/>
      <c r="T118" s="4"/>
      <c r="U118" s="4"/>
      <c r="V118" s="5"/>
      <c r="W118" s="4"/>
      <c r="X118" s="4"/>
      <c r="Y118" s="4"/>
      <c r="Z118" s="4"/>
      <c r="AA118" s="4"/>
      <c r="AB118" s="4"/>
      <c r="AC118" s="6"/>
    </row>
    <row r="119" spans="2:29" ht="15.75">
      <c r="B119" s="4"/>
      <c r="C119" s="4"/>
      <c r="D119" s="4"/>
      <c r="E119" s="4"/>
      <c r="F119" s="4"/>
      <c r="G119" s="4"/>
      <c r="H119" s="4"/>
      <c r="I119" s="4"/>
      <c r="J119" s="4"/>
      <c r="K119" s="4"/>
      <c r="L119" s="4"/>
      <c r="M119" s="4"/>
      <c r="N119" s="4"/>
      <c r="O119" s="4"/>
      <c r="P119" s="4"/>
      <c r="Q119" s="4"/>
      <c r="R119" s="4"/>
      <c r="S119" s="4"/>
      <c r="T119" s="4"/>
      <c r="U119" s="4"/>
      <c r="V119" s="5"/>
      <c r="W119" s="4"/>
      <c r="X119" s="4"/>
      <c r="Y119" s="4"/>
      <c r="Z119" s="4"/>
      <c r="AA119" s="4"/>
      <c r="AB119" s="4"/>
      <c r="AC119" s="6"/>
    </row>
    <row r="120" spans="2:29" ht="15.75">
      <c r="B120" s="4"/>
      <c r="C120" s="4"/>
      <c r="D120" s="4"/>
      <c r="E120" s="4"/>
      <c r="F120" s="4"/>
      <c r="G120" s="4"/>
      <c r="H120" s="4"/>
      <c r="I120" s="4"/>
      <c r="J120" s="4"/>
      <c r="K120" s="4"/>
      <c r="L120" s="4"/>
      <c r="M120" s="4"/>
      <c r="N120" s="4"/>
      <c r="O120" s="4"/>
      <c r="P120" s="4"/>
      <c r="Q120" s="4"/>
      <c r="R120" s="4"/>
      <c r="S120" s="4"/>
      <c r="T120" s="4"/>
      <c r="U120" s="4"/>
      <c r="V120" s="5"/>
      <c r="W120" s="4"/>
      <c r="X120" s="4"/>
      <c r="Y120" s="4"/>
      <c r="Z120" s="4"/>
      <c r="AA120" s="4"/>
      <c r="AB120" s="4"/>
      <c r="AC120" s="6"/>
    </row>
    <row r="121" spans="2:29" ht="15.75">
      <c r="B121" s="4"/>
      <c r="C121" s="4"/>
      <c r="D121" s="4"/>
      <c r="E121" s="4"/>
      <c r="F121" s="4"/>
      <c r="G121" s="4"/>
      <c r="H121" s="4"/>
      <c r="I121" s="4"/>
      <c r="J121" s="4"/>
      <c r="K121" s="4"/>
      <c r="L121" s="4"/>
      <c r="M121" s="4"/>
      <c r="N121" s="4"/>
      <c r="O121" s="4"/>
      <c r="P121" s="4"/>
      <c r="Q121" s="4"/>
      <c r="R121" s="4"/>
      <c r="S121" s="4"/>
      <c r="T121" s="4"/>
      <c r="U121" s="4"/>
      <c r="V121" s="5"/>
      <c r="W121" s="4"/>
      <c r="X121" s="4"/>
      <c r="Y121" s="4"/>
      <c r="Z121" s="4"/>
      <c r="AA121" s="4"/>
      <c r="AB121" s="4"/>
      <c r="AC121" s="6"/>
    </row>
    <row r="122" spans="2:29" ht="15.75">
      <c r="B122" s="4"/>
      <c r="C122" s="4"/>
      <c r="D122" s="4"/>
      <c r="E122" s="4"/>
      <c r="F122" s="4"/>
      <c r="G122" s="4"/>
      <c r="H122" s="4"/>
      <c r="I122" s="4"/>
      <c r="J122" s="4"/>
      <c r="K122" s="4"/>
      <c r="L122" s="4"/>
      <c r="M122" s="4"/>
      <c r="N122" s="4"/>
      <c r="O122" s="4"/>
      <c r="P122" s="4"/>
      <c r="Q122" s="4"/>
      <c r="R122" s="4"/>
      <c r="S122" s="4"/>
      <c r="T122" s="4"/>
      <c r="U122" s="4"/>
      <c r="V122" s="5"/>
      <c r="W122" s="4"/>
      <c r="X122" s="4"/>
      <c r="Y122" s="4"/>
      <c r="Z122" s="4"/>
      <c r="AA122" s="4"/>
      <c r="AB122" s="4"/>
      <c r="AC122" s="6"/>
    </row>
    <row r="123" spans="2:29" ht="15.75">
      <c r="B123" s="4"/>
      <c r="C123" s="4"/>
      <c r="D123" s="4"/>
      <c r="E123" s="4"/>
      <c r="F123" s="4"/>
      <c r="G123" s="4"/>
      <c r="H123" s="4"/>
      <c r="I123" s="4"/>
      <c r="J123" s="4"/>
      <c r="K123" s="4"/>
      <c r="L123" s="4"/>
      <c r="M123" s="4"/>
      <c r="N123" s="4"/>
      <c r="O123" s="4"/>
      <c r="P123" s="4"/>
      <c r="Q123" s="4"/>
      <c r="R123" s="4"/>
      <c r="S123" s="4"/>
      <c r="T123" s="4"/>
      <c r="U123" s="4"/>
      <c r="V123" s="5"/>
      <c r="W123" s="4"/>
      <c r="X123" s="4"/>
      <c r="Y123" s="4"/>
      <c r="Z123" s="4"/>
      <c r="AA123" s="4"/>
      <c r="AB123" s="4"/>
      <c r="AC123" s="6"/>
    </row>
    <row r="124" spans="2:29" ht="15.75">
      <c r="B124" s="4"/>
      <c r="C124" s="4"/>
      <c r="D124" s="4"/>
      <c r="E124" s="4"/>
      <c r="F124" s="4"/>
      <c r="G124" s="4"/>
      <c r="H124" s="4"/>
      <c r="I124" s="4"/>
      <c r="J124" s="4"/>
      <c r="K124" s="4"/>
      <c r="L124" s="4"/>
      <c r="M124" s="4"/>
      <c r="N124" s="4"/>
      <c r="O124" s="4"/>
      <c r="P124" s="4"/>
      <c r="Q124" s="4"/>
      <c r="R124" s="4"/>
      <c r="S124" s="4"/>
      <c r="T124" s="4"/>
      <c r="U124" s="4"/>
      <c r="V124" s="5"/>
      <c r="W124" s="4"/>
      <c r="X124" s="4"/>
      <c r="Y124" s="4"/>
      <c r="Z124" s="4"/>
      <c r="AA124" s="4"/>
      <c r="AB124" s="4"/>
      <c r="AC124" s="6"/>
    </row>
    <row r="125" spans="2:29" ht="15.75">
      <c r="B125" s="4"/>
      <c r="C125" s="4"/>
      <c r="D125" s="4"/>
      <c r="E125" s="4"/>
      <c r="F125" s="4"/>
      <c r="G125" s="4"/>
      <c r="H125" s="4"/>
      <c r="I125" s="4"/>
      <c r="J125" s="4"/>
      <c r="K125" s="4"/>
      <c r="L125" s="4"/>
      <c r="M125" s="4"/>
      <c r="N125" s="4"/>
      <c r="O125" s="4"/>
      <c r="P125" s="4"/>
      <c r="Q125" s="4"/>
      <c r="R125" s="4"/>
      <c r="S125" s="4"/>
      <c r="T125" s="4"/>
      <c r="U125" s="4"/>
      <c r="V125" s="5"/>
      <c r="W125" s="4"/>
      <c r="X125" s="4"/>
      <c r="Y125" s="4"/>
      <c r="Z125" s="4"/>
      <c r="AA125" s="4"/>
      <c r="AB125" s="4"/>
      <c r="AC125" s="6"/>
    </row>
    <row r="126" spans="2:29" ht="15.75">
      <c r="B126" s="4"/>
      <c r="C126" s="4"/>
      <c r="D126" s="4"/>
      <c r="E126" s="4"/>
      <c r="F126" s="4"/>
      <c r="G126" s="4"/>
      <c r="H126" s="4"/>
      <c r="I126" s="4"/>
      <c r="J126" s="4"/>
      <c r="K126" s="4"/>
      <c r="L126" s="4"/>
      <c r="M126" s="4"/>
      <c r="N126" s="4"/>
      <c r="O126" s="4"/>
      <c r="P126" s="4"/>
      <c r="Q126" s="4"/>
      <c r="R126" s="4"/>
      <c r="S126" s="4"/>
      <c r="T126" s="4"/>
      <c r="U126" s="4"/>
      <c r="V126" s="5"/>
      <c r="W126" s="4"/>
      <c r="X126" s="4"/>
      <c r="Y126" s="4"/>
      <c r="Z126" s="4"/>
      <c r="AA126" s="4"/>
      <c r="AB126" s="4"/>
      <c r="AC126" s="6"/>
    </row>
    <row r="127" spans="2:29" ht="15.75">
      <c r="B127" s="4"/>
      <c r="C127" s="4"/>
      <c r="D127" s="4"/>
      <c r="E127" s="4"/>
      <c r="F127" s="4"/>
      <c r="G127" s="4"/>
      <c r="H127" s="4"/>
      <c r="I127" s="4"/>
      <c r="J127" s="4"/>
      <c r="K127" s="4"/>
      <c r="L127" s="4"/>
      <c r="M127" s="4"/>
      <c r="N127" s="4"/>
      <c r="O127" s="4"/>
      <c r="P127" s="4"/>
      <c r="Q127" s="4"/>
      <c r="R127" s="4"/>
      <c r="S127" s="4"/>
      <c r="T127" s="4"/>
      <c r="U127" s="4"/>
      <c r="V127" s="5"/>
      <c r="W127" s="4"/>
      <c r="X127" s="4"/>
      <c r="Y127" s="4"/>
      <c r="Z127" s="4"/>
      <c r="AA127" s="4"/>
      <c r="AB127" s="4"/>
      <c r="AC127" s="6"/>
    </row>
    <row r="128" spans="2:29" ht="15.75">
      <c r="B128" s="4"/>
      <c r="C128" s="4"/>
      <c r="D128" s="4"/>
      <c r="E128" s="4"/>
      <c r="F128" s="4"/>
      <c r="G128" s="4"/>
      <c r="H128" s="4"/>
      <c r="I128" s="4"/>
      <c r="J128" s="4"/>
      <c r="K128" s="4"/>
      <c r="L128" s="4"/>
      <c r="M128" s="4"/>
      <c r="N128" s="4"/>
      <c r="O128" s="4"/>
      <c r="P128" s="4"/>
      <c r="Q128" s="4"/>
      <c r="R128" s="4"/>
      <c r="S128" s="4"/>
      <c r="T128" s="4"/>
      <c r="U128" s="4"/>
      <c r="V128" s="5"/>
      <c r="W128" s="4"/>
      <c r="X128" s="4"/>
      <c r="Y128" s="4"/>
      <c r="Z128" s="4"/>
      <c r="AA128" s="4"/>
      <c r="AB128" s="4"/>
      <c r="AC128" s="6"/>
    </row>
    <row r="129" spans="2:29" ht="15.75">
      <c r="B129" s="4"/>
      <c r="C129" s="4"/>
      <c r="D129" s="4"/>
      <c r="E129" s="4"/>
      <c r="F129" s="4"/>
      <c r="G129" s="4"/>
      <c r="H129" s="4"/>
      <c r="I129" s="4"/>
      <c r="J129" s="4"/>
      <c r="K129" s="4"/>
      <c r="L129" s="4"/>
      <c r="M129" s="4"/>
      <c r="N129" s="4"/>
      <c r="O129" s="4"/>
      <c r="P129" s="4"/>
      <c r="Q129" s="4"/>
      <c r="R129" s="4"/>
      <c r="S129" s="4"/>
      <c r="T129" s="4"/>
      <c r="U129" s="4"/>
      <c r="V129" s="5"/>
      <c r="W129" s="4"/>
      <c r="X129" s="4"/>
      <c r="Y129" s="4"/>
      <c r="Z129" s="4"/>
      <c r="AA129" s="4"/>
      <c r="AB129" s="4"/>
      <c r="AC129" s="6"/>
    </row>
    <row r="130" spans="2:29" ht="15.75">
      <c r="B130" s="4"/>
      <c r="C130" s="4"/>
      <c r="D130" s="4"/>
      <c r="E130" s="4"/>
      <c r="F130" s="4"/>
      <c r="G130" s="4"/>
      <c r="H130" s="4"/>
      <c r="I130" s="4"/>
      <c r="J130" s="4"/>
      <c r="K130" s="4"/>
      <c r="L130" s="4"/>
      <c r="M130" s="4"/>
      <c r="N130" s="4"/>
      <c r="O130" s="4"/>
      <c r="P130" s="4"/>
      <c r="Q130" s="4"/>
      <c r="R130" s="4"/>
      <c r="S130" s="4"/>
      <c r="T130" s="4"/>
      <c r="U130" s="4"/>
      <c r="V130" s="5"/>
      <c r="W130" s="4"/>
      <c r="X130" s="4"/>
      <c r="Y130" s="4"/>
      <c r="Z130" s="4"/>
      <c r="AA130" s="4"/>
      <c r="AB130" s="4"/>
      <c r="AC130" s="6"/>
    </row>
    <row r="131" spans="2:29" ht="15.75">
      <c r="B131" s="4"/>
      <c r="C131" s="4"/>
      <c r="D131" s="4"/>
      <c r="E131" s="4"/>
      <c r="F131" s="4"/>
      <c r="G131" s="4"/>
      <c r="H131" s="4"/>
      <c r="I131" s="4"/>
      <c r="J131" s="4"/>
      <c r="K131" s="4"/>
      <c r="L131" s="4"/>
      <c r="M131" s="4"/>
      <c r="N131" s="4"/>
      <c r="O131" s="4"/>
      <c r="P131" s="4"/>
      <c r="Q131" s="4"/>
      <c r="R131" s="4"/>
      <c r="S131" s="4"/>
      <c r="T131" s="4"/>
      <c r="U131" s="4"/>
      <c r="V131" s="5"/>
      <c r="W131" s="4"/>
      <c r="X131" s="4"/>
      <c r="Y131" s="4"/>
      <c r="Z131" s="4"/>
      <c r="AA131" s="4"/>
      <c r="AB131" s="4"/>
      <c r="AC131" s="6"/>
    </row>
  </sheetData>
  <hyperlinks>
    <hyperlink ref="K2" location="'Appendix A'!A1" display="[Return to Menu]"/>
  </hyperlink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K58"/>
  <sheetViews>
    <sheetView workbookViewId="0" topLeftCell="A1">
      <pane ySplit="6" topLeftCell="BM7" activePane="bottomLeft" state="frozen"/>
      <selection pane="topLeft" activeCell="A1" sqref="A1"/>
      <selection pane="bottomLeft" activeCell="A1" sqref="A1"/>
    </sheetView>
  </sheetViews>
  <sheetFormatPr defaultColWidth="9.140625" defaultRowHeight="12.75"/>
  <cols>
    <col min="1" max="1" width="25.421875" style="6" customWidth="1"/>
    <col min="2" max="2" width="9.140625" style="6" customWidth="1"/>
    <col min="3" max="3" width="9.00390625" style="6" customWidth="1"/>
    <col min="4" max="4" width="8.140625" style="6" customWidth="1"/>
    <col min="5" max="5" width="8.8515625" style="6" customWidth="1"/>
    <col min="6" max="6" width="8.421875" style="6" customWidth="1"/>
    <col min="7" max="7" width="9.140625" style="6" customWidth="1"/>
    <col min="8" max="9" width="7.8515625" style="6" customWidth="1"/>
    <col min="10" max="10" width="9.421875" style="6" customWidth="1"/>
    <col min="11" max="12" width="16.140625" style="6" bestFit="1" customWidth="1"/>
    <col min="13" max="13" width="7.8515625" style="6" bestFit="1" customWidth="1"/>
    <col min="14" max="14" width="5.421875" style="6" bestFit="1" customWidth="1"/>
    <col min="15" max="15" width="5.00390625" style="6" bestFit="1" customWidth="1"/>
    <col min="16" max="16" width="7.8515625" style="6" bestFit="1" customWidth="1"/>
    <col min="17" max="17" width="5.421875" style="6" bestFit="1" customWidth="1"/>
    <col min="18" max="18" width="5.00390625" style="6" bestFit="1" customWidth="1"/>
    <col min="19" max="19" width="7.8515625" style="6" bestFit="1" customWidth="1"/>
    <col min="20" max="20" width="5.421875" style="6" bestFit="1" customWidth="1"/>
    <col min="21" max="21" width="5.00390625" style="6" bestFit="1" customWidth="1"/>
    <col min="22" max="22" width="7.28125" style="6" customWidth="1"/>
    <col min="23" max="23" width="5.421875" style="6" bestFit="1" customWidth="1"/>
    <col min="24" max="24" width="5.00390625" style="6" bestFit="1" customWidth="1"/>
    <col min="25" max="25" width="7.8515625" style="6" bestFit="1" customWidth="1"/>
    <col min="26" max="26" width="5.421875" style="6" bestFit="1" customWidth="1"/>
    <col min="27" max="27" width="5.00390625" style="6" bestFit="1" customWidth="1"/>
    <col min="28" max="28" width="7.8515625" style="6" bestFit="1" customWidth="1"/>
    <col min="29" max="16384" width="9.140625" style="6" customWidth="1"/>
  </cols>
  <sheetData>
    <row r="1" ht="15.75">
      <c r="A1" s="95" t="s">
        <v>98</v>
      </c>
    </row>
    <row r="2" ht="15.75">
      <c r="K2" s="96" t="s">
        <v>71</v>
      </c>
    </row>
    <row r="3" spans="1:10" ht="15.75">
      <c r="A3" s="20" t="s">
        <v>10</v>
      </c>
      <c r="B3" s="101"/>
      <c r="C3" s="97"/>
      <c r="D3" s="97"/>
      <c r="E3" s="97"/>
      <c r="F3" s="97"/>
      <c r="G3" s="97"/>
      <c r="H3" s="97"/>
      <c r="I3" s="97"/>
      <c r="J3" s="97"/>
    </row>
    <row r="4" spans="1:10" s="95" customFormat="1" ht="28.5" customHeight="1">
      <c r="A4" s="189" t="s">
        <v>99</v>
      </c>
      <c r="B4" s="190" t="s">
        <v>170</v>
      </c>
      <c r="C4" s="191" t="s">
        <v>171</v>
      </c>
      <c r="D4" s="191" t="s">
        <v>172</v>
      </c>
      <c r="E4" s="191" t="s">
        <v>173</v>
      </c>
      <c r="F4" s="191" t="s">
        <v>174</v>
      </c>
      <c r="G4" s="191" t="s">
        <v>175</v>
      </c>
      <c r="H4" s="191" t="s">
        <v>176</v>
      </c>
      <c r="I4" s="191" t="s">
        <v>177</v>
      </c>
      <c r="J4" s="191" t="s">
        <v>178</v>
      </c>
    </row>
    <row r="5" spans="1:10" ht="15.75">
      <c r="A5" s="98" t="s">
        <v>0</v>
      </c>
      <c r="B5" s="100">
        <v>54.2</v>
      </c>
      <c r="C5" s="99">
        <v>68.5</v>
      </c>
      <c r="D5" s="99">
        <v>41.7</v>
      </c>
      <c r="E5" s="99">
        <v>56.8</v>
      </c>
      <c r="F5" s="99">
        <v>65.5</v>
      </c>
      <c r="G5" s="99">
        <v>48.9</v>
      </c>
      <c r="H5" s="99">
        <v>62.3</v>
      </c>
      <c r="I5" s="99">
        <v>68.7</v>
      </c>
      <c r="J5" s="99">
        <v>56.3</v>
      </c>
    </row>
    <row r="6" spans="1:10" ht="15.75">
      <c r="A6" s="95" t="s">
        <v>14</v>
      </c>
      <c r="B6" s="91"/>
      <c r="C6" s="87"/>
      <c r="D6" s="87"/>
      <c r="E6" s="87"/>
      <c r="F6" s="87"/>
      <c r="G6" s="87"/>
      <c r="H6" s="87"/>
      <c r="I6" s="87"/>
      <c r="J6" s="87"/>
    </row>
    <row r="7" spans="1:10" ht="15.75">
      <c r="A7" s="95" t="s">
        <v>68</v>
      </c>
      <c r="B7" s="91">
        <v>54.6</v>
      </c>
      <c r="C7" s="87">
        <v>69.5</v>
      </c>
      <c r="D7" s="87">
        <v>41.3</v>
      </c>
      <c r="E7" s="87">
        <v>58.2</v>
      </c>
      <c r="F7" s="87">
        <v>66.7</v>
      </c>
      <c r="G7" s="87">
        <v>50.3</v>
      </c>
      <c r="H7" s="87">
        <v>63.7</v>
      </c>
      <c r="I7" s="87">
        <v>69.8</v>
      </c>
      <c r="J7" s="87">
        <v>57.9</v>
      </c>
    </row>
    <row r="8" spans="1:10" ht="15.75">
      <c r="A8" s="95" t="s">
        <v>69</v>
      </c>
      <c r="B8" s="91">
        <v>52.2</v>
      </c>
      <c r="C8" s="87">
        <v>60</v>
      </c>
      <c r="D8" s="87">
        <v>46.2</v>
      </c>
      <c r="E8" s="87">
        <v>49.3</v>
      </c>
      <c r="F8" s="87">
        <v>54.5</v>
      </c>
      <c r="G8" s="87">
        <v>45.3</v>
      </c>
      <c r="H8" s="87">
        <v>54.2</v>
      </c>
      <c r="I8" s="87">
        <v>56.8</v>
      </c>
      <c r="J8" s="87">
        <v>52.2</v>
      </c>
    </row>
    <row r="9" spans="1:10" ht="15.75">
      <c r="A9" s="95" t="s">
        <v>70</v>
      </c>
      <c r="B9" s="91">
        <v>52.6</v>
      </c>
      <c r="C9" s="87">
        <v>70.1</v>
      </c>
      <c r="D9" s="87">
        <v>38</v>
      </c>
      <c r="E9" s="87">
        <v>49.8</v>
      </c>
      <c r="F9" s="87">
        <v>63.6</v>
      </c>
      <c r="G9" s="87">
        <v>38.1</v>
      </c>
      <c r="H9" s="87">
        <v>58.1</v>
      </c>
      <c r="I9" s="87">
        <v>69.6</v>
      </c>
      <c r="J9" s="87">
        <v>47.8</v>
      </c>
    </row>
    <row r="10" spans="1:10" ht="15.75">
      <c r="A10" s="95" t="s">
        <v>16</v>
      </c>
      <c r="B10" s="91"/>
      <c r="C10" s="87"/>
      <c r="D10" s="87"/>
      <c r="E10" s="87"/>
      <c r="F10" s="87"/>
      <c r="G10" s="87"/>
      <c r="H10" s="87"/>
      <c r="I10" s="87"/>
      <c r="J10" s="87"/>
    </row>
    <row r="11" spans="1:10" ht="15.75">
      <c r="A11" s="95" t="s">
        <v>77</v>
      </c>
      <c r="B11" s="91">
        <v>46.1</v>
      </c>
      <c r="C11" s="87">
        <v>59.8</v>
      </c>
      <c r="D11" s="87">
        <v>33.2</v>
      </c>
      <c r="E11" s="87">
        <v>41.6</v>
      </c>
      <c r="F11" s="87">
        <v>52.6</v>
      </c>
      <c r="G11" s="87">
        <v>31.7</v>
      </c>
      <c r="H11" s="87">
        <v>43</v>
      </c>
      <c r="I11" s="87">
        <v>51.7</v>
      </c>
      <c r="J11" s="87">
        <v>34.5</v>
      </c>
    </row>
    <row r="12" spans="1:10" ht="15.75">
      <c r="A12" s="95" t="s">
        <v>78</v>
      </c>
      <c r="B12" s="91">
        <v>53.2</v>
      </c>
      <c r="C12" s="87">
        <v>68.8</v>
      </c>
      <c r="D12" s="87">
        <v>43.3</v>
      </c>
      <c r="E12" s="87">
        <v>56</v>
      </c>
      <c r="F12" s="87">
        <v>65.1</v>
      </c>
      <c r="G12" s="87">
        <v>49.4</v>
      </c>
      <c r="H12" s="87">
        <v>58.1</v>
      </c>
      <c r="I12" s="87">
        <v>64.3</v>
      </c>
      <c r="J12" s="87">
        <v>53.2</v>
      </c>
    </row>
    <row r="13" spans="1:10" ht="15.75">
      <c r="A13" s="95" t="s">
        <v>79</v>
      </c>
      <c r="B13" s="91">
        <v>58.9</v>
      </c>
      <c r="C13" s="87">
        <v>71.5</v>
      </c>
      <c r="D13" s="87">
        <v>47.4</v>
      </c>
      <c r="E13" s="87">
        <v>62.5</v>
      </c>
      <c r="F13" s="87">
        <v>68.6</v>
      </c>
      <c r="G13" s="87">
        <v>57.1</v>
      </c>
      <c r="H13" s="87">
        <v>66.3</v>
      </c>
      <c r="I13" s="87">
        <v>70.9</v>
      </c>
      <c r="J13" s="87">
        <v>62.6</v>
      </c>
    </row>
    <row r="14" spans="1:10" ht="15.75">
      <c r="A14" s="95" t="s">
        <v>80</v>
      </c>
      <c r="B14" s="91">
        <v>72.1</v>
      </c>
      <c r="C14" s="87">
        <v>82.1</v>
      </c>
      <c r="D14" s="87">
        <v>55.4</v>
      </c>
      <c r="E14" s="87">
        <v>70.9</v>
      </c>
      <c r="F14" s="87">
        <v>76</v>
      </c>
      <c r="G14" s="87">
        <v>63.2</v>
      </c>
      <c r="H14" s="87">
        <v>74.7</v>
      </c>
      <c r="I14" s="87">
        <v>80</v>
      </c>
      <c r="J14" s="87">
        <v>68.3</v>
      </c>
    </row>
    <row r="15" spans="1:10" ht="15.75">
      <c r="A15" s="95" t="s">
        <v>17</v>
      </c>
      <c r="B15" s="91"/>
      <c r="C15" s="87"/>
      <c r="D15" s="87"/>
      <c r="E15" s="87"/>
      <c r="F15" s="87"/>
      <c r="G15" s="87"/>
      <c r="H15" s="87"/>
      <c r="I15" s="87" t="s">
        <v>31</v>
      </c>
      <c r="J15" s="87"/>
    </row>
    <row r="16" spans="1:10" ht="15.75">
      <c r="A16" s="95" t="s">
        <v>81</v>
      </c>
      <c r="B16" s="91">
        <v>54.7</v>
      </c>
      <c r="C16" s="87">
        <v>71</v>
      </c>
      <c r="D16" s="87">
        <v>37.1</v>
      </c>
      <c r="E16" s="87">
        <v>57.6</v>
      </c>
      <c r="F16" s="87">
        <v>67.8</v>
      </c>
      <c r="G16" s="87">
        <v>46.2</v>
      </c>
      <c r="H16" s="87">
        <v>63.6</v>
      </c>
      <c r="I16" s="87">
        <v>71.9</v>
      </c>
      <c r="J16" s="87">
        <v>54.4</v>
      </c>
    </row>
    <row r="17" spans="1:10" ht="15.75">
      <c r="A17" s="95" t="s">
        <v>82</v>
      </c>
      <c r="B17" s="91">
        <v>46.1</v>
      </c>
      <c r="C17" s="87">
        <v>52.7</v>
      </c>
      <c r="D17" s="87">
        <v>44.9</v>
      </c>
      <c r="E17" s="87">
        <v>44.6</v>
      </c>
      <c r="F17" s="87">
        <v>47.5</v>
      </c>
      <c r="G17" s="87">
        <v>44</v>
      </c>
      <c r="H17" s="87">
        <v>48.5</v>
      </c>
      <c r="I17" s="87">
        <v>50.4</v>
      </c>
      <c r="J17" s="87">
        <v>48.1</v>
      </c>
    </row>
    <row r="18" spans="1:10" ht="15.75">
      <c r="A18" s="95" t="s">
        <v>83</v>
      </c>
      <c r="B18" s="91">
        <v>62.4</v>
      </c>
      <c r="C18" s="87">
        <v>60.1</v>
      </c>
      <c r="D18" s="87">
        <v>63.8</v>
      </c>
      <c r="E18" s="87">
        <v>64.4</v>
      </c>
      <c r="F18" s="87">
        <v>61</v>
      </c>
      <c r="G18" s="87">
        <v>66.8</v>
      </c>
      <c r="H18" s="87">
        <v>65.4</v>
      </c>
      <c r="I18" s="87">
        <v>61.4</v>
      </c>
      <c r="J18" s="87">
        <v>68.1</v>
      </c>
    </row>
    <row r="19" spans="1:10" ht="15.75">
      <c r="A19" s="189" t="s">
        <v>84</v>
      </c>
      <c r="B19" s="93">
        <v>57.1</v>
      </c>
      <c r="C19" s="94">
        <v>55.1</v>
      </c>
      <c r="D19" s="94">
        <v>59.3</v>
      </c>
      <c r="E19" s="94">
        <v>52.6</v>
      </c>
      <c r="F19" s="94">
        <v>50.8</v>
      </c>
      <c r="G19" s="94">
        <v>54.3</v>
      </c>
      <c r="H19" s="94">
        <v>56.8</v>
      </c>
      <c r="I19" s="94">
        <v>55.7</v>
      </c>
      <c r="J19" s="94">
        <v>57.9</v>
      </c>
    </row>
    <row r="20" spans="1:10" ht="15.75">
      <c r="A20" s="95"/>
      <c r="B20" s="91"/>
      <c r="C20" s="87"/>
      <c r="D20" s="87"/>
      <c r="E20" s="87"/>
      <c r="F20" s="87"/>
      <c r="G20" s="87"/>
      <c r="H20" s="87"/>
      <c r="I20" s="87"/>
      <c r="J20" s="87"/>
    </row>
    <row r="21" spans="1:10" ht="15.75">
      <c r="A21" s="20" t="s">
        <v>11</v>
      </c>
      <c r="B21" s="101"/>
      <c r="C21" s="97"/>
      <c r="D21" s="97"/>
      <c r="E21" s="97"/>
      <c r="F21" s="97"/>
      <c r="G21" s="97"/>
      <c r="H21" s="97"/>
      <c r="I21" s="97"/>
      <c r="J21" s="97"/>
    </row>
    <row r="22" spans="1:10" s="95" customFormat="1" ht="15.75">
      <c r="A22" s="189" t="s">
        <v>0</v>
      </c>
      <c r="B22" s="192">
        <v>61.1</v>
      </c>
      <c r="C22" s="193">
        <v>76.9</v>
      </c>
      <c r="D22" s="193">
        <v>47.1</v>
      </c>
      <c r="E22" s="193">
        <v>64.3</v>
      </c>
      <c r="F22" s="193">
        <v>73.8</v>
      </c>
      <c r="G22" s="193">
        <v>55.5</v>
      </c>
      <c r="H22" s="193">
        <v>68</v>
      </c>
      <c r="I22" s="193">
        <v>74.4</v>
      </c>
      <c r="J22" s="193">
        <v>62.1</v>
      </c>
    </row>
    <row r="23" spans="1:10" ht="15.75">
      <c r="A23" s="95" t="s">
        <v>14</v>
      </c>
      <c r="B23" s="91"/>
      <c r="C23" s="87"/>
      <c r="D23" s="87"/>
      <c r="E23" s="87"/>
      <c r="F23" s="87"/>
      <c r="G23" s="87"/>
      <c r="H23" s="87"/>
      <c r="I23" s="87"/>
      <c r="J23" s="87"/>
    </row>
    <row r="24" spans="1:10" ht="15.75">
      <c r="A24" s="95" t="s">
        <v>68</v>
      </c>
      <c r="B24" s="91">
        <v>61.5</v>
      </c>
      <c r="C24" s="87">
        <v>78</v>
      </c>
      <c r="D24" s="87">
        <v>46.7</v>
      </c>
      <c r="E24" s="87">
        <v>66.2</v>
      </c>
      <c r="F24" s="87">
        <v>75.3</v>
      </c>
      <c r="G24" s="87">
        <v>57.5</v>
      </c>
      <c r="H24" s="87">
        <v>69.5</v>
      </c>
      <c r="I24" s="87">
        <v>75.5</v>
      </c>
      <c r="J24" s="87">
        <v>63.7</v>
      </c>
    </row>
    <row r="25" spans="1:10" ht="15.75">
      <c r="A25" s="95" t="s">
        <v>69</v>
      </c>
      <c r="B25" s="91">
        <v>58.2</v>
      </c>
      <c r="C25" s="87">
        <v>67</v>
      </c>
      <c r="D25" s="87">
        <v>51.4</v>
      </c>
      <c r="E25" s="87">
        <v>55.4</v>
      </c>
      <c r="F25" s="87">
        <v>62.1</v>
      </c>
      <c r="G25" s="87">
        <v>50.1</v>
      </c>
      <c r="H25" s="87">
        <v>60.3</v>
      </c>
      <c r="I25" s="87">
        <v>63.5</v>
      </c>
      <c r="J25" s="87">
        <v>57.7</v>
      </c>
    </row>
    <row r="26" spans="1:10" ht="15.75">
      <c r="A26" s="95" t="s">
        <v>70</v>
      </c>
      <c r="B26" s="91">
        <v>57.3</v>
      </c>
      <c r="C26" s="87">
        <v>75.8</v>
      </c>
      <c r="D26" s="87">
        <v>42</v>
      </c>
      <c r="E26" s="87">
        <v>54.9</v>
      </c>
      <c r="F26" s="87">
        <v>70.5</v>
      </c>
      <c r="G26" s="87">
        <v>41.5</v>
      </c>
      <c r="H26" s="87">
        <v>63.2</v>
      </c>
      <c r="I26" s="87">
        <v>74.5</v>
      </c>
      <c r="J26" s="87">
        <v>53.2</v>
      </c>
    </row>
    <row r="27" spans="1:10" ht="15.75">
      <c r="A27" s="95" t="s">
        <v>16</v>
      </c>
      <c r="B27" s="91"/>
      <c r="C27" s="87"/>
      <c r="D27" s="87"/>
      <c r="E27" s="87"/>
      <c r="F27" s="87"/>
      <c r="G27" s="87"/>
      <c r="H27" s="87"/>
      <c r="I27" s="87"/>
      <c r="J27" s="87"/>
    </row>
    <row r="28" spans="1:10" ht="15.75">
      <c r="A28" s="95" t="s">
        <v>77</v>
      </c>
      <c r="B28" s="91">
        <v>53.2</v>
      </c>
      <c r="C28" s="87">
        <v>68.4</v>
      </c>
      <c r="D28" s="87">
        <v>38.2</v>
      </c>
      <c r="E28" s="87">
        <v>48.9</v>
      </c>
      <c r="F28" s="87">
        <v>61.9</v>
      </c>
      <c r="G28" s="87">
        <v>37</v>
      </c>
      <c r="H28" s="87">
        <v>48.5</v>
      </c>
      <c r="I28" s="87">
        <v>58.3</v>
      </c>
      <c r="J28" s="87">
        <v>38.8</v>
      </c>
    </row>
    <row r="29" spans="1:10" ht="15.75">
      <c r="A29" s="95" t="s">
        <v>78</v>
      </c>
      <c r="B29" s="91">
        <v>59.7</v>
      </c>
      <c r="C29" s="87">
        <v>78</v>
      </c>
      <c r="D29" s="87">
        <v>48.3</v>
      </c>
      <c r="E29" s="87">
        <v>63.6</v>
      </c>
      <c r="F29" s="87">
        <v>74.2</v>
      </c>
      <c r="G29" s="87">
        <v>55.8</v>
      </c>
      <c r="H29" s="87">
        <v>64.2</v>
      </c>
      <c r="I29" s="87">
        <v>71.3</v>
      </c>
      <c r="J29" s="87">
        <v>58.8</v>
      </c>
    </row>
    <row r="30" spans="1:10" ht="15.75">
      <c r="A30" s="95" t="s">
        <v>79</v>
      </c>
      <c r="B30" s="91">
        <v>65.4</v>
      </c>
      <c r="C30" s="87">
        <v>79.4</v>
      </c>
      <c r="D30" s="87">
        <v>52.5</v>
      </c>
      <c r="E30" s="87">
        <v>70.4</v>
      </c>
      <c r="F30" s="87">
        <v>76.3</v>
      </c>
      <c r="G30" s="87">
        <v>65.1</v>
      </c>
      <c r="H30" s="87">
        <v>69.9</v>
      </c>
      <c r="I30" s="87">
        <v>73.7</v>
      </c>
      <c r="J30" s="87">
        <v>66.7</v>
      </c>
    </row>
    <row r="31" spans="1:10" ht="15.75">
      <c r="A31" s="95" t="s">
        <v>80</v>
      </c>
      <c r="B31" s="91">
        <v>77.5</v>
      </c>
      <c r="C31" s="87">
        <v>87</v>
      </c>
      <c r="D31" s="87">
        <v>61.4</v>
      </c>
      <c r="E31" s="87">
        <v>77</v>
      </c>
      <c r="F31" s="87">
        <v>82.3</v>
      </c>
      <c r="G31" s="87">
        <v>69.3</v>
      </c>
      <c r="H31" s="87">
        <v>78.9</v>
      </c>
      <c r="I31" s="87">
        <v>83.8</v>
      </c>
      <c r="J31" s="87">
        <v>73</v>
      </c>
    </row>
    <row r="32" spans="1:10" ht="15.75">
      <c r="A32" s="95" t="s">
        <v>17</v>
      </c>
      <c r="B32" s="91"/>
      <c r="C32" s="87"/>
      <c r="D32" s="87"/>
      <c r="E32" s="87"/>
      <c r="F32" s="87"/>
      <c r="G32" s="87"/>
      <c r="H32" s="87"/>
      <c r="I32" s="87"/>
      <c r="J32" s="87"/>
    </row>
    <row r="33" spans="1:10" ht="15.75">
      <c r="A33" s="95" t="s">
        <v>81</v>
      </c>
      <c r="B33" s="91">
        <v>61.4</v>
      </c>
      <c r="C33" s="87">
        <v>79.5</v>
      </c>
      <c r="D33" s="87">
        <v>42.2</v>
      </c>
      <c r="E33" s="87">
        <v>65.2</v>
      </c>
      <c r="F33" s="87">
        <v>76.4</v>
      </c>
      <c r="G33" s="87">
        <v>53</v>
      </c>
      <c r="H33" s="87">
        <v>69.3</v>
      </c>
      <c r="I33" s="87">
        <v>77.8</v>
      </c>
      <c r="J33" s="87">
        <v>60</v>
      </c>
    </row>
    <row r="34" spans="1:10" ht="15.75">
      <c r="A34" s="95" t="s">
        <v>82</v>
      </c>
      <c r="B34" s="91">
        <v>53.3</v>
      </c>
      <c r="C34" s="87">
        <v>59.6</v>
      </c>
      <c r="D34" s="87">
        <v>52.2</v>
      </c>
      <c r="E34" s="87">
        <v>51.9</v>
      </c>
      <c r="F34" s="87">
        <v>57.2</v>
      </c>
      <c r="G34" s="87">
        <v>50.9</v>
      </c>
      <c r="H34" s="87">
        <v>56.3</v>
      </c>
      <c r="I34" s="87">
        <v>58.5</v>
      </c>
      <c r="J34" s="87">
        <v>55.8</v>
      </c>
    </row>
    <row r="35" spans="1:10" ht="15.75">
      <c r="A35" s="95" t="s">
        <v>83</v>
      </c>
      <c r="B35" s="91">
        <v>68.4</v>
      </c>
      <c r="C35" s="87">
        <v>66.8</v>
      </c>
      <c r="D35" s="87">
        <v>69.4</v>
      </c>
      <c r="E35" s="87">
        <v>70.6</v>
      </c>
      <c r="F35" s="87">
        <v>67.7</v>
      </c>
      <c r="G35" s="87">
        <v>72.6</v>
      </c>
      <c r="H35" s="87">
        <v>70.1</v>
      </c>
      <c r="I35" s="87">
        <v>66.2</v>
      </c>
      <c r="J35" s="87">
        <v>72.8</v>
      </c>
    </row>
    <row r="36" spans="1:10" ht="15.75">
      <c r="A36" s="189" t="s">
        <v>84</v>
      </c>
      <c r="B36" s="93">
        <v>62.2</v>
      </c>
      <c r="C36" s="94">
        <v>61.2</v>
      </c>
      <c r="D36" s="94">
        <v>63.2</v>
      </c>
      <c r="E36" s="94">
        <v>57.3</v>
      </c>
      <c r="F36" s="94">
        <v>55.4</v>
      </c>
      <c r="G36" s="94">
        <v>59.2</v>
      </c>
      <c r="H36" s="94">
        <v>61.6</v>
      </c>
      <c r="I36" s="94">
        <v>60</v>
      </c>
      <c r="J36" s="94">
        <v>63.4</v>
      </c>
    </row>
    <row r="37" spans="1:10" ht="15.75">
      <c r="A37" s="20"/>
      <c r="B37" s="101"/>
      <c r="C37" s="97"/>
      <c r="D37" s="97"/>
      <c r="E37" s="97"/>
      <c r="F37" s="97"/>
      <c r="G37" s="97"/>
      <c r="H37" s="97"/>
      <c r="I37" s="97"/>
      <c r="J37" s="97"/>
    </row>
    <row r="38" spans="1:10" ht="15.75">
      <c r="A38" s="194" t="s">
        <v>12</v>
      </c>
      <c r="B38" s="103"/>
      <c r="C38" s="104"/>
      <c r="D38" s="104"/>
      <c r="E38" s="104"/>
      <c r="F38" s="104"/>
      <c r="G38" s="104"/>
      <c r="H38" s="104"/>
      <c r="I38" s="104"/>
      <c r="J38" s="104"/>
    </row>
    <row r="39" spans="1:10" s="95" customFormat="1" ht="15.75">
      <c r="A39" s="98" t="s">
        <v>0</v>
      </c>
      <c r="B39" s="100">
        <v>37.6</v>
      </c>
      <c r="C39" s="99">
        <v>47.5</v>
      </c>
      <c r="D39" s="99">
        <v>28.8</v>
      </c>
      <c r="E39" s="99">
        <v>38.9</v>
      </c>
      <c r="F39" s="99">
        <v>45.1</v>
      </c>
      <c r="G39" s="99">
        <v>33.1</v>
      </c>
      <c r="H39" s="99">
        <v>44.4</v>
      </c>
      <c r="I39" s="99">
        <v>50.8</v>
      </c>
      <c r="J39" s="99">
        <v>38.7</v>
      </c>
    </row>
    <row r="40" spans="1:10" ht="15.75">
      <c r="A40" s="95" t="s">
        <v>14</v>
      </c>
      <c r="B40" s="91"/>
      <c r="C40" s="87"/>
      <c r="D40" s="87"/>
      <c r="E40" s="87"/>
      <c r="F40" s="87"/>
      <c r="G40" s="87"/>
      <c r="H40" s="87"/>
      <c r="I40" s="87"/>
      <c r="J40" s="87"/>
    </row>
    <row r="41" spans="1:10" ht="15.75">
      <c r="A41" s="95" t="s">
        <v>68</v>
      </c>
      <c r="B41" s="91">
        <v>37.6</v>
      </c>
      <c r="C41" s="87">
        <v>48.4</v>
      </c>
      <c r="D41" s="87">
        <v>28.3</v>
      </c>
      <c r="E41" s="87">
        <v>39.6</v>
      </c>
      <c r="F41" s="87">
        <v>46.3</v>
      </c>
      <c r="G41" s="87">
        <v>33.5</v>
      </c>
      <c r="H41" s="87">
        <v>45.7</v>
      </c>
      <c r="I41" s="87">
        <v>51.8</v>
      </c>
      <c r="J41" s="87">
        <v>40.1</v>
      </c>
    </row>
    <row r="42" spans="1:10" ht="15.75">
      <c r="A42" s="95" t="s">
        <v>69</v>
      </c>
      <c r="B42" s="91">
        <v>36.3</v>
      </c>
      <c r="C42" s="87">
        <v>41.6</v>
      </c>
      <c r="D42" s="87">
        <v>32.3</v>
      </c>
      <c r="E42" s="87">
        <v>33.3</v>
      </c>
      <c r="F42" s="87">
        <v>33.7</v>
      </c>
      <c r="G42" s="87">
        <v>33</v>
      </c>
      <c r="H42" s="87">
        <v>36.8</v>
      </c>
      <c r="I42" s="87">
        <v>37.2</v>
      </c>
      <c r="J42" s="87">
        <v>36.5</v>
      </c>
    </row>
    <row r="43" spans="1:10" ht="15.75">
      <c r="A43" s="95" t="s">
        <v>70</v>
      </c>
      <c r="B43" s="91">
        <v>37.3</v>
      </c>
      <c r="C43" s="87">
        <v>51.8</v>
      </c>
      <c r="D43" s="87">
        <v>24.7</v>
      </c>
      <c r="E43" s="87">
        <v>36.6</v>
      </c>
      <c r="F43" s="87">
        <v>44.3</v>
      </c>
      <c r="G43" s="87">
        <v>30.4</v>
      </c>
      <c r="H43" s="87">
        <v>40.8</v>
      </c>
      <c r="I43" s="87">
        <v>53.3</v>
      </c>
      <c r="J43" s="87">
        <v>29.2</v>
      </c>
    </row>
    <row r="44" spans="1:10" ht="15.75">
      <c r="A44" s="95" t="s">
        <v>16</v>
      </c>
      <c r="B44" s="91"/>
      <c r="C44" s="87"/>
      <c r="D44" s="87"/>
      <c r="E44" s="87"/>
      <c r="F44" s="87"/>
      <c r="G44" s="87"/>
      <c r="H44" s="87"/>
      <c r="I44" s="87"/>
      <c r="J44" s="87"/>
    </row>
    <row r="45" spans="1:10" ht="15.75">
      <c r="A45" s="95" t="s">
        <v>77</v>
      </c>
      <c r="B45" s="91">
        <v>30.4</v>
      </c>
      <c r="C45" s="87">
        <v>39.2</v>
      </c>
      <c r="D45" s="87">
        <v>22.9</v>
      </c>
      <c r="E45" s="87">
        <v>27.3</v>
      </c>
      <c r="F45" s="87">
        <v>33.7</v>
      </c>
      <c r="G45" s="87">
        <v>22</v>
      </c>
      <c r="H45" s="87">
        <v>28.8</v>
      </c>
      <c r="I45" s="87">
        <v>35.6</v>
      </c>
      <c r="J45" s="87">
        <v>22.8</v>
      </c>
    </row>
    <row r="46" spans="1:10" ht="15.75">
      <c r="A46" s="95" t="s">
        <v>78</v>
      </c>
      <c r="B46" s="91">
        <v>36.9</v>
      </c>
      <c r="C46" s="87">
        <v>46.9</v>
      </c>
      <c r="D46" s="87">
        <v>29.9</v>
      </c>
      <c r="E46" s="87">
        <v>37.5</v>
      </c>
      <c r="F46" s="87">
        <v>43.1</v>
      </c>
      <c r="G46" s="87">
        <v>33.5</v>
      </c>
      <c r="H46" s="87">
        <v>41</v>
      </c>
      <c r="I46" s="87">
        <v>46.5</v>
      </c>
      <c r="J46" s="87">
        <v>36.7</v>
      </c>
    </row>
    <row r="47" spans="1:10" ht="15.75">
      <c r="A47" s="95" t="s">
        <v>79</v>
      </c>
      <c r="B47" s="91">
        <v>42.5</v>
      </c>
      <c r="C47" s="87">
        <v>51.4</v>
      </c>
      <c r="D47" s="87">
        <v>34.6</v>
      </c>
      <c r="E47" s="87">
        <v>44</v>
      </c>
      <c r="F47" s="87">
        <v>49.1</v>
      </c>
      <c r="G47" s="87">
        <v>39.8</v>
      </c>
      <c r="H47" s="87">
        <v>48.6</v>
      </c>
      <c r="I47" s="87">
        <v>53.2</v>
      </c>
      <c r="J47" s="87">
        <v>45.2</v>
      </c>
    </row>
    <row r="48" spans="1:10" ht="15.75">
      <c r="A48" s="95" t="s">
        <v>80</v>
      </c>
      <c r="B48" s="91">
        <v>55.5</v>
      </c>
      <c r="C48" s="87">
        <v>66.5</v>
      </c>
      <c r="D48" s="87">
        <v>38.1</v>
      </c>
      <c r="E48" s="87">
        <v>54.6</v>
      </c>
      <c r="F48" s="87">
        <v>59.6</v>
      </c>
      <c r="G48" s="87">
        <v>46.7</v>
      </c>
      <c r="H48" s="87">
        <v>56.8</v>
      </c>
      <c r="I48" s="87">
        <v>62.9</v>
      </c>
      <c r="J48" s="87">
        <v>48.7</v>
      </c>
    </row>
    <row r="49" spans="1:10" ht="15.75">
      <c r="A49" s="95" t="s">
        <v>17</v>
      </c>
      <c r="B49" s="91"/>
      <c r="C49" s="87"/>
      <c r="D49" s="87"/>
      <c r="E49" s="87"/>
      <c r="F49" s="87"/>
      <c r="G49" s="87"/>
      <c r="H49" s="87"/>
      <c r="I49" s="87"/>
      <c r="J49" s="87"/>
    </row>
    <row r="50" spans="1:10" ht="15.75">
      <c r="A50" s="95" t="s">
        <v>81</v>
      </c>
      <c r="B50" s="91">
        <v>37.2</v>
      </c>
      <c r="C50" s="87">
        <v>49.4</v>
      </c>
      <c r="D50" s="87">
        <v>23.6</v>
      </c>
      <c r="E50" s="87">
        <v>38.6</v>
      </c>
      <c r="F50" s="87">
        <v>46.8</v>
      </c>
      <c r="G50" s="87">
        <v>29.3</v>
      </c>
      <c r="H50" s="87">
        <v>45.4</v>
      </c>
      <c r="I50" s="87">
        <v>53.6</v>
      </c>
      <c r="J50" s="87">
        <v>36.1</v>
      </c>
    </row>
    <row r="51" spans="1:10" ht="15.75">
      <c r="A51" s="95" t="s">
        <v>82</v>
      </c>
      <c r="B51" s="91">
        <v>34.8</v>
      </c>
      <c r="C51" s="87">
        <v>42.2</v>
      </c>
      <c r="D51" s="87">
        <v>33.5</v>
      </c>
      <c r="E51" s="87">
        <v>34</v>
      </c>
      <c r="F51" s="87">
        <v>34.4</v>
      </c>
      <c r="G51" s="87">
        <v>34</v>
      </c>
      <c r="H51" s="87">
        <v>35.2</v>
      </c>
      <c r="I51" s="87">
        <v>35.2</v>
      </c>
      <c r="J51" s="87">
        <v>35.2</v>
      </c>
    </row>
    <row r="52" spans="1:10" ht="15.75">
      <c r="A52" s="95" t="s">
        <v>83</v>
      </c>
      <c r="B52" s="91">
        <v>43.7</v>
      </c>
      <c r="C52" s="87">
        <v>39.6</v>
      </c>
      <c r="D52" s="87">
        <v>46.3</v>
      </c>
      <c r="E52" s="87">
        <v>46.6</v>
      </c>
      <c r="F52" s="87">
        <v>41.4</v>
      </c>
      <c r="G52" s="87">
        <v>50.1</v>
      </c>
      <c r="H52" s="87">
        <v>48.9</v>
      </c>
      <c r="I52" s="87">
        <v>44.4</v>
      </c>
      <c r="J52" s="87">
        <v>51.8</v>
      </c>
    </row>
    <row r="53" spans="1:10" ht="15.75">
      <c r="A53" s="189" t="s">
        <v>84</v>
      </c>
      <c r="B53" s="93">
        <v>43.8</v>
      </c>
      <c r="C53" s="94">
        <v>38.4</v>
      </c>
      <c r="D53" s="94">
        <v>49.5</v>
      </c>
      <c r="E53" s="94">
        <v>40.2</v>
      </c>
      <c r="F53" s="94">
        <v>38.6</v>
      </c>
      <c r="G53" s="94">
        <v>41.8</v>
      </c>
      <c r="H53" s="94">
        <v>39.1</v>
      </c>
      <c r="I53" s="94">
        <v>38.7</v>
      </c>
      <c r="J53" s="94">
        <v>39.5</v>
      </c>
    </row>
    <row r="54" s="7" customFormat="1" ht="15.75">
      <c r="A54" s="31" t="s">
        <v>101</v>
      </c>
    </row>
    <row r="55" s="7" customFormat="1" ht="15.75">
      <c r="A55" s="7" t="s">
        <v>100</v>
      </c>
    </row>
    <row r="56" s="7" customFormat="1" ht="15.75">
      <c r="A56" s="7" t="s">
        <v>48</v>
      </c>
    </row>
    <row r="57" s="7" customFormat="1" ht="15.75">
      <c r="A57" s="31" t="s">
        <v>102</v>
      </c>
    </row>
    <row r="58" s="7" customFormat="1" ht="15.75">
      <c r="A58" s="31" t="s">
        <v>103</v>
      </c>
    </row>
  </sheetData>
  <hyperlinks>
    <hyperlink ref="K2" location="'Appendix A'!A1" display="[Return to Menu]"/>
  </hyperlinks>
  <printOptions/>
  <pageMargins left="0.5" right="0.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AB168"/>
  <sheetViews>
    <sheetView workbookViewId="0" topLeftCell="A1">
      <pane ySplit="8" topLeftCell="BM9" activePane="bottomLeft" state="frozen"/>
      <selection pane="topLeft" activeCell="A1" sqref="A1"/>
      <selection pane="bottomLeft" activeCell="A1" sqref="A1"/>
    </sheetView>
  </sheetViews>
  <sheetFormatPr defaultColWidth="9.140625" defaultRowHeight="12.75"/>
  <cols>
    <col min="1" max="1" width="29.140625" style="6" customWidth="1"/>
    <col min="2" max="10" width="9.140625" style="6" customWidth="1"/>
    <col min="11" max="11" width="16.140625" style="6" bestFit="1" customWidth="1"/>
    <col min="12" max="16384" width="9.140625" style="6" customWidth="1"/>
  </cols>
  <sheetData>
    <row r="1" ht="15.75">
      <c r="A1" s="95" t="s">
        <v>104</v>
      </c>
    </row>
    <row r="2" ht="15.75">
      <c r="K2" s="96" t="s">
        <v>71</v>
      </c>
    </row>
    <row r="3" spans="1:10" s="95" customFormat="1" ht="15.75">
      <c r="A3" s="20" t="s">
        <v>50</v>
      </c>
      <c r="B3" s="175"/>
      <c r="C3" s="121"/>
      <c r="D3" s="176"/>
      <c r="E3" s="175"/>
      <c r="F3" s="121"/>
      <c r="G3" s="176"/>
      <c r="H3" s="121"/>
      <c r="I3" s="121"/>
      <c r="J3" s="121"/>
    </row>
    <row r="4" spans="1:10" s="95" customFormat="1" ht="31.5">
      <c r="A4" s="189" t="s">
        <v>99</v>
      </c>
      <c r="B4" s="190" t="s">
        <v>170</v>
      </c>
      <c r="C4" s="191" t="s">
        <v>171</v>
      </c>
      <c r="D4" s="195" t="s">
        <v>172</v>
      </c>
      <c r="E4" s="190" t="s">
        <v>173</v>
      </c>
      <c r="F4" s="191" t="s">
        <v>174</v>
      </c>
      <c r="G4" s="195" t="s">
        <v>175</v>
      </c>
      <c r="H4" s="191" t="s">
        <v>176</v>
      </c>
      <c r="I4" s="191" t="s">
        <v>177</v>
      </c>
      <c r="J4" s="191" t="s">
        <v>178</v>
      </c>
    </row>
    <row r="5" spans="1:10" ht="15.75">
      <c r="A5" s="95" t="s">
        <v>0</v>
      </c>
      <c r="B5" s="101"/>
      <c r="C5" s="97"/>
      <c r="D5" s="102"/>
      <c r="E5" s="101"/>
      <c r="F5" s="97"/>
      <c r="G5" s="102"/>
      <c r="H5" s="97"/>
      <c r="I5" s="97"/>
      <c r="J5" s="97"/>
    </row>
    <row r="6" spans="1:10" s="95" customFormat="1" ht="15.75">
      <c r="A6" s="95" t="s">
        <v>43</v>
      </c>
      <c r="B6" s="147">
        <f>25660*'Table 4'!B159</f>
        <v>44396.64150943397</v>
      </c>
      <c r="C6" s="145">
        <f>29161*'Table 4'!B159</f>
        <v>50454.0320754717</v>
      </c>
      <c r="D6" s="150">
        <f>22901*'Table 4'!B159</f>
        <v>39623.05094339623</v>
      </c>
      <c r="E6" s="147">
        <f>37200*'Table 4'!B160</f>
        <v>46900.64161319891</v>
      </c>
      <c r="F6" s="145">
        <f>42557*'Table 4'!B160</f>
        <v>53654.58615948672</v>
      </c>
      <c r="G6" s="150">
        <f>33073*'Table 4'!B160</f>
        <v>41697.44408799268</v>
      </c>
      <c r="H6" s="145">
        <v>55407</v>
      </c>
      <c r="I6" s="145">
        <v>61274</v>
      </c>
      <c r="J6" s="145">
        <v>50393</v>
      </c>
    </row>
    <row r="7" spans="1:10" s="36" customFormat="1" ht="15.75">
      <c r="A7" s="194" t="s">
        <v>162</v>
      </c>
      <c r="B7" s="148">
        <v>269</v>
      </c>
      <c r="C7" s="146">
        <v>417</v>
      </c>
      <c r="D7" s="151">
        <v>326</v>
      </c>
      <c r="E7" s="148">
        <v>370</v>
      </c>
      <c r="F7" s="146">
        <v>621</v>
      </c>
      <c r="G7" s="151">
        <v>529</v>
      </c>
      <c r="H7" s="146">
        <v>463</v>
      </c>
      <c r="I7" s="146">
        <v>703</v>
      </c>
      <c r="J7" s="146">
        <v>618</v>
      </c>
    </row>
    <row r="8" spans="1:10" ht="15.75">
      <c r="A8" s="95" t="s">
        <v>14</v>
      </c>
      <c r="B8" s="91"/>
      <c r="C8" s="87"/>
      <c r="D8" s="92"/>
      <c r="E8" s="91"/>
      <c r="F8" s="87"/>
      <c r="G8" s="92"/>
      <c r="H8" s="87"/>
      <c r="I8" s="87"/>
      <c r="J8" s="87"/>
    </row>
    <row r="9" spans="1:10" ht="15.75">
      <c r="A9" s="95" t="s">
        <v>68</v>
      </c>
      <c r="B9" s="11">
        <f>27329*'Table 4'!B159</f>
        <v>47284.32641509434</v>
      </c>
      <c r="C9" s="5">
        <f>31023*'Table 4'!B159</f>
        <v>53675.64339622642</v>
      </c>
      <c r="D9" s="29">
        <f>24239*'Table 4'!B159</f>
        <v>41938.04339622642</v>
      </c>
      <c r="E9" s="11">
        <f>39494*'Table 4'!B160</f>
        <v>49792.84784601284</v>
      </c>
      <c r="F9" s="5">
        <f>44319*'Table 4'!B160</f>
        <v>55876.06278643447</v>
      </c>
      <c r="G9" s="29">
        <f>35197*'Table 4'!B160</f>
        <v>44375.31943171403</v>
      </c>
      <c r="H9" s="5">
        <v>59023</v>
      </c>
      <c r="I9" s="5">
        <v>65426</v>
      </c>
      <c r="J9" s="5">
        <v>53676</v>
      </c>
    </row>
    <row r="10" spans="1:10" s="36" customFormat="1" ht="15.75">
      <c r="A10" s="20" t="s">
        <v>163</v>
      </c>
      <c r="B10" s="149">
        <v>296</v>
      </c>
      <c r="C10" s="144">
        <v>401</v>
      </c>
      <c r="D10" s="152">
        <v>345</v>
      </c>
      <c r="E10" s="149">
        <v>531</v>
      </c>
      <c r="F10" s="144">
        <v>695</v>
      </c>
      <c r="G10" s="152">
        <v>569</v>
      </c>
      <c r="H10" s="144">
        <v>631</v>
      </c>
      <c r="I10" s="144">
        <v>902</v>
      </c>
      <c r="J10" s="144">
        <v>924</v>
      </c>
    </row>
    <row r="11" spans="1:10" ht="15.75">
      <c r="A11" s="95" t="s">
        <v>69</v>
      </c>
      <c r="B11" s="11">
        <f>15709*'Table 4'!B159</f>
        <v>27179.533962264155</v>
      </c>
      <c r="C11" s="5">
        <f>18355*'Table 4'!B159</f>
        <v>31757.613207547172</v>
      </c>
      <c r="D11" s="29">
        <f>13011*'Table 4'!B159</f>
        <v>22511.484905660378</v>
      </c>
      <c r="E11" s="11">
        <f>27136*'Table 4'!B160</f>
        <v>34212.252978918434</v>
      </c>
      <c r="F11" s="5">
        <f>32095*'Table 4'!B160</f>
        <v>40464.41109074245</v>
      </c>
      <c r="G11" s="29">
        <f>23370*'Table 4'!B160</f>
        <v>29464.19340054996</v>
      </c>
      <c r="H11" s="5">
        <v>36786</v>
      </c>
      <c r="I11" s="5">
        <v>42385</v>
      </c>
      <c r="J11" s="5">
        <v>32262</v>
      </c>
    </row>
    <row r="12" spans="1:10" s="36" customFormat="1" ht="15.75">
      <c r="A12" s="20" t="s">
        <v>163</v>
      </c>
      <c r="B12" s="149">
        <v>751</v>
      </c>
      <c r="C12" s="144">
        <v>857</v>
      </c>
      <c r="D12" s="152">
        <v>766</v>
      </c>
      <c r="E12" s="149">
        <v>1162</v>
      </c>
      <c r="F12" s="144">
        <v>1476</v>
      </c>
      <c r="G12" s="152">
        <v>1246</v>
      </c>
      <c r="H12" s="144">
        <v>1227</v>
      </c>
      <c r="I12" s="144">
        <v>2443</v>
      </c>
      <c r="J12" s="144">
        <v>1790</v>
      </c>
    </row>
    <row r="13" spans="1:10" ht="15.75">
      <c r="A13" s="95" t="s">
        <v>70</v>
      </c>
      <c r="B13" s="11">
        <f>18267*'Table 4'!B159</f>
        <v>31605.356603773587</v>
      </c>
      <c r="C13" s="5">
        <f>20416*'Table 4'!B159</f>
        <v>35323.5320754717</v>
      </c>
      <c r="D13" s="29">
        <f>16604*'Table 4'!B159</f>
        <v>28728.05283018868</v>
      </c>
      <c r="E13" s="11">
        <f>26870*'Table 4'!B160</f>
        <v>33876.88817598534</v>
      </c>
      <c r="F13" s="5">
        <f>30106*'Table 4'!B160</f>
        <v>37956.73968835931</v>
      </c>
      <c r="G13" s="29">
        <f>24759*'Table 4'!B160</f>
        <v>31215.40284142989</v>
      </c>
      <c r="H13" s="5">
        <v>41675</v>
      </c>
      <c r="I13" s="5">
        <v>46611</v>
      </c>
      <c r="J13" s="5">
        <v>37200</v>
      </c>
    </row>
    <row r="14" spans="1:10" s="36" customFormat="1" ht="15.75">
      <c r="A14" s="20" t="s">
        <v>163</v>
      </c>
      <c r="B14" s="149">
        <v>1090</v>
      </c>
      <c r="C14" s="144">
        <v>1473</v>
      </c>
      <c r="D14" s="152">
        <v>1135</v>
      </c>
      <c r="E14" s="149">
        <v>1139</v>
      </c>
      <c r="F14" s="144">
        <v>3399</v>
      </c>
      <c r="G14" s="152">
        <v>1520</v>
      </c>
      <c r="H14" s="144">
        <v>1412</v>
      </c>
      <c r="I14" s="144">
        <v>2444</v>
      </c>
      <c r="J14" s="144">
        <v>1699</v>
      </c>
    </row>
    <row r="15" spans="1:10" ht="15.75">
      <c r="A15" s="95" t="s">
        <v>16</v>
      </c>
      <c r="B15" s="91"/>
      <c r="C15" s="87"/>
      <c r="D15" s="92"/>
      <c r="E15" s="91"/>
      <c r="F15" s="87"/>
      <c r="G15" s="92"/>
      <c r="H15" s="87"/>
      <c r="I15" s="87"/>
      <c r="J15" s="87"/>
    </row>
    <row r="16" spans="1:10" ht="15.75">
      <c r="A16" s="95" t="s">
        <v>77</v>
      </c>
      <c r="B16" s="11">
        <f>17279*'Table 4'!B159</f>
        <v>29895.93018867925</v>
      </c>
      <c r="C16" s="5">
        <f>19956*'Table 4'!B159</f>
        <v>34527.64528301887</v>
      </c>
      <c r="D16" s="29">
        <f>14873*'Table 4'!B159</f>
        <v>25733.0962264151</v>
      </c>
      <c r="E16" s="11">
        <f>22523*'Table 4'!B160</f>
        <v>28396.3212648946</v>
      </c>
      <c r="F16" s="5">
        <f>25126*'Table 4'!B160</f>
        <v>31678.105407882682</v>
      </c>
      <c r="G16" s="29">
        <f>20071*'Table 4'!B160</f>
        <v>25304.913382218154</v>
      </c>
      <c r="H16" s="5">
        <v>28403</v>
      </c>
      <c r="I16" s="5">
        <v>32001</v>
      </c>
      <c r="J16" s="5">
        <v>25116</v>
      </c>
    </row>
    <row r="17" spans="1:10" s="36" customFormat="1" ht="15.75">
      <c r="A17" s="20" t="s">
        <v>163</v>
      </c>
      <c r="B17" s="149">
        <v>312</v>
      </c>
      <c r="C17" s="144">
        <v>496</v>
      </c>
      <c r="D17" s="152">
        <v>438</v>
      </c>
      <c r="E17" s="149">
        <v>533</v>
      </c>
      <c r="F17" s="144">
        <v>839</v>
      </c>
      <c r="G17" s="152">
        <v>723</v>
      </c>
      <c r="H17" s="144">
        <v>915</v>
      </c>
      <c r="I17" s="144">
        <v>1021</v>
      </c>
      <c r="J17" s="144">
        <v>912</v>
      </c>
    </row>
    <row r="18" spans="1:10" ht="15.75">
      <c r="A18" s="95" t="s">
        <v>78</v>
      </c>
      <c r="B18" s="11">
        <f>26551*'Table 4'!B159</f>
        <v>45938.239622641515</v>
      </c>
      <c r="C18" s="5">
        <f>29582*'Table 4'!B159</f>
        <v>51182.441509433964</v>
      </c>
      <c r="D18" s="29">
        <f>24764*'Table 4'!B159</f>
        <v>42846.392452830194</v>
      </c>
      <c r="E18" s="11">
        <f>35288*'Table 4'!B160</f>
        <v>44490.049495875355</v>
      </c>
      <c r="F18" s="5">
        <f>38629*'Table 4'!B160</f>
        <v>48702.28185151238</v>
      </c>
      <c r="G18" s="29">
        <f>32876*'Table 4'!B160</f>
        <v>41449.072410632456</v>
      </c>
      <c r="H18" s="5">
        <v>46832</v>
      </c>
      <c r="I18" s="5">
        <v>51173</v>
      </c>
      <c r="J18" s="5">
        <v>43243</v>
      </c>
    </row>
    <row r="19" spans="1:10" s="36" customFormat="1" ht="15.75">
      <c r="A19" s="20" t="s">
        <v>163</v>
      </c>
      <c r="B19" s="149">
        <v>369</v>
      </c>
      <c r="C19" s="144">
        <v>687</v>
      </c>
      <c r="D19" s="152">
        <v>468</v>
      </c>
      <c r="E19" s="149">
        <v>519</v>
      </c>
      <c r="F19" s="144">
        <v>1191</v>
      </c>
      <c r="G19" s="152">
        <v>658</v>
      </c>
      <c r="H19" s="144">
        <v>747</v>
      </c>
      <c r="I19" s="144">
        <v>760</v>
      </c>
      <c r="J19" s="144">
        <v>989</v>
      </c>
    </row>
    <row r="20" spans="1:10" ht="15.75">
      <c r="A20" s="95" t="s">
        <v>79</v>
      </c>
      <c r="B20" s="11">
        <f>31497*'Table 4'!B159</f>
        <v>54495.752830188685</v>
      </c>
      <c r="C20" s="5">
        <f>34523*'Table 4'!B159</f>
        <v>59731.303773584914</v>
      </c>
      <c r="D20" s="29">
        <f>28495*'Table 4'!B159</f>
        <v>49301.726415094345</v>
      </c>
      <c r="E20" s="11">
        <f>42447*'Table 4'!B160</f>
        <v>53515.90146654446</v>
      </c>
      <c r="F20" s="5">
        <f>46165*'Table 4'!B160</f>
        <v>58203.44408799268</v>
      </c>
      <c r="G20" s="29">
        <f>39314*'Table 4'!B160</f>
        <v>49565.90925756188</v>
      </c>
      <c r="H20" s="5">
        <v>57723</v>
      </c>
      <c r="I20" s="5">
        <v>64378</v>
      </c>
      <c r="J20" s="5">
        <v>53145</v>
      </c>
    </row>
    <row r="21" spans="1:10" s="36" customFormat="1" ht="15.75">
      <c r="A21" s="20" t="s">
        <v>163</v>
      </c>
      <c r="B21" s="149">
        <v>852</v>
      </c>
      <c r="C21" s="144">
        <v>1230</v>
      </c>
      <c r="D21" s="152">
        <v>1133</v>
      </c>
      <c r="E21" s="149">
        <v>922</v>
      </c>
      <c r="F21" s="144">
        <v>1012</v>
      </c>
      <c r="G21" s="152">
        <v>1533</v>
      </c>
      <c r="H21" s="144">
        <v>1054</v>
      </c>
      <c r="I21" s="144">
        <v>1557</v>
      </c>
      <c r="J21" s="144">
        <v>1225</v>
      </c>
    </row>
    <row r="22" spans="1:10" ht="15.75">
      <c r="A22" s="95" t="s">
        <v>80</v>
      </c>
      <c r="B22" s="11">
        <f>46503*'Table 4'!B159</f>
        <v>80458.9641509434</v>
      </c>
      <c r="C22" s="5">
        <f>49908*'Table 4'!B159</f>
        <v>86350.2566037736</v>
      </c>
      <c r="D22" s="29">
        <f>40080*'Table 4'!B159</f>
        <v>69345.96226415095</v>
      </c>
      <c r="E22" s="11">
        <f>64662*'Table 4'!B160</f>
        <v>81523.90559120075</v>
      </c>
      <c r="F22" s="5">
        <f>70447*'Table 4'!B160</f>
        <v>88817.45967002751</v>
      </c>
      <c r="G22" s="29">
        <f>56289*'Table 4'!B160</f>
        <v>70967.47891842348</v>
      </c>
      <c r="H22" s="5">
        <v>86982</v>
      </c>
      <c r="I22" s="5">
        <v>95121</v>
      </c>
      <c r="J22" s="5">
        <v>77669</v>
      </c>
    </row>
    <row r="23" spans="1:10" s="36" customFormat="1" ht="15.75">
      <c r="A23" s="20" t="s">
        <v>163</v>
      </c>
      <c r="B23" s="149">
        <v>1127</v>
      </c>
      <c r="C23" s="144">
        <v>1352</v>
      </c>
      <c r="D23" s="152">
        <v>1600</v>
      </c>
      <c r="E23" s="149">
        <v>1178</v>
      </c>
      <c r="F23" s="144">
        <v>1816</v>
      </c>
      <c r="G23" s="152">
        <v>1756</v>
      </c>
      <c r="H23" s="144">
        <v>1444</v>
      </c>
      <c r="I23" s="144">
        <v>1885</v>
      </c>
      <c r="J23" s="144">
        <v>1717</v>
      </c>
    </row>
    <row r="24" spans="1:10" ht="15.75">
      <c r="A24" s="95" t="s">
        <v>17</v>
      </c>
      <c r="B24" s="91"/>
      <c r="C24" s="87"/>
      <c r="D24" s="92"/>
      <c r="E24" s="91"/>
      <c r="F24" s="87"/>
      <c r="G24" s="92"/>
      <c r="H24" s="87"/>
      <c r="I24" s="87" t="s">
        <v>31</v>
      </c>
      <c r="J24" s="87"/>
    </row>
    <row r="25" spans="1:10" ht="15.75">
      <c r="A25" s="95" t="s">
        <v>81</v>
      </c>
      <c r="B25" s="11">
        <f>28473*'Table 4'!B159</f>
        <v>49263.662264150946</v>
      </c>
      <c r="C25" s="5">
        <f>30864*'Table 4'!B159</f>
        <v>53400.54339622642</v>
      </c>
      <c r="D25" s="29">
        <f>26016*'Table 4'!B159</f>
        <v>45012.58867924529</v>
      </c>
      <c r="E25" s="11">
        <f>42784*'Table 4'!B160</f>
        <v>53940.7809349221</v>
      </c>
      <c r="F25" s="5">
        <f>46401*'Table 4'!B160</f>
        <v>58500.98579285061</v>
      </c>
      <c r="G25" s="29">
        <f>38740*'Table 4'!B160</f>
        <v>48842.227314390475</v>
      </c>
      <c r="H25" s="5">
        <v>65290</v>
      </c>
      <c r="I25" s="5">
        <v>69255</v>
      </c>
      <c r="J25" s="5">
        <v>61113</v>
      </c>
    </row>
    <row r="26" spans="1:10" s="36" customFormat="1" ht="15.75">
      <c r="A26" s="20" t="s">
        <v>163</v>
      </c>
      <c r="B26" s="149">
        <v>301</v>
      </c>
      <c r="C26" s="144">
        <v>383</v>
      </c>
      <c r="D26" s="152">
        <v>413</v>
      </c>
      <c r="E26" s="149">
        <v>487</v>
      </c>
      <c r="F26" s="144">
        <v>693</v>
      </c>
      <c r="G26" s="152">
        <v>694</v>
      </c>
      <c r="H26" s="144">
        <v>621</v>
      </c>
      <c r="I26" s="144">
        <v>1030</v>
      </c>
      <c r="J26" s="144">
        <v>895</v>
      </c>
    </row>
    <row r="27" spans="1:10" ht="15.75">
      <c r="A27" s="95" t="s">
        <v>82</v>
      </c>
      <c r="B27" s="11">
        <f>19061*'Table 4'!B159</f>
        <v>32979.126415094346</v>
      </c>
      <c r="C27" s="5">
        <f>22212*'Table 4'!B159</f>
        <v>38430.95094339623</v>
      </c>
      <c r="D27" s="29">
        <f>16077*'Table 4'!B159</f>
        <v>27816.24339622642</v>
      </c>
      <c r="E27" s="11">
        <f>20534*'Table 4'!B160</f>
        <v>25888.649862511462</v>
      </c>
      <c r="F27" s="5">
        <f>22810*'Table 4'!B160</f>
        <v>28758.1622364803</v>
      </c>
      <c r="G27" s="29">
        <f>19896*'Table 4'!B160</f>
        <v>25084.278643446385</v>
      </c>
      <c r="H27" s="5">
        <v>30048</v>
      </c>
      <c r="I27" s="5">
        <v>33867</v>
      </c>
      <c r="J27" s="5">
        <v>29018</v>
      </c>
    </row>
    <row r="28" spans="1:10" s="36" customFormat="1" ht="15.75">
      <c r="A28" s="20" t="s">
        <v>163</v>
      </c>
      <c r="B28" s="149">
        <v>3640</v>
      </c>
      <c r="C28" s="144">
        <v>4534</v>
      </c>
      <c r="D28" s="152">
        <v>4444</v>
      </c>
      <c r="E28" s="149">
        <v>792</v>
      </c>
      <c r="F28" s="144">
        <v>1661</v>
      </c>
      <c r="G28" s="152">
        <v>878</v>
      </c>
      <c r="H28" s="144">
        <v>1357</v>
      </c>
      <c r="I28" s="144">
        <v>3149</v>
      </c>
      <c r="J28" s="144">
        <v>1547</v>
      </c>
    </row>
    <row r="29" spans="1:10" ht="15.75">
      <c r="A29" s="95" t="s">
        <v>83</v>
      </c>
      <c r="B29" s="11">
        <f>13335*'Table 4'!B159</f>
        <v>23072.06603773585</v>
      </c>
      <c r="C29" s="5">
        <f>16606*'Table 4'!B159</f>
        <v>28731.513207547174</v>
      </c>
      <c r="D29" s="29">
        <f>12769*'Table 4'!B159</f>
        <v>22092.77924528302</v>
      </c>
      <c r="E29" s="11">
        <f>24561*'Table 4'!B160</f>
        <v>30965.77039413383</v>
      </c>
      <c r="F29" s="5">
        <f>29846*'Table 4'!B160</f>
        <v>37628.93950504126</v>
      </c>
      <c r="G29" s="29">
        <f>22765*'Table 4'!B160</f>
        <v>28701.42758936756</v>
      </c>
      <c r="H29" s="5">
        <v>35102</v>
      </c>
      <c r="I29" s="5">
        <v>38176</v>
      </c>
      <c r="J29" s="5">
        <v>32572</v>
      </c>
    </row>
    <row r="30" spans="1:10" s="36" customFormat="1" ht="15.75">
      <c r="A30" s="20" t="s">
        <v>163</v>
      </c>
      <c r="B30" s="149">
        <v>559</v>
      </c>
      <c r="C30" s="144">
        <v>950</v>
      </c>
      <c r="D30" s="152">
        <v>540</v>
      </c>
      <c r="E30" s="149">
        <v>644</v>
      </c>
      <c r="F30" s="144">
        <v>1881</v>
      </c>
      <c r="G30" s="152">
        <v>810</v>
      </c>
      <c r="H30" s="144">
        <v>793</v>
      </c>
      <c r="I30" s="144">
        <v>1992</v>
      </c>
      <c r="J30" s="144">
        <v>1049</v>
      </c>
    </row>
    <row r="31" spans="1:10" ht="15.75">
      <c r="A31" s="95" t="s">
        <v>84</v>
      </c>
      <c r="B31" s="11">
        <f>10773*'Table 4'!B159</f>
        <v>18639.322641509436</v>
      </c>
      <c r="C31" s="5">
        <f>11957*'Table 4'!B159</f>
        <v>20687.86603773585</v>
      </c>
      <c r="D31" s="29">
        <f>10088*'Table 4'!B159</f>
        <v>17454.143396226416</v>
      </c>
      <c r="E31" s="11">
        <f>22031*'Table 4'!B160</f>
        <v>27776.022456461968</v>
      </c>
      <c r="F31" s="5">
        <f>21247*'Table 4'!B160</f>
        <v>26787.578826764442</v>
      </c>
      <c r="G31" s="29">
        <f>23052*'Table 4'!B160</f>
        <v>29063.26856095326</v>
      </c>
      <c r="H31" s="5">
        <v>34293</v>
      </c>
      <c r="I31" s="5">
        <v>32380</v>
      </c>
      <c r="J31" s="5">
        <v>35659</v>
      </c>
    </row>
    <row r="32" spans="1:10" s="36" customFormat="1" ht="15.75">
      <c r="A32" s="20" t="s">
        <v>163</v>
      </c>
      <c r="B32" s="149">
        <v>865</v>
      </c>
      <c r="C32" s="144">
        <v>1608</v>
      </c>
      <c r="D32" s="152">
        <v>1103</v>
      </c>
      <c r="E32" s="149">
        <v>1171</v>
      </c>
      <c r="F32" s="144">
        <v>1461</v>
      </c>
      <c r="G32" s="152">
        <v>1965</v>
      </c>
      <c r="H32" s="144">
        <v>2015</v>
      </c>
      <c r="I32" s="144">
        <v>2402</v>
      </c>
      <c r="J32" s="144">
        <v>2567</v>
      </c>
    </row>
    <row r="33" spans="1:7" ht="15.75">
      <c r="A33" s="95" t="s">
        <v>20</v>
      </c>
      <c r="B33" s="21"/>
      <c r="D33" s="30"/>
      <c r="E33" s="21"/>
      <c r="G33" s="30"/>
    </row>
    <row r="34" spans="1:10" ht="15.75">
      <c r="A34" s="95" t="s">
        <v>85</v>
      </c>
      <c r="B34" s="11">
        <f>29882*'Table 4'!B159</f>
        <v>51701.498113207555</v>
      </c>
      <c r="C34" s="5">
        <f>31670*'Table 4'!B159</f>
        <v>54795.07547169812</v>
      </c>
      <c r="D34" s="29">
        <f>27858*'Table 4'!B159</f>
        <v>48199.5962264151</v>
      </c>
      <c r="E34" s="11">
        <f>43820*'Table 4'!B160</f>
        <v>55246.938588450976</v>
      </c>
      <c r="F34" s="5">
        <f>47136*'Table 4'!B160</f>
        <v>59427.65169569204</v>
      </c>
      <c r="G34" s="29">
        <f>40085*'Table 4'!B160</f>
        <v>50537.9628780935</v>
      </c>
      <c r="H34" s="5">
        <v>66892</v>
      </c>
      <c r="I34" s="5">
        <v>70630</v>
      </c>
      <c r="J34" s="5">
        <v>63294</v>
      </c>
    </row>
    <row r="35" spans="1:10" s="36" customFormat="1" ht="15.75">
      <c r="A35" s="20" t="s">
        <v>163</v>
      </c>
      <c r="B35" s="149">
        <v>305</v>
      </c>
      <c r="C35" s="144">
        <v>393</v>
      </c>
      <c r="D35" s="152">
        <v>434</v>
      </c>
      <c r="E35" s="149">
        <v>496</v>
      </c>
      <c r="F35" s="144">
        <v>733</v>
      </c>
      <c r="G35" s="152">
        <v>731</v>
      </c>
      <c r="H35" s="144">
        <v>614</v>
      </c>
      <c r="I35" s="144">
        <v>893</v>
      </c>
      <c r="J35" s="144">
        <v>955</v>
      </c>
    </row>
    <row r="36" spans="1:10" ht="15.75">
      <c r="A36" s="95" t="s">
        <v>86</v>
      </c>
      <c r="B36" s="11">
        <f>21275*'Table 4'!B159</f>
        <v>36809.7641509434</v>
      </c>
      <c r="C36" s="5">
        <f>23470*'Table 4'!B159</f>
        <v>40607.5283018868</v>
      </c>
      <c r="D36" s="29">
        <f>20540*'Table 4'!B159</f>
        <v>35538.07547169812</v>
      </c>
      <c r="E36" s="11">
        <f>30169*'Table 4'!B160</f>
        <v>38036.16819431715</v>
      </c>
      <c r="F36" s="5">
        <f>32622*'Table 4'!B160</f>
        <v>41128.83684692943</v>
      </c>
      <c r="G36" s="29">
        <f>29335*'Table 4'!B160</f>
        <v>36984.686067827686</v>
      </c>
      <c r="H36" s="5">
        <v>43448</v>
      </c>
      <c r="I36" s="5">
        <v>48298</v>
      </c>
      <c r="J36" s="5">
        <v>41341</v>
      </c>
    </row>
    <row r="37" spans="1:10" s="36" customFormat="1" ht="15.75">
      <c r="A37" s="20" t="s">
        <v>163</v>
      </c>
      <c r="B37" s="149">
        <v>764</v>
      </c>
      <c r="C37" s="144">
        <v>1336</v>
      </c>
      <c r="D37" s="152">
        <v>853</v>
      </c>
      <c r="E37" s="149">
        <v>928</v>
      </c>
      <c r="F37" s="144">
        <v>1833</v>
      </c>
      <c r="G37" s="152">
        <v>1108</v>
      </c>
      <c r="H37" s="144">
        <v>1265</v>
      </c>
      <c r="I37" s="144">
        <v>1761</v>
      </c>
      <c r="J37" s="144">
        <v>1096</v>
      </c>
    </row>
    <row r="38" spans="1:10" ht="15.75">
      <c r="A38" s="95" t="s">
        <v>87</v>
      </c>
      <c r="B38" s="11">
        <f>19372*'Table 4'!B159</f>
        <v>33517.21509433963</v>
      </c>
      <c r="C38" s="5">
        <f>22672*'Table 4'!B159</f>
        <v>39226.83773584906</v>
      </c>
      <c r="D38" s="29">
        <f>17254*'Table 4'!B159</f>
        <v>29852.675471698116</v>
      </c>
      <c r="E38" s="11">
        <f>38417*'Table 4'!B160</f>
        <v>48434.99862511458</v>
      </c>
      <c r="F38" s="5">
        <f>37547*'Table 4'!B160</f>
        <v>47338.12878093493</v>
      </c>
      <c r="G38" s="29">
        <f>38923*'Table 4'!B160</f>
        <v>49072.94821264895</v>
      </c>
      <c r="H38" s="5">
        <v>50063</v>
      </c>
      <c r="I38" s="5">
        <v>51935</v>
      </c>
      <c r="J38" s="5">
        <v>47074</v>
      </c>
    </row>
    <row r="39" spans="1:10" s="36" customFormat="1" ht="15.75">
      <c r="A39" s="20" t="s">
        <v>163</v>
      </c>
      <c r="B39" s="149">
        <v>1465</v>
      </c>
      <c r="C39" s="144">
        <v>3051</v>
      </c>
      <c r="D39" s="152">
        <v>1476</v>
      </c>
      <c r="E39" s="149">
        <v>1633</v>
      </c>
      <c r="F39" s="144">
        <v>2564</v>
      </c>
      <c r="G39" s="152">
        <v>1968</v>
      </c>
      <c r="H39" s="144">
        <v>2364</v>
      </c>
      <c r="I39" s="144">
        <v>3237</v>
      </c>
      <c r="J39" s="144">
        <v>3722</v>
      </c>
    </row>
    <row r="40" spans="1:10" ht="15.75">
      <c r="A40" s="95" t="s">
        <v>88</v>
      </c>
      <c r="B40" s="11">
        <f>10939*'Table 4'!B159</f>
        <v>18926.53396226415</v>
      </c>
      <c r="C40" s="5">
        <f>12787*'Table 4'!B159</f>
        <v>22123.922641509434</v>
      </c>
      <c r="D40" s="29">
        <f>10248*'Table 4'!B159</f>
        <v>17730.973584905663</v>
      </c>
      <c r="E40" s="11">
        <f>16604*'Table 4'!B160</f>
        <v>20933.82401466545</v>
      </c>
      <c r="F40" s="5">
        <f>20399*'Table 4'!B160</f>
        <v>25718.44592117324</v>
      </c>
      <c r="G40" s="29">
        <f>14672*'Table 4'!B160</f>
        <v>18498.01649862512</v>
      </c>
      <c r="H40" s="5">
        <v>26169</v>
      </c>
      <c r="I40" s="5">
        <v>28279</v>
      </c>
      <c r="J40" s="5">
        <v>25005</v>
      </c>
    </row>
    <row r="41" spans="1:10" s="36" customFormat="1" ht="15.75">
      <c r="A41" s="20" t="s">
        <v>163</v>
      </c>
      <c r="B41" s="149">
        <v>329</v>
      </c>
      <c r="C41" s="144">
        <v>792</v>
      </c>
      <c r="D41" s="152">
        <v>376</v>
      </c>
      <c r="E41" s="149">
        <v>590</v>
      </c>
      <c r="F41" s="144">
        <v>1121</v>
      </c>
      <c r="G41" s="152">
        <v>744</v>
      </c>
      <c r="H41" s="144">
        <v>481</v>
      </c>
      <c r="I41" s="144">
        <v>1164</v>
      </c>
      <c r="J41" s="144">
        <v>643</v>
      </c>
    </row>
    <row r="42" spans="1:7" ht="15.75">
      <c r="A42" s="95" t="s">
        <v>22</v>
      </c>
      <c r="B42" s="21"/>
      <c r="D42" s="30"/>
      <c r="E42" s="21"/>
      <c r="G42" s="30"/>
    </row>
    <row r="43" spans="1:10" ht="15.75">
      <c r="A43" s="95" t="s">
        <v>89</v>
      </c>
      <c r="B43" s="11">
        <f>4922*'Table 4'!B159</f>
        <v>8515.988679245283</v>
      </c>
      <c r="C43" s="5">
        <f>5141*'Table 4'!B159</f>
        <v>8894.900000000001</v>
      </c>
      <c r="D43" s="29">
        <f>4821*'Table 4'!B159</f>
        <v>8341.23962264151</v>
      </c>
      <c r="E43" s="11">
        <f>6970*'Table 4'!B160</f>
        <v>8787.566452795601</v>
      </c>
      <c r="F43" s="5">
        <f>6990*'Table 4'!B160</f>
        <v>8812.781851512376</v>
      </c>
      <c r="G43" s="29">
        <f>6952*'Table 4'!B160</f>
        <v>8764.872593950506</v>
      </c>
      <c r="H43" s="5">
        <v>7647</v>
      </c>
      <c r="I43" s="5">
        <v>7703</v>
      </c>
      <c r="J43" s="5">
        <v>7615</v>
      </c>
    </row>
    <row r="44" spans="1:10" s="36" customFormat="1" ht="15.75">
      <c r="A44" s="20" t="s">
        <v>163</v>
      </c>
      <c r="B44" s="149">
        <v>124</v>
      </c>
      <c r="C44" s="144">
        <v>227</v>
      </c>
      <c r="D44" s="152">
        <v>137</v>
      </c>
      <c r="E44" s="149">
        <v>108</v>
      </c>
      <c r="F44" s="144">
        <v>158</v>
      </c>
      <c r="G44" s="152">
        <v>148</v>
      </c>
      <c r="H44" s="144">
        <v>170</v>
      </c>
      <c r="I44" s="144">
        <v>304</v>
      </c>
      <c r="J44" s="144">
        <v>211</v>
      </c>
    </row>
    <row r="45" spans="1:10" ht="15.75">
      <c r="A45" s="95" t="s">
        <v>105</v>
      </c>
      <c r="B45" s="11">
        <f>10782*'Table 4'!B159</f>
        <v>18654.894339622642</v>
      </c>
      <c r="C45" s="5">
        <f>11338*'Table 4'!B159</f>
        <v>19616.87924528302</v>
      </c>
      <c r="D45" s="29">
        <f>10393*'Table 4'!B159</f>
        <v>17981.850943396228</v>
      </c>
      <c r="E45" s="11">
        <f>16023*'Table 4'!B160</f>
        <v>20201.316681943175</v>
      </c>
      <c r="F45" s="5">
        <f>16072*'Table 4'!B160</f>
        <v>20263.094408799272</v>
      </c>
      <c r="G45" s="29">
        <f>15977*'Table 4'!B160</f>
        <v>20143.321264894596</v>
      </c>
      <c r="H45" s="5">
        <v>19811</v>
      </c>
      <c r="I45" s="5">
        <v>20940</v>
      </c>
      <c r="J45" s="5">
        <v>19112</v>
      </c>
    </row>
    <row r="46" spans="1:10" s="36" customFormat="1" ht="15.75">
      <c r="A46" s="20" t="s">
        <v>163</v>
      </c>
      <c r="B46" s="149">
        <v>114</v>
      </c>
      <c r="C46" s="144">
        <v>180</v>
      </c>
      <c r="D46" s="152">
        <v>148</v>
      </c>
      <c r="E46" s="149">
        <v>247</v>
      </c>
      <c r="F46" s="144">
        <v>350</v>
      </c>
      <c r="G46" s="152">
        <v>349</v>
      </c>
      <c r="H46" s="144">
        <v>203</v>
      </c>
      <c r="I46" s="144">
        <v>350</v>
      </c>
      <c r="J46" s="144">
        <v>252</v>
      </c>
    </row>
    <row r="47" spans="1:10" ht="15.75">
      <c r="A47" s="95" t="s">
        <v>106</v>
      </c>
      <c r="B47" s="11">
        <f>21510*'Table 4'!B159</f>
        <v>37216.35849056604</v>
      </c>
      <c r="C47" s="5">
        <f>22720*'Table 4'!B159</f>
        <v>39309.88679245283</v>
      </c>
      <c r="D47" s="29">
        <f>20539*'Table 4'!B159</f>
        <v>35536.34528301887</v>
      </c>
      <c r="E47" s="11">
        <f>32152*'Table 4'!B160</f>
        <v>40536.27497708525</v>
      </c>
      <c r="F47" s="5">
        <f>31793*'Table 4'!B160</f>
        <v>40083.658570119165</v>
      </c>
      <c r="G47" s="29">
        <f>34472*'Table 4'!B160</f>
        <v>43461.261228230986</v>
      </c>
      <c r="H47" s="5">
        <v>38848</v>
      </c>
      <c r="I47" s="5">
        <v>40837</v>
      </c>
      <c r="J47" s="5">
        <v>37234</v>
      </c>
    </row>
    <row r="48" spans="1:10" s="36" customFormat="1" ht="15.75">
      <c r="A48" s="20" t="s">
        <v>163</v>
      </c>
      <c r="B48" s="149">
        <v>154</v>
      </c>
      <c r="C48" s="144">
        <v>243</v>
      </c>
      <c r="D48" s="152">
        <v>206</v>
      </c>
      <c r="E48" s="149">
        <v>291</v>
      </c>
      <c r="F48" s="144">
        <v>393</v>
      </c>
      <c r="G48" s="152">
        <v>1141</v>
      </c>
      <c r="H48" s="144">
        <v>337</v>
      </c>
      <c r="I48" s="144">
        <v>411</v>
      </c>
      <c r="J48" s="144">
        <v>343</v>
      </c>
    </row>
    <row r="49" spans="1:10" ht="15.75">
      <c r="A49" s="95" t="s">
        <v>107</v>
      </c>
      <c r="B49" s="11">
        <f>45149*'Table 4'!B159</f>
        <v>78116.28867924529</v>
      </c>
      <c r="C49" s="5">
        <f>47177*'Table 4'!B159</f>
        <v>81625.11132075473</v>
      </c>
      <c r="D49" s="29">
        <f>42987*'Table 4'!B159</f>
        <v>74375.62075471699</v>
      </c>
      <c r="E49" s="11">
        <f>67827*'Table 4'!B160</f>
        <v>85514.24243813017</v>
      </c>
      <c r="F49" s="5">
        <f>68342*'Table 4'!B160</f>
        <v>86163.53895508709</v>
      </c>
      <c r="G49" s="29">
        <f>67409*'Table 4'!B160</f>
        <v>84987.2406049496</v>
      </c>
      <c r="H49" s="5">
        <v>91144</v>
      </c>
      <c r="I49" s="5">
        <v>95176</v>
      </c>
      <c r="J49" s="5">
        <v>86271</v>
      </c>
    </row>
    <row r="50" spans="1:10" s="36" customFormat="1" ht="15.75">
      <c r="A50" s="20" t="s">
        <v>163</v>
      </c>
      <c r="B50" s="149">
        <v>374</v>
      </c>
      <c r="C50" s="144">
        <v>507</v>
      </c>
      <c r="D50" s="152">
        <v>499</v>
      </c>
      <c r="E50" s="149">
        <v>640</v>
      </c>
      <c r="F50" s="144">
        <v>980</v>
      </c>
      <c r="G50" s="152">
        <v>1947</v>
      </c>
      <c r="H50" s="144">
        <v>546</v>
      </c>
      <c r="I50" s="144">
        <v>1018</v>
      </c>
      <c r="J50" s="144">
        <v>879</v>
      </c>
    </row>
    <row r="51" spans="1:7" ht="15.75">
      <c r="A51" s="95" t="s">
        <v>18</v>
      </c>
      <c r="B51" s="21"/>
      <c r="D51" s="30"/>
      <c r="E51" s="21"/>
      <c r="G51" s="30"/>
    </row>
    <row r="52" spans="1:10" ht="15.75">
      <c r="A52" s="95" t="s">
        <v>90</v>
      </c>
      <c r="B52" s="11">
        <f>31095*'Table 4'!B159</f>
        <v>53800.21698113208</v>
      </c>
      <c r="C52" s="5">
        <f>31095*'Table 4'!B159</f>
        <v>53800.21698113208</v>
      </c>
      <c r="D52" s="29" t="s">
        <v>53</v>
      </c>
      <c r="E52" s="11">
        <f>44159*'Table 4'!B160</f>
        <v>55674.33959670029</v>
      </c>
      <c r="F52" s="5">
        <f>44169*'Table 4'!B160</f>
        <v>55686.94729605867</v>
      </c>
      <c r="G52" s="29">
        <f>43415*'Table 4'!B160</f>
        <v>54736.32676443631</v>
      </c>
      <c r="H52" s="5">
        <v>62552</v>
      </c>
      <c r="I52" s="5">
        <v>62937</v>
      </c>
      <c r="J52" s="5">
        <v>51283</v>
      </c>
    </row>
    <row r="53" spans="1:10" s="36" customFormat="1" ht="15.75">
      <c r="A53" s="194" t="s">
        <v>163</v>
      </c>
      <c r="B53" s="148">
        <v>449</v>
      </c>
      <c r="C53" s="146">
        <v>449</v>
      </c>
      <c r="D53" s="153" t="s">
        <v>164</v>
      </c>
      <c r="E53" s="148">
        <v>863</v>
      </c>
      <c r="F53" s="146">
        <v>867</v>
      </c>
      <c r="G53" s="151">
        <v>6859</v>
      </c>
      <c r="H53" s="146">
        <v>1329</v>
      </c>
      <c r="I53" s="146">
        <v>1337</v>
      </c>
      <c r="J53" s="146">
        <v>6043</v>
      </c>
    </row>
    <row r="54" spans="1:7" ht="15.75">
      <c r="A54" s="95"/>
      <c r="B54" s="21"/>
      <c r="D54" s="30"/>
      <c r="E54" s="21"/>
      <c r="G54" s="30"/>
    </row>
    <row r="55" spans="1:10" ht="15.75">
      <c r="A55" s="194" t="s">
        <v>51</v>
      </c>
      <c r="B55" s="103"/>
      <c r="C55" s="104"/>
      <c r="D55" s="107"/>
      <c r="E55" s="103"/>
      <c r="F55" s="104"/>
      <c r="G55" s="107"/>
      <c r="H55" s="104"/>
      <c r="I55" s="104"/>
      <c r="J55" s="104"/>
    </row>
    <row r="56" spans="1:7" ht="15.75">
      <c r="A56" s="95" t="s">
        <v>0</v>
      </c>
      <c r="B56" s="21"/>
      <c r="D56" s="30"/>
      <c r="E56" s="21"/>
      <c r="G56" s="30"/>
    </row>
    <row r="57" spans="1:10" ht="15.75">
      <c r="A57" s="95" t="s">
        <v>43</v>
      </c>
      <c r="B57" s="11">
        <f>27648*'Table 4'!B159</f>
        <v>47836.25660377359</v>
      </c>
      <c r="C57" s="5">
        <f>31121*'Table 4'!B159</f>
        <v>53845.201886792456</v>
      </c>
      <c r="D57" s="29">
        <f>24781*'Table 4'!B159</f>
        <v>42875.805660377366</v>
      </c>
      <c r="E57" s="11">
        <f>40571*'Table 4'!B160</f>
        <v>51150.6970669111</v>
      </c>
      <c r="F57" s="5">
        <f>46084*'Table 4'!B160</f>
        <v>58101.32172318974</v>
      </c>
      <c r="G57" s="29">
        <f>35406*'Table 4'!B160</f>
        <v>44638.82034830432</v>
      </c>
      <c r="H57" s="5">
        <v>57831</v>
      </c>
      <c r="I57" s="5">
        <v>64579</v>
      </c>
      <c r="J57" s="5">
        <v>52571</v>
      </c>
    </row>
    <row r="58" spans="1:10" s="36" customFormat="1" ht="15.75">
      <c r="A58" s="194" t="s">
        <v>163</v>
      </c>
      <c r="B58" s="148">
        <v>343</v>
      </c>
      <c r="C58" s="146">
        <v>455</v>
      </c>
      <c r="D58" s="151">
        <v>412</v>
      </c>
      <c r="E58" s="148">
        <v>517</v>
      </c>
      <c r="F58" s="146">
        <v>775</v>
      </c>
      <c r="G58" s="151">
        <v>615</v>
      </c>
      <c r="H58" s="146">
        <v>668</v>
      </c>
      <c r="I58" s="146">
        <v>1013</v>
      </c>
      <c r="J58" s="146">
        <v>751</v>
      </c>
    </row>
    <row r="59" spans="1:10" ht="15.75">
      <c r="A59" s="95" t="s">
        <v>14</v>
      </c>
      <c r="B59" s="91"/>
      <c r="C59" s="87"/>
      <c r="D59" s="92"/>
      <c r="E59" s="91"/>
      <c r="F59" s="87"/>
      <c r="G59" s="92"/>
      <c r="H59" s="87"/>
      <c r="I59" s="87"/>
      <c r="J59" s="87"/>
    </row>
    <row r="60" spans="1:10" ht="15.75">
      <c r="A60" s="95" t="s">
        <v>68</v>
      </c>
      <c r="B60" s="11">
        <f>29875*'Table 4'!B159</f>
        <v>51689.38679245284</v>
      </c>
      <c r="C60" s="5">
        <f>33278*'Table 4'!B159</f>
        <v>57577.21886792454</v>
      </c>
      <c r="D60" s="29">
        <f>26445*'Table 4'!B159</f>
        <v>45754.83962264151</v>
      </c>
      <c r="E60" s="11">
        <f>42804*'Table 4'!B160</f>
        <v>53965.996333638876</v>
      </c>
      <c r="F60" s="5">
        <f>47958*'Table 4'!B160</f>
        <v>60464.004582951435</v>
      </c>
      <c r="G60" s="29">
        <f>37494*'Table 4'!B160</f>
        <v>47271.30797433548</v>
      </c>
      <c r="H60" s="5">
        <v>62277</v>
      </c>
      <c r="I60" s="5">
        <v>69991</v>
      </c>
      <c r="J60" s="5">
        <v>56596</v>
      </c>
    </row>
    <row r="61" spans="1:10" s="36" customFormat="1" ht="15.75">
      <c r="A61" s="20" t="s">
        <v>163</v>
      </c>
      <c r="B61" s="149">
        <v>378</v>
      </c>
      <c r="C61" s="144">
        <v>537</v>
      </c>
      <c r="D61" s="152">
        <v>461</v>
      </c>
      <c r="E61" s="149">
        <v>521</v>
      </c>
      <c r="F61" s="144">
        <v>966</v>
      </c>
      <c r="G61" s="152">
        <v>769</v>
      </c>
      <c r="H61" s="144">
        <v>730</v>
      </c>
      <c r="I61" s="144">
        <v>1174</v>
      </c>
      <c r="J61" s="144">
        <v>840</v>
      </c>
    </row>
    <row r="62" spans="1:10" ht="15.75">
      <c r="A62" s="95" t="s">
        <v>69</v>
      </c>
      <c r="B62" s="11">
        <f>17557*'Table 4'!B159</f>
        <v>30376.922641509438</v>
      </c>
      <c r="C62" s="5">
        <f>19740*'Table 4'!B159</f>
        <v>34153.92452830189</v>
      </c>
      <c r="D62" s="29">
        <f>14111*'Table 4'!B159</f>
        <v>24414.69245283019</v>
      </c>
      <c r="E62" s="11">
        <f>30318*'Table 4'!B160</f>
        <v>38224.02291475711</v>
      </c>
      <c r="F62" s="5">
        <f>35856*'Table 4'!B160</f>
        <v>45206.166819431724</v>
      </c>
      <c r="G62" s="29">
        <f>25806*'Table 4'!B160</f>
        <v>32535.428964252984</v>
      </c>
      <c r="H62" s="5">
        <v>38594</v>
      </c>
      <c r="I62" s="5">
        <v>44214</v>
      </c>
      <c r="J62" s="5">
        <v>35164</v>
      </c>
    </row>
    <row r="63" spans="1:10" s="36" customFormat="1" ht="15.75">
      <c r="A63" s="20" t="s">
        <v>163</v>
      </c>
      <c r="B63" s="149">
        <v>779</v>
      </c>
      <c r="C63" s="144">
        <v>981</v>
      </c>
      <c r="D63" s="152">
        <v>857</v>
      </c>
      <c r="E63" s="149">
        <v>1611</v>
      </c>
      <c r="F63" s="144">
        <v>2923</v>
      </c>
      <c r="G63" s="152">
        <v>1750</v>
      </c>
      <c r="H63" s="144">
        <v>1711</v>
      </c>
      <c r="I63" s="144">
        <v>2519</v>
      </c>
      <c r="J63" s="144">
        <v>2035</v>
      </c>
    </row>
    <row r="64" spans="1:10" ht="15.75">
      <c r="A64" s="95" t="s">
        <v>70</v>
      </c>
      <c r="B64" s="11">
        <f>19086*'Table 4'!B159</f>
        <v>33022.381132075476</v>
      </c>
      <c r="C64" s="5">
        <f>20574*'Table 4'!B159</f>
        <v>35596.90188679245</v>
      </c>
      <c r="D64" s="29">
        <f>17496*'Table 4'!B159</f>
        <v>30271.381132075476</v>
      </c>
      <c r="E64" s="11">
        <f>28146*'Table 4'!B160</f>
        <v>35485.6306141155</v>
      </c>
      <c r="F64" s="5">
        <f>34031*'Table 4'!B160</f>
        <v>42905.26168652613</v>
      </c>
      <c r="G64" s="29">
        <f>25648*'Table 4'!B160</f>
        <v>32336.227314390475</v>
      </c>
      <c r="H64" s="5">
        <v>42555</v>
      </c>
      <c r="I64" s="5">
        <v>48637</v>
      </c>
      <c r="J64" s="5">
        <v>37345</v>
      </c>
    </row>
    <row r="65" spans="1:10" s="36" customFormat="1" ht="15.75">
      <c r="A65" s="20" t="s">
        <v>163</v>
      </c>
      <c r="B65" s="149">
        <v>1242</v>
      </c>
      <c r="C65" s="144">
        <v>1606</v>
      </c>
      <c r="D65" s="152">
        <v>1451</v>
      </c>
      <c r="E65" s="149">
        <v>1524</v>
      </c>
      <c r="F65" s="144">
        <v>3251</v>
      </c>
      <c r="G65" s="152">
        <v>1697</v>
      </c>
      <c r="H65" s="144">
        <v>1629</v>
      </c>
      <c r="I65" s="144">
        <v>2587</v>
      </c>
      <c r="J65" s="144">
        <v>1916</v>
      </c>
    </row>
    <row r="66" spans="1:10" ht="15.75">
      <c r="A66" s="95" t="s">
        <v>16</v>
      </c>
      <c r="B66" s="91"/>
      <c r="C66" s="87"/>
      <c r="D66" s="92"/>
      <c r="E66" s="91"/>
      <c r="F66" s="87"/>
      <c r="G66" s="92"/>
      <c r="H66" s="87"/>
      <c r="I66" s="87"/>
      <c r="J66" s="87"/>
    </row>
    <row r="67" spans="1:10" ht="15.75">
      <c r="A67" s="95" t="s">
        <v>77</v>
      </c>
      <c r="B67" s="11">
        <f>18361*'Table 4'!B159</f>
        <v>31767.994339622644</v>
      </c>
      <c r="C67" s="5">
        <f>20983*'Table 4'!B159</f>
        <v>36304.54905660378</v>
      </c>
      <c r="D67" s="29">
        <f>15655*'Table 4'!B159</f>
        <v>27086.10377358491</v>
      </c>
      <c r="E67" s="11">
        <f>23768*'Table 4'!B160</f>
        <v>29965.979835013753</v>
      </c>
      <c r="F67" s="5">
        <f>26616*'Table 4'!B160</f>
        <v>33556.65261228232</v>
      </c>
      <c r="G67" s="29">
        <f>21344*'Table 4'!B160</f>
        <v>26909.873510540794</v>
      </c>
      <c r="H67" s="5">
        <v>29744</v>
      </c>
      <c r="I67" s="5">
        <v>33481</v>
      </c>
      <c r="J67" s="5">
        <v>26180</v>
      </c>
    </row>
    <row r="68" spans="1:10" s="36" customFormat="1" ht="15.75">
      <c r="A68" s="20" t="s">
        <v>163</v>
      </c>
      <c r="B68" s="149">
        <v>411</v>
      </c>
      <c r="C68" s="144">
        <v>589</v>
      </c>
      <c r="D68" s="152">
        <v>638</v>
      </c>
      <c r="E68" s="149">
        <v>629</v>
      </c>
      <c r="F68" s="144">
        <v>1449</v>
      </c>
      <c r="G68" s="152">
        <v>966</v>
      </c>
      <c r="H68" s="144">
        <v>944</v>
      </c>
      <c r="I68" s="144">
        <v>1255</v>
      </c>
      <c r="J68" s="144">
        <v>995</v>
      </c>
    </row>
    <row r="69" spans="1:10" ht="15.75">
      <c r="A69" s="95" t="s">
        <v>78</v>
      </c>
      <c r="B69" s="11">
        <f>28602*'Table 4'!B159</f>
        <v>49486.85660377359</v>
      </c>
      <c r="C69" s="5">
        <f>31404*'Table 4'!B159</f>
        <v>54334.845283018876</v>
      </c>
      <c r="D69" s="29">
        <f>26673*'Table 4'!B159</f>
        <v>46149.32264150944</v>
      </c>
      <c r="E69" s="11">
        <f>37361*'Table 4'!B160</f>
        <v>47103.625572868936</v>
      </c>
      <c r="F69" s="5">
        <f>41966*'Table 4'!B160</f>
        <v>52909.47112740606</v>
      </c>
      <c r="G69" s="29">
        <f>34647*'Table 4'!B160</f>
        <v>43681.89596700276</v>
      </c>
      <c r="H69" s="5">
        <v>48910</v>
      </c>
      <c r="I69" s="5">
        <v>52545</v>
      </c>
      <c r="J69" s="5">
        <v>44582</v>
      </c>
    </row>
    <row r="70" spans="1:10" s="36" customFormat="1" ht="15.75">
      <c r="A70" s="20" t="s">
        <v>163</v>
      </c>
      <c r="B70" s="149">
        <v>519</v>
      </c>
      <c r="C70" s="144">
        <v>605</v>
      </c>
      <c r="D70" s="152">
        <v>568</v>
      </c>
      <c r="E70" s="149">
        <v>671</v>
      </c>
      <c r="F70" s="144">
        <v>981</v>
      </c>
      <c r="G70" s="152">
        <v>888</v>
      </c>
      <c r="H70" s="144">
        <v>1093</v>
      </c>
      <c r="I70" s="144">
        <v>1089</v>
      </c>
      <c r="J70" s="144">
        <v>1351</v>
      </c>
    </row>
    <row r="71" spans="1:10" ht="15.75">
      <c r="A71" s="95" t="s">
        <v>79</v>
      </c>
      <c r="B71" s="11">
        <f>32909*'Table 4'!B159</f>
        <v>56938.779245283025</v>
      </c>
      <c r="C71" s="5">
        <f>36024*'Table 4'!B159</f>
        <v>62328.316981132084</v>
      </c>
      <c r="D71" s="29">
        <f>30028*'Table 4'!B159</f>
        <v>51954.10566037736</v>
      </c>
      <c r="E71" s="11">
        <f>45435*'Table 4'!B160</f>
        <v>57283.08203483044</v>
      </c>
      <c r="F71" s="5">
        <f>48623*'Table 4'!B160</f>
        <v>61302.416590284156</v>
      </c>
      <c r="G71" s="29">
        <f>42167*'Table 4'!B160</f>
        <v>53162.88588450963</v>
      </c>
      <c r="H71" s="5">
        <v>60307</v>
      </c>
      <c r="I71" s="5">
        <v>66525</v>
      </c>
      <c r="J71" s="5">
        <v>55439</v>
      </c>
    </row>
    <row r="72" spans="1:10" s="36" customFormat="1" ht="15.75">
      <c r="A72" s="20" t="s">
        <v>163</v>
      </c>
      <c r="B72" s="149">
        <v>998</v>
      </c>
      <c r="C72" s="144">
        <v>1502</v>
      </c>
      <c r="D72" s="152">
        <v>1508</v>
      </c>
      <c r="E72" s="149">
        <v>903</v>
      </c>
      <c r="F72" s="144">
        <v>1586</v>
      </c>
      <c r="G72" s="152">
        <v>1535</v>
      </c>
      <c r="H72" s="144">
        <v>1266</v>
      </c>
      <c r="I72" s="144">
        <v>1680</v>
      </c>
      <c r="J72" s="144">
        <v>1491</v>
      </c>
    </row>
    <row r="73" spans="1:10" ht="15.75">
      <c r="A73" s="95" t="s">
        <v>80</v>
      </c>
      <c r="B73" s="11">
        <f>49189*'Table 4'!B159</f>
        <v>85106.25094339624</v>
      </c>
      <c r="C73" s="5">
        <f>53266*'Table 4'!B159</f>
        <v>92160.23018867926</v>
      </c>
      <c r="D73" s="29">
        <f>42267*'Table 4'!B159</f>
        <v>73129.88490566038</v>
      </c>
      <c r="E73" s="11">
        <f>66615*'Table 4'!B160</f>
        <v>83986.18927589369</v>
      </c>
      <c r="F73" s="5">
        <f>74699*'Table 4'!B160</f>
        <v>94178.25343721359</v>
      </c>
      <c r="G73" s="29">
        <f>58121*'Table 4'!B160</f>
        <v>73277.20944087995</v>
      </c>
      <c r="H73" s="5">
        <v>90921</v>
      </c>
      <c r="I73" s="5">
        <v>99147</v>
      </c>
      <c r="J73" s="5">
        <v>80575</v>
      </c>
    </row>
    <row r="74" spans="1:10" s="36" customFormat="1" ht="15.75">
      <c r="A74" s="20" t="s">
        <v>163</v>
      </c>
      <c r="B74" s="149">
        <v>1161</v>
      </c>
      <c r="C74" s="144">
        <v>1793</v>
      </c>
      <c r="D74" s="152">
        <v>1565</v>
      </c>
      <c r="E74" s="149">
        <v>1544</v>
      </c>
      <c r="F74" s="144">
        <v>2514</v>
      </c>
      <c r="G74" s="152">
        <v>2083</v>
      </c>
      <c r="H74" s="144">
        <v>1345</v>
      </c>
      <c r="I74" s="144">
        <v>8576</v>
      </c>
      <c r="J74" s="144">
        <v>2056</v>
      </c>
    </row>
    <row r="75" spans="1:10" ht="15.75">
      <c r="A75" s="95" t="s">
        <v>17</v>
      </c>
      <c r="B75" s="91"/>
      <c r="C75" s="87"/>
      <c r="D75" s="92"/>
      <c r="E75" s="91"/>
      <c r="F75" s="87"/>
      <c r="G75" s="92"/>
      <c r="H75" s="87"/>
      <c r="I75" s="87"/>
      <c r="J75" s="87"/>
    </row>
    <row r="76" spans="1:10" ht="15.75">
      <c r="A76" s="95" t="s">
        <v>81</v>
      </c>
      <c r="B76" s="11">
        <f>30437*'Table 4'!B159</f>
        <v>52661.752830188685</v>
      </c>
      <c r="C76" s="5">
        <f>32658*'Table 4'!B159</f>
        <v>56504.50188679246</v>
      </c>
      <c r="D76" s="29">
        <f>27964*'Table 4'!B159</f>
        <v>48382.996226415096</v>
      </c>
      <c r="E76" s="11">
        <f>45777*'Table 4'!B160</f>
        <v>57714.26535288727</v>
      </c>
      <c r="F76" s="5">
        <f>50018*'Table 4'!B160</f>
        <v>63061.190650779114</v>
      </c>
      <c r="G76" s="29">
        <f>41627*'Table 4'!B160</f>
        <v>52482.07011915675</v>
      </c>
      <c r="H76" s="5">
        <v>69157</v>
      </c>
      <c r="I76" s="5">
        <v>73834</v>
      </c>
      <c r="J76" s="5">
        <v>64406</v>
      </c>
    </row>
    <row r="77" spans="1:10" s="36" customFormat="1" ht="15.75">
      <c r="A77" s="20" t="s">
        <v>163</v>
      </c>
      <c r="B77" s="149">
        <v>341</v>
      </c>
      <c r="C77" s="144">
        <v>501</v>
      </c>
      <c r="D77" s="152">
        <v>514</v>
      </c>
      <c r="E77" s="149">
        <v>549</v>
      </c>
      <c r="F77" s="144">
        <v>856</v>
      </c>
      <c r="G77" s="152">
        <v>913</v>
      </c>
      <c r="H77" s="144">
        <v>891</v>
      </c>
      <c r="I77" s="144">
        <v>1224</v>
      </c>
      <c r="J77" s="144">
        <v>1115</v>
      </c>
    </row>
    <row r="78" spans="1:10" ht="15.75">
      <c r="A78" s="95" t="s">
        <v>82</v>
      </c>
      <c r="B78" s="11">
        <f>19521*'Table 4'!B159</f>
        <v>33775.01320754717</v>
      </c>
      <c r="C78" s="5">
        <f>22059*'Table 4'!B159</f>
        <v>38166.2320754717</v>
      </c>
      <c r="D78" s="29">
        <f>16875*'Table 4'!B159</f>
        <v>29196.933962264153</v>
      </c>
      <c r="E78" s="11">
        <f>22063*'Table 4'!B160</f>
        <v>27816.367094408804</v>
      </c>
      <c r="F78" s="5">
        <f>25262*'Table 4'!B160</f>
        <v>31849.570119156742</v>
      </c>
      <c r="G78" s="29">
        <f>21504*'Table 4'!B160</f>
        <v>27111.596700274982</v>
      </c>
      <c r="H78" s="5">
        <v>33242</v>
      </c>
      <c r="I78" s="5">
        <v>39597</v>
      </c>
      <c r="J78" s="5">
        <v>32117</v>
      </c>
    </row>
    <row r="79" spans="1:10" s="36" customFormat="1" ht="15.75">
      <c r="A79" s="20" t="s">
        <v>163</v>
      </c>
      <c r="B79" s="149">
        <v>4428</v>
      </c>
      <c r="C79" s="144">
        <v>4595</v>
      </c>
      <c r="D79" s="152">
        <v>10417</v>
      </c>
      <c r="E79" s="149">
        <v>1022</v>
      </c>
      <c r="F79" s="144">
        <v>2766</v>
      </c>
      <c r="G79" s="152">
        <v>1116</v>
      </c>
      <c r="H79" s="144">
        <v>1571</v>
      </c>
      <c r="I79" s="144">
        <v>6227</v>
      </c>
      <c r="J79" s="144">
        <v>1584</v>
      </c>
    </row>
    <row r="80" spans="1:10" ht="15.75">
      <c r="A80" s="95" t="s">
        <v>83</v>
      </c>
      <c r="B80" s="11">
        <f>14882*'Table 4'!B159</f>
        <v>25748.667924528305</v>
      </c>
      <c r="C80" s="5">
        <f>18158*'Table 4'!B159</f>
        <v>31416.76603773585</v>
      </c>
      <c r="D80" s="29">
        <f>14101*'Table 4'!B159</f>
        <v>24397.39056603774</v>
      </c>
      <c r="E80" s="11">
        <f>26474*'Table 4'!B160</f>
        <v>33377.62328139322</v>
      </c>
      <c r="F80" s="5">
        <f>31848*'Table 4'!B160</f>
        <v>40153.00091659029</v>
      </c>
      <c r="G80" s="29">
        <f>24384*'Table 4'!B160</f>
        <v>30742.61411549038</v>
      </c>
      <c r="H80" s="5">
        <v>36065</v>
      </c>
      <c r="I80" s="5">
        <v>40879</v>
      </c>
      <c r="J80" s="5">
        <v>33763</v>
      </c>
    </row>
    <row r="81" spans="1:10" s="36" customFormat="1" ht="15.75">
      <c r="A81" s="20" t="s">
        <v>163</v>
      </c>
      <c r="B81" s="149">
        <v>686</v>
      </c>
      <c r="C81" s="144">
        <v>2248</v>
      </c>
      <c r="D81" s="152">
        <v>711</v>
      </c>
      <c r="E81" s="149">
        <v>1006</v>
      </c>
      <c r="F81" s="144">
        <v>1594</v>
      </c>
      <c r="G81" s="152">
        <v>886</v>
      </c>
      <c r="H81" s="144">
        <v>755</v>
      </c>
      <c r="I81" s="144">
        <v>1903</v>
      </c>
      <c r="J81" s="144">
        <v>1306</v>
      </c>
    </row>
    <row r="82" spans="1:10" ht="15.75">
      <c r="A82" s="95" t="s">
        <v>84</v>
      </c>
      <c r="B82" s="11">
        <f>11318*'Table 4'!B159</f>
        <v>19582.275471698114</v>
      </c>
      <c r="C82" s="5">
        <f>12304*'Table 4'!B159</f>
        <v>21288.241509433963</v>
      </c>
      <c r="D82" s="29">
        <f>10766*'Table 4'!B159</f>
        <v>18627.21132075472</v>
      </c>
      <c r="E82" s="11">
        <f>23257*'Table 4'!B160</f>
        <v>29321.72639780019</v>
      </c>
      <c r="F82" s="5">
        <f>21456*'Table 4'!B160</f>
        <v>27051.079743354727</v>
      </c>
      <c r="G82" s="29">
        <f>25963*'Table 4'!B160</f>
        <v>32733.36984417966</v>
      </c>
      <c r="H82" s="5">
        <v>36470</v>
      </c>
      <c r="I82" s="5">
        <v>32940</v>
      </c>
      <c r="J82" s="5">
        <v>38347</v>
      </c>
    </row>
    <row r="83" spans="1:10" s="36" customFormat="1" ht="15.75">
      <c r="A83" s="20" t="s">
        <v>163</v>
      </c>
      <c r="B83" s="149">
        <v>938</v>
      </c>
      <c r="C83" s="144">
        <v>1801</v>
      </c>
      <c r="D83" s="152">
        <v>1212</v>
      </c>
      <c r="E83" s="149">
        <v>1635</v>
      </c>
      <c r="F83" s="144">
        <v>1811</v>
      </c>
      <c r="G83" s="152">
        <v>2660</v>
      </c>
      <c r="H83" s="144">
        <v>2279</v>
      </c>
      <c r="I83" s="144">
        <v>3197</v>
      </c>
      <c r="J83" s="144">
        <v>2380</v>
      </c>
    </row>
    <row r="84" spans="1:7" ht="15.75">
      <c r="A84" s="95" t="s">
        <v>20</v>
      </c>
      <c r="B84" s="21"/>
      <c r="D84" s="30"/>
      <c r="E84" s="21"/>
      <c r="G84" s="30"/>
    </row>
    <row r="85" spans="1:10" ht="15.75">
      <c r="A85" s="95" t="s">
        <v>85</v>
      </c>
      <c r="B85" s="11">
        <f>31979*'Table 4'!B159</f>
        <v>55329.70377358491</v>
      </c>
      <c r="C85" s="5">
        <f>33687*'Table 4'!B159</f>
        <v>58284.866037735854</v>
      </c>
      <c r="D85" s="29">
        <f>30170*'Table 4'!B159</f>
        <v>52199.792452830196</v>
      </c>
      <c r="E85" s="11">
        <f>46958*'Table 4'!B160</f>
        <v>59203.23464711275</v>
      </c>
      <c r="F85" s="5">
        <f>51020*'Table 4'!B160</f>
        <v>64324.48212648947</v>
      </c>
      <c r="G85" s="29">
        <f>43187*'Table 4'!B160</f>
        <v>54448.87121906509</v>
      </c>
      <c r="H85" s="5">
        <v>71135</v>
      </c>
      <c r="I85" s="5">
        <v>75462</v>
      </c>
      <c r="J85" s="5">
        <v>66815</v>
      </c>
    </row>
    <row r="86" spans="1:10" s="36" customFormat="1" ht="15.75">
      <c r="A86" s="20" t="s">
        <v>163</v>
      </c>
      <c r="B86" s="149">
        <v>351</v>
      </c>
      <c r="C86" s="144">
        <v>520</v>
      </c>
      <c r="D86" s="152">
        <v>527</v>
      </c>
      <c r="E86" s="149">
        <v>566</v>
      </c>
      <c r="F86" s="144">
        <v>820</v>
      </c>
      <c r="G86" s="152">
        <v>861</v>
      </c>
      <c r="H86" s="144">
        <v>682</v>
      </c>
      <c r="I86" s="144">
        <v>1083</v>
      </c>
      <c r="J86" s="144">
        <v>1113</v>
      </c>
    </row>
    <row r="87" spans="1:10" ht="15.75">
      <c r="A87" s="95" t="s">
        <v>86</v>
      </c>
      <c r="B87" s="11">
        <f>21483*'Table 4'!B159</f>
        <v>37169.64339622642</v>
      </c>
      <c r="C87" s="5">
        <f>23795*'Table 4'!B159</f>
        <v>41169.83962264151</v>
      </c>
      <c r="D87" s="29">
        <f>20483*'Table 4'!B159</f>
        <v>35439.454716981134</v>
      </c>
      <c r="E87" s="11">
        <f>31166*'Table 4'!B160</f>
        <v>39293.155820348315</v>
      </c>
      <c r="F87" s="5">
        <f>34232*'Table 4'!B160</f>
        <v>43158.67644362971</v>
      </c>
      <c r="G87" s="29">
        <f>30225*'Table 4'!B160</f>
        <v>38106.771310724114</v>
      </c>
      <c r="H87" s="5">
        <v>44343</v>
      </c>
      <c r="I87" s="5">
        <v>48558</v>
      </c>
      <c r="J87" s="5">
        <v>41663</v>
      </c>
    </row>
    <row r="88" spans="1:10" s="36" customFormat="1" ht="15.75">
      <c r="A88" s="20" t="s">
        <v>163</v>
      </c>
      <c r="B88" s="149">
        <v>936</v>
      </c>
      <c r="C88" s="144">
        <v>1276</v>
      </c>
      <c r="D88" s="152">
        <v>1028</v>
      </c>
      <c r="E88" s="149">
        <v>1088</v>
      </c>
      <c r="F88" s="144">
        <v>2676</v>
      </c>
      <c r="G88" s="152">
        <v>1228</v>
      </c>
      <c r="H88" s="144">
        <v>1715</v>
      </c>
      <c r="I88" s="144">
        <v>1835</v>
      </c>
      <c r="J88" s="144">
        <v>1398</v>
      </c>
    </row>
    <row r="89" spans="1:10" ht="15.75">
      <c r="A89" s="95" t="s">
        <v>87</v>
      </c>
      <c r="B89" s="11">
        <f>19989*'Table 4'!B159</f>
        <v>34584.74150943397</v>
      </c>
      <c r="C89" s="5">
        <f>22939*'Table 4'!B159</f>
        <v>39688.79811320755</v>
      </c>
      <c r="D89" s="29">
        <f>16376*'Table 4'!B159</f>
        <v>28333.569811320758</v>
      </c>
      <c r="E89" s="11">
        <f>39370*'Table 4'!B160</f>
        <v>49636.51237396884</v>
      </c>
      <c r="F89" s="5">
        <f>40504*'Table 4'!B160</f>
        <v>51066.22548120991</v>
      </c>
      <c r="G89" s="29">
        <f>38643*'Table 4'!B160</f>
        <v>48719.93263061412</v>
      </c>
      <c r="H89" s="5">
        <v>51503</v>
      </c>
      <c r="I89" s="5">
        <v>54378</v>
      </c>
      <c r="J89" s="5">
        <v>48243</v>
      </c>
    </row>
    <row r="90" spans="1:10" s="36" customFormat="1" ht="15.75">
      <c r="A90" s="20" t="s">
        <v>163</v>
      </c>
      <c r="B90" s="149">
        <v>2362</v>
      </c>
      <c r="C90" s="144">
        <v>3163</v>
      </c>
      <c r="D90" s="152">
        <v>3400</v>
      </c>
      <c r="E90" s="149">
        <v>2445</v>
      </c>
      <c r="F90" s="144">
        <v>4419</v>
      </c>
      <c r="G90" s="152">
        <v>2954</v>
      </c>
      <c r="H90" s="144">
        <v>3357</v>
      </c>
      <c r="I90" s="144">
        <v>3921</v>
      </c>
      <c r="J90" s="144">
        <v>4526</v>
      </c>
    </row>
    <row r="91" spans="1:10" ht="15.75">
      <c r="A91" s="95" t="s">
        <v>88</v>
      </c>
      <c r="B91" s="11">
        <f>11998*'Table 4'!B159</f>
        <v>20758.803773584907</v>
      </c>
      <c r="C91" s="5">
        <f>13843*'Table 4'!B159</f>
        <v>23951.001886792455</v>
      </c>
      <c r="D91" s="29">
        <f>11378*'Table 4'!B159</f>
        <v>19686.086792452832</v>
      </c>
      <c r="E91" s="11">
        <f>18802*'Table 4'!B160</f>
        <v>23704.99633363887</v>
      </c>
      <c r="F91" s="5">
        <f>22252*'Table 4'!B160</f>
        <v>28054.652612282316</v>
      </c>
      <c r="G91" s="29">
        <f>16798*'Table 4'!B160</f>
        <v>21178.413382218154</v>
      </c>
      <c r="H91" s="5">
        <v>27668</v>
      </c>
      <c r="I91" s="5">
        <v>30163</v>
      </c>
      <c r="J91" s="5">
        <v>26464</v>
      </c>
    </row>
    <row r="92" spans="1:10" s="36" customFormat="1" ht="15.75">
      <c r="A92" s="20" t="s">
        <v>163</v>
      </c>
      <c r="B92" s="149">
        <v>439</v>
      </c>
      <c r="C92" s="144">
        <v>1038</v>
      </c>
      <c r="D92" s="152">
        <v>491</v>
      </c>
      <c r="E92" s="149">
        <v>841</v>
      </c>
      <c r="F92" s="144">
        <v>1182</v>
      </c>
      <c r="G92" s="152">
        <v>910</v>
      </c>
      <c r="H92" s="144">
        <v>851</v>
      </c>
      <c r="I92" s="144">
        <v>1128</v>
      </c>
      <c r="J92" s="144">
        <v>802</v>
      </c>
    </row>
    <row r="93" spans="1:7" ht="15.75">
      <c r="A93" s="95" t="s">
        <v>22</v>
      </c>
      <c r="B93" s="21"/>
      <c r="D93" s="30"/>
      <c r="E93" s="21"/>
      <c r="G93" s="30"/>
    </row>
    <row r="94" spans="1:10" ht="15.75">
      <c r="A94" s="95" t="s">
        <v>89</v>
      </c>
      <c r="B94" s="11">
        <f>4916*'Table 4'!B159</f>
        <v>8505.607547169811</v>
      </c>
      <c r="C94" s="5">
        <f>5319*'Table 4'!B159</f>
        <v>9202.873584905661</v>
      </c>
      <c r="D94" s="29">
        <f>4742*'Table 4'!B159</f>
        <v>8204.554716981133</v>
      </c>
      <c r="E94" s="11">
        <f>7039*'Table 4'!B160</f>
        <v>8874.559578368471</v>
      </c>
      <c r="F94" s="5">
        <f>7153*'Table 4'!B160</f>
        <v>9018.287351054081</v>
      </c>
      <c r="G94" s="29">
        <f>6948*'Table 4'!B160</f>
        <v>8759.829514207151</v>
      </c>
      <c r="H94" s="5">
        <v>7568</v>
      </c>
      <c r="I94" s="5">
        <v>7749</v>
      </c>
      <c r="J94" s="5">
        <v>7454</v>
      </c>
    </row>
    <row r="95" spans="1:10" s="36" customFormat="1" ht="15.75">
      <c r="A95" s="20" t="s">
        <v>163</v>
      </c>
      <c r="B95" s="149">
        <v>159</v>
      </c>
      <c r="C95" s="144">
        <v>292</v>
      </c>
      <c r="D95" s="152">
        <v>166</v>
      </c>
      <c r="E95" s="149">
        <v>126</v>
      </c>
      <c r="F95" s="144">
        <v>191</v>
      </c>
      <c r="G95" s="152">
        <v>168</v>
      </c>
      <c r="H95" s="144">
        <v>219</v>
      </c>
      <c r="I95" s="144">
        <v>373</v>
      </c>
      <c r="J95" s="144">
        <v>273</v>
      </c>
    </row>
    <row r="96" spans="1:10" ht="15.75">
      <c r="A96" s="95" t="s">
        <v>105</v>
      </c>
      <c r="B96" s="11">
        <f>11098*'Table 4'!B159</f>
        <v>19201.633962264154</v>
      </c>
      <c r="C96" s="5">
        <f>11691*'Table 4'!B159</f>
        <v>20227.635849056605</v>
      </c>
      <c r="D96" s="29">
        <f>10714*'Table 4'!B159</f>
        <v>18537.241509433963</v>
      </c>
      <c r="E96" s="11">
        <f>15867*'Table 4'!B160</f>
        <v>20004.636571952342</v>
      </c>
      <c r="F96" s="5">
        <f>16141*'Table 4'!B160</f>
        <v>20350.087534372138</v>
      </c>
      <c r="G96" s="29">
        <f>15607*'Table 4'!B160</f>
        <v>19676.836388634285</v>
      </c>
      <c r="H96" s="5">
        <v>20220</v>
      </c>
      <c r="I96" s="5">
        <v>21708</v>
      </c>
      <c r="J96" s="5">
        <v>19461</v>
      </c>
    </row>
    <row r="97" spans="1:10" s="36" customFormat="1" ht="15.75">
      <c r="A97" s="20" t="s">
        <v>163</v>
      </c>
      <c r="B97" s="149">
        <v>147</v>
      </c>
      <c r="C97" s="144">
        <v>242</v>
      </c>
      <c r="D97" s="152">
        <v>184</v>
      </c>
      <c r="E97" s="149">
        <v>287</v>
      </c>
      <c r="F97" s="144">
        <v>406</v>
      </c>
      <c r="G97" s="152">
        <v>405</v>
      </c>
      <c r="H97" s="144">
        <v>257</v>
      </c>
      <c r="I97" s="144">
        <v>502</v>
      </c>
      <c r="J97" s="144">
        <v>311</v>
      </c>
    </row>
    <row r="98" spans="1:10" ht="15.75">
      <c r="A98" s="95" t="s">
        <v>106</v>
      </c>
      <c r="B98" s="11">
        <f>22227*'Table 4'!B159</f>
        <v>38456.90377358491</v>
      </c>
      <c r="C98" s="5">
        <f>23562*'Table 4'!B159</f>
        <v>40766.70566037736</v>
      </c>
      <c r="D98" s="29">
        <f>21185*'Table 4'!B159</f>
        <v>36654.047169811325</v>
      </c>
      <c r="E98" s="11">
        <f>31932*'Table 4'!B160</f>
        <v>40258.90559120074</v>
      </c>
      <c r="F98" s="5">
        <f>31801*'Table 4'!B160</f>
        <v>40093.744729605874</v>
      </c>
      <c r="G98" s="29">
        <f>32053*'Table 4'!B160</f>
        <v>40411.45875343722</v>
      </c>
      <c r="H98" s="5">
        <v>39650</v>
      </c>
      <c r="I98" s="5">
        <v>41614</v>
      </c>
      <c r="J98" s="5">
        <v>37664</v>
      </c>
    </row>
    <row r="99" spans="1:10" s="36" customFormat="1" ht="15.75">
      <c r="A99" s="20" t="s">
        <v>163</v>
      </c>
      <c r="B99" s="149">
        <v>203</v>
      </c>
      <c r="C99" s="144">
        <v>297</v>
      </c>
      <c r="D99" s="152">
        <v>259</v>
      </c>
      <c r="E99" s="149">
        <v>322</v>
      </c>
      <c r="F99" s="144">
        <v>463</v>
      </c>
      <c r="G99" s="152">
        <v>448</v>
      </c>
      <c r="H99" s="144">
        <v>429</v>
      </c>
      <c r="I99" s="144">
        <v>470</v>
      </c>
      <c r="J99" s="144">
        <v>487</v>
      </c>
    </row>
    <row r="100" spans="1:10" ht="15.75">
      <c r="A100" s="95" t="s">
        <v>107</v>
      </c>
      <c r="B100" s="11">
        <f>46273*'Table 4'!B159</f>
        <v>80061.02075471698</v>
      </c>
      <c r="C100" s="5">
        <f>48340*'Table 4'!B159</f>
        <v>83637.32075471699</v>
      </c>
      <c r="D100" s="29">
        <f>44234*'Table 4'!B159</f>
        <v>76533.16603773585</v>
      </c>
      <c r="E100" s="11">
        <f>67827*'Table 4'!B160</f>
        <v>85514.24243813017</v>
      </c>
      <c r="F100" s="5">
        <f>68328*'Table 4'!B160</f>
        <v>86145.88817598535</v>
      </c>
      <c r="G100" s="29">
        <f>67405*'Table 4'!B160</f>
        <v>84982.19752520625</v>
      </c>
      <c r="H100" s="5">
        <v>92610</v>
      </c>
      <c r="I100" s="5">
        <v>97740</v>
      </c>
      <c r="J100" s="5">
        <v>87552</v>
      </c>
    </row>
    <row r="101" spans="1:10" s="36" customFormat="1" ht="15.75">
      <c r="A101" s="20" t="s">
        <v>163</v>
      </c>
      <c r="B101" s="149">
        <v>422</v>
      </c>
      <c r="C101" s="144">
        <v>652</v>
      </c>
      <c r="D101" s="152">
        <v>570</v>
      </c>
      <c r="E101" s="149">
        <v>678</v>
      </c>
      <c r="F101" s="144">
        <v>1016</v>
      </c>
      <c r="G101" s="152">
        <v>862</v>
      </c>
      <c r="H101" s="144">
        <v>778</v>
      </c>
      <c r="I101" s="144">
        <v>1191</v>
      </c>
      <c r="J101" s="144">
        <v>1179</v>
      </c>
    </row>
    <row r="102" spans="1:7" ht="15.75">
      <c r="A102" s="95" t="s">
        <v>18</v>
      </c>
      <c r="B102" s="21"/>
      <c r="D102" s="30"/>
      <c r="E102" s="21"/>
      <c r="G102" s="30"/>
    </row>
    <row r="103" spans="1:10" ht="15.75">
      <c r="A103" s="95" t="s">
        <v>90</v>
      </c>
      <c r="B103" s="11">
        <f>33396*'Table 4'!B159</f>
        <v>57781.381132075476</v>
      </c>
      <c r="C103" s="5">
        <f>33396*'Table 4'!B159</f>
        <v>57781.381132075476</v>
      </c>
      <c r="D103" s="29" t="s">
        <v>53</v>
      </c>
      <c r="E103" s="11">
        <f>49198*'Table 4'!B160</f>
        <v>62027.35930339139</v>
      </c>
      <c r="F103" s="5">
        <f>49174*'Table 4'!B160</f>
        <v>61997.100824931265</v>
      </c>
      <c r="G103" s="29">
        <f>50306*'Table 4'!B160</f>
        <v>63424.29239230065</v>
      </c>
      <c r="H103" s="5">
        <v>65882</v>
      </c>
      <c r="I103" s="5">
        <v>66143</v>
      </c>
      <c r="J103" s="5">
        <v>44445</v>
      </c>
    </row>
    <row r="104" spans="1:10" s="36" customFormat="1" ht="15.75">
      <c r="A104" s="194" t="s">
        <v>163</v>
      </c>
      <c r="B104" s="148">
        <v>596</v>
      </c>
      <c r="C104" s="146">
        <v>596</v>
      </c>
      <c r="D104" s="153" t="s">
        <v>164</v>
      </c>
      <c r="E104" s="148">
        <v>1239</v>
      </c>
      <c r="F104" s="146">
        <v>1240</v>
      </c>
      <c r="G104" s="151">
        <v>4202</v>
      </c>
      <c r="H104" s="146">
        <v>1576</v>
      </c>
      <c r="I104" s="146">
        <v>1529</v>
      </c>
      <c r="J104" s="146">
        <v>7981</v>
      </c>
    </row>
    <row r="105" spans="1:7" ht="15.75">
      <c r="A105" s="95"/>
      <c r="B105" s="21"/>
      <c r="D105" s="30"/>
      <c r="E105" s="21"/>
      <c r="G105" s="30"/>
    </row>
    <row r="106" spans="1:10" ht="15.75">
      <c r="A106" s="194" t="s">
        <v>165</v>
      </c>
      <c r="B106" s="103"/>
      <c r="C106" s="104"/>
      <c r="D106" s="107"/>
      <c r="E106" s="103"/>
      <c r="F106" s="104"/>
      <c r="G106" s="107"/>
      <c r="H106" s="104"/>
      <c r="I106" s="104"/>
      <c r="J106" s="104"/>
    </row>
    <row r="107" spans="1:10" ht="15.75">
      <c r="A107" s="95" t="s">
        <v>0</v>
      </c>
      <c r="B107" s="101"/>
      <c r="C107" s="97"/>
      <c r="D107" s="102"/>
      <c r="E107" s="101"/>
      <c r="F107" s="97"/>
      <c r="G107" s="102"/>
      <c r="H107" s="97"/>
      <c r="I107" s="97"/>
      <c r="J107" s="97"/>
    </row>
    <row r="108" spans="1:10" ht="15.75">
      <c r="A108" s="95" t="s">
        <v>43</v>
      </c>
      <c r="B108" s="11">
        <f>21498*'Table 4'!B159</f>
        <v>37195.596226415095</v>
      </c>
      <c r="C108" s="5">
        <f>24306*'Table 4'!B159</f>
        <v>42053.96603773585</v>
      </c>
      <c r="D108" s="29">
        <f>19268*'Table 4'!B159</f>
        <v>33337.275471698114</v>
      </c>
      <c r="E108" s="11">
        <f>31254*'Table 4'!B160</f>
        <v>39404.103574702116</v>
      </c>
      <c r="F108" s="5">
        <f>34103*'Table 4'!B160</f>
        <v>42996.03712190651</v>
      </c>
      <c r="G108" s="29">
        <f>28693*'Table 4'!B160</f>
        <v>36175.27176901926</v>
      </c>
      <c r="H108" s="5">
        <v>47527</v>
      </c>
      <c r="I108" s="5">
        <v>53437</v>
      </c>
      <c r="J108" s="5">
        <v>43347</v>
      </c>
    </row>
    <row r="109" spans="1:10" s="36" customFormat="1" ht="15.75">
      <c r="A109" s="194" t="s">
        <v>163</v>
      </c>
      <c r="B109" s="148">
        <v>354</v>
      </c>
      <c r="C109" s="146">
        <v>635</v>
      </c>
      <c r="D109" s="151">
        <v>468</v>
      </c>
      <c r="E109" s="148">
        <v>522</v>
      </c>
      <c r="F109" s="146">
        <v>838</v>
      </c>
      <c r="G109" s="151">
        <v>703</v>
      </c>
      <c r="H109" s="146">
        <v>1035</v>
      </c>
      <c r="I109" s="146">
        <v>1479</v>
      </c>
      <c r="J109" s="146">
        <v>993</v>
      </c>
    </row>
    <row r="110" spans="1:10" ht="15.75">
      <c r="A110" s="95" t="s">
        <v>14</v>
      </c>
      <c r="B110" s="91"/>
      <c r="C110" s="87"/>
      <c r="D110" s="92"/>
      <c r="E110" s="91"/>
      <c r="F110" s="87"/>
      <c r="G110" s="92"/>
      <c r="H110" s="87"/>
      <c r="I110" s="87"/>
      <c r="J110" s="87"/>
    </row>
    <row r="111" spans="1:10" ht="15.75">
      <c r="A111" s="95" t="s">
        <v>68</v>
      </c>
      <c r="B111" s="11">
        <f>22435*'Table 4'!B159</f>
        <v>38816.78301886793</v>
      </c>
      <c r="C111" s="5">
        <f>25491*'Table 4'!B159</f>
        <v>44104.239622641515</v>
      </c>
      <c r="D111" s="29">
        <f>20169*'Table 4'!B159</f>
        <v>34896.175471698116</v>
      </c>
      <c r="E111" s="11">
        <f>32794*'Table 4'!B160</f>
        <v>41345.68927589368</v>
      </c>
      <c r="F111" s="5">
        <f>35626*'Table 4'!B160</f>
        <v>44916.189734188825</v>
      </c>
      <c r="G111" s="29">
        <f>30391*'Table 4'!B160</f>
        <v>38316.05912007333</v>
      </c>
      <c r="H111" s="5">
        <v>50422</v>
      </c>
      <c r="I111" s="5">
        <v>55854</v>
      </c>
      <c r="J111" s="5">
        <v>45427</v>
      </c>
    </row>
    <row r="112" spans="1:10" s="36" customFormat="1" ht="15.75">
      <c r="A112" s="20" t="s">
        <v>163</v>
      </c>
      <c r="B112" s="149">
        <v>393</v>
      </c>
      <c r="C112" s="144">
        <v>843</v>
      </c>
      <c r="D112" s="152">
        <v>525</v>
      </c>
      <c r="E112" s="149">
        <v>621</v>
      </c>
      <c r="F112" s="144">
        <v>1255</v>
      </c>
      <c r="G112" s="152">
        <v>791</v>
      </c>
      <c r="H112" s="144">
        <v>1025</v>
      </c>
      <c r="I112" s="144">
        <v>1341</v>
      </c>
      <c r="J112" s="144">
        <v>1204</v>
      </c>
    </row>
    <row r="113" spans="1:10" ht="15.75">
      <c r="A113" s="95" t="s">
        <v>69</v>
      </c>
      <c r="B113" s="11">
        <f>11898*'Table 4'!B159</f>
        <v>20585.78490566038</v>
      </c>
      <c r="C113" s="5">
        <f>13725*'Table 4'!B159</f>
        <v>23746.839622641513</v>
      </c>
      <c r="D113" s="29">
        <f>10858*'Table 4'!B159</f>
        <v>18786.388679245283</v>
      </c>
      <c r="E113" s="11">
        <f>20475*'Table 4'!B160</f>
        <v>25814.26443629698</v>
      </c>
      <c r="F113" s="5">
        <f>25452*'Table 4'!B160</f>
        <v>32089.11640696609</v>
      </c>
      <c r="G113" s="29">
        <f>16947*'Table 4'!B160</f>
        <v>21366.268102658116</v>
      </c>
      <c r="H113" s="5">
        <v>31038</v>
      </c>
      <c r="I113" s="5">
        <v>37375</v>
      </c>
      <c r="J113" s="5">
        <v>26653</v>
      </c>
    </row>
    <row r="114" spans="1:10" s="36" customFormat="1" ht="15.75">
      <c r="A114" s="20" t="s">
        <v>163</v>
      </c>
      <c r="B114" s="149">
        <v>688</v>
      </c>
      <c r="C114" s="144">
        <v>1601</v>
      </c>
      <c r="D114" s="152">
        <v>869</v>
      </c>
      <c r="E114" s="149">
        <v>1771</v>
      </c>
      <c r="F114" s="144">
        <v>2867</v>
      </c>
      <c r="G114" s="152">
        <v>2007</v>
      </c>
      <c r="H114" s="144">
        <v>2093</v>
      </c>
      <c r="I114" s="144">
        <v>4945</v>
      </c>
      <c r="J114" s="144">
        <v>2886</v>
      </c>
    </row>
    <row r="115" spans="1:10" ht="15.75">
      <c r="A115" s="95" t="s">
        <v>70</v>
      </c>
      <c r="B115" s="11">
        <f>14986*'Table 4'!B159</f>
        <v>25928.607547169813</v>
      </c>
      <c r="C115" s="5">
        <f>19757*'Table 4'!B159</f>
        <v>34183.33773584906</v>
      </c>
      <c r="D115" s="29">
        <f>13124*'Table 4'!B159</f>
        <v>22706.996226415096</v>
      </c>
      <c r="E115" s="11">
        <f>24058*'Table 4'!B160</f>
        <v>30331.603116406972</v>
      </c>
      <c r="F115" s="5">
        <f>25599*'Table 4'!B160</f>
        <v>32274.44958753438</v>
      </c>
      <c r="G115" s="29">
        <f>22772*'Table 4'!B160</f>
        <v>28710.25297891843</v>
      </c>
      <c r="H115" s="5">
        <v>38823</v>
      </c>
      <c r="I115" s="5">
        <v>39927</v>
      </c>
      <c r="J115" s="5">
        <v>36811</v>
      </c>
    </row>
    <row r="116" spans="1:10" s="36" customFormat="1" ht="15.75">
      <c r="A116" s="20" t="s">
        <v>163</v>
      </c>
      <c r="B116" s="149">
        <v>1967</v>
      </c>
      <c r="C116" s="144">
        <v>3556</v>
      </c>
      <c r="D116" s="152">
        <v>1717</v>
      </c>
      <c r="E116" s="149">
        <v>1760</v>
      </c>
      <c r="F116" s="144">
        <v>2443</v>
      </c>
      <c r="G116" s="152">
        <v>2295</v>
      </c>
      <c r="H116" s="144">
        <v>2515</v>
      </c>
      <c r="I116" s="144">
        <v>3697</v>
      </c>
      <c r="J116" s="144">
        <v>4207</v>
      </c>
    </row>
    <row r="117" spans="1:10" ht="15.75">
      <c r="A117" s="95" t="s">
        <v>16</v>
      </c>
      <c r="B117" s="91"/>
      <c r="C117" s="87"/>
      <c r="D117" s="92"/>
      <c r="E117" s="91"/>
      <c r="F117" s="87"/>
      <c r="G117" s="92"/>
      <c r="H117" s="87"/>
      <c r="I117" s="87"/>
      <c r="J117" s="87"/>
    </row>
    <row r="118" spans="1:10" ht="15.75">
      <c r="A118" s="95" t="s">
        <v>77</v>
      </c>
      <c r="B118" s="11">
        <f>15339*'Table 4'!B159</f>
        <v>26539.3641509434</v>
      </c>
      <c r="C118" s="5">
        <f>17219*'Table 4'!B159</f>
        <v>29792.11886792453</v>
      </c>
      <c r="D118" s="29">
        <f>13697*'Table 4'!B159</f>
        <v>23698.394339622642</v>
      </c>
      <c r="E118" s="11">
        <f>20306*'Table 4'!B160</f>
        <v>25601.19431714024</v>
      </c>
      <c r="F118" s="5">
        <f>23141*'Table 4'!B160</f>
        <v>29175.477085242903</v>
      </c>
      <c r="G118" s="29">
        <f>18393*'Table 4'!B160</f>
        <v>23189.34142988085</v>
      </c>
      <c r="H118" s="5">
        <v>24536</v>
      </c>
      <c r="I118" s="5">
        <v>28723</v>
      </c>
      <c r="J118" s="5">
        <v>22479</v>
      </c>
    </row>
    <row r="119" spans="1:10" s="36" customFormat="1" ht="15.75">
      <c r="A119" s="20" t="s">
        <v>163</v>
      </c>
      <c r="B119" s="149">
        <v>500</v>
      </c>
      <c r="C119" s="144">
        <v>809</v>
      </c>
      <c r="D119" s="152">
        <v>660</v>
      </c>
      <c r="E119" s="149">
        <v>750</v>
      </c>
      <c r="F119" s="144">
        <v>1317</v>
      </c>
      <c r="G119" s="152">
        <v>924</v>
      </c>
      <c r="H119" s="144">
        <v>1300</v>
      </c>
      <c r="I119" s="144">
        <v>2999</v>
      </c>
      <c r="J119" s="144">
        <v>1322</v>
      </c>
    </row>
    <row r="120" spans="1:10" ht="15.75">
      <c r="A120" s="20" t="s">
        <v>224</v>
      </c>
      <c r="B120" s="11">
        <v>38834</v>
      </c>
      <c r="C120" s="5">
        <v>42422</v>
      </c>
      <c r="D120" s="29">
        <v>36324</v>
      </c>
      <c r="E120" s="11">
        <v>39136</v>
      </c>
      <c r="F120" s="5">
        <v>40330</v>
      </c>
      <c r="G120" s="29">
        <v>38077</v>
      </c>
      <c r="H120" s="5">
        <v>42262</v>
      </c>
      <c r="I120" s="5">
        <v>45176</v>
      </c>
      <c r="J120" s="5">
        <v>40508</v>
      </c>
    </row>
    <row r="121" spans="1:10" s="36" customFormat="1" ht="15.75">
      <c r="A121" s="20" t="s">
        <v>163</v>
      </c>
      <c r="B121" s="149">
        <v>526</v>
      </c>
      <c r="C121" s="144">
        <v>902</v>
      </c>
      <c r="D121" s="152">
        <v>709</v>
      </c>
      <c r="E121" s="149">
        <v>577</v>
      </c>
      <c r="F121" s="144">
        <v>864</v>
      </c>
      <c r="G121" s="152">
        <v>957</v>
      </c>
      <c r="H121" s="144">
        <v>1348</v>
      </c>
      <c r="I121" s="144">
        <v>2193</v>
      </c>
      <c r="J121" s="144">
        <v>1541</v>
      </c>
    </row>
    <row r="122" spans="1:10" ht="15.75">
      <c r="A122" s="95" t="s">
        <v>79</v>
      </c>
      <c r="B122" s="11">
        <f>28358*'Table 4'!B159</f>
        <v>49064.69056603774</v>
      </c>
      <c r="C122" s="5">
        <f>30741*'Table 4'!B159</f>
        <v>53187.73018867925</v>
      </c>
      <c r="D122" s="29">
        <f>24688*'Table 4'!B159</f>
        <v>42714.89811320755</v>
      </c>
      <c r="E122" s="11">
        <f>35668*'Table 4'!B160</f>
        <v>44969.142071494054</v>
      </c>
      <c r="F122" s="5">
        <f>37512*'Table 4'!B160</f>
        <v>47294.00183318058</v>
      </c>
      <c r="G122" s="29">
        <f>34495*'Table 4'!B160</f>
        <v>43490.25893675528</v>
      </c>
      <c r="H122" s="5">
        <v>49226</v>
      </c>
      <c r="I122" s="5">
        <v>55841</v>
      </c>
      <c r="J122" s="5">
        <v>45141</v>
      </c>
    </row>
    <row r="123" spans="1:10" s="36" customFormat="1" ht="15.75">
      <c r="A123" s="20" t="s">
        <v>163</v>
      </c>
      <c r="B123" s="149">
        <v>1016</v>
      </c>
      <c r="C123" s="144">
        <v>1953</v>
      </c>
      <c r="D123" s="152">
        <v>2277</v>
      </c>
      <c r="E123" s="149">
        <v>1289</v>
      </c>
      <c r="F123" s="144">
        <v>2082</v>
      </c>
      <c r="G123" s="152">
        <v>1670</v>
      </c>
      <c r="H123" s="144">
        <v>2105</v>
      </c>
      <c r="I123" s="144">
        <v>3799</v>
      </c>
      <c r="J123" s="144">
        <v>1943</v>
      </c>
    </row>
    <row r="124" spans="1:10" ht="15.75">
      <c r="A124" s="95" t="s">
        <v>80</v>
      </c>
      <c r="B124" s="11">
        <f>37048*'Table 4'!B159</f>
        <v>64100.03018867925</v>
      </c>
      <c r="C124" s="5">
        <f>41776*'Table 4'!B159</f>
        <v>72280.36226415096</v>
      </c>
      <c r="D124" s="29">
        <f>31649*'Table 4'!B159</f>
        <v>54758.74150943397</v>
      </c>
      <c r="E124" s="11">
        <f>59092*'Table 4'!B160</f>
        <v>74501.4170485793</v>
      </c>
      <c r="F124" s="5">
        <f>64004*'Table 4'!B160</f>
        <v>80694.31897341889</v>
      </c>
      <c r="G124" s="29">
        <f>49794*'Table 4'!B160</f>
        <v>62778.77818515125</v>
      </c>
      <c r="H124" s="5">
        <v>75386</v>
      </c>
      <c r="I124" s="5">
        <v>82459</v>
      </c>
      <c r="J124" s="5">
        <v>69129</v>
      </c>
    </row>
    <row r="125" spans="1:10" s="36" customFormat="1" ht="15.75">
      <c r="A125" s="20" t="s">
        <v>163</v>
      </c>
      <c r="B125" s="149">
        <v>2711</v>
      </c>
      <c r="C125" s="144">
        <v>2986</v>
      </c>
      <c r="D125" s="152">
        <v>1647</v>
      </c>
      <c r="E125" s="149">
        <v>2789</v>
      </c>
      <c r="F125" s="144">
        <v>3299</v>
      </c>
      <c r="G125" s="152">
        <v>3801</v>
      </c>
      <c r="H125" s="144">
        <v>2064</v>
      </c>
      <c r="I125" s="144">
        <v>4184</v>
      </c>
      <c r="J125" s="144">
        <v>2474</v>
      </c>
    </row>
    <row r="126" spans="1:10" ht="15.75">
      <c r="A126" s="95" t="s">
        <v>17</v>
      </c>
      <c r="B126" s="91"/>
      <c r="C126" s="87"/>
      <c r="D126" s="92"/>
      <c r="E126" s="91"/>
      <c r="F126" s="87"/>
      <c r="G126" s="92"/>
      <c r="H126" s="87"/>
      <c r="I126" s="87"/>
      <c r="J126" s="87"/>
    </row>
    <row r="127" spans="1:10" ht="15.75">
      <c r="A127" s="95" t="s">
        <v>81</v>
      </c>
      <c r="B127" s="11">
        <f>23832*'Table 4'!B159</f>
        <v>41233.85660377359</v>
      </c>
      <c r="C127" s="5">
        <f>26195*'Table 4'!B159</f>
        <v>45322.292452830196</v>
      </c>
      <c r="D127" s="29">
        <f>22000*'Table 4'!B159</f>
        <v>38064.15094339623</v>
      </c>
      <c r="E127" s="11">
        <f>35315*'Table 4'!B160</f>
        <v>44524.090284143</v>
      </c>
      <c r="F127" s="5">
        <f>37840*'Table 4'!B160</f>
        <v>47707.53437213566</v>
      </c>
      <c r="G127" s="29">
        <f>33505*'Table 4'!B160</f>
        <v>42242.09670027498</v>
      </c>
      <c r="H127" s="5">
        <v>56091</v>
      </c>
      <c r="I127" s="5">
        <v>58312</v>
      </c>
      <c r="J127" s="5">
        <v>53093</v>
      </c>
    </row>
    <row r="128" spans="1:10" s="36" customFormat="1" ht="15.75">
      <c r="A128" s="20" t="s">
        <v>163</v>
      </c>
      <c r="B128" s="149">
        <v>429</v>
      </c>
      <c r="C128" s="144">
        <v>871</v>
      </c>
      <c r="D128" s="152">
        <v>579</v>
      </c>
      <c r="E128" s="149">
        <v>792</v>
      </c>
      <c r="F128" s="144">
        <v>1186</v>
      </c>
      <c r="G128" s="152">
        <v>901</v>
      </c>
      <c r="H128" s="144">
        <v>843</v>
      </c>
      <c r="I128" s="144">
        <v>1224</v>
      </c>
      <c r="J128" s="144">
        <v>1729</v>
      </c>
    </row>
    <row r="129" spans="1:10" ht="15.75">
      <c r="A129" s="95" t="s">
        <v>82</v>
      </c>
      <c r="B129" s="11">
        <f>12495*'Table 4'!B159</f>
        <v>21618.70754716981</v>
      </c>
      <c r="C129" s="5">
        <f>32542*'Table 4'!B159</f>
        <v>56303.8</v>
      </c>
      <c r="D129" s="29">
        <f>10685*'Table 4'!B159</f>
        <v>18487.06603773585</v>
      </c>
      <c r="E129" s="11">
        <f>17788*'Table 4'!B160</f>
        <v>22426.575618698447</v>
      </c>
      <c r="F129" s="5">
        <f>20382*'Table 4'!B160</f>
        <v>25697.012832263983</v>
      </c>
      <c r="G129" s="29">
        <f>17106*'Table 4'!B160</f>
        <v>21566.730522456466</v>
      </c>
      <c r="H129" s="5">
        <v>24550</v>
      </c>
      <c r="I129" s="5">
        <v>23757</v>
      </c>
      <c r="J129" s="5">
        <v>24796</v>
      </c>
    </row>
    <row r="130" spans="1:10" s="36" customFormat="1" ht="15.75">
      <c r="A130" s="20" t="s">
        <v>163</v>
      </c>
      <c r="B130" s="149">
        <v>7039</v>
      </c>
      <c r="C130" s="144">
        <v>11960</v>
      </c>
      <c r="D130" s="152">
        <v>7481</v>
      </c>
      <c r="E130" s="149">
        <v>1204</v>
      </c>
      <c r="F130" s="144">
        <v>2513</v>
      </c>
      <c r="G130" s="152">
        <v>1261</v>
      </c>
      <c r="H130" s="144">
        <v>1506</v>
      </c>
      <c r="I130" s="144">
        <v>4707</v>
      </c>
      <c r="J130" s="144">
        <v>1616</v>
      </c>
    </row>
    <row r="131" spans="1:10" ht="15.75">
      <c r="A131" s="95" t="s">
        <v>83</v>
      </c>
      <c r="B131" s="11">
        <f>11427*'Table 4'!B159</f>
        <v>19770.86603773585</v>
      </c>
      <c r="C131" s="5">
        <f>13081*'Table 4'!B159</f>
        <v>22632.59811320755</v>
      </c>
      <c r="D131" s="29">
        <f>11136*'Table 4'!B159</f>
        <v>19267.381132075472</v>
      </c>
      <c r="E131" s="11">
        <f>20040*'Table 4'!B160</f>
        <v>25265.829514207155</v>
      </c>
      <c r="F131" s="5">
        <f>21957*'Table 4'!B160</f>
        <v>27682.725481209905</v>
      </c>
      <c r="G131" s="29">
        <f>17653*'Table 4'!B160</f>
        <v>22256.371677360225</v>
      </c>
      <c r="H131" s="5">
        <v>30047</v>
      </c>
      <c r="I131" s="5">
        <v>33152</v>
      </c>
      <c r="J131" s="5">
        <v>28612</v>
      </c>
    </row>
    <row r="132" spans="1:10" s="36" customFormat="1" ht="15.75">
      <c r="A132" s="20" t="s">
        <v>163</v>
      </c>
      <c r="B132" s="149">
        <v>577</v>
      </c>
      <c r="C132" s="144">
        <v>2304</v>
      </c>
      <c r="D132" s="152">
        <v>648</v>
      </c>
      <c r="E132" s="149">
        <v>1517</v>
      </c>
      <c r="F132" s="144">
        <v>1871</v>
      </c>
      <c r="G132" s="152">
        <v>2130</v>
      </c>
      <c r="H132" s="144">
        <v>1791</v>
      </c>
      <c r="I132" s="144">
        <v>2816</v>
      </c>
      <c r="J132" s="144">
        <v>1765</v>
      </c>
    </row>
    <row r="133" spans="1:10" ht="15.75">
      <c r="A133" s="95" t="s">
        <v>84</v>
      </c>
      <c r="B133" s="11">
        <f>8473*'Table 4'!B159</f>
        <v>14659.888679245285</v>
      </c>
      <c r="C133" s="5">
        <f>9194*'Table 4'!B159</f>
        <v>15907.354716981134</v>
      </c>
      <c r="D133" s="29">
        <f>8207*'Table 4'!B159</f>
        <v>14199.658490566038</v>
      </c>
      <c r="E133" s="11">
        <f>18993*'Table 4'!B160</f>
        <v>23945.803391384055</v>
      </c>
      <c r="F133" s="5">
        <f>20557*'Table 4'!B160</f>
        <v>25917.64757103575</v>
      </c>
      <c r="G133" s="29">
        <f>16394*'Table 4'!B160</f>
        <v>20669.062328139327</v>
      </c>
      <c r="H133" s="5">
        <v>29128</v>
      </c>
      <c r="I133" s="5">
        <v>31190</v>
      </c>
      <c r="J133" s="5">
        <v>24821</v>
      </c>
    </row>
    <row r="134" spans="1:10" s="36" customFormat="1" ht="15.75">
      <c r="A134" s="20" t="s">
        <v>163</v>
      </c>
      <c r="B134" s="149">
        <v>1318</v>
      </c>
      <c r="C134" s="144">
        <v>3201</v>
      </c>
      <c r="D134" s="152">
        <v>1305</v>
      </c>
      <c r="E134" s="149">
        <v>1569</v>
      </c>
      <c r="F134" s="144">
        <v>2422</v>
      </c>
      <c r="G134" s="152">
        <v>3891</v>
      </c>
      <c r="H134" s="144">
        <v>2652</v>
      </c>
      <c r="I134" s="144">
        <v>3751</v>
      </c>
      <c r="J134" s="144">
        <v>5241</v>
      </c>
    </row>
    <row r="135" spans="1:7" ht="15.75">
      <c r="A135" s="95" t="s">
        <v>20</v>
      </c>
      <c r="B135" s="21"/>
      <c r="D135" s="30"/>
      <c r="E135" s="21"/>
      <c r="G135" s="30"/>
    </row>
    <row r="136" spans="1:10" ht="15.75">
      <c r="A136" s="95" t="s">
        <v>85</v>
      </c>
      <c r="B136" s="11">
        <f>24628*'Table 4'!B159</f>
        <v>42611.086792452836</v>
      </c>
      <c r="C136" s="5">
        <f>27071*'Table 4'!B159</f>
        <v>46837.93773584906</v>
      </c>
      <c r="D136" s="29">
        <f>22870*'Table 4'!B159</f>
        <v>39569.41509433962</v>
      </c>
      <c r="E136" s="11">
        <f>35915*'Table 4'!B160</f>
        <v>45280.552245646206</v>
      </c>
      <c r="F136" s="5">
        <f>38185*'Table 4'!B160</f>
        <v>48142.50000000001</v>
      </c>
      <c r="G136" s="29">
        <f>34195*'Table 4'!B160</f>
        <v>43112.02795600367</v>
      </c>
      <c r="H136" s="5">
        <v>56882</v>
      </c>
      <c r="I136" s="5">
        <v>58857</v>
      </c>
      <c r="J136" s="5">
        <v>54714</v>
      </c>
    </row>
    <row r="137" spans="1:10" s="36" customFormat="1" ht="15.75">
      <c r="A137" s="20" t="s">
        <v>163</v>
      </c>
      <c r="B137" s="149">
        <v>447</v>
      </c>
      <c r="C137" s="144">
        <v>828</v>
      </c>
      <c r="D137" s="152">
        <v>561</v>
      </c>
      <c r="E137" s="149">
        <v>892</v>
      </c>
      <c r="F137" s="144">
        <v>1136</v>
      </c>
      <c r="G137" s="152">
        <v>888</v>
      </c>
      <c r="H137" s="144">
        <v>867</v>
      </c>
      <c r="I137" s="144">
        <v>1233</v>
      </c>
      <c r="J137" s="144">
        <v>1519</v>
      </c>
    </row>
    <row r="138" spans="1:10" ht="15.75">
      <c r="A138" s="95" t="s">
        <v>86</v>
      </c>
      <c r="B138" s="11">
        <f>20780*'Table 4'!B159</f>
        <v>35953.32075471699</v>
      </c>
      <c r="C138" s="5">
        <f>21323*'Table 4'!B159</f>
        <v>36892.81320754717</v>
      </c>
      <c r="D138" s="29">
        <f>20663*'Table 4'!B159</f>
        <v>35750.88867924528</v>
      </c>
      <c r="E138" s="11">
        <f>27703*'Table 4'!B160</f>
        <v>34927.10953253896</v>
      </c>
      <c r="F138" s="5">
        <f>29010*'Table 4'!B160</f>
        <v>36574.93583868012</v>
      </c>
      <c r="G138" s="29">
        <f>27137*'Table 4'!B160</f>
        <v>34213.51374885427</v>
      </c>
      <c r="H138" s="5">
        <v>41765</v>
      </c>
      <c r="I138" s="5">
        <v>46644</v>
      </c>
      <c r="J138" s="5">
        <v>40099</v>
      </c>
    </row>
    <row r="139" spans="1:10" s="36" customFormat="1" ht="15.75">
      <c r="A139" s="20" t="s">
        <v>163</v>
      </c>
      <c r="B139" s="149">
        <v>1424</v>
      </c>
      <c r="C139" s="144">
        <v>5632</v>
      </c>
      <c r="D139" s="152">
        <v>1539</v>
      </c>
      <c r="E139" s="149">
        <v>1722</v>
      </c>
      <c r="F139" s="144">
        <v>2771</v>
      </c>
      <c r="G139" s="152">
        <v>2118</v>
      </c>
      <c r="H139" s="144">
        <v>2057</v>
      </c>
      <c r="I139" s="144">
        <v>6314</v>
      </c>
      <c r="J139" s="144">
        <v>2792</v>
      </c>
    </row>
    <row r="140" spans="1:10" ht="15.75">
      <c r="A140" s="95" t="s">
        <v>87</v>
      </c>
      <c r="B140" s="11">
        <f>18553*'Table 4'!B159</f>
        <v>32100.190566037738</v>
      </c>
      <c r="C140" s="5">
        <f>21355*'Table 4'!B159</f>
        <v>36948.17924528302</v>
      </c>
      <c r="D140" s="29">
        <f>17803*'Table 4'!B159</f>
        <v>30802.549056603777</v>
      </c>
      <c r="E140" s="11">
        <f>36226*'Table 4'!B160</f>
        <v>45672.65169569203</v>
      </c>
      <c r="F140" s="5">
        <f>34262*'Table 4'!B160</f>
        <v>43196.49954170486</v>
      </c>
      <c r="G140" s="29">
        <f>39338*'Table 4'!B160</f>
        <v>49596.167736022006</v>
      </c>
      <c r="H140" s="5">
        <v>44259</v>
      </c>
      <c r="I140" s="5">
        <v>44853</v>
      </c>
      <c r="J140" s="5">
        <v>41764</v>
      </c>
    </row>
    <row r="141" spans="1:10" s="36" customFormat="1" ht="15.75">
      <c r="A141" s="20" t="s">
        <v>163</v>
      </c>
      <c r="B141" s="149">
        <v>1338</v>
      </c>
      <c r="C141" s="144">
        <v>5999</v>
      </c>
      <c r="D141" s="152">
        <v>1296</v>
      </c>
      <c r="E141" s="149">
        <v>2565</v>
      </c>
      <c r="F141" s="144">
        <v>3928</v>
      </c>
      <c r="G141" s="152">
        <v>3121</v>
      </c>
      <c r="H141" s="144">
        <v>4609</v>
      </c>
      <c r="I141" s="144">
        <v>4982</v>
      </c>
      <c r="J141" s="144">
        <v>8020</v>
      </c>
    </row>
    <row r="142" spans="1:10" ht="15.75">
      <c r="A142" s="95" t="s">
        <v>88</v>
      </c>
      <c r="B142" s="11">
        <f>9378*'Table 4'!B159</f>
        <v>16225.709433962265</v>
      </c>
      <c r="C142" s="5">
        <f>11206*'Table 4'!B159</f>
        <v>19388.494339622644</v>
      </c>
      <c r="D142" s="29">
        <f>8847*'Table 4'!B159</f>
        <v>15306.97924528302</v>
      </c>
      <c r="E142" s="11">
        <f>13052*'Table 4'!B160</f>
        <v>16455.569202566458</v>
      </c>
      <c r="F142" s="5">
        <f>15926*'Table 4'!B160</f>
        <v>20079.021998166823</v>
      </c>
      <c r="G142" s="29">
        <f>11925*'Table 4'!B160</f>
        <v>15034.681484876262</v>
      </c>
      <c r="H142" s="5">
        <v>22143</v>
      </c>
      <c r="I142" s="5">
        <v>24640</v>
      </c>
      <c r="J142" s="5">
        <v>21011</v>
      </c>
    </row>
    <row r="143" spans="1:10" s="36" customFormat="1" ht="15.75">
      <c r="A143" s="20" t="s">
        <v>163</v>
      </c>
      <c r="B143" s="149">
        <v>408</v>
      </c>
      <c r="C143" s="144">
        <v>926</v>
      </c>
      <c r="D143" s="152">
        <v>424</v>
      </c>
      <c r="E143" s="149">
        <v>761</v>
      </c>
      <c r="F143" s="144">
        <v>1520</v>
      </c>
      <c r="G143" s="152">
        <v>772</v>
      </c>
      <c r="H143" s="144">
        <v>1261</v>
      </c>
      <c r="I143" s="144">
        <v>1894</v>
      </c>
      <c r="J143" s="144">
        <v>1435</v>
      </c>
    </row>
    <row r="144" spans="1:7" ht="15.75">
      <c r="A144" s="95" t="s">
        <v>22</v>
      </c>
      <c r="B144" s="21"/>
      <c r="D144" s="30"/>
      <c r="E144" s="21"/>
      <c r="G144" s="30"/>
    </row>
    <row r="145" spans="1:10" ht="15.75">
      <c r="A145" s="95" t="s">
        <v>89</v>
      </c>
      <c r="B145" s="11">
        <f>4934*'Table 4'!B159</f>
        <v>8536.750943396228</v>
      </c>
      <c r="C145" s="5">
        <f>4829*'Table 4'!B159</f>
        <v>8355.081132075473</v>
      </c>
      <c r="D145" s="29">
        <f>4994*'Table 4'!B159</f>
        <v>8640.562264150944</v>
      </c>
      <c r="E145" s="11">
        <f>6774*'Table 4'!B160</f>
        <v>8540.45554537122</v>
      </c>
      <c r="F145" s="5">
        <f>6590*'Table 4'!B160</f>
        <v>8308.473877176904</v>
      </c>
      <c r="G145" s="29">
        <f>6968*'Table 4'!B160</f>
        <v>8785.044912923924</v>
      </c>
      <c r="H145" s="5">
        <v>7800</v>
      </c>
      <c r="I145" s="5">
        <v>7595</v>
      </c>
      <c r="J145" s="5">
        <v>7908</v>
      </c>
    </row>
    <row r="146" spans="1:10" s="36" customFormat="1" ht="15.75">
      <c r="A146" s="20" t="s">
        <v>163</v>
      </c>
      <c r="B146" s="149">
        <v>207</v>
      </c>
      <c r="C146" s="144">
        <v>329</v>
      </c>
      <c r="D146" s="152">
        <v>277</v>
      </c>
      <c r="E146" s="149">
        <v>209</v>
      </c>
      <c r="F146" s="144">
        <v>274</v>
      </c>
      <c r="G146" s="152">
        <v>317</v>
      </c>
      <c r="H146" s="144">
        <v>269</v>
      </c>
      <c r="I146" s="144">
        <v>530</v>
      </c>
      <c r="J146" s="144">
        <v>308</v>
      </c>
    </row>
    <row r="147" spans="1:10" ht="15.75">
      <c r="A147" s="95" t="s">
        <v>105</v>
      </c>
      <c r="B147" s="11">
        <f>10243*'Table 4'!B159</f>
        <v>17722.322641509436</v>
      </c>
      <c r="C147" s="5">
        <f>10802*'Table 4'!B159</f>
        <v>18689.498113207548</v>
      </c>
      <c r="D147" s="29">
        <f>9827*'Table 4'!B159</f>
        <v>17002.5641509434</v>
      </c>
      <c r="E147" s="11">
        <f>16495*'Table 4'!B160</f>
        <v>20796.400091659034</v>
      </c>
      <c r="F147" s="5">
        <f>15860*'Table 4'!B160</f>
        <v>19995.81118240147</v>
      </c>
      <c r="G147" s="29">
        <f>17084*'Table 4'!B160</f>
        <v>21538.993583868014</v>
      </c>
      <c r="H147" s="5">
        <v>19070</v>
      </c>
      <c r="I147" s="5">
        <v>19866</v>
      </c>
      <c r="J147" s="5">
        <v>18366</v>
      </c>
    </row>
    <row r="148" spans="1:10" s="36" customFormat="1" ht="15.75">
      <c r="A148" s="20" t="s">
        <v>163</v>
      </c>
      <c r="B148" s="149">
        <v>183</v>
      </c>
      <c r="C148" s="144">
        <v>268</v>
      </c>
      <c r="D148" s="152">
        <v>217</v>
      </c>
      <c r="E148" s="149">
        <v>489</v>
      </c>
      <c r="F148" s="144">
        <v>689</v>
      </c>
      <c r="G148" s="152">
        <v>754</v>
      </c>
      <c r="H148" s="144">
        <v>306</v>
      </c>
      <c r="I148" s="144">
        <v>445</v>
      </c>
      <c r="J148" s="144">
        <v>431</v>
      </c>
    </row>
    <row r="149" spans="1:10" ht="15.75">
      <c r="A149" s="95" t="s">
        <v>106</v>
      </c>
      <c r="B149" s="11">
        <f>20293*'Table 4'!B159</f>
        <v>35110.71886792453</v>
      </c>
      <c r="C149" s="5">
        <f>21329*'Table 4'!B159</f>
        <v>36903.19433962264</v>
      </c>
      <c r="D149" s="29">
        <f>19345*'Table 4'!B159</f>
        <v>33470.5</v>
      </c>
      <c r="E149" s="11">
        <f>32969*'Table 4'!B160</f>
        <v>41566.32401466545</v>
      </c>
      <c r="F149" s="5">
        <f>31773*'Table 4'!B160</f>
        <v>40058.44317140239</v>
      </c>
      <c r="G149" s="29">
        <f>34472*'Table 4'!B160</f>
        <v>43461.261228230986</v>
      </c>
      <c r="H149" s="5">
        <v>37283</v>
      </c>
      <c r="I149" s="5">
        <v>38644</v>
      </c>
      <c r="J149" s="5">
        <v>35952</v>
      </c>
    </row>
    <row r="150" spans="1:10" s="36" customFormat="1" ht="15.75">
      <c r="A150" s="20" t="s">
        <v>163</v>
      </c>
      <c r="B150" s="149">
        <v>231</v>
      </c>
      <c r="C150" s="144">
        <v>316</v>
      </c>
      <c r="D150" s="152">
        <v>310</v>
      </c>
      <c r="E150" s="149">
        <v>704</v>
      </c>
      <c r="F150" s="144">
        <v>740</v>
      </c>
      <c r="G150" s="152">
        <v>1141</v>
      </c>
      <c r="H150" s="144">
        <v>520</v>
      </c>
      <c r="I150" s="144">
        <v>683</v>
      </c>
      <c r="J150" s="144">
        <v>770</v>
      </c>
    </row>
    <row r="151" spans="1:10" ht="15.75">
      <c r="A151" s="95" t="s">
        <v>107</v>
      </c>
      <c r="B151" s="11">
        <f>41542*'Table 4'!B159</f>
        <v>71875.49811320755</v>
      </c>
      <c r="C151" s="5">
        <f>44033*'Table 4'!B159</f>
        <v>76185.39811320756</v>
      </c>
      <c r="D151" s="29">
        <f>38047*'Table 4'!B159</f>
        <v>65828.48867924529</v>
      </c>
      <c r="E151" s="11">
        <f>67824*'Table 4'!B160</f>
        <v>85510.46012832265</v>
      </c>
      <c r="F151" s="5">
        <f>68415*'Table 4'!B160</f>
        <v>86255.57516040331</v>
      </c>
      <c r="G151" s="29">
        <f>67409*'Table 4'!B160</f>
        <v>84987.2406049496</v>
      </c>
      <c r="H151" s="5">
        <v>83715</v>
      </c>
      <c r="I151" s="5">
        <v>85730</v>
      </c>
      <c r="J151" s="5">
        <v>80766</v>
      </c>
    </row>
    <row r="152" spans="1:10" s="36" customFormat="1" ht="15.75">
      <c r="A152" s="20" t="s">
        <v>163</v>
      </c>
      <c r="B152" s="149">
        <v>632</v>
      </c>
      <c r="C152" s="144">
        <v>1262</v>
      </c>
      <c r="D152" s="152">
        <v>1149</v>
      </c>
      <c r="E152" s="149">
        <v>1630</v>
      </c>
      <c r="F152" s="144">
        <v>2431</v>
      </c>
      <c r="G152" s="152">
        <v>1947</v>
      </c>
      <c r="H152" s="144">
        <v>1250</v>
      </c>
      <c r="I152" s="144">
        <v>1443</v>
      </c>
      <c r="J152" s="144">
        <v>2113</v>
      </c>
    </row>
    <row r="153" spans="1:7" ht="15.75">
      <c r="A153" s="95" t="s">
        <v>18</v>
      </c>
      <c r="B153" s="21"/>
      <c r="D153" s="30"/>
      <c r="E153" s="21"/>
      <c r="G153" s="30"/>
    </row>
    <row r="154" spans="1:10" ht="15.75">
      <c r="A154" s="95" t="s">
        <v>90</v>
      </c>
      <c r="B154" s="11">
        <f>25745*'Table 4'!B159</f>
        <v>44543.70754716982</v>
      </c>
      <c r="C154" s="5">
        <f>25745*'Table 4'!B159</f>
        <v>44543.70754716982</v>
      </c>
      <c r="D154" s="29" t="s">
        <v>53</v>
      </c>
      <c r="E154" s="11">
        <f>35262*'Table 4'!B160</f>
        <v>44457.269477543545</v>
      </c>
      <c r="F154" s="5">
        <f>35385*'Table 4'!B160</f>
        <v>44612.34417965171</v>
      </c>
      <c r="G154" s="29">
        <f>31916*'Table 4'!B160</f>
        <v>40238.73327222732</v>
      </c>
      <c r="H154" s="5">
        <v>55995</v>
      </c>
      <c r="I154" s="5">
        <v>55962</v>
      </c>
      <c r="J154" s="5">
        <v>56166</v>
      </c>
    </row>
    <row r="155" spans="1:10" s="36" customFormat="1" ht="15.75">
      <c r="A155" s="194" t="s">
        <v>163</v>
      </c>
      <c r="B155" s="148">
        <v>871</v>
      </c>
      <c r="C155" s="146">
        <v>871</v>
      </c>
      <c r="D155" s="153" t="s">
        <v>164</v>
      </c>
      <c r="E155" s="148">
        <v>1303</v>
      </c>
      <c r="F155" s="146">
        <v>1344</v>
      </c>
      <c r="G155" s="151">
        <v>5334</v>
      </c>
      <c r="H155" s="146">
        <v>2046</v>
      </c>
      <c r="I155" s="146">
        <v>2221</v>
      </c>
      <c r="J155" s="146">
        <v>3821</v>
      </c>
    </row>
    <row r="156" ht="15.75">
      <c r="A156" s="6" t="s">
        <v>108</v>
      </c>
    </row>
    <row r="157" spans="1:28" ht="15.75">
      <c r="A157" s="6" t="s">
        <v>109</v>
      </c>
      <c r="B157" s="5"/>
      <c r="C157" s="5"/>
      <c r="D157" s="5"/>
      <c r="E157" s="5"/>
      <c r="F157" s="5"/>
      <c r="G157" s="5"/>
      <c r="H157" s="5"/>
      <c r="I157" s="5"/>
      <c r="J157" s="5"/>
      <c r="K157" s="5"/>
      <c r="L157" s="5"/>
      <c r="M157" s="105"/>
      <c r="N157" s="5"/>
      <c r="O157" s="5"/>
      <c r="P157" s="5"/>
      <c r="Q157" s="5"/>
      <c r="R157" s="5"/>
      <c r="S157" s="5"/>
      <c r="T157" s="5"/>
      <c r="U157" s="5"/>
      <c r="V157" s="105"/>
      <c r="W157" s="5"/>
      <c r="X157" s="5"/>
      <c r="Y157" s="5"/>
      <c r="Z157" s="5"/>
      <c r="AA157" s="5"/>
      <c r="AB157" s="5"/>
    </row>
    <row r="159" spans="1:2" ht="15.75" hidden="1">
      <c r="A159" s="6" t="s">
        <v>23</v>
      </c>
      <c r="B159" s="6">
        <f>275.1/159</f>
        <v>1.7301886792452832</v>
      </c>
    </row>
    <row r="160" spans="1:2" ht="15.75" hidden="1">
      <c r="A160" s="6" t="s">
        <v>24</v>
      </c>
      <c r="B160" s="6">
        <f>275.1/218.2</f>
        <v>1.2607699358386804</v>
      </c>
    </row>
    <row r="161" ht="15.75">
      <c r="A161" s="20" t="s">
        <v>110</v>
      </c>
    </row>
    <row r="162" ht="15.75">
      <c r="A162" s="6" t="s">
        <v>52</v>
      </c>
    </row>
    <row r="163" ht="15.75">
      <c r="A163" s="6" t="s">
        <v>32</v>
      </c>
    </row>
    <row r="164" ht="15.75">
      <c r="A164" s="6" t="s">
        <v>48</v>
      </c>
    </row>
    <row r="165" ht="15.75">
      <c r="A165" s="6" t="s">
        <v>55</v>
      </c>
    </row>
    <row r="166" ht="15.75">
      <c r="A166" s="106" t="s">
        <v>54</v>
      </c>
    </row>
    <row r="167" ht="15.75">
      <c r="A167" s="20" t="s">
        <v>102</v>
      </c>
    </row>
    <row r="168" ht="15.75">
      <c r="A168" s="20" t="s">
        <v>97</v>
      </c>
    </row>
  </sheetData>
  <hyperlinks>
    <hyperlink ref="K2" location="'Appendix A'!A1" display="[Return to Menu]"/>
  </hyperlinks>
  <printOptions/>
  <pageMargins left="0.5" right="0.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J45"/>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28.57421875" style="110" customWidth="1"/>
    <col min="2" max="2" width="10.140625" style="110" bestFit="1" customWidth="1"/>
    <col min="3" max="3" width="10.57421875" style="110" bestFit="1" customWidth="1"/>
    <col min="4" max="6" width="9.140625" style="110" customWidth="1"/>
    <col min="7" max="7" width="11.7109375" style="110" customWidth="1"/>
    <col min="8" max="9" width="9.140625" style="110" customWidth="1"/>
    <col min="10" max="10" width="16.140625" style="110" bestFit="1" customWidth="1"/>
    <col min="11" max="16384" width="9.140625" style="110" customWidth="1"/>
  </cols>
  <sheetData>
    <row r="1" spans="1:8" ht="15.75">
      <c r="A1" s="108" t="s">
        <v>133</v>
      </c>
      <c r="B1" s="109"/>
      <c r="C1" s="109"/>
      <c r="D1" s="109"/>
      <c r="F1" s="109"/>
      <c r="G1" s="109"/>
      <c r="H1" s="109"/>
    </row>
    <row r="2" spans="1:8" ht="15.75">
      <c r="A2" s="108" t="s">
        <v>134</v>
      </c>
      <c r="B2" s="109"/>
      <c r="C2" s="109"/>
      <c r="D2" s="109"/>
      <c r="F2" s="109"/>
      <c r="G2" s="109"/>
      <c r="H2" s="109"/>
    </row>
    <row r="3" spans="1:10" ht="15.75">
      <c r="A3" s="108"/>
      <c r="B3" s="109"/>
      <c r="C3" s="109"/>
      <c r="D3" s="109"/>
      <c r="F3" s="109"/>
      <c r="G3" s="109"/>
      <c r="H3" s="109"/>
      <c r="J3" s="96" t="s">
        <v>71</v>
      </c>
    </row>
    <row r="4" spans="1:8" ht="15.75">
      <c r="A4" s="119" t="s">
        <v>196</v>
      </c>
      <c r="B4" s="109"/>
      <c r="C4" s="109"/>
      <c r="D4" s="109"/>
      <c r="F4" s="109"/>
      <c r="G4" s="109"/>
      <c r="H4" s="109"/>
    </row>
    <row r="5" spans="1:9" s="134" customFormat="1" ht="94.5">
      <c r="A5" s="196" t="s">
        <v>99</v>
      </c>
      <c r="B5" s="154" t="s">
        <v>188</v>
      </c>
      <c r="C5" s="154" t="s">
        <v>189</v>
      </c>
      <c r="D5" s="154" t="s">
        <v>190</v>
      </c>
      <c r="E5" s="154" t="s">
        <v>191</v>
      </c>
      <c r="F5" s="154" t="s">
        <v>192</v>
      </c>
      <c r="G5" s="154" t="s">
        <v>193</v>
      </c>
      <c r="H5" s="154" t="s">
        <v>194</v>
      </c>
      <c r="I5" s="154" t="s">
        <v>195</v>
      </c>
    </row>
    <row r="6" spans="1:9" s="111" customFormat="1" ht="15.75">
      <c r="A6" s="112"/>
      <c r="B6" s="113"/>
      <c r="C6" s="113"/>
      <c r="D6" s="113"/>
      <c r="E6" s="113"/>
      <c r="F6" s="113"/>
      <c r="G6" s="113"/>
      <c r="H6" s="113"/>
      <c r="I6" s="113"/>
    </row>
    <row r="7" spans="1:9" ht="15.75">
      <c r="A7" s="108" t="s">
        <v>0</v>
      </c>
      <c r="B7" s="115">
        <v>149455</v>
      </c>
      <c r="C7" s="115">
        <v>54809</v>
      </c>
      <c r="D7" s="115">
        <v>76309</v>
      </c>
      <c r="E7" s="116">
        <v>82.5</v>
      </c>
      <c r="F7" s="115">
        <v>153910</v>
      </c>
      <c r="G7" s="115">
        <v>43586</v>
      </c>
      <c r="H7" s="115">
        <v>79743</v>
      </c>
      <c r="I7" s="116">
        <v>84.5</v>
      </c>
    </row>
    <row r="8" ht="15.75">
      <c r="A8" s="108"/>
    </row>
    <row r="9" ht="15.75">
      <c r="A9" s="108" t="s">
        <v>33</v>
      </c>
    </row>
    <row r="10" spans="1:9" ht="15.75">
      <c r="A10" s="108" t="s">
        <v>111</v>
      </c>
      <c r="B10" s="115">
        <v>159157</v>
      </c>
      <c r="C10" s="115">
        <v>62830</v>
      </c>
      <c r="D10" s="115">
        <v>76395</v>
      </c>
      <c r="E10" s="116">
        <v>84</v>
      </c>
      <c r="F10" s="115">
        <v>167219</v>
      </c>
      <c r="G10" s="115">
        <v>51424</v>
      </c>
      <c r="H10" s="115">
        <v>84567</v>
      </c>
      <c r="I10" s="116">
        <v>86.2</v>
      </c>
    </row>
    <row r="11" spans="1:9" ht="15.75">
      <c r="A11" s="108" t="s">
        <v>112</v>
      </c>
      <c r="B11" s="115">
        <v>141046</v>
      </c>
      <c r="C11" s="115">
        <v>48402</v>
      </c>
      <c r="D11" s="115">
        <v>74816</v>
      </c>
      <c r="E11" s="116">
        <v>81.1</v>
      </c>
      <c r="F11" s="115">
        <v>140977</v>
      </c>
      <c r="G11" s="115">
        <v>35971</v>
      </c>
      <c r="H11" s="115">
        <v>76934</v>
      </c>
      <c r="I11" s="116">
        <v>82.9</v>
      </c>
    </row>
    <row r="12" ht="15.75">
      <c r="A12" s="108" t="s">
        <v>113</v>
      </c>
    </row>
    <row r="13" spans="1:9" ht="15.75">
      <c r="A13" s="108" t="s">
        <v>114</v>
      </c>
      <c r="B13" s="115">
        <v>178153</v>
      </c>
      <c r="C13" s="115">
        <v>72567</v>
      </c>
      <c r="D13" s="115">
        <v>82874</v>
      </c>
      <c r="E13" s="116">
        <v>86.3</v>
      </c>
      <c r="F13" s="115">
        <v>189937</v>
      </c>
      <c r="G13" s="115">
        <v>60312</v>
      </c>
      <c r="H13" s="115">
        <v>94824</v>
      </c>
      <c r="I13" s="116">
        <v>88.4</v>
      </c>
    </row>
    <row r="14" spans="1:9" ht="15.75">
      <c r="A14" s="108" t="s">
        <v>115</v>
      </c>
      <c r="B14" s="115">
        <v>44184</v>
      </c>
      <c r="C14" s="115">
        <v>7208</v>
      </c>
      <c r="D14" s="115">
        <v>25014</v>
      </c>
      <c r="E14" s="116">
        <v>65.3</v>
      </c>
      <c r="F14" s="115">
        <v>42079</v>
      </c>
      <c r="G14" s="115">
        <v>5006</v>
      </c>
      <c r="H14" s="115">
        <v>32378</v>
      </c>
      <c r="I14" s="116">
        <v>67.3</v>
      </c>
    </row>
    <row r="15" spans="1:9" ht="15.75">
      <c r="A15" s="108" t="s">
        <v>116</v>
      </c>
      <c r="B15" s="115">
        <v>176990</v>
      </c>
      <c r="C15" s="115">
        <v>64461</v>
      </c>
      <c r="D15" s="115">
        <v>56712</v>
      </c>
      <c r="E15" s="116">
        <v>69.5</v>
      </c>
      <c r="F15" s="115">
        <v>107513</v>
      </c>
      <c r="G15" s="115">
        <v>35915</v>
      </c>
      <c r="H15" s="115">
        <v>50212</v>
      </c>
      <c r="I15" s="116">
        <v>79.1</v>
      </c>
    </row>
    <row r="16" spans="1:9" ht="15.75">
      <c r="A16" s="108" t="s">
        <v>70</v>
      </c>
      <c r="B16" s="115">
        <v>47266</v>
      </c>
      <c r="C16" s="115">
        <v>5453</v>
      </c>
      <c r="D16" s="115">
        <v>31361</v>
      </c>
      <c r="E16" s="116">
        <v>63.4</v>
      </c>
      <c r="F16" s="115">
        <v>53709</v>
      </c>
      <c r="G16" s="115">
        <v>8619</v>
      </c>
      <c r="H16" s="115">
        <v>39687</v>
      </c>
      <c r="I16" s="116">
        <v>67.5</v>
      </c>
    </row>
    <row r="17" ht="15.75">
      <c r="A17" s="108" t="s">
        <v>16</v>
      </c>
    </row>
    <row r="18" spans="1:9" ht="15.75">
      <c r="A18" s="108" t="s">
        <v>77</v>
      </c>
      <c r="B18" s="115">
        <v>57726</v>
      </c>
      <c r="C18" s="115">
        <v>10877</v>
      </c>
      <c r="D18" s="115">
        <v>37452</v>
      </c>
      <c r="E18" s="116">
        <v>70.4</v>
      </c>
      <c r="F18" s="115">
        <v>47868</v>
      </c>
      <c r="G18" s="115">
        <v>5156</v>
      </c>
      <c r="H18" s="115">
        <v>29970</v>
      </c>
      <c r="I18" s="116">
        <v>71.1</v>
      </c>
    </row>
    <row r="19" spans="1:9" ht="15.75">
      <c r="A19" s="108" t="s">
        <v>78</v>
      </c>
      <c r="B19" s="115">
        <v>145231</v>
      </c>
      <c r="C19" s="115">
        <v>54239</v>
      </c>
      <c r="D19" s="115">
        <v>76437</v>
      </c>
      <c r="E19" s="116">
        <v>85.7</v>
      </c>
      <c r="F19" s="115">
        <v>114781</v>
      </c>
      <c r="G19" s="115">
        <v>30471</v>
      </c>
      <c r="H19" s="115">
        <v>64885</v>
      </c>
      <c r="I19" s="116">
        <v>84</v>
      </c>
    </row>
    <row r="20" spans="1:9" ht="15.75">
      <c r="A20" s="108" t="s">
        <v>79</v>
      </c>
      <c r="B20" s="115">
        <v>204308</v>
      </c>
      <c r="C20" s="115">
        <v>89132</v>
      </c>
      <c r="D20" s="115">
        <v>88768</v>
      </c>
      <c r="E20" s="116">
        <v>85.9</v>
      </c>
      <c r="F20" s="115">
        <v>157698</v>
      </c>
      <c r="G20" s="115">
        <v>42686</v>
      </c>
      <c r="H20" s="115">
        <v>89513</v>
      </c>
      <c r="I20" s="116">
        <v>86.7</v>
      </c>
    </row>
    <row r="21" spans="1:9" ht="15.75">
      <c r="A21" s="108" t="s">
        <v>80</v>
      </c>
      <c r="B21" s="115">
        <v>304925</v>
      </c>
      <c r="C21" s="115">
        <v>146219</v>
      </c>
      <c r="D21" s="115">
        <v>113489</v>
      </c>
      <c r="E21" s="116">
        <v>87.5</v>
      </c>
      <c r="F21" s="115">
        <v>317380</v>
      </c>
      <c r="G21" s="115">
        <v>128478</v>
      </c>
      <c r="H21" s="115">
        <v>145528</v>
      </c>
      <c r="I21" s="116">
        <v>90.3</v>
      </c>
    </row>
    <row r="22" ht="15.75">
      <c r="A22" s="108" t="s">
        <v>17</v>
      </c>
    </row>
    <row r="23" spans="1:9" ht="15.75">
      <c r="A23" s="108" t="s">
        <v>81</v>
      </c>
      <c r="B23" s="115">
        <v>178347</v>
      </c>
      <c r="C23" s="115">
        <v>72040</v>
      </c>
      <c r="D23" s="115">
        <v>85176</v>
      </c>
      <c r="E23" s="116">
        <v>88.3</v>
      </c>
      <c r="F23" s="115">
        <v>189949</v>
      </c>
      <c r="G23" s="115">
        <v>60812</v>
      </c>
      <c r="H23" s="115">
        <v>99315</v>
      </c>
      <c r="I23" s="116">
        <v>91</v>
      </c>
    </row>
    <row r="24" spans="1:9" ht="15.75">
      <c r="A24" s="108" t="s">
        <v>82</v>
      </c>
      <c r="B24" s="115">
        <v>50363</v>
      </c>
      <c r="C24" s="115">
        <v>13244</v>
      </c>
      <c r="D24" s="115">
        <v>18757</v>
      </c>
      <c r="E24" s="116">
        <v>60</v>
      </c>
      <c r="F24" s="115">
        <v>56230</v>
      </c>
      <c r="G24" s="115">
        <v>11899</v>
      </c>
      <c r="H24" s="115">
        <v>24870</v>
      </c>
      <c r="I24" s="116">
        <v>63.1</v>
      </c>
    </row>
    <row r="25" spans="1:9" ht="15.75">
      <c r="A25" s="108" t="s">
        <v>83</v>
      </c>
      <c r="B25" s="115">
        <v>62799</v>
      </c>
      <c r="C25" s="115">
        <v>13559</v>
      </c>
      <c r="D25" s="115">
        <v>31724</v>
      </c>
      <c r="E25" s="116">
        <v>65.8</v>
      </c>
      <c r="F25" s="115">
        <v>66929</v>
      </c>
      <c r="G25" s="115">
        <v>8986</v>
      </c>
      <c r="H25" s="115">
        <v>42364</v>
      </c>
      <c r="I25" s="116">
        <v>68.5</v>
      </c>
    </row>
    <row r="26" spans="1:9" ht="15.75">
      <c r="A26" s="108" t="s">
        <v>84</v>
      </c>
      <c r="B26" s="115">
        <v>51430</v>
      </c>
      <c r="C26" s="115">
        <v>10209</v>
      </c>
      <c r="D26" s="115">
        <v>5904</v>
      </c>
      <c r="E26" s="116">
        <v>53</v>
      </c>
      <c r="F26" s="115">
        <v>40283</v>
      </c>
      <c r="G26" s="115">
        <v>7896</v>
      </c>
      <c r="H26" s="115">
        <v>22836</v>
      </c>
      <c r="I26" s="116">
        <v>60.1</v>
      </c>
    </row>
    <row r="27" ht="15.75">
      <c r="A27" s="108" t="s">
        <v>25</v>
      </c>
    </row>
    <row r="28" spans="1:9" ht="15.75">
      <c r="A28" s="108" t="s">
        <v>117</v>
      </c>
      <c r="B28" s="115">
        <v>54269</v>
      </c>
      <c r="C28" s="115">
        <v>9192</v>
      </c>
      <c r="D28" s="115">
        <v>37525</v>
      </c>
      <c r="E28" s="116">
        <v>69.8</v>
      </c>
      <c r="F28" s="115">
        <v>51975</v>
      </c>
      <c r="G28" s="115">
        <v>7953</v>
      </c>
      <c r="H28" s="115">
        <v>38214</v>
      </c>
      <c r="I28" s="116">
        <v>71.4</v>
      </c>
    </row>
    <row r="29" spans="1:9" ht="15.75">
      <c r="A29" s="108" t="s">
        <v>118</v>
      </c>
      <c r="B29" s="115">
        <v>181453</v>
      </c>
      <c r="C29" s="115">
        <v>76114</v>
      </c>
      <c r="D29" s="115">
        <v>83695</v>
      </c>
      <c r="E29" s="116">
        <v>86</v>
      </c>
      <c r="F29" s="115">
        <v>194186</v>
      </c>
      <c r="G29" s="115">
        <v>61850</v>
      </c>
      <c r="H29" s="115">
        <v>99334</v>
      </c>
      <c r="I29" s="116">
        <v>88.6</v>
      </c>
    </row>
    <row r="30" ht="33" customHeight="1">
      <c r="A30" s="114" t="s">
        <v>119</v>
      </c>
    </row>
    <row r="31" spans="1:9" ht="15.75">
      <c r="A31" s="108" t="s">
        <v>120</v>
      </c>
      <c r="B31" s="115">
        <v>153866</v>
      </c>
      <c r="C31" s="115">
        <v>58458</v>
      </c>
      <c r="D31" s="115">
        <v>76306</v>
      </c>
      <c r="E31" s="116">
        <v>85.1</v>
      </c>
      <c r="F31" s="115">
        <v>166918</v>
      </c>
      <c r="G31" s="115">
        <v>49972</v>
      </c>
      <c r="H31" s="115">
        <v>87773</v>
      </c>
      <c r="I31" s="116">
        <v>87.3</v>
      </c>
    </row>
    <row r="32" spans="1:9" ht="15.75">
      <c r="A32" s="108" t="s">
        <v>121</v>
      </c>
      <c r="B32" s="115">
        <v>185825</v>
      </c>
      <c r="C32" s="115">
        <v>74372</v>
      </c>
      <c r="D32" s="115">
        <v>86022</v>
      </c>
      <c r="E32" s="116">
        <v>85.8</v>
      </c>
      <c r="F32" s="115">
        <v>201168</v>
      </c>
      <c r="G32" s="115">
        <v>66071</v>
      </c>
      <c r="H32" s="115">
        <v>99495</v>
      </c>
      <c r="I32" s="116">
        <v>87.9</v>
      </c>
    </row>
    <row r="33" spans="1:9" ht="15.75">
      <c r="A33" s="108" t="s">
        <v>122</v>
      </c>
      <c r="B33" s="115">
        <v>50998</v>
      </c>
      <c r="C33" s="115">
        <v>14739</v>
      </c>
      <c r="D33" s="115">
        <v>27107</v>
      </c>
      <c r="E33" s="116">
        <v>57.1</v>
      </c>
      <c r="F33" s="115">
        <v>92039</v>
      </c>
      <c r="G33" s="115">
        <v>15482</v>
      </c>
      <c r="H33" s="115">
        <v>53724</v>
      </c>
      <c r="I33" s="116">
        <v>74.5</v>
      </c>
    </row>
    <row r="34" spans="1:9" ht="15.75">
      <c r="A34" s="108" t="s">
        <v>123</v>
      </c>
      <c r="B34" s="115">
        <v>133894</v>
      </c>
      <c r="C34" s="115">
        <v>44563</v>
      </c>
      <c r="D34" s="115">
        <v>70269</v>
      </c>
      <c r="E34" s="116">
        <v>79</v>
      </c>
      <c r="F34" s="115">
        <v>116959</v>
      </c>
      <c r="G34" s="115">
        <v>29291</v>
      </c>
      <c r="H34" s="115">
        <v>68547</v>
      </c>
      <c r="I34" s="116">
        <v>79.7</v>
      </c>
    </row>
    <row r="35" ht="15.75">
      <c r="A35" s="108" t="s">
        <v>18</v>
      </c>
    </row>
    <row r="36" spans="1:9" ht="15.75">
      <c r="A36" s="108" t="s">
        <v>90</v>
      </c>
      <c r="B36" s="115">
        <v>170746</v>
      </c>
      <c r="C36" s="115">
        <v>70341</v>
      </c>
      <c r="D36" s="115">
        <v>81872</v>
      </c>
      <c r="E36" s="116">
        <v>85.8</v>
      </c>
      <c r="F36" s="115">
        <v>159729</v>
      </c>
      <c r="G36" s="115">
        <v>48792</v>
      </c>
      <c r="H36" s="115">
        <v>83837</v>
      </c>
      <c r="I36" s="116">
        <v>87.4</v>
      </c>
    </row>
    <row r="38" spans="1:9" ht="15.75">
      <c r="A38" s="110" t="s">
        <v>58</v>
      </c>
      <c r="B38" s="115"/>
      <c r="C38" s="115"/>
      <c r="D38" s="115"/>
      <c r="E38" s="117"/>
      <c r="F38" s="115"/>
      <c r="G38" s="115"/>
      <c r="H38" s="115"/>
      <c r="I38" s="117"/>
    </row>
    <row r="39" spans="1:9" ht="15.75">
      <c r="A39" s="110" t="s">
        <v>57</v>
      </c>
      <c r="B39" s="115"/>
      <c r="C39" s="115"/>
      <c r="D39" s="115"/>
      <c r="E39" s="117"/>
      <c r="F39" s="115"/>
      <c r="G39" s="115"/>
      <c r="H39" s="115"/>
      <c r="I39" s="117"/>
    </row>
    <row r="40" spans="2:9" ht="15.75">
      <c r="B40" s="115"/>
      <c r="C40" s="115"/>
      <c r="D40" s="115"/>
      <c r="E40" s="117"/>
      <c r="F40" s="115"/>
      <c r="G40" s="115"/>
      <c r="H40" s="115"/>
      <c r="I40" s="117"/>
    </row>
    <row r="41" spans="1:9" ht="15.75">
      <c r="A41" s="119" t="s">
        <v>124</v>
      </c>
      <c r="B41" s="118"/>
      <c r="C41" s="118"/>
      <c r="D41" s="118"/>
      <c r="E41" s="111"/>
      <c r="F41" s="118"/>
      <c r="G41" s="118"/>
      <c r="H41" s="118"/>
      <c r="I41" s="111"/>
    </row>
    <row r="42" spans="1:9" ht="15.75">
      <c r="A42" s="110" t="s">
        <v>215</v>
      </c>
      <c r="B42" s="118"/>
      <c r="C42" s="118"/>
      <c r="D42" s="118"/>
      <c r="E42" s="111"/>
      <c r="F42" s="118"/>
      <c r="G42" s="118"/>
      <c r="H42" s="118"/>
      <c r="I42" s="111"/>
    </row>
    <row r="43" spans="1:9" ht="15.75">
      <c r="A43" s="110" t="s">
        <v>216</v>
      </c>
      <c r="B43" s="118"/>
      <c r="C43" s="118"/>
      <c r="D43" s="118"/>
      <c r="E43" s="111"/>
      <c r="F43" s="118"/>
      <c r="G43" s="118"/>
      <c r="H43" s="118"/>
      <c r="I43" s="111"/>
    </row>
    <row r="44" spans="1:8" ht="15.75">
      <c r="A44" s="119" t="s">
        <v>102</v>
      </c>
      <c r="B44" s="109"/>
      <c r="C44" s="109"/>
      <c r="D44" s="109"/>
      <c r="F44" s="109"/>
      <c r="G44" s="109"/>
      <c r="H44" s="109"/>
    </row>
    <row r="45" spans="1:8" ht="15.75">
      <c r="A45" s="119" t="s">
        <v>125</v>
      </c>
      <c r="B45" s="109"/>
      <c r="C45" s="109"/>
      <c r="D45" s="109"/>
      <c r="F45" s="109"/>
      <c r="G45" s="109"/>
      <c r="H45" s="109"/>
    </row>
  </sheetData>
  <hyperlinks>
    <hyperlink ref="J3" location="'Appendix A'!A1" display="[Return to Menu]"/>
  </hyperlinks>
  <printOptions/>
  <pageMargins left="0.5" right="0.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Z124"/>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30.57421875" style="110" customWidth="1"/>
    <col min="2" max="7" width="8.57421875" style="158" bestFit="1" customWidth="1"/>
    <col min="8" max="8" width="9.28125" style="158" bestFit="1" customWidth="1"/>
    <col min="9" max="9" width="12.8515625" style="111" customWidth="1"/>
    <col min="10" max="10" width="16.140625" style="158" bestFit="1" customWidth="1"/>
    <col min="11" max="11" width="6.00390625" style="158" bestFit="1" customWidth="1"/>
    <col min="12" max="12" width="6.140625" style="158" bestFit="1" customWidth="1"/>
    <col min="13" max="13" width="8.28125" style="158" bestFit="1" customWidth="1"/>
    <col min="14" max="16384" width="9.140625" style="110" customWidth="1"/>
  </cols>
  <sheetData>
    <row r="1" spans="1:10" ht="18.75" customHeight="1">
      <c r="A1" s="108" t="s">
        <v>131</v>
      </c>
      <c r="J1" s="201" t="s">
        <v>71</v>
      </c>
    </row>
    <row r="2" spans="1:13" s="108" customFormat="1" ht="15.75">
      <c r="A2" s="108" t="s">
        <v>130</v>
      </c>
      <c r="B2" s="159"/>
      <c r="C2" s="159"/>
      <c r="D2" s="159"/>
      <c r="E2" s="159"/>
      <c r="F2" s="159"/>
      <c r="G2" s="159"/>
      <c r="H2" s="159"/>
      <c r="J2" s="159"/>
      <c r="K2" s="159"/>
      <c r="L2" s="159"/>
      <c r="M2" s="159"/>
    </row>
    <row r="4" spans="1:13" s="108" customFormat="1" ht="63">
      <c r="A4" s="119" t="s">
        <v>126</v>
      </c>
      <c r="B4" s="154" t="s">
        <v>197</v>
      </c>
      <c r="C4" s="154" t="s">
        <v>198</v>
      </c>
      <c r="D4" s="154" t="s">
        <v>199</v>
      </c>
      <c r="E4" s="154" t="s">
        <v>200</v>
      </c>
      <c r="F4" s="154" t="s">
        <v>201</v>
      </c>
      <c r="G4" s="154" t="s">
        <v>202</v>
      </c>
      <c r="H4" s="154" t="s">
        <v>217</v>
      </c>
      <c r="I4" s="154" t="s">
        <v>203</v>
      </c>
      <c r="J4" s="154" t="s">
        <v>204</v>
      </c>
      <c r="K4" s="154" t="s">
        <v>205</v>
      </c>
      <c r="L4" s="154" t="s">
        <v>206</v>
      </c>
      <c r="M4" s="154" t="s">
        <v>207</v>
      </c>
    </row>
    <row r="5" spans="1:13" ht="15.75">
      <c r="A5" s="108" t="s">
        <v>0</v>
      </c>
      <c r="B5" s="155">
        <v>36.5</v>
      </c>
      <c r="C5" s="155">
        <v>23.7</v>
      </c>
      <c r="D5" s="155">
        <v>48.1</v>
      </c>
      <c r="E5" s="155">
        <v>26.5</v>
      </c>
      <c r="F5" s="155">
        <v>32.8</v>
      </c>
      <c r="G5" s="155">
        <v>20.8</v>
      </c>
      <c r="H5" s="155">
        <v>12.7</v>
      </c>
      <c r="I5" s="155">
        <v>12.5</v>
      </c>
      <c r="J5" s="155">
        <v>12.8</v>
      </c>
      <c r="K5" s="155">
        <v>22.4</v>
      </c>
      <c r="L5" s="155">
        <v>30</v>
      </c>
      <c r="M5" s="155">
        <v>15.6</v>
      </c>
    </row>
    <row r="6" spans="1:13" ht="15.75">
      <c r="A6" s="119" t="s">
        <v>166</v>
      </c>
      <c r="B6" s="160">
        <v>0.88765</v>
      </c>
      <c r="C6" s="160">
        <v>1.04696</v>
      </c>
      <c r="D6" s="160">
        <v>1.10149</v>
      </c>
      <c r="E6" s="161">
        <v>0.70478</v>
      </c>
      <c r="F6" s="161">
        <v>1.11487</v>
      </c>
      <c r="G6" s="160">
        <v>0.75603</v>
      </c>
      <c r="H6" s="161">
        <v>0.53525</v>
      </c>
      <c r="I6" s="161">
        <v>0.68476</v>
      </c>
      <c r="J6" s="160">
        <v>0.81732</v>
      </c>
      <c r="K6" s="160">
        <v>0.5459</v>
      </c>
      <c r="L6" s="160">
        <v>0.78354</v>
      </c>
      <c r="M6" s="160">
        <v>0.7701</v>
      </c>
    </row>
    <row r="7" spans="1:9" ht="15.75">
      <c r="A7" s="108" t="s">
        <v>14</v>
      </c>
      <c r="I7" s="158"/>
    </row>
    <row r="8" spans="1:13" ht="15.75">
      <c r="A8" s="108" t="s">
        <v>68</v>
      </c>
      <c r="B8" s="155">
        <v>34.1</v>
      </c>
      <c r="C8" s="155">
        <v>21.2</v>
      </c>
      <c r="D8" s="155">
        <v>46.2</v>
      </c>
      <c r="E8" s="155">
        <v>26.9</v>
      </c>
      <c r="F8" s="155">
        <v>33</v>
      </c>
      <c r="G8" s="155">
        <v>21.2</v>
      </c>
      <c r="H8" s="155">
        <v>13.2</v>
      </c>
      <c r="I8" s="155">
        <v>12.9</v>
      </c>
      <c r="J8" s="155">
        <v>13.4</v>
      </c>
      <c r="K8" s="155">
        <v>24.1</v>
      </c>
      <c r="L8" s="155">
        <v>32.3</v>
      </c>
      <c r="M8" s="155">
        <v>16.5</v>
      </c>
    </row>
    <row r="9" spans="1:13" ht="15.75">
      <c r="A9" s="119" t="s">
        <v>163</v>
      </c>
      <c r="B9" s="160">
        <v>0.95315</v>
      </c>
      <c r="C9" s="160">
        <v>1.08993</v>
      </c>
      <c r="D9" s="160">
        <v>1.26007</v>
      </c>
      <c r="E9" s="161">
        <v>0.79493</v>
      </c>
      <c r="F9" s="161">
        <v>1.24108</v>
      </c>
      <c r="G9" s="160">
        <v>0.87135</v>
      </c>
      <c r="H9" s="161">
        <v>0.61265</v>
      </c>
      <c r="I9" s="161">
        <v>0.71455</v>
      </c>
      <c r="J9" s="160">
        <v>0.93325</v>
      </c>
      <c r="K9" s="160">
        <v>0.61118</v>
      </c>
      <c r="L9" s="160">
        <v>0.83746</v>
      </c>
      <c r="M9" s="160">
        <v>0.8262</v>
      </c>
    </row>
    <row r="10" spans="1:13" ht="15.75">
      <c r="A10" s="108" t="s">
        <v>69</v>
      </c>
      <c r="B10" s="155">
        <v>41.4</v>
      </c>
      <c r="C10" s="155">
        <v>31.5</v>
      </c>
      <c r="D10" s="155">
        <v>48.6</v>
      </c>
      <c r="E10" s="155">
        <v>29</v>
      </c>
      <c r="F10" s="155">
        <v>34.7</v>
      </c>
      <c r="G10" s="155">
        <v>24.9</v>
      </c>
      <c r="H10" s="155">
        <v>11.3</v>
      </c>
      <c r="I10" s="155">
        <v>11.3</v>
      </c>
      <c r="J10" s="155">
        <v>11.4</v>
      </c>
      <c r="K10" s="155">
        <v>15.4</v>
      </c>
      <c r="L10" s="155">
        <v>20.3</v>
      </c>
      <c r="M10" s="155">
        <v>11.8</v>
      </c>
    </row>
    <row r="11" spans="1:13" ht="15.75">
      <c r="A11" s="119" t="s">
        <v>163</v>
      </c>
      <c r="B11" s="160">
        <v>1.98788</v>
      </c>
      <c r="C11" s="160">
        <v>2.62471</v>
      </c>
      <c r="D11" s="160">
        <v>2.36217</v>
      </c>
      <c r="E11" s="161">
        <v>1.20623</v>
      </c>
      <c r="F11" s="161">
        <v>2.21042</v>
      </c>
      <c r="G11" s="160">
        <v>1.40849</v>
      </c>
      <c r="H11" s="161">
        <v>1.04773</v>
      </c>
      <c r="I11" s="161">
        <v>1.85741</v>
      </c>
      <c r="J11" s="160">
        <v>1.3269</v>
      </c>
      <c r="K11" s="160">
        <v>1.28164</v>
      </c>
      <c r="L11" s="160">
        <v>2.51654</v>
      </c>
      <c r="M11" s="160">
        <v>1.3443</v>
      </c>
    </row>
    <row r="12" spans="1:13" ht="15.75">
      <c r="A12" s="108" t="s">
        <v>116</v>
      </c>
      <c r="B12" s="155">
        <v>40.7</v>
      </c>
      <c r="C12" s="155">
        <v>35.5</v>
      </c>
      <c r="D12" s="155">
        <v>45.3</v>
      </c>
      <c r="E12" s="155">
        <v>21.1</v>
      </c>
      <c r="F12" s="155">
        <v>32.4</v>
      </c>
      <c r="G12" s="155">
        <v>11.1</v>
      </c>
      <c r="H12" s="155">
        <v>12.5</v>
      </c>
      <c r="I12" s="155">
        <v>9.5</v>
      </c>
      <c r="J12" s="155">
        <v>15.1</v>
      </c>
      <c r="K12" s="155">
        <v>25</v>
      </c>
      <c r="L12" s="155">
        <v>20.9</v>
      </c>
      <c r="M12" s="155">
        <v>28.5</v>
      </c>
    </row>
    <row r="13" spans="1:13" ht="15.75">
      <c r="A13" s="119" t="s">
        <v>163</v>
      </c>
      <c r="B13" s="160">
        <v>5.24147</v>
      </c>
      <c r="C13" s="160">
        <v>6.7574</v>
      </c>
      <c r="D13" s="160">
        <v>6.43605</v>
      </c>
      <c r="E13" s="161">
        <v>3.76227</v>
      </c>
      <c r="F13" s="161">
        <v>6.90881</v>
      </c>
      <c r="G13" s="160">
        <v>3.8599</v>
      </c>
      <c r="H13" s="161">
        <v>2.35438</v>
      </c>
      <c r="I13" s="161">
        <v>3.79761</v>
      </c>
      <c r="J13" s="160">
        <v>4.73347</v>
      </c>
      <c r="K13" s="160">
        <v>5.47166</v>
      </c>
      <c r="L13" s="160">
        <v>7.08496</v>
      </c>
      <c r="M13" s="160">
        <v>6.7589</v>
      </c>
    </row>
    <row r="14" spans="1:13" ht="15.75">
      <c r="A14" s="108" t="s">
        <v>70</v>
      </c>
      <c r="B14" s="155">
        <v>60.6</v>
      </c>
      <c r="C14" s="155">
        <v>46.1</v>
      </c>
      <c r="D14" s="155">
        <v>72</v>
      </c>
      <c r="E14" s="155">
        <v>18.8</v>
      </c>
      <c r="F14" s="155">
        <v>26.9</v>
      </c>
      <c r="G14" s="155">
        <v>12.5</v>
      </c>
      <c r="H14" s="155">
        <v>8.4</v>
      </c>
      <c r="I14" s="155">
        <v>10.3</v>
      </c>
      <c r="J14" s="155">
        <v>7</v>
      </c>
      <c r="K14" s="155">
        <v>10.9</v>
      </c>
      <c r="L14" s="155">
        <v>15.9</v>
      </c>
      <c r="M14" s="155">
        <v>7.1</v>
      </c>
    </row>
    <row r="15" spans="1:13" ht="15.75">
      <c r="A15" s="119" t="s">
        <v>163</v>
      </c>
      <c r="B15" s="160">
        <v>2.79396</v>
      </c>
      <c r="C15" s="160">
        <v>4.98176</v>
      </c>
      <c r="D15" s="160">
        <v>2.73384</v>
      </c>
      <c r="E15" s="161">
        <v>2.24269</v>
      </c>
      <c r="F15" s="161">
        <v>4.11031</v>
      </c>
      <c r="G15" s="160">
        <v>1.79439</v>
      </c>
      <c r="H15" s="161">
        <v>1.21246</v>
      </c>
      <c r="I15" s="161">
        <v>2.43594</v>
      </c>
      <c r="J15" s="160">
        <v>1.39502</v>
      </c>
      <c r="K15" s="160">
        <v>1.75166</v>
      </c>
      <c r="L15" s="160">
        <v>3.22275</v>
      </c>
      <c r="M15" s="160">
        <v>1.717</v>
      </c>
    </row>
    <row r="16" spans="1:9" ht="15.75">
      <c r="A16" s="108" t="s">
        <v>16</v>
      </c>
      <c r="I16" s="158"/>
    </row>
    <row r="17" spans="1:13" ht="15.75">
      <c r="A17" s="108" t="s">
        <v>77</v>
      </c>
      <c r="B17" s="155">
        <v>58.1</v>
      </c>
      <c r="C17" s="155">
        <v>42.6</v>
      </c>
      <c r="D17" s="155">
        <v>70.5</v>
      </c>
      <c r="E17" s="155">
        <v>19.6</v>
      </c>
      <c r="F17" s="155">
        <v>28.5</v>
      </c>
      <c r="G17" s="155">
        <v>12.4</v>
      </c>
      <c r="H17" s="155">
        <v>10.1</v>
      </c>
      <c r="I17" s="155">
        <v>12.2</v>
      </c>
      <c r="J17" s="155">
        <v>8.5</v>
      </c>
      <c r="K17" s="155">
        <v>10.7</v>
      </c>
      <c r="L17" s="155">
        <v>15.3</v>
      </c>
      <c r="M17" s="155">
        <v>7</v>
      </c>
    </row>
    <row r="18" spans="1:13" ht="15.75">
      <c r="A18" s="119" t="s">
        <v>163</v>
      </c>
      <c r="B18" s="160">
        <v>1.45793</v>
      </c>
      <c r="C18" s="160">
        <v>2.17555</v>
      </c>
      <c r="D18" s="160">
        <v>1.44435</v>
      </c>
      <c r="E18" s="161">
        <v>1.09651</v>
      </c>
      <c r="F18" s="161">
        <v>1.76084</v>
      </c>
      <c r="G18" s="160">
        <v>1.05725</v>
      </c>
      <c r="H18" s="161">
        <v>0.96611</v>
      </c>
      <c r="I18" s="161">
        <v>1.58107</v>
      </c>
      <c r="J18" s="160">
        <v>1.10994</v>
      </c>
      <c r="K18" s="160">
        <v>0.71799</v>
      </c>
      <c r="L18" s="160">
        <v>1.47812</v>
      </c>
      <c r="M18" s="160">
        <v>0.9582</v>
      </c>
    </row>
    <row r="19" spans="1:13" ht="15.75">
      <c r="A19" s="108" t="s">
        <v>78</v>
      </c>
      <c r="B19" s="155">
        <v>36.2</v>
      </c>
      <c r="C19" s="155">
        <v>20.5</v>
      </c>
      <c r="D19" s="155">
        <v>48.1</v>
      </c>
      <c r="E19" s="155">
        <v>27.3</v>
      </c>
      <c r="F19" s="155">
        <v>36.2</v>
      </c>
      <c r="G19" s="155">
        <v>20.6</v>
      </c>
      <c r="H19" s="155">
        <v>14.5</v>
      </c>
      <c r="I19" s="155">
        <v>13.6</v>
      </c>
      <c r="J19" s="155">
        <v>15.1</v>
      </c>
      <c r="K19" s="155">
        <v>20.8</v>
      </c>
      <c r="L19" s="155">
        <v>28.9</v>
      </c>
      <c r="M19" s="155">
        <v>14.5</v>
      </c>
    </row>
    <row r="20" spans="1:13" ht="15.75">
      <c r="A20" s="119" t="s">
        <v>163</v>
      </c>
      <c r="B20" s="160">
        <v>1.01463</v>
      </c>
      <c r="C20" s="160">
        <v>1.40146</v>
      </c>
      <c r="D20" s="160">
        <v>1.28337</v>
      </c>
      <c r="E20" s="161">
        <v>1.25335</v>
      </c>
      <c r="F20" s="161">
        <v>2.05287</v>
      </c>
      <c r="G20" s="160">
        <v>1.22025</v>
      </c>
      <c r="H20" s="161">
        <v>0.81988</v>
      </c>
      <c r="I20" s="161">
        <v>0.91078</v>
      </c>
      <c r="J20" s="160">
        <v>1.1897</v>
      </c>
      <c r="K20" s="160">
        <v>0.89541</v>
      </c>
      <c r="L20" s="160">
        <v>1.38965</v>
      </c>
      <c r="M20" s="160">
        <v>0.9446</v>
      </c>
    </row>
    <row r="21" spans="1:13" ht="15.75">
      <c r="A21" s="108" t="s">
        <v>79</v>
      </c>
      <c r="B21" s="155">
        <v>28.9</v>
      </c>
      <c r="C21" s="155">
        <v>20.3</v>
      </c>
      <c r="D21" s="155">
        <v>37.1</v>
      </c>
      <c r="E21" s="155">
        <v>27.4</v>
      </c>
      <c r="F21" s="155">
        <v>31.4</v>
      </c>
      <c r="G21" s="155">
        <v>23.5</v>
      </c>
      <c r="H21" s="155">
        <v>13.3</v>
      </c>
      <c r="I21" s="155">
        <v>12</v>
      </c>
      <c r="J21" s="155">
        <v>14.5</v>
      </c>
      <c r="K21" s="155">
        <v>27.3</v>
      </c>
      <c r="L21" s="155">
        <v>35.4</v>
      </c>
      <c r="M21" s="155">
        <v>19.5</v>
      </c>
    </row>
    <row r="22" spans="1:13" ht="15.75">
      <c r="A22" s="119" t="s">
        <v>163</v>
      </c>
      <c r="B22" s="160">
        <v>1.71097</v>
      </c>
      <c r="C22" s="160">
        <v>1.80738</v>
      </c>
      <c r="D22" s="160">
        <v>2.34883</v>
      </c>
      <c r="E22" s="161">
        <v>1.32967</v>
      </c>
      <c r="F22" s="161">
        <v>1.82617</v>
      </c>
      <c r="G22" s="160">
        <v>1.93872</v>
      </c>
      <c r="H22" s="161">
        <v>1.23309</v>
      </c>
      <c r="I22" s="161">
        <v>1.62808</v>
      </c>
      <c r="J22" s="160">
        <v>1.70182</v>
      </c>
      <c r="K22" s="160">
        <v>1.49135</v>
      </c>
      <c r="L22" s="160">
        <v>1.70276</v>
      </c>
      <c r="M22" s="160">
        <v>2.1564</v>
      </c>
    </row>
    <row r="23" spans="1:13" ht="15.75">
      <c r="A23" s="108" t="s">
        <v>80</v>
      </c>
      <c r="B23" s="155">
        <v>17.8</v>
      </c>
      <c r="C23" s="155">
        <v>13.7</v>
      </c>
      <c r="D23" s="155">
        <v>23.7</v>
      </c>
      <c r="E23" s="155">
        <v>32.7</v>
      </c>
      <c r="F23" s="155">
        <v>33</v>
      </c>
      <c r="G23" s="155">
        <v>32.2</v>
      </c>
      <c r="H23" s="155">
        <v>11.3</v>
      </c>
      <c r="I23" s="155">
        <v>11.7</v>
      </c>
      <c r="J23" s="155">
        <v>10.7</v>
      </c>
      <c r="K23" s="155">
        <v>36.2</v>
      </c>
      <c r="L23" s="155">
        <v>41.5</v>
      </c>
      <c r="M23" s="155">
        <v>28.5</v>
      </c>
    </row>
    <row r="24" spans="1:13" ht="15.75">
      <c r="A24" s="119" t="s">
        <v>163</v>
      </c>
      <c r="B24" s="160">
        <v>1.23415</v>
      </c>
      <c r="C24" s="160">
        <v>1.49164</v>
      </c>
      <c r="D24" s="160">
        <v>1.80346</v>
      </c>
      <c r="E24" s="161">
        <v>1.63211</v>
      </c>
      <c r="F24" s="161">
        <v>2.08951</v>
      </c>
      <c r="G24" s="160">
        <v>1.99932</v>
      </c>
      <c r="H24" s="161">
        <v>1.22135</v>
      </c>
      <c r="I24" s="161">
        <v>1.35312</v>
      </c>
      <c r="J24" s="160">
        <v>1.95248</v>
      </c>
      <c r="K24" s="160">
        <v>1.1064</v>
      </c>
      <c r="L24" s="160">
        <v>1.684</v>
      </c>
      <c r="M24" s="160">
        <v>1.6234</v>
      </c>
    </row>
    <row r="25" spans="1:9" ht="15.75">
      <c r="A25" s="108" t="s">
        <v>17</v>
      </c>
      <c r="I25" s="158"/>
    </row>
    <row r="26" spans="1:13" ht="15.75">
      <c r="A26" s="108" t="s">
        <v>81</v>
      </c>
      <c r="B26" s="155">
        <v>35.2</v>
      </c>
      <c r="C26" s="155">
        <v>21.9</v>
      </c>
      <c r="D26" s="155">
        <v>49.2</v>
      </c>
      <c r="E26" s="155">
        <v>26.8</v>
      </c>
      <c r="F26" s="155">
        <v>33</v>
      </c>
      <c r="G26" s="155">
        <v>20.2</v>
      </c>
      <c r="H26" s="155">
        <v>12.6</v>
      </c>
      <c r="I26" s="155">
        <v>12.7</v>
      </c>
      <c r="J26" s="155">
        <v>12.4</v>
      </c>
      <c r="K26" s="155">
        <v>23.1</v>
      </c>
      <c r="L26" s="155">
        <v>31.4</v>
      </c>
      <c r="M26" s="155">
        <v>14.4</v>
      </c>
    </row>
    <row r="27" spans="1:13" ht="15.75">
      <c r="A27" s="119" t="s">
        <v>163</v>
      </c>
      <c r="B27" s="160">
        <v>0.89475</v>
      </c>
      <c r="C27" s="160">
        <v>1.03939</v>
      </c>
      <c r="D27" s="160">
        <v>1.23159</v>
      </c>
      <c r="E27" s="161">
        <v>0.72354</v>
      </c>
      <c r="F27" s="161">
        <v>1.21823</v>
      </c>
      <c r="G27" s="160">
        <v>0.80721</v>
      </c>
      <c r="H27" s="161">
        <v>0.59202</v>
      </c>
      <c r="I27" s="161">
        <v>0.65324</v>
      </c>
      <c r="J27" s="160">
        <v>0.99474</v>
      </c>
      <c r="K27" s="160">
        <v>0.6161</v>
      </c>
      <c r="L27" s="160">
        <v>0.93759</v>
      </c>
      <c r="M27" s="160">
        <v>0.7389</v>
      </c>
    </row>
    <row r="28" spans="1:13" ht="15.75">
      <c r="A28" s="108" t="s">
        <v>82</v>
      </c>
      <c r="B28" s="155">
        <v>35.8</v>
      </c>
      <c r="C28" s="155">
        <v>30.9</v>
      </c>
      <c r="D28" s="155">
        <v>39.2</v>
      </c>
      <c r="E28" s="155">
        <v>26.7</v>
      </c>
      <c r="F28" s="155">
        <v>30.4</v>
      </c>
      <c r="G28" s="155">
        <v>24.1</v>
      </c>
      <c r="H28" s="155">
        <v>12.9</v>
      </c>
      <c r="I28" s="155">
        <v>12.9</v>
      </c>
      <c r="J28" s="155">
        <v>12.9</v>
      </c>
      <c r="K28" s="155">
        <v>24.5</v>
      </c>
      <c r="L28" s="155">
        <v>25.7</v>
      </c>
      <c r="M28" s="155">
        <v>23.6</v>
      </c>
    </row>
    <row r="29" spans="1:13" ht="15.75">
      <c r="A29" s="119" t="s">
        <v>163</v>
      </c>
      <c r="B29" s="160">
        <v>1.88202</v>
      </c>
      <c r="C29" s="160">
        <v>2.73365</v>
      </c>
      <c r="D29" s="160">
        <v>2.33165</v>
      </c>
      <c r="E29" s="161">
        <v>2.19025</v>
      </c>
      <c r="F29" s="161">
        <v>3.49918</v>
      </c>
      <c r="G29" s="160">
        <v>2.53049</v>
      </c>
      <c r="H29" s="161">
        <v>1.46524</v>
      </c>
      <c r="I29" s="161">
        <v>2.48801</v>
      </c>
      <c r="J29" s="160">
        <v>1.48371</v>
      </c>
      <c r="K29" s="160">
        <v>2.16466</v>
      </c>
      <c r="L29" s="160">
        <v>3.0296</v>
      </c>
      <c r="M29" s="160">
        <v>2.5855</v>
      </c>
    </row>
    <row r="30" spans="1:13" ht="15.75">
      <c r="A30" s="108" t="s">
        <v>83</v>
      </c>
      <c r="B30" s="155">
        <v>48.1</v>
      </c>
      <c r="C30" s="155">
        <v>31.1</v>
      </c>
      <c r="D30" s="155">
        <v>51.3</v>
      </c>
      <c r="E30" s="155">
        <v>22</v>
      </c>
      <c r="F30" s="155">
        <v>42.4</v>
      </c>
      <c r="G30" s="155">
        <v>18.2</v>
      </c>
      <c r="H30" s="155">
        <v>15.7</v>
      </c>
      <c r="I30" s="155">
        <v>12.8</v>
      </c>
      <c r="J30" s="155">
        <v>16.3</v>
      </c>
      <c r="K30" s="155">
        <v>13.8</v>
      </c>
      <c r="L30" s="155">
        <v>13.4</v>
      </c>
      <c r="M30" s="155">
        <v>13.9</v>
      </c>
    </row>
    <row r="31" spans="1:13" ht="15.75">
      <c r="A31" s="119" t="s">
        <v>163</v>
      </c>
      <c r="B31" s="160">
        <v>2.33679</v>
      </c>
      <c r="C31" s="160">
        <v>5.00413</v>
      </c>
      <c r="D31" s="160">
        <v>2.59506</v>
      </c>
      <c r="E31" s="161">
        <v>2.02639</v>
      </c>
      <c r="F31" s="161">
        <v>5.68499</v>
      </c>
      <c r="G31" s="160">
        <v>2.09981</v>
      </c>
      <c r="H31" s="161">
        <v>1.63118</v>
      </c>
      <c r="I31" s="161">
        <v>4.7381</v>
      </c>
      <c r="J31" s="160">
        <v>1.81861</v>
      </c>
      <c r="K31" s="160">
        <v>1.52643</v>
      </c>
      <c r="L31" s="160">
        <v>4.20597</v>
      </c>
      <c r="M31" s="160">
        <v>1.6059</v>
      </c>
    </row>
    <row r="32" spans="1:13" ht="15.75">
      <c r="A32" s="108" t="s">
        <v>84</v>
      </c>
      <c r="B32" s="155">
        <v>44.1</v>
      </c>
      <c r="C32" s="155">
        <v>44.4</v>
      </c>
      <c r="D32" s="155">
        <v>43.8</v>
      </c>
      <c r="E32" s="155">
        <v>29.3</v>
      </c>
      <c r="F32" s="155">
        <v>28.1</v>
      </c>
      <c r="G32" s="155">
        <v>30.6</v>
      </c>
      <c r="H32" s="155">
        <v>6.8</v>
      </c>
      <c r="I32" s="155">
        <v>6.5</v>
      </c>
      <c r="J32" s="155">
        <v>7.1</v>
      </c>
      <c r="K32" s="155">
        <v>19.4</v>
      </c>
      <c r="L32" s="155">
        <v>20.6</v>
      </c>
      <c r="M32" s="155">
        <v>18.1</v>
      </c>
    </row>
    <row r="33" spans="1:13" ht="15.75">
      <c r="A33" s="119" t="s">
        <v>163</v>
      </c>
      <c r="B33" s="160">
        <v>3.82942</v>
      </c>
      <c r="C33" s="160">
        <v>5.48545</v>
      </c>
      <c r="D33" s="160">
        <v>4.43936</v>
      </c>
      <c r="E33" s="161">
        <v>3.21934</v>
      </c>
      <c r="F33" s="161">
        <v>4.9172</v>
      </c>
      <c r="G33" s="160">
        <v>4.88412</v>
      </c>
      <c r="H33" s="161">
        <v>1.84371</v>
      </c>
      <c r="I33" s="161">
        <v>2.7148</v>
      </c>
      <c r="J33" s="160">
        <v>2.54158</v>
      </c>
      <c r="K33" s="160">
        <v>3.23557</v>
      </c>
      <c r="L33" s="160">
        <v>4.62768</v>
      </c>
      <c r="M33" s="160">
        <v>3.5241</v>
      </c>
    </row>
    <row r="34" spans="1:9" ht="15.75">
      <c r="A34" s="108" t="s">
        <v>25</v>
      </c>
      <c r="I34" s="158"/>
    </row>
    <row r="35" spans="1:13" ht="15.75">
      <c r="A35" s="108" t="s">
        <v>127</v>
      </c>
      <c r="B35" s="155">
        <v>50.5</v>
      </c>
      <c r="C35" s="155">
        <v>36.7</v>
      </c>
      <c r="D35" s="155">
        <v>62.4</v>
      </c>
      <c r="E35" s="155">
        <v>25.1</v>
      </c>
      <c r="F35" s="155">
        <v>36.7</v>
      </c>
      <c r="G35" s="155">
        <v>15.1</v>
      </c>
      <c r="H35" s="155">
        <v>10</v>
      </c>
      <c r="I35" s="155">
        <v>9.9</v>
      </c>
      <c r="J35" s="155">
        <v>10.1</v>
      </c>
      <c r="K35" s="155">
        <v>11.9</v>
      </c>
      <c r="L35" s="155">
        <v>15.6</v>
      </c>
      <c r="M35" s="155">
        <v>8.7</v>
      </c>
    </row>
    <row r="36" spans="1:13" ht="15.75">
      <c r="A36" s="119" t="s">
        <v>163</v>
      </c>
      <c r="B36" s="160">
        <v>1.70291</v>
      </c>
      <c r="C36" s="160">
        <v>2.11104</v>
      </c>
      <c r="D36" s="160">
        <v>2.14227</v>
      </c>
      <c r="E36" s="161">
        <v>1.22357</v>
      </c>
      <c r="F36" s="161">
        <v>2.07289</v>
      </c>
      <c r="G36" s="160">
        <v>1.50239</v>
      </c>
      <c r="H36" s="161">
        <v>0.98354</v>
      </c>
      <c r="I36" s="161">
        <v>1.26844</v>
      </c>
      <c r="J36" s="160">
        <v>1.35712</v>
      </c>
      <c r="K36" s="160">
        <v>0.86203</v>
      </c>
      <c r="L36" s="160">
        <v>1.54316</v>
      </c>
      <c r="M36" s="160">
        <v>0.9016</v>
      </c>
    </row>
    <row r="37" spans="1:13" ht="15.75">
      <c r="A37" s="108" t="s">
        <v>128</v>
      </c>
      <c r="B37" s="155">
        <v>32.7</v>
      </c>
      <c r="C37" s="155">
        <v>20.2</v>
      </c>
      <c r="D37" s="155">
        <v>44</v>
      </c>
      <c r="E37" s="155">
        <v>26.8</v>
      </c>
      <c r="F37" s="155">
        <v>31.7</v>
      </c>
      <c r="G37" s="155">
        <v>22.4</v>
      </c>
      <c r="H37" s="155">
        <v>13.4</v>
      </c>
      <c r="I37" s="155">
        <v>13.2</v>
      </c>
      <c r="J37" s="155">
        <v>13.5</v>
      </c>
      <c r="K37" s="155">
        <v>25.4</v>
      </c>
      <c r="L37" s="155">
        <v>33.9</v>
      </c>
      <c r="M37" s="155">
        <v>17.5</v>
      </c>
    </row>
    <row r="38" spans="1:13" ht="15.75">
      <c r="A38" s="119" t="s">
        <v>163</v>
      </c>
      <c r="B38" s="160">
        <v>0.88183</v>
      </c>
      <c r="C38" s="160">
        <v>1.0663</v>
      </c>
      <c r="D38" s="160">
        <v>1.04653</v>
      </c>
      <c r="E38" s="161">
        <v>0.81163</v>
      </c>
      <c r="F38" s="161">
        <v>1.21582</v>
      </c>
      <c r="G38" s="160">
        <v>0.87699</v>
      </c>
      <c r="H38" s="161">
        <v>0.59233</v>
      </c>
      <c r="I38" s="161">
        <v>0.74689</v>
      </c>
      <c r="J38" s="160">
        <v>0.90151</v>
      </c>
      <c r="K38" s="160">
        <v>0.6652</v>
      </c>
      <c r="L38" s="160">
        <v>0.96188</v>
      </c>
      <c r="M38" s="160">
        <v>0.9092</v>
      </c>
    </row>
    <row r="39" spans="1:9" ht="15.75">
      <c r="A39" s="108" t="s">
        <v>21</v>
      </c>
      <c r="I39" s="158"/>
    </row>
    <row r="40" spans="1:13" ht="15.75">
      <c r="A40" s="108" t="s">
        <v>89</v>
      </c>
      <c r="B40" s="155" t="s">
        <v>53</v>
      </c>
      <c r="C40" s="155" t="s">
        <v>53</v>
      </c>
      <c r="D40" s="155" t="s">
        <v>53</v>
      </c>
      <c r="E40" s="155" t="s">
        <v>53</v>
      </c>
      <c r="F40" s="155" t="s">
        <v>53</v>
      </c>
      <c r="G40" s="155" t="s">
        <v>53</v>
      </c>
      <c r="H40" s="155" t="s">
        <v>53</v>
      </c>
      <c r="I40" s="155" t="s">
        <v>53</v>
      </c>
      <c r="J40" s="155" t="s">
        <v>53</v>
      </c>
      <c r="K40" s="155" t="s">
        <v>53</v>
      </c>
      <c r="L40" s="155" t="s">
        <v>53</v>
      </c>
      <c r="M40" s="155" t="s">
        <v>53</v>
      </c>
    </row>
    <row r="41" spans="1:13" ht="15.75">
      <c r="A41" s="108" t="s">
        <v>105</v>
      </c>
      <c r="B41" s="155" t="s">
        <v>53</v>
      </c>
      <c r="C41" s="155" t="s">
        <v>53</v>
      </c>
      <c r="D41" s="155" t="s">
        <v>53</v>
      </c>
      <c r="E41" s="155" t="s">
        <v>53</v>
      </c>
      <c r="F41" s="155" t="s">
        <v>53</v>
      </c>
      <c r="G41" s="155" t="s">
        <v>53</v>
      </c>
      <c r="H41" s="155" t="s">
        <v>53</v>
      </c>
      <c r="I41" s="155" t="s">
        <v>53</v>
      </c>
      <c r="J41" s="155" t="s">
        <v>53</v>
      </c>
      <c r="K41" s="155" t="s">
        <v>53</v>
      </c>
      <c r="L41" s="155" t="s">
        <v>53</v>
      </c>
      <c r="M41" s="155" t="s">
        <v>53</v>
      </c>
    </row>
    <row r="42" spans="1:13" ht="15.75">
      <c r="A42" s="108" t="s">
        <v>106</v>
      </c>
      <c r="B42" s="155" t="s">
        <v>53</v>
      </c>
      <c r="C42" s="155" t="s">
        <v>53</v>
      </c>
      <c r="D42" s="155" t="s">
        <v>53</v>
      </c>
      <c r="E42" s="155" t="s">
        <v>53</v>
      </c>
      <c r="F42" s="155" t="s">
        <v>53</v>
      </c>
      <c r="G42" s="155" t="s">
        <v>53</v>
      </c>
      <c r="H42" s="155" t="s">
        <v>53</v>
      </c>
      <c r="I42" s="155" t="s">
        <v>53</v>
      </c>
      <c r="J42" s="155" t="s">
        <v>53</v>
      </c>
      <c r="K42" s="155" t="s">
        <v>53</v>
      </c>
      <c r="L42" s="155" t="s">
        <v>53</v>
      </c>
      <c r="M42" s="155" t="s">
        <v>53</v>
      </c>
    </row>
    <row r="43" spans="1:13" ht="15.75">
      <c r="A43" s="108" t="s">
        <v>107</v>
      </c>
      <c r="B43" s="155" t="s">
        <v>53</v>
      </c>
      <c r="C43" s="155" t="s">
        <v>53</v>
      </c>
      <c r="D43" s="155" t="s">
        <v>53</v>
      </c>
      <c r="E43" s="155" t="s">
        <v>53</v>
      </c>
      <c r="F43" s="155" t="s">
        <v>53</v>
      </c>
      <c r="G43" s="155" t="s">
        <v>53</v>
      </c>
      <c r="H43" s="155" t="s">
        <v>53</v>
      </c>
      <c r="I43" s="155" t="s">
        <v>53</v>
      </c>
      <c r="J43" s="155" t="s">
        <v>53</v>
      </c>
      <c r="K43" s="155" t="s">
        <v>53</v>
      </c>
      <c r="L43" s="155" t="s">
        <v>53</v>
      </c>
      <c r="M43" s="155" t="s">
        <v>53</v>
      </c>
    </row>
    <row r="44" spans="1:9" ht="15.75">
      <c r="A44" s="108" t="s">
        <v>27</v>
      </c>
      <c r="I44" s="158"/>
    </row>
    <row r="45" spans="1:13" ht="15.75">
      <c r="A45" s="167" t="s">
        <v>120</v>
      </c>
      <c r="B45" s="155">
        <v>21.8</v>
      </c>
      <c r="C45" s="155">
        <v>20.7</v>
      </c>
      <c r="D45" s="155">
        <v>23.5</v>
      </c>
      <c r="E45" s="155">
        <v>26.8</v>
      </c>
      <c r="F45" s="155">
        <v>27.1</v>
      </c>
      <c r="G45" s="155">
        <v>26.5</v>
      </c>
      <c r="H45" s="155">
        <v>15.5</v>
      </c>
      <c r="I45" s="155">
        <v>13.9</v>
      </c>
      <c r="J45" s="155">
        <v>17.9</v>
      </c>
      <c r="K45" s="155">
        <v>34.7</v>
      </c>
      <c r="L45" s="155">
        <v>37.7</v>
      </c>
      <c r="M45" s="155">
        <v>30.1</v>
      </c>
    </row>
    <row r="46" spans="1:13" ht="15.75">
      <c r="A46" s="119" t="s">
        <v>163</v>
      </c>
      <c r="B46" s="160">
        <v>0.89756</v>
      </c>
      <c r="C46" s="160">
        <v>1.24283</v>
      </c>
      <c r="D46" s="160">
        <v>1.33671</v>
      </c>
      <c r="E46" s="161">
        <v>1.04436</v>
      </c>
      <c r="F46" s="161">
        <v>1.25846</v>
      </c>
      <c r="G46" s="160">
        <v>1.44114</v>
      </c>
      <c r="H46" s="161">
        <v>0.63238</v>
      </c>
      <c r="I46" s="161">
        <v>0.81798</v>
      </c>
      <c r="J46" s="160">
        <v>1.37745</v>
      </c>
      <c r="K46" s="160">
        <v>0.87586</v>
      </c>
      <c r="L46" s="160">
        <v>1.03182</v>
      </c>
      <c r="M46" s="160">
        <v>1.4937</v>
      </c>
    </row>
    <row r="47" spans="1:13" ht="15.75">
      <c r="A47" s="167" t="s">
        <v>121</v>
      </c>
      <c r="B47" s="155">
        <v>43.7</v>
      </c>
      <c r="C47" s="155">
        <v>29.5</v>
      </c>
      <c r="D47" s="155">
        <v>51.3</v>
      </c>
      <c r="E47" s="155">
        <v>26</v>
      </c>
      <c r="F47" s="155">
        <v>36.3</v>
      </c>
      <c r="G47" s="155">
        <v>20.6</v>
      </c>
      <c r="H47" s="155">
        <v>12.1</v>
      </c>
      <c r="I47" s="155">
        <v>12.2</v>
      </c>
      <c r="J47" s="155">
        <v>12.1</v>
      </c>
      <c r="K47" s="155">
        <v>16.4</v>
      </c>
      <c r="L47" s="155">
        <v>21.5</v>
      </c>
      <c r="M47" s="155">
        <v>13.6</v>
      </c>
    </row>
    <row r="48" spans="1:13" ht="15.75">
      <c r="A48" s="119" t="s">
        <v>163</v>
      </c>
      <c r="B48" s="160">
        <v>1.62318</v>
      </c>
      <c r="C48" s="160">
        <v>2.42839</v>
      </c>
      <c r="D48" s="160">
        <v>2.06821</v>
      </c>
      <c r="E48" s="161">
        <v>1.51351</v>
      </c>
      <c r="F48" s="161">
        <v>2.61122</v>
      </c>
      <c r="G48" s="160">
        <v>1.62779</v>
      </c>
      <c r="H48" s="161">
        <v>1.3285</v>
      </c>
      <c r="I48" s="161">
        <v>2.20747</v>
      </c>
      <c r="J48" s="160">
        <v>1.49415</v>
      </c>
      <c r="K48" s="160">
        <v>1.3273</v>
      </c>
      <c r="L48" s="160">
        <v>2.4259</v>
      </c>
      <c r="M48" s="160">
        <v>1.4676</v>
      </c>
    </row>
    <row r="49" spans="1:13" ht="15.75">
      <c r="A49" s="167" t="s">
        <v>122</v>
      </c>
      <c r="B49" s="155">
        <v>48.8</v>
      </c>
      <c r="C49" s="155">
        <v>37.5</v>
      </c>
      <c r="D49" s="155">
        <v>59.2</v>
      </c>
      <c r="E49" s="155">
        <v>19.3</v>
      </c>
      <c r="F49" s="155">
        <v>21.7</v>
      </c>
      <c r="G49" s="155">
        <v>17.1</v>
      </c>
      <c r="H49" s="155">
        <v>15.5</v>
      </c>
      <c r="I49" s="155">
        <v>20.5</v>
      </c>
      <c r="J49" s="155">
        <v>10.8</v>
      </c>
      <c r="K49" s="155">
        <v>16.4</v>
      </c>
      <c r="L49" s="155">
        <v>20.3</v>
      </c>
      <c r="M49" s="155">
        <v>12.9</v>
      </c>
    </row>
    <row r="50" spans="1:13" ht="15.75">
      <c r="A50" s="119" t="s">
        <v>163</v>
      </c>
      <c r="B50" s="160">
        <v>4.48363</v>
      </c>
      <c r="C50" s="160">
        <v>6.48241</v>
      </c>
      <c r="D50" s="160">
        <v>6.18282</v>
      </c>
      <c r="E50" s="161">
        <v>3.34913</v>
      </c>
      <c r="F50" s="161">
        <v>4.66146</v>
      </c>
      <c r="G50" s="160">
        <v>3.72891</v>
      </c>
      <c r="H50" s="161">
        <v>3.7066</v>
      </c>
      <c r="I50" s="161">
        <v>5.7863</v>
      </c>
      <c r="J50" s="160">
        <v>3.84943</v>
      </c>
      <c r="K50" s="160">
        <v>3.08842</v>
      </c>
      <c r="L50" s="160">
        <v>5.1412</v>
      </c>
      <c r="M50" s="160">
        <v>4.3967</v>
      </c>
    </row>
    <row r="51" spans="1:13" ht="15.75">
      <c r="A51" s="167" t="s">
        <v>123</v>
      </c>
      <c r="B51" s="155">
        <v>52.5</v>
      </c>
      <c r="C51" s="155">
        <v>27.3</v>
      </c>
      <c r="D51" s="155">
        <v>66.6</v>
      </c>
      <c r="E51" s="155">
        <v>27</v>
      </c>
      <c r="F51" s="155">
        <v>45</v>
      </c>
      <c r="G51" s="155">
        <v>16.9</v>
      </c>
      <c r="H51" s="155">
        <v>9.3</v>
      </c>
      <c r="I51" s="155">
        <v>9.2</v>
      </c>
      <c r="J51" s="155">
        <v>9.3</v>
      </c>
      <c r="K51" s="155">
        <v>9.7</v>
      </c>
      <c r="L51" s="155">
        <v>17.5</v>
      </c>
      <c r="M51" s="155">
        <v>5.3</v>
      </c>
    </row>
    <row r="52" spans="1:13" ht="15.75">
      <c r="A52" s="119" t="s">
        <v>163</v>
      </c>
      <c r="B52" s="160">
        <v>1.28399</v>
      </c>
      <c r="C52" s="160">
        <v>1.80748</v>
      </c>
      <c r="D52" s="160">
        <v>1.39292</v>
      </c>
      <c r="E52" s="161">
        <v>0.86592</v>
      </c>
      <c r="F52" s="161">
        <v>2.22678</v>
      </c>
      <c r="G52" s="160">
        <v>0.82948</v>
      </c>
      <c r="H52" s="161">
        <v>0.84552</v>
      </c>
      <c r="I52" s="161">
        <v>1.26317</v>
      </c>
      <c r="J52" s="160">
        <v>1.03351</v>
      </c>
      <c r="K52" s="160">
        <v>0.76275</v>
      </c>
      <c r="L52" s="160">
        <v>1.6972</v>
      </c>
      <c r="M52" s="160">
        <v>0.6199</v>
      </c>
    </row>
    <row r="53" spans="1:9" ht="15.75">
      <c r="A53" s="108" t="s">
        <v>18</v>
      </c>
      <c r="I53" s="158"/>
    </row>
    <row r="54" spans="1:13" ht="15.75">
      <c r="A54" s="108" t="s">
        <v>90</v>
      </c>
      <c r="B54" s="155">
        <v>19.3</v>
      </c>
      <c r="C54" s="155">
        <v>19.1</v>
      </c>
      <c r="D54" s="155">
        <v>35.3</v>
      </c>
      <c r="E54" s="155">
        <v>36.2</v>
      </c>
      <c r="F54" s="155">
        <v>36.5</v>
      </c>
      <c r="G54" s="155">
        <v>19</v>
      </c>
      <c r="H54" s="155">
        <v>12.5</v>
      </c>
      <c r="I54" s="155">
        <v>12.5</v>
      </c>
      <c r="J54" s="155">
        <v>8.2</v>
      </c>
      <c r="K54" s="155">
        <v>31.1</v>
      </c>
      <c r="L54" s="155">
        <v>31</v>
      </c>
      <c r="M54" s="155">
        <v>37.5</v>
      </c>
    </row>
    <row r="55" spans="1:13" ht="15.75">
      <c r="A55" s="119" t="s">
        <v>163</v>
      </c>
      <c r="B55" s="160">
        <v>1.00543</v>
      </c>
      <c r="C55" s="160">
        <v>1.04585</v>
      </c>
      <c r="D55" s="160">
        <v>7.44101</v>
      </c>
      <c r="E55" s="161">
        <v>1.54279</v>
      </c>
      <c r="F55" s="161">
        <v>1.54956</v>
      </c>
      <c r="G55" s="160">
        <v>7.50065</v>
      </c>
      <c r="H55" s="161">
        <v>0.94397</v>
      </c>
      <c r="I55" s="161">
        <v>0.93016</v>
      </c>
      <c r="J55" s="160">
        <v>4.8882</v>
      </c>
      <c r="K55" s="160">
        <v>1.18793</v>
      </c>
      <c r="L55" s="160">
        <v>1.16134</v>
      </c>
      <c r="M55" s="160">
        <v>10.9353</v>
      </c>
    </row>
    <row r="56" spans="1:13" ht="15.75">
      <c r="A56" s="108"/>
      <c r="B56" s="155"/>
      <c r="C56" s="155"/>
      <c r="D56" s="155"/>
      <c r="E56" s="155"/>
      <c r="F56" s="155"/>
      <c r="G56" s="155"/>
      <c r="H56" s="155"/>
      <c r="I56" s="155"/>
      <c r="J56" s="155"/>
      <c r="K56" s="155"/>
      <c r="L56" s="155"/>
      <c r="M56" s="155"/>
    </row>
    <row r="57" spans="1:9" ht="15.75">
      <c r="A57" s="119" t="s">
        <v>129</v>
      </c>
      <c r="I57" s="158"/>
    </row>
    <row r="58" spans="1:13" ht="15.75">
      <c r="A58" s="108" t="s">
        <v>0</v>
      </c>
      <c r="B58" s="155">
        <v>31.2</v>
      </c>
      <c r="C58" s="155">
        <v>25.2</v>
      </c>
      <c r="D58" s="155">
        <v>36.7</v>
      </c>
      <c r="E58" s="155">
        <v>11.7</v>
      </c>
      <c r="F58" s="155">
        <v>12.9</v>
      </c>
      <c r="G58" s="155">
        <v>10.7</v>
      </c>
      <c r="H58" s="155">
        <v>17.1</v>
      </c>
      <c r="I58" s="155">
        <v>17</v>
      </c>
      <c r="J58" s="155">
        <v>17.1</v>
      </c>
      <c r="K58" s="155">
        <v>38.9</v>
      </c>
      <c r="L58" s="155">
        <v>44</v>
      </c>
      <c r="M58" s="155">
        <v>34.1</v>
      </c>
    </row>
    <row r="59" spans="1:13" ht="15.75">
      <c r="A59" s="119" t="s">
        <v>163</v>
      </c>
      <c r="B59" s="162">
        <v>0.87802</v>
      </c>
      <c r="C59" s="162">
        <v>1.06836</v>
      </c>
      <c r="D59" s="162">
        <v>1.1504</v>
      </c>
      <c r="E59" s="162">
        <v>0.56293</v>
      </c>
      <c r="F59" s="162">
        <v>0.71307</v>
      </c>
      <c r="G59" s="162">
        <v>0.69928</v>
      </c>
      <c r="H59" s="162">
        <v>0.60673</v>
      </c>
      <c r="I59" s="162">
        <v>0.95842</v>
      </c>
      <c r="J59" s="162">
        <v>0.7589</v>
      </c>
      <c r="K59" s="162">
        <v>0.72573</v>
      </c>
      <c r="L59" s="162">
        <v>1.3899</v>
      </c>
      <c r="M59" s="162">
        <v>0.8376</v>
      </c>
    </row>
    <row r="60" spans="1:9" ht="15.75">
      <c r="A60" s="108" t="s">
        <v>14</v>
      </c>
      <c r="I60" s="158"/>
    </row>
    <row r="61" spans="1:13" ht="15.75">
      <c r="A61" s="108" t="s">
        <v>68</v>
      </c>
      <c r="B61" s="155">
        <v>28.4</v>
      </c>
      <c r="C61" s="155">
        <v>23</v>
      </c>
      <c r="D61" s="155">
        <v>33.7</v>
      </c>
      <c r="E61" s="155">
        <v>12</v>
      </c>
      <c r="F61" s="155">
        <v>13.3</v>
      </c>
      <c r="G61" s="155">
        <v>10.7</v>
      </c>
      <c r="H61" s="155">
        <v>18</v>
      </c>
      <c r="I61" s="155">
        <v>17.2</v>
      </c>
      <c r="J61" s="155">
        <v>18.8</v>
      </c>
      <c r="K61" s="155">
        <v>40.5</v>
      </c>
      <c r="L61" s="155">
        <v>45.9</v>
      </c>
      <c r="M61" s="155">
        <v>35.3</v>
      </c>
    </row>
    <row r="62" spans="1:13" ht="15.75">
      <c r="A62" s="119" t="s">
        <v>163</v>
      </c>
      <c r="B62" s="162">
        <v>0.87382</v>
      </c>
      <c r="C62" s="162">
        <v>1.15479</v>
      </c>
      <c r="D62" s="162">
        <v>1.2666</v>
      </c>
      <c r="E62" s="162">
        <v>0.65852</v>
      </c>
      <c r="F62" s="162">
        <v>0.91967</v>
      </c>
      <c r="G62" s="162">
        <v>0.80662</v>
      </c>
      <c r="H62" s="162">
        <v>0.70287</v>
      </c>
      <c r="I62" s="162">
        <v>1.07364</v>
      </c>
      <c r="J62" s="162">
        <v>0.9487</v>
      </c>
      <c r="K62" s="162">
        <v>0.78583</v>
      </c>
      <c r="L62" s="162">
        <v>1.559</v>
      </c>
      <c r="M62" s="162">
        <v>1.056</v>
      </c>
    </row>
    <row r="63" spans="1:13" ht="15.75">
      <c r="A63" s="108" t="s">
        <v>69</v>
      </c>
      <c r="B63" s="155">
        <v>36.6</v>
      </c>
      <c r="C63" s="155">
        <v>33.2</v>
      </c>
      <c r="D63" s="155">
        <v>39.3</v>
      </c>
      <c r="E63" s="155">
        <v>13.2</v>
      </c>
      <c r="F63" s="155">
        <v>14.5</v>
      </c>
      <c r="G63" s="155">
        <v>12.2</v>
      </c>
      <c r="H63" s="155">
        <v>13.1</v>
      </c>
      <c r="I63" s="155">
        <v>15.9</v>
      </c>
      <c r="J63" s="155">
        <v>10.9</v>
      </c>
      <c r="K63" s="155">
        <v>35.5</v>
      </c>
      <c r="L63" s="155">
        <v>34.2</v>
      </c>
      <c r="M63" s="155">
        <v>36.5</v>
      </c>
    </row>
    <row r="64" spans="1:13" ht="15.75">
      <c r="A64" s="119" t="s">
        <v>163</v>
      </c>
      <c r="B64" s="162">
        <v>1.97373</v>
      </c>
      <c r="C64" s="162">
        <v>2.98976</v>
      </c>
      <c r="D64" s="162">
        <v>2.2833</v>
      </c>
      <c r="E64" s="162">
        <v>1.3143</v>
      </c>
      <c r="F64" s="162">
        <v>1.98003</v>
      </c>
      <c r="G64" s="162">
        <v>2.00482</v>
      </c>
      <c r="H64" s="162">
        <v>1.23686</v>
      </c>
      <c r="I64" s="162">
        <v>2.30171</v>
      </c>
      <c r="J64" s="162">
        <v>1.404</v>
      </c>
      <c r="K64" s="162">
        <v>1.93654</v>
      </c>
      <c r="L64" s="162">
        <v>2.9485</v>
      </c>
      <c r="M64" s="162">
        <v>2.332</v>
      </c>
    </row>
    <row r="65" spans="1:13" ht="15.75">
      <c r="A65" s="108" t="s">
        <v>116</v>
      </c>
      <c r="B65" s="155">
        <v>37</v>
      </c>
      <c r="C65" s="155">
        <v>24.1</v>
      </c>
      <c r="D65" s="155">
        <v>49.4</v>
      </c>
      <c r="E65" s="155">
        <v>8.6</v>
      </c>
      <c r="F65" s="155">
        <v>10.6</v>
      </c>
      <c r="G65" s="155">
        <v>6.6</v>
      </c>
      <c r="H65" s="155">
        <v>16.7</v>
      </c>
      <c r="I65" s="155">
        <v>21.6</v>
      </c>
      <c r="J65" s="155">
        <v>11.9</v>
      </c>
      <c r="K65" s="155">
        <v>37.8</v>
      </c>
      <c r="L65" s="155">
        <v>43.7</v>
      </c>
      <c r="M65" s="155">
        <v>32</v>
      </c>
    </row>
    <row r="66" spans="1:13" ht="15.75">
      <c r="A66" s="119" t="s">
        <v>163</v>
      </c>
      <c r="B66" s="162">
        <v>5.54779</v>
      </c>
      <c r="C66" s="162">
        <v>5.81198</v>
      </c>
      <c r="D66" s="162">
        <v>7.9592</v>
      </c>
      <c r="E66" s="162">
        <v>2.3655</v>
      </c>
      <c r="F66" s="162">
        <v>3.65829</v>
      </c>
      <c r="G66" s="162">
        <v>3.66401</v>
      </c>
      <c r="H66" s="162">
        <v>4.52317</v>
      </c>
      <c r="I66" s="162">
        <v>7.08025</v>
      </c>
      <c r="J66" s="162">
        <v>3.7908</v>
      </c>
      <c r="K66" s="162">
        <v>5.11129</v>
      </c>
      <c r="L66" s="162">
        <v>6.9912</v>
      </c>
      <c r="M66" s="162">
        <v>7.4677</v>
      </c>
    </row>
    <row r="67" spans="1:13" ht="15.75">
      <c r="A67" s="108" t="s">
        <v>70</v>
      </c>
      <c r="B67" s="155">
        <v>51</v>
      </c>
      <c r="C67" s="155">
        <v>42.5</v>
      </c>
      <c r="D67" s="155">
        <v>57.9</v>
      </c>
      <c r="E67" s="155">
        <v>8.7</v>
      </c>
      <c r="F67" s="155">
        <v>7.4</v>
      </c>
      <c r="G67" s="155">
        <v>9.7</v>
      </c>
      <c r="H67" s="155">
        <v>12.6</v>
      </c>
      <c r="I67" s="155">
        <v>14</v>
      </c>
      <c r="J67" s="155">
        <v>11.5</v>
      </c>
      <c r="K67" s="155">
        <v>26.4</v>
      </c>
      <c r="L67" s="155">
        <v>34.9</v>
      </c>
      <c r="M67" s="155">
        <v>19.7</v>
      </c>
    </row>
    <row r="68" spans="1:13" ht="15.75">
      <c r="A68" s="119" t="s">
        <v>163</v>
      </c>
      <c r="B68" s="162">
        <v>2.46347</v>
      </c>
      <c r="C68" s="162">
        <v>4.51346</v>
      </c>
      <c r="D68" s="162">
        <v>3.6881</v>
      </c>
      <c r="E68" s="162">
        <v>1.5787</v>
      </c>
      <c r="F68" s="162">
        <v>2.0766</v>
      </c>
      <c r="G68" s="162">
        <v>2.29397</v>
      </c>
      <c r="H68" s="162">
        <v>1.88028</v>
      </c>
      <c r="I68" s="162">
        <v>3.65875</v>
      </c>
      <c r="J68" s="162">
        <v>2.1918</v>
      </c>
      <c r="K68" s="162">
        <v>2.0501</v>
      </c>
      <c r="L68" s="162">
        <v>4.0761</v>
      </c>
      <c r="M68" s="162">
        <v>2.4159</v>
      </c>
    </row>
    <row r="69" spans="1:9" ht="15.75">
      <c r="A69" s="108" t="s">
        <v>16</v>
      </c>
      <c r="I69" s="158"/>
    </row>
    <row r="70" spans="1:13" ht="15.75">
      <c r="A70" s="108" t="s">
        <v>77</v>
      </c>
      <c r="B70" s="155">
        <v>60.8</v>
      </c>
      <c r="C70" s="155">
        <v>49.1</v>
      </c>
      <c r="D70" s="155">
        <v>70</v>
      </c>
      <c r="E70" s="155">
        <v>8.9</v>
      </c>
      <c r="F70" s="155">
        <v>9.6</v>
      </c>
      <c r="G70" s="155">
        <v>8.3</v>
      </c>
      <c r="H70" s="155">
        <v>11.6</v>
      </c>
      <c r="I70" s="155">
        <v>13.8</v>
      </c>
      <c r="J70" s="155">
        <v>9.9</v>
      </c>
      <c r="K70" s="155">
        <v>17.7</v>
      </c>
      <c r="L70" s="155">
        <v>25.8</v>
      </c>
      <c r="M70" s="155">
        <v>11.4</v>
      </c>
    </row>
    <row r="71" spans="1:13" ht="15.75">
      <c r="A71" s="119" t="s">
        <v>163</v>
      </c>
      <c r="B71" s="162">
        <v>1.91334</v>
      </c>
      <c r="C71" s="162">
        <v>2.53667</v>
      </c>
      <c r="D71" s="162">
        <v>2.5526</v>
      </c>
      <c r="E71" s="162">
        <v>0.9784</v>
      </c>
      <c r="F71" s="162">
        <v>1.35429</v>
      </c>
      <c r="G71" s="162">
        <v>1.43067</v>
      </c>
      <c r="H71" s="162">
        <v>1.25025</v>
      </c>
      <c r="I71" s="162">
        <v>2.04439</v>
      </c>
      <c r="J71" s="162">
        <v>1.5294</v>
      </c>
      <c r="K71" s="162">
        <v>1.4855</v>
      </c>
      <c r="L71" s="162">
        <v>2.4696</v>
      </c>
      <c r="M71" s="162">
        <v>1.6044</v>
      </c>
    </row>
    <row r="72" spans="1:13" ht="15.75">
      <c r="A72" s="108" t="s">
        <v>78</v>
      </c>
      <c r="B72" s="155">
        <v>32.7</v>
      </c>
      <c r="C72" s="155">
        <v>27.9</v>
      </c>
      <c r="D72" s="155">
        <v>36.6</v>
      </c>
      <c r="E72" s="155">
        <v>11.2</v>
      </c>
      <c r="F72" s="155">
        <v>13.7</v>
      </c>
      <c r="G72" s="155">
        <v>9.1</v>
      </c>
      <c r="H72" s="155">
        <v>16.2</v>
      </c>
      <c r="I72" s="155">
        <v>13.8</v>
      </c>
      <c r="J72" s="155">
        <v>18.1</v>
      </c>
      <c r="K72" s="155">
        <v>38.7</v>
      </c>
      <c r="L72" s="155">
        <v>43.5</v>
      </c>
      <c r="M72" s="155">
        <v>34.9</v>
      </c>
    </row>
    <row r="73" spans="1:13" ht="15.75">
      <c r="A73" s="119" t="s">
        <v>163</v>
      </c>
      <c r="B73" s="162">
        <v>1.41393</v>
      </c>
      <c r="C73" s="162">
        <v>1.93332</v>
      </c>
      <c r="D73" s="162">
        <v>1.8694</v>
      </c>
      <c r="E73" s="162">
        <v>0.89216</v>
      </c>
      <c r="F73" s="162">
        <v>1.37178</v>
      </c>
      <c r="G73" s="162">
        <v>1.04066</v>
      </c>
      <c r="H73" s="162">
        <v>1.00379</v>
      </c>
      <c r="I73" s="162">
        <v>1.60849</v>
      </c>
      <c r="J73" s="162">
        <v>1.1351</v>
      </c>
      <c r="K73" s="162">
        <v>1.28666</v>
      </c>
      <c r="L73" s="162">
        <v>2.5431</v>
      </c>
      <c r="M73" s="162">
        <v>1.3971</v>
      </c>
    </row>
    <row r="74" spans="1:13" ht="15.75">
      <c r="A74" s="108" t="s">
        <v>79</v>
      </c>
      <c r="B74" s="155">
        <v>27</v>
      </c>
      <c r="C74" s="155">
        <v>23.6</v>
      </c>
      <c r="D74" s="155">
        <v>30</v>
      </c>
      <c r="E74" s="155">
        <v>12.5</v>
      </c>
      <c r="F74" s="155">
        <v>14.6</v>
      </c>
      <c r="G74" s="155">
        <v>10.6</v>
      </c>
      <c r="H74" s="155">
        <v>19.9</v>
      </c>
      <c r="I74" s="155">
        <v>18.9</v>
      </c>
      <c r="J74" s="155">
        <v>20.7</v>
      </c>
      <c r="K74" s="155">
        <v>39.6</v>
      </c>
      <c r="L74" s="155">
        <v>42.5</v>
      </c>
      <c r="M74" s="155">
        <v>37.1</v>
      </c>
    </row>
    <row r="75" spans="1:13" ht="15.75">
      <c r="A75" s="119" t="s">
        <v>163</v>
      </c>
      <c r="B75" s="162">
        <v>1.44042</v>
      </c>
      <c r="C75" s="162">
        <v>1.92054</v>
      </c>
      <c r="D75" s="162">
        <v>2.0022</v>
      </c>
      <c r="E75" s="162">
        <v>1.13393</v>
      </c>
      <c r="F75" s="162">
        <v>1.57792</v>
      </c>
      <c r="G75" s="162">
        <v>1.4285</v>
      </c>
      <c r="H75" s="162">
        <v>1.42337</v>
      </c>
      <c r="I75" s="162">
        <v>1.88818</v>
      </c>
      <c r="J75" s="162">
        <v>1.7526</v>
      </c>
      <c r="K75" s="162">
        <v>1.53381</v>
      </c>
      <c r="L75" s="162">
        <v>2.3584</v>
      </c>
      <c r="M75" s="162">
        <v>2.155</v>
      </c>
    </row>
    <row r="76" spans="1:13" ht="15.75">
      <c r="A76" s="108" t="s">
        <v>80</v>
      </c>
      <c r="B76" s="155">
        <v>17</v>
      </c>
      <c r="C76" s="155">
        <v>13.9</v>
      </c>
      <c r="D76" s="155">
        <v>21.1</v>
      </c>
      <c r="E76" s="155">
        <v>13.4</v>
      </c>
      <c r="F76" s="155">
        <v>12.2</v>
      </c>
      <c r="G76" s="155">
        <v>14.9</v>
      </c>
      <c r="H76" s="155">
        <v>18.4</v>
      </c>
      <c r="I76" s="155">
        <v>19.8</v>
      </c>
      <c r="J76" s="155">
        <v>16.5</v>
      </c>
      <c r="K76" s="155">
        <v>50</v>
      </c>
      <c r="L76" s="155">
        <v>53.5</v>
      </c>
      <c r="M76" s="155">
        <v>45.3</v>
      </c>
    </row>
    <row r="77" spans="1:13" ht="15.75">
      <c r="A77" s="119" t="s">
        <v>163</v>
      </c>
      <c r="B77" s="162">
        <v>1.52679</v>
      </c>
      <c r="C77" s="162">
        <v>1.94871</v>
      </c>
      <c r="D77" s="162">
        <v>2.0521</v>
      </c>
      <c r="E77" s="162">
        <v>1.16243</v>
      </c>
      <c r="F77" s="162">
        <v>1.32626</v>
      </c>
      <c r="G77" s="162">
        <v>1.92175</v>
      </c>
      <c r="H77" s="162">
        <v>1.22942</v>
      </c>
      <c r="I77" s="162">
        <v>1.65944</v>
      </c>
      <c r="J77" s="162">
        <v>1.6711</v>
      </c>
      <c r="K77" s="162">
        <v>1.81699</v>
      </c>
      <c r="L77" s="162">
        <v>2.4534</v>
      </c>
      <c r="M77" s="162">
        <v>2.0179</v>
      </c>
    </row>
    <row r="78" spans="1:9" ht="15.75">
      <c r="A78" s="108" t="s">
        <v>17</v>
      </c>
      <c r="I78" s="158"/>
    </row>
    <row r="79" spans="1:13" ht="15.75">
      <c r="A79" s="108" t="s">
        <v>81</v>
      </c>
      <c r="B79" s="155">
        <v>29.9</v>
      </c>
      <c r="C79" s="155">
        <v>23.1</v>
      </c>
      <c r="D79" s="155">
        <v>37.6</v>
      </c>
      <c r="E79" s="155">
        <v>12.1</v>
      </c>
      <c r="F79" s="155">
        <v>13</v>
      </c>
      <c r="G79" s="155">
        <v>11.1</v>
      </c>
      <c r="H79" s="155">
        <v>17.2</v>
      </c>
      <c r="I79" s="155">
        <v>17.5</v>
      </c>
      <c r="J79" s="155">
        <v>16.9</v>
      </c>
      <c r="K79" s="155">
        <v>39.5</v>
      </c>
      <c r="L79" s="155">
        <v>45.7</v>
      </c>
      <c r="M79" s="155">
        <v>32.6</v>
      </c>
    </row>
    <row r="80" spans="1:13" ht="15.75">
      <c r="A80" s="119" t="s">
        <v>163</v>
      </c>
      <c r="B80" s="162">
        <v>0.98119</v>
      </c>
      <c r="C80" s="162">
        <v>0.98734</v>
      </c>
      <c r="D80" s="162">
        <v>1.5093</v>
      </c>
      <c r="E80" s="162">
        <v>0.5592</v>
      </c>
      <c r="F80" s="162">
        <v>0.7066</v>
      </c>
      <c r="G80" s="162">
        <v>0.72815</v>
      </c>
      <c r="H80" s="162">
        <v>0.75045</v>
      </c>
      <c r="I80" s="162">
        <v>1.00031</v>
      </c>
      <c r="J80" s="162">
        <v>0.9899</v>
      </c>
      <c r="K80" s="162">
        <v>0.80374</v>
      </c>
      <c r="L80" s="162">
        <v>1.3471</v>
      </c>
      <c r="M80" s="162">
        <v>1.2136</v>
      </c>
    </row>
    <row r="81" spans="1:13" ht="15.75">
      <c r="A81" s="108" t="s">
        <v>82</v>
      </c>
      <c r="B81" s="155">
        <v>31.2</v>
      </c>
      <c r="C81" s="155">
        <v>34.7</v>
      </c>
      <c r="D81" s="155">
        <v>29.1</v>
      </c>
      <c r="E81" s="155">
        <v>11.7</v>
      </c>
      <c r="F81" s="155">
        <v>13.4</v>
      </c>
      <c r="G81" s="155">
        <v>10.6</v>
      </c>
      <c r="H81" s="155">
        <v>18.1</v>
      </c>
      <c r="I81" s="155">
        <v>13.5</v>
      </c>
      <c r="J81" s="155">
        <v>20.9</v>
      </c>
      <c r="K81" s="155">
        <v>37.8</v>
      </c>
      <c r="L81" s="155">
        <v>36.8</v>
      </c>
      <c r="M81" s="155">
        <v>38.4</v>
      </c>
    </row>
    <row r="82" spans="1:13" ht="15.75">
      <c r="A82" s="119" t="s">
        <v>163</v>
      </c>
      <c r="B82" s="162">
        <v>2.14754</v>
      </c>
      <c r="C82" s="162">
        <v>3.60735</v>
      </c>
      <c r="D82" s="162">
        <v>2.5991</v>
      </c>
      <c r="E82" s="162">
        <v>1.55971</v>
      </c>
      <c r="F82" s="162">
        <v>2.1207</v>
      </c>
      <c r="G82" s="162">
        <v>2.08829</v>
      </c>
      <c r="H82" s="162">
        <v>1.69362</v>
      </c>
      <c r="I82" s="162">
        <v>2.34839</v>
      </c>
      <c r="J82" s="162">
        <v>2.2621</v>
      </c>
      <c r="K82" s="162">
        <v>2.17076</v>
      </c>
      <c r="L82" s="162">
        <v>4.1252</v>
      </c>
      <c r="M82" s="162">
        <v>2.265</v>
      </c>
    </row>
    <row r="83" spans="1:13" ht="15.75">
      <c r="A83" s="108" t="s">
        <v>83</v>
      </c>
      <c r="B83" s="155">
        <v>43.9</v>
      </c>
      <c r="C83" s="155">
        <v>33.8</v>
      </c>
      <c r="D83" s="155">
        <v>45.6</v>
      </c>
      <c r="E83" s="155">
        <v>6.9</v>
      </c>
      <c r="F83" s="155">
        <v>7.6</v>
      </c>
      <c r="G83" s="155">
        <v>6.7</v>
      </c>
      <c r="H83" s="155">
        <v>12.6</v>
      </c>
      <c r="I83" s="155">
        <v>3.8</v>
      </c>
      <c r="J83" s="155">
        <v>14</v>
      </c>
      <c r="K83" s="155">
        <v>36.2</v>
      </c>
      <c r="L83" s="155">
        <v>54.8</v>
      </c>
      <c r="M83" s="155">
        <v>33</v>
      </c>
    </row>
    <row r="84" spans="1:13" ht="15.75">
      <c r="A84" s="119" t="s">
        <v>163</v>
      </c>
      <c r="B84" s="162">
        <v>2.39196</v>
      </c>
      <c r="C84" s="162">
        <v>9.55503</v>
      </c>
      <c r="D84" s="162">
        <v>2.6799</v>
      </c>
      <c r="E84" s="162">
        <v>1.67946</v>
      </c>
      <c r="F84" s="162">
        <v>3.71106</v>
      </c>
      <c r="G84" s="162">
        <v>1.84701</v>
      </c>
      <c r="H84" s="162">
        <v>1.63451</v>
      </c>
      <c r="I84" s="162">
        <v>2.36926</v>
      </c>
      <c r="J84" s="162">
        <v>1.8397</v>
      </c>
      <c r="K84" s="162">
        <v>2.74139</v>
      </c>
      <c r="L84" s="162">
        <v>10.7294</v>
      </c>
      <c r="M84" s="162">
        <v>2.6816</v>
      </c>
    </row>
    <row r="85" spans="1:13" ht="15.75">
      <c r="A85" s="108" t="s">
        <v>84</v>
      </c>
      <c r="B85" s="155">
        <v>33.6</v>
      </c>
      <c r="C85" s="155">
        <v>39.5</v>
      </c>
      <c r="D85" s="155">
        <v>27.9</v>
      </c>
      <c r="E85" s="155">
        <v>13.4</v>
      </c>
      <c r="F85" s="155">
        <v>13.4</v>
      </c>
      <c r="G85" s="155">
        <v>13.3</v>
      </c>
      <c r="H85" s="155">
        <v>18</v>
      </c>
      <c r="I85" s="155">
        <v>22.3</v>
      </c>
      <c r="J85" s="155">
        <v>13.9</v>
      </c>
      <c r="K85" s="155">
        <v>34.7</v>
      </c>
      <c r="L85" s="155">
        <v>24.2</v>
      </c>
      <c r="M85" s="155">
        <v>44.9</v>
      </c>
    </row>
    <row r="86" spans="1:13" ht="15.75">
      <c r="A86" s="119" t="s">
        <v>163</v>
      </c>
      <c r="B86" s="162">
        <v>3.76859</v>
      </c>
      <c r="C86" s="162">
        <v>6.26469</v>
      </c>
      <c r="D86" s="162">
        <v>5.0955</v>
      </c>
      <c r="E86" s="162">
        <v>3.12283</v>
      </c>
      <c r="F86" s="162">
        <v>4.57599</v>
      </c>
      <c r="G86" s="162">
        <v>3.70999</v>
      </c>
      <c r="H86" s="162">
        <v>2.95808</v>
      </c>
      <c r="I86" s="162">
        <v>4.95111</v>
      </c>
      <c r="J86" s="162">
        <v>4.1549</v>
      </c>
      <c r="K86" s="162">
        <v>4.21273</v>
      </c>
      <c r="L86" s="162">
        <v>5.617</v>
      </c>
      <c r="M86" s="162">
        <v>6.2936</v>
      </c>
    </row>
    <row r="87" spans="1:9" ht="15.75">
      <c r="A87" s="108" t="s">
        <v>25</v>
      </c>
      <c r="I87" s="158"/>
    </row>
    <row r="88" spans="1:13" ht="15.75">
      <c r="A88" s="108" t="s">
        <v>127</v>
      </c>
      <c r="B88" s="155">
        <v>51.1</v>
      </c>
      <c r="C88" s="155">
        <v>44.2</v>
      </c>
      <c r="D88" s="155">
        <v>57.2</v>
      </c>
      <c r="E88" s="155">
        <v>10.4</v>
      </c>
      <c r="F88" s="155">
        <v>11.5</v>
      </c>
      <c r="G88" s="155">
        <v>9.5</v>
      </c>
      <c r="H88" s="155">
        <v>12.5</v>
      </c>
      <c r="I88" s="155">
        <v>13.7</v>
      </c>
      <c r="J88" s="155">
        <v>11.5</v>
      </c>
      <c r="K88" s="155">
        <v>24.5</v>
      </c>
      <c r="L88" s="155">
        <v>29.1</v>
      </c>
      <c r="M88" s="155">
        <v>20.5</v>
      </c>
    </row>
    <row r="89" spans="1:13" ht="15.75">
      <c r="A89" s="119" t="s">
        <v>163</v>
      </c>
      <c r="B89" s="162">
        <v>1.44576</v>
      </c>
      <c r="C89" s="162">
        <v>2.19661</v>
      </c>
      <c r="D89" s="162">
        <v>1.9276</v>
      </c>
      <c r="E89" s="162">
        <v>0.87348</v>
      </c>
      <c r="F89" s="162">
        <v>1.11934</v>
      </c>
      <c r="G89" s="162">
        <v>1.09101</v>
      </c>
      <c r="H89" s="162">
        <v>0.90792</v>
      </c>
      <c r="I89" s="162">
        <v>1.51529</v>
      </c>
      <c r="J89" s="162">
        <v>1.2461</v>
      </c>
      <c r="K89" s="162">
        <v>1.23132</v>
      </c>
      <c r="L89" s="162">
        <v>2.1398</v>
      </c>
      <c r="M89" s="162">
        <v>1.4304</v>
      </c>
    </row>
    <row r="90" spans="1:13" ht="15.75">
      <c r="A90" s="108" t="s">
        <v>128</v>
      </c>
      <c r="B90" s="155">
        <v>24.9</v>
      </c>
      <c r="C90" s="155">
        <v>19.5</v>
      </c>
      <c r="D90" s="155">
        <v>29.9</v>
      </c>
      <c r="E90" s="155">
        <v>12.1</v>
      </c>
      <c r="F90" s="155">
        <v>13.3</v>
      </c>
      <c r="G90" s="155">
        <v>11</v>
      </c>
      <c r="H90" s="155">
        <v>18.5</v>
      </c>
      <c r="I90" s="155">
        <v>18</v>
      </c>
      <c r="J90" s="155">
        <v>19</v>
      </c>
      <c r="K90" s="155">
        <v>43.4</v>
      </c>
      <c r="L90" s="155">
        <v>48.6</v>
      </c>
      <c r="M90" s="155">
        <v>38.6</v>
      </c>
    </row>
    <row r="91" spans="1:13" ht="15.75">
      <c r="A91" s="119" t="s">
        <v>163</v>
      </c>
      <c r="B91" s="162">
        <v>0.89756</v>
      </c>
      <c r="C91" s="162">
        <v>1.2402</v>
      </c>
      <c r="D91" s="162">
        <v>1.2364</v>
      </c>
      <c r="E91" s="162">
        <v>0.66318</v>
      </c>
      <c r="F91" s="162">
        <v>0.83641</v>
      </c>
      <c r="G91" s="162">
        <v>0.83316</v>
      </c>
      <c r="H91" s="162">
        <v>0.74425</v>
      </c>
      <c r="I91" s="162">
        <v>1.11338</v>
      </c>
      <c r="J91" s="162">
        <v>0.9539</v>
      </c>
      <c r="K91" s="162">
        <v>0.90473</v>
      </c>
      <c r="L91" s="162">
        <v>1.7411</v>
      </c>
      <c r="M91" s="162">
        <v>1.0663</v>
      </c>
    </row>
    <row r="92" spans="1:9" ht="15.75">
      <c r="A92" s="108" t="s">
        <v>21</v>
      </c>
      <c r="I92" s="158"/>
    </row>
    <row r="93" spans="1:13" ht="15.75">
      <c r="A93" s="108" t="s">
        <v>89</v>
      </c>
      <c r="B93" s="155">
        <v>66.2</v>
      </c>
      <c r="C93" s="155">
        <v>59.2</v>
      </c>
      <c r="D93" s="155">
        <v>70.9</v>
      </c>
      <c r="E93" s="155">
        <v>6.3</v>
      </c>
      <c r="F93" s="155">
        <v>6.1</v>
      </c>
      <c r="G93" s="155">
        <v>6.4</v>
      </c>
      <c r="H93" s="155">
        <v>9.2</v>
      </c>
      <c r="I93" s="155">
        <v>14.1</v>
      </c>
      <c r="J93" s="155">
        <v>6</v>
      </c>
      <c r="K93" s="155">
        <v>16.7</v>
      </c>
      <c r="L93" s="155">
        <v>18.8</v>
      </c>
      <c r="M93" s="155">
        <v>15.3</v>
      </c>
    </row>
    <row r="94" spans="1:13" ht="15.75">
      <c r="A94" s="119" t="s">
        <v>163</v>
      </c>
      <c r="B94" s="162">
        <v>2.4524</v>
      </c>
      <c r="C94" s="162">
        <v>3.8949</v>
      </c>
      <c r="D94" s="162">
        <v>2.8509</v>
      </c>
      <c r="E94" s="162">
        <v>1.41119</v>
      </c>
      <c r="F94" s="162">
        <v>2.209</v>
      </c>
      <c r="G94" s="162">
        <v>1.38908</v>
      </c>
      <c r="H94" s="162">
        <v>1.34094</v>
      </c>
      <c r="I94" s="162">
        <v>2.87658</v>
      </c>
      <c r="J94" s="162">
        <v>1.2049</v>
      </c>
      <c r="K94" s="162">
        <v>1.93353</v>
      </c>
      <c r="L94" s="162">
        <v>3.1035</v>
      </c>
      <c r="M94" s="162">
        <v>2.3967</v>
      </c>
    </row>
    <row r="95" spans="1:13" ht="15.75">
      <c r="A95" s="108" t="s">
        <v>105</v>
      </c>
      <c r="B95" s="155">
        <v>51.5</v>
      </c>
      <c r="C95" s="155">
        <v>45.6</v>
      </c>
      <c r="D95" s="155">
        <v>55.9</v>
      </c>
      <c r="E95" s="155">
        <v>13.3</v>
      </c>
      <c r="F95" s="155">
        <v>15.7</v>
      </c>
      <c r="G95" s="155">
        <v>11.4</v>
      </c>
      <c r="H95" s="155">
        <v>13.6</v>
      </c>
      <c r="I95" s="155">
        <v>14.7</v>
      </c>
      <c r="J95" s="155">
        <v>12.8</v>
      </c>
      <c r="K95" s="155">
        <v>20.6</v>
      </c>
      <c r="L95" s="155">
        <v>22</v>
      </c>
      <c r="M95" s="155">
        <v>19.6</v>
      </c>
    </row>
    <row r="96" spans="1:13" ht="15.75">
      <c r="A96" s="119" t="s">
        <v>163</v>
      </c>
      <c r="B96" s="162">
        <v>2.4563</v>
      </c>
      <c r="C96" s="162">
        <v>3.94605</v>
      </c>
      <c r="D96" s="162">
        <v>2.8958</v>
      </c>
      <c r="E96" s="162">
        <v>1.53103</v>
      </c>
      <c r="F96" s="162">
        <v>2.53821</v>
      </c>
      <c r="G96" s="162">
        <v>1.77857</v>
      </c>
      <c r="H96" s="162">
        <v>1.5633</v>
      </c>
      <c r="I96" s="162">
        <v>2.33873</v>
      </c>
      <c r="J96" s="162">
        <v>2.2139</v>
      </c>
      <c r="K96" s="162">
        <v>1.85355</v>
      </c>
      <c r="L96" s="162">
        <v>2.6627</v>
      </c>
      <c r="M96" s="162">
        <v>1.9197</v>
      </c>
    </row>
    <row r="97" spans="1:13" ht="15.75">
      <c r="A97" s="108" t="s">
        <v>106</v>
      </c>
      <c r="B97" s="155">
        <v>33.5</v>
      </c>
      <c r="C97" s="155">
        <v>29.6</v>
      </c>
      <c r="D97" s="155">
        <v>36.5</v>
      </c>
      <c r="E97" s="155">
        <v>13.7</v>
      </c>
      <c r="F97" s="155">
        <v>17.3</v>
      </c>
      <c r="G97" s="155">
        <v>11.1</v>
      </c>
      <c r="H97" s="155">
        <v>16.6</v>
      </c>
      <c r="I97" s="155">
        <v>15.3</v>
      </c>
      <c r="J97" s="155">
        <v>17.6</v>
      </c>
      <c r="K97" s="155">
        <v>35</v>
      </c>
      <c r="L97" s="155">
        <v>36.8</v>
      </c>
      <c r="M97" s="155">
        <v>33.7</v>
      </c>
    </row>
    <row r="98" spans="1:13" ht="15.75">
      <c r="A98" s="119" t="s">
        <v>163</v>
      </c>
      <c r="B98" s="162">
        <v>1.73002</v>
      </c>
      <c r="C98" s="162">
        <v>2.12281</v>
      </c>
      <c r="D98" s="162">
        <v>2.6656</v>
      </c>
      <c r="E98" s="162">
        <v>1.14509</v>
      </c>
      <c r="F98" s="162">
        <v>1.69537</v>
      </c>
      <c r="G98" s="162">
        <v>1.39286</v>
      </c>
      <c r="H98" s="162">
        <v>1.22763</v>
      </c>
      <c r="I98" s="162">
        <v>1.96566</v>
      </c>
      <c r="J98" s="162">
        <v>1.6321</v>
      </c>
      <c r="K98" s="162">
        <v>1.32553</v>
      </c>
      <c r="L98" s="162">
        <v>2.6319</v>
      </c>
      <c r="M98" s="162">
        <v>1.9544</v>
      </c>
    </row>
    <row r="99" spans="1:13" ht="15.75">
      <c r="A99" s="108" t="s">
        <v>107</v>
      </c>
      <c r="B99" s="155">
        <v>20.7</v>
      </c>
      <c r="C99" s="155">
        <v>16.6</v>
      </c>
      <c r="D99" s="155">
        <v>25.4</v>
      </c>
      <c r="E99" s="155">
        <v>11.4</v>
      </c>
      <c r="F99" s="155">
        <v>11.7</v>
      </c>
      <c r="G99" s="155">
        <v>11</v>
      </c>
      <c r="H99" s="155">
        <v>19.2</v>
      </c>
      <c r="I99" s="155">
        <v>18.3</v>
      </c>
      <c r="J99" s="155">
        <v>20.2</v>
      </c>
      <c r="K99" s="155">
        <v>47.6</v>
      </c>
      <c r="L99" s="155">
        <v>53</v>
      </c>
      <c r="M99" s="155">
        <v>41.6</v>
      </c>
    </row>
    <row r="100" spans="1:13" ht="15.75">
      <c r="A100" s="119" t="s">
        <v>163</v>
      </c>
      <c r="B100" s="162">
        <v>0.95371</v>
      </c>
      <c r="C100" s="162">
        <v>1.08532</v>
      </c>
      <c r="D100" s="162">
        <v>1.4325</v>
      </c>
      <c r="E100" s="162">
        <v>0.67432</v>
      </c>
      <c r="F100" s="162">
        <v>0.94435</v>
      </c>
      <c r="G100" s="162">
        <v>0.82525</v>
      </c>
      <c r="H100" s="162">
        <v>0.9253</v>
      </c>
      <c r="I100" s="162">
        <v>1.15535</v>
      </c>
      <c r="J100" s="162">
        <v>1.3101</v>
      </c>
      <c r="K100" s="162">
        <v>1.07011</v>
      </c>
      <c r="L100" s="162">
        <v>1.6786</v>
      </c>
      <c r="M100" s="162">
        <v>1.3541</v>
      </c>
    </row>
    <row r="101" spans="1:9" ht="15.75">
      <c r="A101" s="108" t="s">
        <v>27</v>
      </c>
      <c r="I101" s="158"/>
    </row>
    <row r="102" spans="1:13" ht="15.75">
      <c r="A102" s="167" t="s">
        <v>120</v>
      </c>
      <c r="B102" s="155">
        <v>14.8</v>
      </c>
      <c r="C102" s="155">
        <v>16.1</v>
      </c>
      <c r="D102" s="155">
        <v>12.9</v>
      </c>
      <c r="E102" s="155">
        <v>11.5</v>
      </c>
      <c r="F102" s="155">
        <v>11.4</v>
      </c>
      <c r="G102" s="155">
        <v>11.6</v>
      </c>
      <c r="H102" s="155">
        <v>23.3</v>
      </c>
      <c r="I102" s="155">
        <v>21.9</v>
      </c>
      <c r="J102" s="155">
        <v>25.3</v>
      </c>
      <c r="K102" s="155">
        <v>49.4</v>
      </c>
      <c r="L102" s="155">
        <v>49.5</v>
      </c>
      <c r="M102" s="155">
        <v>49.3</v>
      </c>
    </row>
    <row r="103" spans="1:13" ht="15.75">
      <c r="A103" s="119" t="s">
        <v>163</v>
      </c>
      <c r="B103" s="162">
        <v>0.86097</v>
      </c>
      <c r="C103" s="162">
        <v>1.19827</v>
      </c>
      <c r="D103" s="162">
        <v>1.1166</v>
      </c>
      <c r="E103" s="162">
        <v>0.93477</v>
      </c>
      <c r="F103" s="162">
        <v>1.18477</v>
      </c>
      <c r="G103" s="162">
        <v>1.23147</v>
      </c>
      <c r="H103" s="162">
        <v>1.04413</v>
      </c>
      <c r="I103" s="162">
        <v>1.44542</v>
      </c>
      <c r="J103" s="162">
        <v>1.5376</v>
      </c>
      <c r="K103" s="162">
        <v>1.47233</v>
      </c>
      <c r="L103" s="162">
        <v>2.033</v>
      </c>
      <c r="M103" s="162">
        <v>1.8678</v>
      </c>
    </row>
    <row r="104" spans="1:13" ht="15.75">
      <c r="A104" s="167" t="s">
        <v>121</v>
      </c>
      <c r="B104" s="155">
        <v>31.7</v>
      </c>
      <c r="C104" s="155">
        <v>28.8</v>
      </c>
      <c r="D104" s="155">
        <v>33.6</v>
      </c>
      <c r="E104" s="155">
        <v>11.5</v>
      </c>
      <c r="F104" s="155">
        <v>9.7</v>
      </c>
      <c r="G104" s="155">
        <v>12.6</v>
      </c>
      <c r="H104" s="155">
        <v>17.8</v>
      </c>
      <c r="I104" s="155">
        <v>15.9</v>
      </c>
      <c r="J104" s="155">
        <v>19</v>
      </c>
      <c r="K104" s="155">
        <v>37</v>
      </c>
      <c r="L104" s="155">
        <v>45.2</v>
      </c>
      <c r="M104" s="155">
        <v>31.7</v>
      </c>
    </row>
    <row r="105" spans="1:13" ht="15.75">
      <c r="A105" s="119" t="s">
        <v>163</v>
      </c>
      <c r="B105" s="162">
        <v>1.90303</v>
      </c>
      <c r="C105" s="162">
        <v>3.47041</v>
      </c>
      <c r="D105" s="162">
        <v>2.4686</v>
      </c>
      <c r="E105" s="162">
        <v>1.46076</v>
      </c>
      <c r="F105" s="162">
        <v>1.51913</v>
      </c>
      <c r="G105" s="162">
        <v>2.02919</v>
      </c>
      <c r="H105" s="162">
        <v>1.56244</v>
      </c>
      <c r="I105" s="162">
        <v>2.78328</v>
      </c>
      <c r="J105" s="162">
        <v>1.585</v>
      </c>
      <c r="K105" s="162">
        <v>1.96802</v>
      </c>
      <c r="L105" s="162">
        <v>3.9107</v>
      </c>
      <c r="M105" s="162">
        <v>2.5899</v>
      </c>
    </row>
    <row r="106" spans="1:13" ht="15.75">
      <c r="A106" s="167" t="s">
        <v>122</v>
      </c>
      <c r="B106" s="155">
        <v>24.9</v>
      </c>
      <c r="C106" s="155">
        <v>25.8</v>
      </c>
      <c r="D106" s="155">
        <v>23.6</v>
      </c>
      <c r="E106" s="155">
        <v>6.1</v>
      </c>
      <c r="F106" s="155">
        <v>7.7</v>
      </c>
      <c r="G106" s="155">
        <v>4.1</v>
      </c>
      <c r="H106" s="155">
        <v>23.3</v>
      </c>
      <c r="I106" s="155">
        <v>19.6</v>
      </c>
      <c r="J106" s="155">
        <v>28</v>
      </c>
      <c r="K106" s="155">
        <v>44.5</v>
      </c>
      <c r="L106" s="155">
        <v>46.8</v>
      </c>
      <c r="M106" s="155">
        <v>41.7</v>
      </c>
    </row>
    <row r="107" spans="1:13" ht="15.75">
      <c r="A107" s="119" t="s">
        <v>163</v>
      </c>
      <c r="B107" s="162">
        <v>5.8549</v>
      </c>
      <c r="C107" s="162">
        <v>7.64953</v>
      </c>
      <c r="D107" s="162">
        <v>6.5301</v>
      </c>
      <c r="E107" s="162">
        <v>2.70368</v>
      </c>
      <c r="F107" s="162">
        <v>4.28656</v>
      </c>
      <c r="G107" s="162">
        <v>2.59324</v>
      </c>
      <c r="H107" s="162">
        <v>5.86736</v>
      </c>
      <c r="I107" s="162">
        <v>6.83677</v>
      </c>
      <c r="J107" s="162">
        <v>7.9062</v>
      </c>
      <c r="K107" s="162">
        <v>8.26675</v>
      </c>
      <c r="L107" s="162">
        <v>10.2203</v>
      </c>
      <c r="M107" s="162">
        <v>9.978</v>
      </c>
    </row>
    <row r="108" spans="1:13" ht="15.75">
      <c r="A108" s="167" t="s">
        <v>123</v>
      </c>
      <c r="B108" s="155">
        <v>53.6</v>
      </c>
      <c r="C108" s="155">
        <v>42</v>
      </c>
      <c r="D108" s="155">
        <v>60.9</v>
      </c>
      <c r="E108" s="155">
        <v>12.5</v>
      </c>
      <c r="F108" s="155">
        <v>17.8</v>
      </c>
      <c r="G108" s="155">
        <v>9.2</v>
      </c>
      <c r="H108" s="155">
        <v>7.9</v>
      </c>
      <c r="I108" s="155">
        <v>7.4</v>
      </c>
      <c r="J108" s="155">
        <v>8.2</v>
      </c>
      <c r="K108" s="155">
        <v>25.1</v>
      </c>
      <c r="L108" s="155">
        <v>32.2</v>
      </c>
      <c r="M108" s="155">
        <v>20.5</v>
      </c>
    </row>
    <row r="109" spans="1:13" ht="15.75">
      <c r="A109" s="119" t="s">
        <v>163</v>
      </c>
      <c r="B109" s="162">
        <v>1.21619</v>
      </c>
      <c r="C109" s="162">
        <v>2.38895</v>
      </c>
      <c r="D109" s="162">
        <v>1.3909</v>
      </c>
      <c r="E109" s="162">
        <v>0.77763</v>
      </c>
      <c r="F109" s="162">
        <v>1.6379</v>
      </c>
      <c r="G109" s="162">
        <v>0.68307</v>
      </c>
      <c r="H109" s="162">
        <v>0.59956</v>
      </c>
      <c r="I109" s="162">
        <v>1.08241</v>
      </c>
      <c r="J109" s="162">
        <v>0.8125</v>
      </c>
      <c r="K109" s="162">
        <v>0.84154</v>
      </c>
      <c r="L109" s="162">
        <v>1.6444</v>
      </c>
      <c r="M109" s="162">
        <v>1.0728</v>
      </c>
    </row>
    <row r="110" spans="1:9" ht="15.75">
      <c r="A110" s="108" t="s">
        <v>18</v>
      </c>
      <c r="I110" s="158"/>
    </row>
    <row r="111" spans="1:13" ht="15.75">
      <c r="A111" s="108" t="s">
        <v>90</v>
      </c>
      <c r="B111" s="155">
        <v>22.4</v>
      </c>
      <c r="C111" s="155">
        <v>22.2</v>
      </c>
      <c r="D111" s="155">
        <v>30.4</v>
      </c>
      <c r="E111" s="155">
        <v>12.5</v>
      </c>
      <c r="F111" s="155">
        <v>12.6</v>
      </c>
      <c r="G111" s="155">
        <v>5.6</v>
      </c>
      <c r="H111" s="155">
        <v>15</v>
      </c>
      <c r="I111" s="155">
        <v>15</v>
      </c>
      <c r="J111" s="155">
        <v>18.4</v>
      </c>
      <c r="K111" s="155">
        <v>49.6</v>
      </c>
      <c r="L111" s="155">
        <v>49.7</v>
      </c>
      <c r="M111" s="155">
        <v>45.6</v>
      </c>
    </row>
    <row r="112" spans="1:13" ht="15.75">
      <c r="A112" s="119" t="s">
        <v>163</v>
      </c>
      <c r="B112" s="162">
        <v>1.47015</v>
      </c>
      <c r="C112" s="162">
        <v>1.448</v>
      </c>
      <c r="D112" s="162">
        <v>10.7124</v>
      </c>
      <c r="E112" s="162">
        <v>1.19036</v>
      </c>
      <c r="F112" s="162">
        <v>1.19893</v>
      </c>
      <c r="G112" s="162">
        <v>4.66414</v>
      </c>
      <c r="H112" s="162">
        <v>1.2707</v>
      </c>
      <c r="I112" s="162">
        <v>1.23182</v>
      </c>
      <c r="J112" s="162">
        <v>10.2818</v>
      </c>
      <c r="K112" s="162">
        <v>2.0542</v>
      </c>
      <c r="L112" s="162">
        <v>2.0608</v>
      </c>
      <c r="M112" s="162">
        <v>13.1654</v>
      </c>
    </row>
    <row r="114" spans="1:26" ht="15.75">
      <c r="A114" s="110" t="s">
        <v>95</v>
      </c>
      <c r="B114" s="155"/>
      <c r="C114" s="155"/>
      <c r="D114" s="155"/>
      <c r="E114" s="155"/>
      <c r="F114" s="155"/>
      <c r="G114" s="155"/>
      <c r="H114" s="155"/>
      <c r="I114" s="202"/>
      <c r="J114" s="155"/>
      <c r="K114" s="155"/>
      <c r="L114" s="155"/>
      <c r="M114" s="155"/>
      <c r="N114" s="155"/>
      <c r="O114" s="155"/>
      <c r="P114" s="155"/>
      <c r="Q114" s="155"/>
      <c r="R114" s="155"/>
      <c r="S114" s="155"/>
      <c r="T114" s="155"/>
      <c r="U114" s="155"/>
      <c r="V114" s="155"/>
      <c r="W114" s="155"/>
      <c r="X114" s="155"/>
      <c r="Y114" s="155"/>
      <c r="Z114" s="155"/>
    </row>
    <row r="115" spans="2:26" ht="15.75">
      <c r="B115" s="155"/>
      <c r="C115" s="155"/>
      <c r="D115" s="155"/>
      <c r="E115" s="155"/>
      <c r="F115" s="155"/>
      <c r="G115" s="155"/>
      <c r="H115" s="155"/>
      <c r="I115" s="202"/>
      <c r="J115" s="155"/>
      <c r="K115" s="155"/>
      <c r="L115" s="155"/>
      <c r="M115" s="155"/>
      <c r="N115" s="155"/>
      <c r="O115" s="155"/>
      <c r="P115" s="155"/>
      <c r="Q115" s="155"/>
      <c r="R115" s="155"/>
      <c r="S115" s="155"/>
      <c r="T115" s="155"/>
      <c r="U115" s="155"/>
      <c r="V115" s="155"/>
      <c r="W115" s="155"/>
      <c r="X115" s="155"/>
      <c r="Y115" s="155"/>
      <c r="Z115" s="155"/>
    </row>
    <row r="116" spans="1:26" ht="15.75">
      <c r="A116" s="119" t="s">
        <v>218</v>
      </c>
      <c r="B116" s="155"/>
      <c r="C116" s="155"/>
      <c r="D116" s="155"/>
      <c r="E116" s="155"/>
      <c r="F116" s="155"/>
      <c r="G116" s="155"/>
      <c r="H116" s="155"/>
      <c r="I116" s="202"/>
      <c r="J116" s="155"/>
      <c r="K116" s="155"/>
      <c r="L116" s="155"/>
      <c r="M116" s="155"/>
      <c r="N116" s="155"/>
      <c r="O116" s="155"/>
      <c r="P116" s="155"/>
      <c r="Q116" s="155"/>
      <c r="R116" s="155"/>
      <c r="S116" s="155"/>
      <c r="T116" s="155"/>
      <c r="U116" s="155"/>
      <c r="V116" s="155"/>
      <c r="W116" s="155"/>
      <c r="X116" s="155"/>
      <c r="Y116" s="155"/>
      <c r="Z116" s="155"/>
    </row>
    <row r="117" spans="1:26" ht="15.75">
      <c r="A117" s="110" t="s">
        <v>219</v>
      </c>
      <c r="B117" s="155"/>
      <c r="C117" s="155"/>
      <c r="D117" s="155"/>
      <c r="E117" s="155"/>
      <c r="F117" s="155"/>
      <c r="G117" s="155"/>
      <c r="H117" s="155"/>
      <c r="I117" s="202"/>
      <c r="J117" s="155"/>
      <c r="K117" s="155"/>
      <c r="L117" s="155"/>
      <c r="M117" s="155"/>
      <c r="N117" s="155"/>
      <c r="O117" s="155"/>
      <c r="P117" s="155"/>
      <c r="Q117" s="155"/>
      <c r="R117" s="155"/>
      <c r="S117" s="155"/>
      <c r="T117" s="155"/>
      <c r="U117" s="155"/>
      <c r="V117" s="155"/>
      <c r="W117" s="155"/>
      <c r="X117" s="155"/>
      <c r="Y117" s="155"/>
      <c r="Z117" s="155"/>
    </row>
    <row r="118" spans="2:26" ht="15.75">
      <c r="B118" s="155"/>
      <c r="C118" s="155"/>
      <c r="D118" s="155"/>
      <c r="E118" s="155"/>
      <c r="F118" s="155"/>
      <c r="G118" s="155"/>
      <c r="H118" s="155"/>
      <c r="I118" s="202"/>
      <c r="J118" s="155"/>
      <c r="K118" s="155"/>
      <c r="L118" s="155"/>
      <c r="M118" s="155"/>
      <c r="N118" s="155"/>
      <c r="O118" s="155"/>
      <c r="P118" s="155"/>
      <c r="Q118" s="155"/>
      <c r="R118" s="155"/>
      <c r="S118" s="155"/>
      <c r="T118" s="155"/>
      <c r="U118" s="155"/>
      <c r="V118" s="155"/>
      <c r="W118" s="155"/>
      <c r="X118" s="155"/>
      <c r="Y118" s="155"/>
      <c r="Z118" s="155"/>
    </row>
    <row r="119" spans="1:26" ht="15.75">
      <c r="A119" s="110" t="s">
        <v>222</v>
      </c>
      <c r="B119" s="155"/>
      <c r="C119" s="155"/>
      <c r="D119" s="155"/>
      <c r="E119" s="155"/>
      <c r="F119" s="155"/>
      <c r="G119" s="155"/>
      <c r="H119" s="155"/>
      <c r="I119" s="202"/>
      <c r="J119" s="155"/>
      <c r="K119" s="155"/>
      <c r="L119" s="155"/>
      <c r="M119" s="155"/>
      <c r="N119" s="155"/>
      <c r="O119" s="155"/>
      <c r="P119" s="155"/>
      <c r="Q119" s="155"/>
      <c r="R119" s="155"/>
      <c r="S119" s="155"/>
      <c r="T119" s="155"/>
      <c r="U119" s="155"/>
      <c r="V119" s="155"/>
      <c r="W119" s="155"/>
      <c r="X119" s="155"/>
      <c r="Y119" s="155"/>
      <c r="Z119" s="155"/>
    </row>
    <row r="120" spans="1:26" ht="15.75">
      <c r="A120" s="110" t="s">
        <v>223</v>
      </c>
      <c r="B120" s="155"/>
      <c r="C120" s="155"/>
      <c r="D120" s="155"/>
      <c r="E120" s="155"/>
      <c r="F120" s="155"/>
      <c r="G120" s="155"/>
      <c r="H120" s="155"/>
      <c r="I120" s="202"/>
      <c r="J120" s="155"/>
      <c r="K120" s="155"/>
      <c r="L120" s="155"/>
      <c r="M120" s="155"/>
      <c r="N120" s="155"/>
      <c r="O120" s="155"/>
      <c r="P120" s="155"/>
      <c r="Q120" s="155"/>
      <c r="R120" s="155"/>
      <c r="S120" s="155"/>
      <c r="T120" s="155"/>
      <c r="U120" s="155"/>
      <c r="V120" s="155"/>
      <c r="W120" s="155"/>
      <c r="X120" s="155"/>
      <c r="Y120" s="155"/>
      <c r="Z120" s="155"/>
    </row>
    <row r="121" spans="1:26" ht="15.75">
      <c r="A121" s="110" t="s">
        <v>220</v>
      </c>
      <c r="B121" s="155"/>
      <c r="C121" s="155"/>
      <c r="D121" s="155"/>
      <c r="E121" s="155"/>
      <c r="F121" s="155"/>
      <c r="G121" s="155"/>
      <c r="H121" s="155"/>
      <c r="I121" s="202"/>
      <c r="J121" s="155"/>
      <c r="K121" s="155"/>
      <c r="L121" s="155"/>
      <c r="M121" s="155"/>
      <c r="N121" s="155"/>
      <c r="O121" s="155"/>
      <c r="P121" s="155"/>
      <c r="Q121" s="155"/>
      <c r="R121" s="155"/>
      <c r="S121" s="155"/>
      <c r="T121" s="155"/>
      <c r="U121" s="155"/>
      <c r="V121" s="155"/>
      <c r="W121" s="155"/>
      <c r="X121" s="155"/>
      <c r="Y121" s="155"/>
      <c r="Z121" s="155"/>
    </row>
    <row r="122" spans="1:26" ht="15.75">
      <c r="A122" s="110" t="s">
        <v>221</v>
      </c>
      <c r="B122" s="155"/>
      <c r="C122" s="155"/>
      <c r="D122" s="155"/>
      <c r="E122" s="155"/>
      <c r="F122" s="155"/>
      <c r="G122" s="155"/>
      <c r="H122" s="155"/>
      <c r="I122" s="202"/>
      <c r="J122" s="155"/>
      <c r="K122" s="155"/>
      <c r="L122" s="155"/>
      <c r="M122" s="155"/>
      <c r="N122" s="155"/>
      <c r="O122" s="155"/>
      <c r="P122" s="155"/>
      <c r="Q122" s="155"/>
      <c r="R122" s="155"/>
      <c r="S122" s="155"/>
      <c r="T122" s="155"/>
      <c r="U122" s="155"/>
      <c r="V122" s="155"/>
      <c r="W122" s="155"/>
      <c r="X122" s="155"/>
      <c r="Y122" s="155"/>
      <c r="Z122" s="155"/>
    </row>
    <row r="123" spans="1:8" ht="15.75">
      <c r="A123" s="119" t="s">
        <v>102</v>
      </c>
      <c r="B123" s="163"/>
      <c r="C123" s="163"/>
      <c r="D123" s="163"/>
      <c r="F123" s="163"/>
      <c r="G123" s="163"/>
      <c r="H123" s="163"/>
    </row>
    <row r="124" spans="1:8" ht="15.75">
      <c r="A124" s="119" t="s">
        <v>125</v>
      </c>
      <c r="B124" s="163"/>
      <c r="C124" s="163"/>
      <c r="D124" s="163"/>
      <c r="F124" s="163"/>
      <c r="G124" s="163"/>
      <c r="H124" s="163"/>
    </row>
  </sheetData>
  <hyperlinks>
    <hyperlink ref="J1" location="'Appendix A'!A1" display="[Return to Menu]"/>
  </hyperlinks>
  <printOptions/>
  <pageMargins left="0.25" right="0.25" top="1" bottom="1" header="0.5" footer="0.5"/>
  <pageSetup horizontalDpi="600" verticalDpi="600" orientation="landscape" scale="95" r:id="rId1"/>
</worksheet>
</file>

<file path=xl/worksheets/sheet9.xml><?xml version="1.0" encoding="utf-8"?>
<worksheet xmlns="http://schemas.openxmlformats.org/spreadsheetml/2006/main" xmlns:r="http://schemas.openxmlformats.org/officeDocument/2006/relationships">
  <sheetPr>
    <pageSetUpPr fitToPage="1"/>
  </sheetPr>
  <dimension ref="A1:H18"/>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26.421875" style="6" customWidth="1"/>
    <col min="2" max="7" width="9.140625" style="6" customWidth="1"/>
    <col min="8" max="8" width="16.140625" style="6" bestFit="1" customWidth="1"/>
    <col min="9" max="16384" width="9.140625" style="6" customWidth="1"/>
  </cols>
  <sheetData>
    <row r="1" ht="15.75">
      <c r="A1" s="95" t="s">
        <v>143</v>
      </c>
    </row>
    <row r="2" ht="15.75">
      <c r="A2" s="95" t="s">
        <v>135</v>
      </c>
    </row>
    <row r="3" ht="15.75">
      <c r="H3" s="96" t="s">
        <v>71</v>
      </c>
    </row>
    <row r="4" spans="1:7" ht="31.5">
      <c r="A4" s="124" t="s">
        <v>34</v>
      </c>
      <c r="B4" s="190" t="s">
        <v>171</v>
      </c>
      <c r="C4" s="195" t="s">
        <v>172</v>
      </c>
      <c r="D4" s="190" t="s">
        <v>174</v>
      </c>
      <c r="E4" s="195" t="s">
        <v>175</v>
      </c>
      <c r="F4" s="191" t="s">
        <v>177</v>
      </c>
      <c r="G4" s="191" t="s">
        <v>178</v>
      </c>
    </row>
    <row r="5" spans="1:5" ht="15.75">
      <c r="A5" s="121"/>
      <c r="B5" s="21"/>
      <c r="C5" s="30"/>
      <c r="D5" s="21"/>
      <c r="E5" s="30"/>
    </row>
    <row r="6" spans="1:7" ht="15.75">
      <c r="A6" s="95" t="s">
        <v>35</v>
      </c>
      <c r="B6" s="21">
        <v>76</v>
      </c>
      <c r="C6" s="30">
        <v>48</v>
      </c>
      <c r="D6" s="21">
        <v>78</v>
      </c>
      <c r="E6" s="30">
        <v>52</v>
      </c>
      <c r="F6" s="6">
        <v>73</v>
      </c>
      <c r="G6" s="6">
        <v>56</v>
      </c>
    </row>
    <row r="7" spans="1:7" ht="15.75">
      <c r="A7" s="95" t="s">
        <v>36</v>
      </c>
      <c r="B7" s="21">
        <v>23</v>
      </c>
      <c r="C7" s="30">
        <v>8</v>
      </c>
      <c r="D7" s="21">
        <v>21</v>
      </c>
      <c r="E7" s="30">
        <v>9</v>
      </c>
      <c r="F7" s="6">
        <v>25</v>
      </c>
      <c r="G7" s="6">
        <v>16</v>
      </c>
    </row>
    <row r="8" spans="1:7" ht="15.75">
      <c r="A8" s="95" t="s">
        <v>37</v>
      </c>
      <c r="B8" s="21">
        <v>0</v>
      </c>
      <c r="C8" s="30">
        <v>23</v>
      </c>
      <c r="D8" s="21">
        <v>0</v>
      </c>
      <c r="E8" s="30">
        <v>20</v>
      </c>
      <c r="F8" s="6">
        <v>0</v>
      </c>
      <c r="G8" s="6">
        <v>12</v>
      </c>
    </row>
    <row r="9" spans="1:7" ht="15.75">
      <c r="A9" s="95" t="s">
        <v>38</v>
      </c>
      <c r="B9" s="21">
        <v>1</v>
      </c>
      <c r="C9" s="30">
        <v>21</v>
      </c>
      <c r="D9" s="21">
        <v>1</v>
      </c>
      <c r="E9" s="30">
        <v>19</v>
      </c>
      <c r="F9" s="6">
        <v>1</v>
      </c>
      <c r="G9" s="6">
        <v>16</v>
      </c>
    </row>
    <row r="10" spans="1:5" ht="15.75">
      <c r="A10" s="95"/>
      <c r="B10" s="21"/>
      <c r="C10" s="30"/>
      <c r="D10" s="21"/>
      <c r="E10" s="30"/>
    </row>
    <row r="11" spans="1:5" ht="15.75">
      <c r="A11" s="95" t="s">
        <v>136</v>
      </c>
      <c r="B11" s="21"/>
      <c r="C11" s="30"/>
      <c r="D11" s="21"/>
      <c r="E11" s="30"/>
    </row>
    <row r="12" spans="1:5" ht="15.75">
      <c r="A12" s="95" t="s">
        <v>137</v>
      </c>
      <c r="B12" s="21"/>
      <c r="C12" s="30"/>
      <c r="D12" s="21"/>
      <c r="E12" s="30"/>
    </row>
    <row r="13" spans="1:5" ht="15.75">
      <c r="A13" s="95" t="s">
        <v>138</v>
      </c>
      <c r="B13" s="21"/>
      <c r="C13" s="30"/>
      <c r="D13" s="21"/>
      <c r="E13" s="30"/>
    </row>
    <row r="14" spans="1:5" ht="15.75">
      <c r="A14" s="95" t="s">
        <v>139</v>
      </c>
      <c r="B14" s="21"/>
      <c r="C14" s="30"/>
      <c r="D14" s="21"/>
      <c r="E14" s="30"/>
    </row>
    <row r="15" spans="1:7" ht="15.75">
      <c r="A15" s="189" t="s">
        <v>140</v>
      </c>
      <c r="B15" s="126">
        <v>853</v>
      </c>
      <c r="C15" s="127">
        <v>555</v>
      </c>
      <c r="D15" s="126">
        <v>918</v>
      </c>
      <c r="E15" s="127">
        <v>595</v>
      </c>
      <c r="F15" s="125">
        <v>1053</v>
      </c>
      <c r="G15" s="125">
        <v>720</v>
      </c>
    </row>
    <row r="16" spans="2:7" ht="15.75">
      <c r="B16" s="123"/>
      <c r="C16" s="123"/>
      <c r="D16" s="123"/>
      <c r="E16" s="123"/>
      <c r="F16" s="123"/>
      <c r="G16" s="123"/>
    </row>
    <row r="17" ht="15.75">
      <c r="A17" s="20" t="s">
        <v>141</v>
      </c>
    </row>
    <row r="18" ht="15.75">
      <c r="A18" s="20" t="s">
        <v>142</v>
      </c>
    </row>
  </sheetData>
  <hyperlinks>
    <hyperlink ref="H3" location="'Appendix A'!A1" display="[Return to Menu]"/>
  </hyperlinks>
  <printOptions/>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Near Retiree Tables With Standard Errors</dc:title>
  <dc:subject>Near Retiree Population</dc:subject>
  <dc:creator>Saadia Greenberg</dc:creator>
  <cp:keywords>Near Retirees, Population, Tables</cp:keywords>
  <dc:description/>
  <cp:lastModifiedBy>DHHS</cp:lastModifiedBy>
  <cp:lastPrinted>2009-04-16T21:03:57Z</cp:lastPrinted>
  <dcterms:created xsi:type="dcterms:W3CDTF">2006-08-15T17:03:35Z</dcterms:created>
  <dcterms:modified xsi:type="dcterms:W3CDTF">2009-04-27T12:50:46Z</dcterms:modified>
  <cp:category>Population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hecked by">
    <vt:lpwstr>S Ingram</vt:lpwstr>
  </property>
  <property fmtid="{D5CDD505-2E9C-101B-9397-08002B2CF9AE}" pid="4" name="Status">
    <vt:lpwstr>508 Comp 4/27/08</vt:lpwstr>
  </property>
</Properties>
</file>