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9360" windowHeight="4950" tabRatio="760" activeTab="0"/>
  </bookViews>
  <sheets>
    <sheet name="Model Input" sheetId="1" r:id="rId1"/>
    <sheet name="Adjusting Default Values" sheetId="2" r:id="rId2"/>
    <sheet name="Cost Summary" sheetId="3" r:id="rId3"/>
    <sheet name="Tools" sheetId="4" r:id="rId4"/>
    <sheet name="Do Not Alter" sheetId="5" r:id="rId5"/>
  </sheets>
  <definedNames>
    <definedName name="_xlnm.Print_Area" localSheetId="1">'Adjusting Default Values'!$A$1:$H$54</definedName>
    <definedName name="_xlnm.Print_Area" localSheetId="2">'Cost Summary'!$B$1:$M$66</definedName>
    <definedName name="_xlnm.Print_Area" localSheetId="4">'Do Not Alter'!$C$166:$M$188</definedName>
    <definedName name="_xlnm.Print_Area" localSheetId="0">'Model Input'!$B$4:$H$446</definedName>
    <definedName name="Spreadsheet_Worksheet_List">'Model Input'!#REF!</definedName>
  </definedNames>
  <calcPr fullCalcOnLoad="1"/>
</workbook>
</file>

<file path=xl/comments5.xml><?xml version="1.0" encoding="utf-8"?>
<comments xmlns="http://schemas.openxmlformats.org/spreadsheetml/2006/main">
  <authors>
    <author>Jeff Swano</author>
    <author>Tetra Tech</author>
    <author>EM Inc.</author>
  </authors>
  <commentList>
    <comment ref="F72" authorId="0">
      <text>
        <r>
          <rPr>
            <b/>
            <sz val="8"/>
            <rFont val="Tahoma"/>
            <family val="0"/>
          </rPr>
          <t>Jeff Swano:</t>
        </r>
        <r>
          <rPr>
            <sz val="8"/>
            <rFont val="Tahoma"/>
            <family val="0"/>
          </rPr>
          <t xml:space="preserve">
:E-4-3</t>
        </r>
      </text>
    </comment>
    <comment ref="F32" authorId="1">
      <text>
        <r>
          <rPr>
            <b/>
            <sz val="8"/>
            <rFont val="Tahoma"/>
            <family val="0"/>
          </rPr>
          <t>Tetra Tech:</t>
        </r>
        <r>
          <rPr>
            <sz val="8"/>
            <rFont val="Tahoma"/>
            <family val="0"/>
          </rPr>
          <t xml:space="preserve">
F-6-1</t>
        </r>
      </text>
    </comment>
    <comment ref="F79" authorId="0">
      <text>
        <r>
          <rPr>
            <b/>
            <sz val="8"/>
            <rFont val="Tahoma"/>
            <family val="0"/>
          </rPr>
          <t>Jeff Swano:</t>
        </r>
        <r>
          <rPr>
            <sz val="8"/>
            <rFont val="Tahoma"/>
            <family val="0"/>
          </rPr>
          <t xml:space="preserve">
F-8-1</t>
        </r>
      </text>
    </comment>
    <comment ref="F87" authorId="2">
      <text>
        <r>
          <rPr>
            <b/>
            <sz val="8"/>
            <rFont val="Tahoma"/>
            <family val="0"/>
          </rPr>
          <t>EM Inc.:</t>
        </r>
        <r>
          <rPr>
            <sz val="8"/>
            <rFont val="Tahoma"/>
            <family val="0"/>
          </rPr>
          <t xml:space="preserve">
F-8-2</t>
        </r>
      </text>
    </comment>
    <comment ref="W31" authorId="0">
      <text>
        <r>
          <rPr>
            <b/>
            <sz val="8"/>
            <rFont val="Tahoma"/>
            <family val="0"/>
          </rPr>
          <t>Jeff Swano:</t>
        </r>
        <r>
          <rPr>
            <sz val="8"/>
            <rFont val="Tahoma"/>
            <family val="0"/>
          </rPr>
          <t xml:space="preserve">
g-1-1
</t>
        </r>
      </text>
    </comment>
    <comment ref="D139" authorId="0">
      <text>
        <r>
          <rPr>
            <b/>
            <sz val="8"/>
            <rFont val="Tahoma"/>
            <family val="0"/>
          </rPr>
          <t>Jeff Swano:</t>
        </r>
        <r>
          <rPr>
            <sz val="8"/>
            <rFont val="Tahoma"/>
            <family val="0"/>
          </rPr>
          <t xml:space="preserve">
Means Site Work
029-204-3940
unit cost X3</t>
        </r>
      </text>
    </comment>
    <comment ref="E139" authorId="0">
      <text>
        <r>
          <rPr>
            <b/>
            <sz val="8"/>
            <rFont val="Tahoma"/>
            <family val="0"/>
          </rPr>
          <t>Jeff Swano:</t>
        </r>
        <r>
          <rPr>
            <sz val="8"/>
            <rFont val="Tahoma"/>
            <family val="0"/>
          </rPr>
          <t xml:space="preserve">
Means Site Work
029-204-3940
unit cost X3</t>
        </r>
      </text>
    </comment>
  </commentList>
</comments>
</file>

<file path=xl/sharedStrings.xml><?xml version="1.0" encoding="utf-8"?>
<sst xmlns="http://schemas.openxmlformats.org/spreadsheetml/2006/main" count="719" uniqueCount="451">
  <si>
    <t>Cost Estimating Model</t>
  </si>
  <si>
    <t>Start Here</t>
  </si>
  <si>
    <t>I'm using the model to. . .</t>
  </si>
  <si>
    <t>located in. . .</t>
  </si>
  <si>
    <t>Area measurement</t>
  </si>
  <si>
    <t>The assessed dump site is known as</t>
  </si>
  <si>
    <t>Street address</t>
  </si>
  <si>
    <t>City</t>
  </si>
  <si>
    <t>County</t>
  </si>
  <si>
    <t>State</t>
  </si>
  <si>
    <t>Date Evaluated</t>
  </si>
  <si>
    <t>1.</t>
  </si>
  <si>
    <t>2.</t>
  </si>
  <si>
    <t>3.</t>
  </si>
  <si>
    <t>4.</t>
  </si>
  <si>
    <t>For each waste type:</t>
  </si>
  <si>
    <t>Enter</t>
  </si>
  <si>
    <t>Select unit</t>
  </si>
  <si>
    <t>Select a disposal</t>
  </si>
  <si>
    <t>how much</t>
  </si>
  <si>
    <t>Household</t>
  </si>
  <si>
    <t>Brush or landscape</t>
  </si>
  <si>
    <t>Appliances</t>
  </si>
  <si>
    <t>Tires</t>
  </si>
  <si>
    <t>Hazardous waste</t>
  </si>
  <si>
    <t>(for lump sum)</t>
  </si>
  <si>
    <t>Total</t>
  </si>
  <si>
    <t>cubic yards</t>
  </si>
  <si>
    <t>Process Rate</t>
  </si>
  <si>
    <t>Labor Costs</t>
  </si>
  <si>
    <t># of Workers</t>
  </si>
  <si>
    <t>Cu Yd/Hour</t>
  </si>
  <si>
    <t>Total Hours</t>
  </si>
  <si>
    <t>$ per hour</t>
  </si>
  <si>
    <t>Supervisor</t>
  </si>
  <si>
    <t>Equipment Operator</t>
  </si>
  <si>
    <t>Other Worker</t>
  </si>
  <si>
    <t xml:space="preserve">  (Manual Only)                    Other Labor</t>
  </si>
  <si>
    <t>Labor Subtotal</t>
  </si>
  <si>
    <t>Process Equipment Costs</t>
  </si>
  <si>
    <t>Quantity</t>
  </si>
  <si>
    <t>$ Per Hour</t>
  </si>
  <si>
    <t>Dump Truck</t>
  </si>
  <si>
    <t xml:space="preserve">  (Manual Only)             Other Equipment</t>
  </si>
  <si>
    <t>Term</t>
  </si>
  <si>
    <t># of Equipment</t>
  </si>
  <si>
    <t>Length</t>
  </si>
  <si>
    <t>$ Per Unit</t>
  </si>
  <si>
    <t>(Day, Wk, Mo)</t>
  </si>
  <si>
    <t>Units</t>
  </si>
  <si>
    <t>of Term</t>
  </si>
  <si>
    <t>Per Term</t>
  </si>
  <si>
    <t>(Manual Only)      Shredding Equipment</t>
  </si>
  <si>
    <t>(Manual Only)     Other Term Equipment</t>
  </si>
  <si>
    <t>Equipment Subtotal</t>
  </si>
  <si>
    <t>Units Per Hour</t>
  </si>
  <si>
    <t>(Manual Only)          Crusher or Grinder</t>
  </si>
  <si>
    <t>Units Per</t>
  </si>
  <si>
    <t>Cost per</t>
  </si>
  <si>
    <t>Per Unit Equipment Costs</t>
  </si>
  <si>
    <t>Container</t>
  </si>
  <si>
    <t>Containers</t>
  </si>
  <si>
    <t>40-cubic yard Container</t>
  </si>
  <si>
    <t>(Manual Only)              Other Container</t>
  </si>
  <si>
    <t>(Manual Only)        Crusher or Grinder</t>
  </si>
  <si>
    <t>(Manual Only)  Other Term Equipment</t>
  </si>
  <si>
    <t>tires</t>
  </si>
  <si>
    <t>(Manual Only)                        Shredder</t>
  </si>
  <si>
    <t>Waste Type</t>
  </si>
  <si>
    <t># of Loads</t>
  </si>
  <si>
    <t>Total Transport Costs</t>
  </si>
  <si>
    <t>Waste Total</t>
  </si>
  <si>
    <t>$ Per</t>
  </si>
  <si>
    <t>Disposal Method</t>
  </si>
  <si>
    <t>(in cu yds)</t>
  </si>
  <si>
    <t>(in tons)</t>
  </si>
  <si>
    <t>Unit</t>
  </si>
  <si>
    <t>Total Disposal Costs</t>
  </si>
  <si>
    <t>Area in</t>
  </si>
  <si>
    <t>Square Feet</t>
  </si>
  <si>
    <t xml:space="preserve">Equipment </t>
  </si>
  <si>
    <t xml:space="preserve">Labor </t>
  </si>
  <si>
    <t>Site Restoration</t>
  </si>
  <si>
    <t>Per Hour</t>
  </si>
  <si>
    <t>Grading</t>
  </si>
  <si>
    <t>Barrier</t>
  </si>
  <si>
    <t>Site Security</t>
  </si>
  <si>
    <t># of Gates</t>
  </si>
  <si>
    <t>$ per Gate</t>
  </si>
  <si>
    <t>Linear Feet</t>
  </si>
  <si>
    <t>Linear Foot</t>
  </si>
  <si>
    <t>Fencing</t>
  </si>
  <si>
    <t>Concrete Traffic Barrier</t>
  </si>
  <si>
    <t>(Manual Only)                  Other Barrier</t>
  </si>
  <si>
    <t>Signs and Other Items</t>
  </si>
  <si>
    <t>Manual</t>
  </si>
  <si>
    <t>Signs</t>
  </si>
  <si>
    <t>Other Items (quantity and price)</t>
  </si>
  <si>
    <t>Total Site Restoration and Security Costs</t>
  </si>
  <si>
    <t>Total Hours Scratch Pad</t>
  </si>
  <si>
    <t># of People</t>
  </si>
  <si>
    <t>Hours Per Day</t>
  </si>
  <si>
    <t># of Days</t>
  </si>
  <si>
    <t>Term Total</t>
  </si>
  <si>
    <t>Equipment</t>
  </si>
  <si>
    <t>Labor Rate</t>
  </si>
  <si>
    <t>Rate</t>
  </si>
  <si>
    <t>Materials</t>
  </si>
  <si>
    <t>$ Total</t>
  </si>
  <si>
    <t>Hours</t>
  </si>
  <si>
    <t>Days</t>
  </si>
  <si>
    <t>Lump Sum</t>
  </si>
  <si>
    <t>Subtotals</t>
  </si>
  <si>
    <t>Property Characterization</t>
  </si>
  <si>
    <t>Size</t>
  </si>
  <si>
    <t>Amount of Wastes Present</t>
  </si>
  <si>
    <t>Estimated Cleanup and Disposal Costs</t>
  </si>
  <si>
    <t>Is the property tax delinquent?</t>
  </si>
  <si>
    <t>Has due diligence been conducted?</t>
  </si>
  <si>
    <t>Other Property Liability (in $)</t>
  </si>
  <si>
    <t>Nearby</t>
  </si>
  <si>
    <t>Net</t>
  </si>
  <si>
    <t>Property in</t>
  </si>
  <si>
    <t>Lot Value</t>
  </si>
  <si>
    <t>Difference*</t>
  </si>
  <si>
    <t>Total*</t>
  </si>
  <si>
    <t>Real Estate Comparable Values</t>
  </si>
  <si>
    <t>$ Per Sq Ft</t>
  </si>
  <si>
    <t>Use the two lines if you are comparing several properties</t>
  </si>
  <si>
    <t>Line 1</t>
  </si>
  <si>
    <t>Line 2</t>
  </si>
  <si>
    <t>*A negative number implies a depressed market value due to presence of dump.</t>
  </si>
  <si>
    <t>Total Property Liabilities</t>
  </si>
  <si>
    <t>Cost Item</t>
  </si>
  <si>
    <t>Labor</t>
  </si>
  <si>
    <t>Type in a name for each cost item below</t>
  </si>
  <si>
    <t>Item 1</t>
  </si>
  <si>
    <t>Item 2</t>
  </si>
  <si>
    <t>Item 3</t>
  </si>
  <si>
    <t>Item 4</t>
  </si>
  <si>
    <t>Item 5</t>
  </si>
  <si>
    <t>Item 6</t>
  </si>
  <si>
    <t>Item 7</t>
  </si>
  <si>
    <t>Total Program Administrative Costs</t>
  </si>
  <si>
    <t>$ Value</t>
  </si>
  <si>
    <t>Civil Fines Paid</t>
  </si>
  <si>
    <t>Grants or Donations</t>
  </si>
  <si>
    <t>Community/Volunteer Support</t>
  </si>
  <si>
    <t>Total Offsetting Costs</t>
  </si>
  <si>
    <t>Cost Summary</t>
  </si>
  <si>
    <t>Illegal Dump Site Features</t>
  </si>
  <si>
    <t>Cleanup Costs</t>
  </si>
  <si>
    <t>Total Labor Costs</t>
  </si>
  <si>
    <t>Total Equipment Costs</t>
  </si>
  <si>
    <t>Disposal Costs</t>
  </si>
  <si>
    <t>Post-Cleanup Costs:</t>
  </si>
  <si>
    <t>Site Restoration and Security Costs</t>
  </si>
  <si>
    <t>Site Monitoring Costs</t>
  </si>
  <si>
    <t>Total Post-Cleanup Costs</t>
  </si>
  <si>
    <t>Other Direct and Indirect Costs:</t>
  </si>
  <si>
    <r>
      <t>Net Property Liabilities</t>
    </r>
    <r>
      <rPr>
        <b/>
        <u val="single"/>
        <vertAlign val="superscript"/>
        <sz val="11"/>
        <rFont val="Times New Roman"/>
        <family val="1"/>
      </rPr>
      <t>1</t>
    </r>
  </si>
  <si>
    <t>Program Administrative Costs</t>
  </si>
  <si>
    <t>Total Other Direct and Indirect Costs</t>
  </si>
  <si>
    <r>
      <t>Offsetting Costs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:</t>
    </r>
  </si>
  <si>
    <t>Total Illegal Dumping Cost Estimate</t>
  </si>
  <si>
    <t>1.     Volume, Area and Weight Conversions</t>
  </si>
  <si>
    <t>To convert. . .</t>
  </si>
  <si>
    <t>enter units</t>
  </si>
  <si>
    <t>that you know</t>
  </si>
  <si>
    <t>to get</t>
  </si>
  <si>
    <t>these units</t>
  </si>
  <si>
    <t>Acres to square feet</t>
  </si>
  <si>
    <t>acre</t>
  </si>
  <si>
    <t>sq ft</t>
  </si>
  <si>
    <t>Acres to square miles</t>
  </si>
  <si>
    <t>sq mi</t>
  </si>
  <si>
    <t>Cu yds per hour to hours per cu yd</t>
  </si>
  <si>
    <t>hours per cu yd</t>
  </si>
  <si>
    <t>Cubic feet to cubic yards</t>
  </si>
  <si>
    <t>cu ft</t>
  </si>
  <si>
    <t>cu yd</t>
  </si>
  <si>
    <t>Cubic yards to cubic feet</t>
  </si>
  <si>
    <t>Feet to yards</t>
  </si>
  <si>
    <t>ft</t>
  </si>
  <si>
    <t>yd</t>
  </si>
  <si>
    <t>pounds</t>
  </si>
  <si>
    <t>Hours per ton to tons per hour</t>
  </si>
  <si>
    <t>hours per ton</t>
  </si>
  <si>
    <t>tons per hour</t>
  </si>
  <si>
    <t>Pounds to tons</t>
  </si>
  <si>
    <t>tons</t>
  </si>
  <si>
    <t>Square feet to acres</t>
  </si>
  <si>
    <t>Square feet to square yards</t>
  </si>
  <si>
    <t>sq yd</t>
  </si>
  <si>
    <t>Square miles to acres</t>
  </si>
  <si>
    <t>Square yards to square feet</t>
  </si>
  <si>
    <t>Tons per hour to hours per ton</t>
  </si>
  <si>
    <t>Tons to pounds</t>
  </si>
  <si>
    <t>Yards to feet</t>
  </si>
  <si>
    <t>2.     Multiple Variable Conversions</t>
  </si>
  <si>
    <t>To get. . .</t>
  </si>
  <si>
    <t>enter</t>
  </si>
  <si>
    <t>variable 1</t>
  </si>
  <si>
    <t>and enter</t>
  </si>
  <si>
    <t>variable 2</t>
  </si>
  <si>
    <t>this outcome</t>
  </si>
  <si>
    <t>Cubic yards of a waste pile</t>
  </si>
  <si>
    <t>Square feet (base)</t>
  </si>
  <si>
    <t>Height in feet</t>
  </si>
  <si>
    <t>Process Rate, Tons per Hour</t>
  </si>
  <si>
    <t>Tons</t>
  </si>
  <si>
    <t/>
  </si>
  <si>
    <t>&lt;==for returning no text</t>
  </si>
  <si>
    <t>0</t>
  </si>
  <si>
    <t>&lt;==for returning a zero value</t>
  </si>
  <si>
    <t>near =</t>
  </si>
  <si>
    <t>near</t>
  </si>
  <si>
    <t>acres</t>
  </si>
  <si>
    <t>far =</t>
  </si>
  <si>
    <t>far</t>
  </si>
  <si>
    <t>square yards</t>
  </si>
  <si>
    <t>estimate costs of an individual site</t>
  </si>
  <si>
    <t>estimate costs of several sites</t>
  </si>
  <si>
    <t>undeveloped open land</t>
  </si>
  <si>
    <t>a mixture of zoning and uses</t>
  </si>
  <si>
    <t>square feet</t>
  </si>
  <si>
    <t>Waste not present</t>
  </si>
  <si>
    <t>Not Evaluated</t>
  </si>
  <si>
    <t>enter manual #s here==&gt;</t>
  </si>
  <si>
    <t>How</t>
  </si>
  <si>
    <t>Conversion</t>
  </si>
  <si>
    <t>unit per</t>
  </si>
  <si>
    <t>Compaction</t>
  </si>
  <si>
    <t>Toilet</t>
  </si>
  <si>
    <t xml:space="preserve"> </t>
  </si>
  <si>
    <t>Std.</t>
  </si>
  <si>
    <t>Disp.</t>
  </si>
  <si>
    <t>Dist.</t>
  </si>
  <si>
    <t>Much?</t>
  </si>
  <si>
    <t>Assumption</t>
  </si>
  <si>
    <t>unit</t>
  </si>
  <si>
    <t xml:space="preserve">unit </t>
  </si>
  <si>
    <t>XXXXXX</t>
  </si>
  <si>
    <t>Cost</t>
  </si>
  <si>
    <t>Week</t>
  </si>
  <si>
    <t>ton</t>
  </si>
  <si>
    <t>lbs/cuyd</t>
  </si>
  <si>
    <t>Solid waste incinerator</t>
  </si>
  <si>
    <t>Default</t>
  </si>
  <si>
    <t>units</t>
  </si>
  <si>
    <t>lbs/unit</t>
  </si>
  <si>
    <t>lbs/ton</t>
  </si>
  <si>
    <t>Metals recycler</t>
  </si>
  <si>
    <t>car tires</t>
  </si>
  <si>
    <t>truck tires</t>
  </si>
  <si>
    <t>various tires</t>
  </si>
  <si>
    <t>Tires recycler</t>
  </si>
  <si>
    <t>Tires incinerator</t>
  </si>
  <si>
    <t>Compost landfill</t>
  </si>
  <si>
    <t>C&amp;D landfill</t>
  </si>
  <si>
    <t>C&amp;D recycler</t>
  </si>
  <si>
    <t>drums</t>
  </si>
  <si>
    <t>contaminated soil</t>
  </si>
  <si>
    <t>yes</t>
  </si>
  <si>
    <t>no</t>
  </si>
  <si>
    <t>Then enter the cleanup value here==&gt;</t>
  </si>
  <si>
    <t>Disposal Sums</t>
  </si>
  <si>
    <t>Unk</t>
  </si>
  <si>
    <t>App</t>
  </si>
  <si>
    <t>Tire</t>
  </si>
  <si>
    <t>brush</t>
  </si>
  <si>
    <t>house</t>
  </si>
  <si>
    <t>Totals</t>
  </si>
  <si>
    <t>$/ton</t>
  </si>
  <si>
    <t>D/M</t>
  </si>
  <si>
    <t>Solid Waste Landfill</t>
  </si>
  <si>
    <t>Solid Waste Incinerator</t>
  </si>
  <si>
    <t>C&amp;D Landfill</t>
  </si>
  <si>
    <t>C&amp;D Recycler</t>
  </si>
  <si>
    <t>Compost Landfill</t>
  </si>
  <si>
    <t>Metals Recycler</t>
  </si>
  <si>
    <t>Tire Recycler</t>
  </si>
  <si>
    <t>Tire Incinerator</t>
  </si>
  <si>
    <t>Do you have a lump sum for waste transport costs?</t>
  </si>
  <si>
    <t>Enter a lump sum in the box above</t>
  </si>
  <si>
    <t>Enter value here==&gt;</t>
  </si>
  <si>
    <t>Does that lump sum include disposal costs?</t>
  </si>
  <si>
    <t>Do you have a lump sum for disposal costs?</t>
  </si>
  <si>
    <t>sfh</t>
  </si>
  <si>
    <t>dlf</t>
  </si>
  <si>
    <t>gate</t>
  </si>
  <si>
    <t>What are the taxes owed?</t>
  </si>
  <si>
    <t>Report Notes</t>
  </si>
  <si>
    <t>Schedule A.  Identify Illegal Dump Site Features</t>
  </si>
  <si>
    <t>Schedule B.  Select Values for Waste Type, Quantity, and Disposal Methods</t>
  </si>
  <si>
    <t>Schedule K. Adjustments to Default Cost Values</t>
  </si>
  <si>
    <t>Schedule J.  Estimate Offsetting Costs</t>
  </si>
  <si>
    <t>Schedule I.  Estimate Program Administrative Costs</t>
  </si>
  <si>
    <t xml:space="preserve">Schedule F.  Estimate Site Restoration and Security Costs </t>
  </si>
  <si>
    <t>Schedule E. Estimate Disposal Costs</t>
  </si>
  <si>
    <t>Schedule D. Estimate Waste Transport Costs</t>
  </si>
  <si>
    <t>Schedule C.  Estimate Site Cleanup Costs</t>
  </si>
  <si>
    <t>(Manual Only)                          Compactor</t>
  </si>
  <si>
    <t>(Manual Only)            40-cu yd Container</t>
  </si>
  <si>
    <t>(Manual Only)                        Compactor</t>
  </si>
  <si>
    <t>(Manual Only)                          Shredder</t>
  </si>
  <si>
    <t>that is best described as. . .</t>
  </si>
  <si>
    <t>an abandonned/vacant lot</t>
  </si>
  <si>
    <t>method and…</t>
  </si>
  <si>
    <t>and go on to Schedule D. below.</t>
  </si>
  <si>
    <t>You indicated a lump sum value for Site Cleanup Costs (Schedule C Part 1 above).</t>
  </si>
  <si>
    <t>Set buttons to "Manual" and go to Schedule E below.</t>
  </si>
  <si>
    <t>otherwise, review this Schedule for accuracy.</t>
  </si>
  <si>
    <t>You indicated a lump sum value for Waste Transport Costs (Schedule D above).</t>
  </si>
  <si>
    <t>Default values are based on the disposal methods selected and waste volumes entered in Schedule B.</t>
  </si>
  <si>
    <t>Set buttons to "Manual" and go to Schedule F below.</t>
  </si>
  <si>
    <t>Review this Schedule for accuracy.</t>
  </si>
  <si>
    <t>Drivers</t>
  </si>
  <si>
    <t>Round to the nearest</t>
  </si>
  <si>
    <t>$1</t>
  </si>
  <si>
    <t>$100</t>
  </si>
  <si>
    <t>$1,000</t>
  </si>
  <si>
    <t>$10</t>
  </si>
  <si>
    <t>Round costs in the Cost Summary to nearest…</t>
  </si>
  <si>
    <r>
      <t>I</t>
    </r>
    <r>
      <rPr>
        <b/>
        <sz val="22"/>
        <color indexed="48"/>
        <rFont val="Book Antiqua"/>
        <family val="1"/>
      </rPr>
      <t xml:space="preserve">llegal </t>
    </r>
    <r>
      <rPr>
        <b/>
        <sz val="36"/>
        <color indexed="48"/>
        <rFont val="Book Antiqua"/>
        <family val="1"/>
      </rPr>
      <t>D</t>
    </r>
    <r>
      <rPr>
        <b/>
        <sz val="22"/>
        <color indexed="48"/>
        <rFont val="Book Antiqua"/>
        <family val="1"/>
      </rPr>
      <t xml:space="preserve">umping </t>
    </r>
    <r>
      <rPr>
        <b/>
        <sz val="36"/>
        <color indexed="48"/>
        <rFont val="Book Antiqua"/>
        <family val="1"/>
      </rPr>
      <t>E</t>
    </r>
    <r>
      <rPr>
        <b/>
        <sz val="22"/>
        <color indexed="48"/>
        <rFont val="Book Antiqua"/>
        <family val="1"/>
      </rPr>
      <t xml:space="preserve">conomic </t>
    </r>
    <r>
      <rPr>
        <b/>
        <sz val="36"/>
        <color indexed="48"/>
        <rFont val="Book Antiqua"/>
        <family val="1"/>
      </rPr>
      <t>A</t>
    </r>
    <r>
      <rPr>
        <b/>
        <sz val="22"/>
        <color indexed="48"/>
        <rFont val="Book Antiqua"/>
        <family val="1"/>
      </rPr>
      <t>ssessment (IDEA)</t>
    </r>
  </si>
  <si>
    <t>Hours per Load</t>
  </si>
  <si>
    <t>Hourly</t>
  </si>
  <si>
    <t>Zip Code</t>
  </si>
  <si>
    <t xml:space="preserve">ILLEGAL DUMPING ECONOMIC ASSESSMENT (IDEA) MODEL </t>
  </si>
  <si>
    <t>Date Printed</t>
  </si>
  <si>
    <t>facility</t>
  </si>
  <si>
    <t>distance to</t>
  </si>
  <si>
    <t>the disposal</t>
  </si>
  <si>
    <t>Schedule H.  Assess Property Liabilities</t>
  </si>
  <si>
    <t>Term Equipment Costs</t>
  </si>
  <si>
    <t>Schedule G.  Estimate Site Surveillance Costs</t>
  </si>
  <si>
    <t>Total Site Surveillance Costs</t>
  </si>
  <si>
    <t>Geographic location affects default values</t>
  </si>
  <si>
    <t>(Manual Only) Infrastructure Improvements</t>
  </si>
  <si>
    <t>(Manual Only)                             Reseeding</t>
  </si>
  <si>
    <t>C&amp;D--Building Materials</t>
  </si>
  <si>
    <t>C&amp;D--Concrete</t>
  </si>
  <si>
    <t>1.  Do you have a lump sum for the cleanup?</t>
  </si>
  <si>
    <t>Schedule C, Part 3.  Cleanup Costs by the Following Waste Type</t>
  </si>
  <si>
    <t>Schedule C, Part 2.  Cleanup Costs for the Following Waste Types</t>
  </si>
  <si>
    <t>You are in Schedule C, Part 2</t>
  </si>
  <si>
    <t>You are in Schedule C, Part 3</t>
  </si>
  <si>
    <t>You are in Schedule C, Part 4</t>
  </si>
  <si>
    <t>Schedule C, Part 4.  Cleanup Costs by the Following Waste Type</t>
  </si>
  <si>
    <t>C&amp;D BM</t>
  </si>
  <si>
    <t>C&amp;D C</t>
  </si>
  <si>
    <t>Then go on to Part 2 of this Schedule</t>
  </si>
  <si>
    <t>and go on to Schedule E</t>
  </si>
  <si>
    <t>CU labor</t>
  </si>
  <si>
    <t>CU Equipm</t>
  </si>
  <si>
    <t>You indicated a lump sum was available for Waste Transport, but you did not enter a value in Schedule D.</t>
  </si>
  <si>
    <t>You indicated no lump sum was available for Waste Transport, but there is a number in this area of Schedule D.</t>
  </si>
  <si>
    <t>You indicated a lump sum was available for Disposal, but you did not enter a value in Schedule E.</t>
  </si>
  <si>
    <t>You indicated no lump sum was available for Disposal, but there is a number in this area of Schedule E.</t>
  </si>
  <si>
    <t>Transport total</t>
  </si>
  <si>
    <t>disposal</t>
  </si>
  <si>
    <t>Mixed or unknown</t>
  </si>
  <si>
    <t>You're done with the estimate.  Print out this Worksheet to check your entries.  Go to the Cost Summary and print out the cost summary.</t>
  </si>
  <si>
    <t># Automatic</t>
  </si>
  <si>
    <t># Manual</t>
  </si>
  <si>
    <t>% Change</t>
  </si>
  <si>
    <t>Default process rates (negative to slow down)</t>
  </si>
  <si>
    <t>compile actual costs</t>
  </si>
  <si>
    <t>Front-end Loader (4 cy)</t>
  </si>
  <si>
    <t>Fence Gates (each)</t>
  </si>
  <si>
    <t>Fence ($ per linear ft.)</t>
  </si>
  <si>
    <t>Traffic Barrier ($ per LF)</t>
  </si>
  <si>
    <t>Signs (incl. Labor &amp; Materials)</t>
  </si>
  <si>
    <t>Grading (sq. ft/hr.)</t>
  </si>
  <si>
    <t>Values</t>
  </si>
  <si>
    <t>Process Rates</t>
  </si>
  <si>
    <t>Mixed, unknown, household, C&amp;D, brush or landscape wastes (cu. yd./hr.)</t>
  </si>
  <si>
    <t>Appliances (units/hr.)</t>
  </si>
  <si>
    <t>Tires (units/hr.)</t>
  </si>
  <si>
    <t>Labor ($/Hr.)</t>
  </si>
  <si>
    <t>40-cu. yd. Dumpster (each)</t>
  </si>
  <si>
    <t>Grader Operator</t>
  </si>
  <si>
    <t>4-cu. yd. Front-End Loader ($/hr.)</t>
  </si>
  <si>
    <t>Grader ($/hr.)</t>
  </si>
  <si>
    <t>Dump Truck ($/hr.)</t>
  </si>
  <si>
    <t>cu yds per hour</t>
  </si>
  <si>
    <t xml:space="preserve">cu yds   </t>
  </si>
  <si>
    <t>sq yds</t>
  </si>
  <si>
    <t>yds</t>
  </si>
  <si>
    <t>Disposal Facilities ($/ton)</t>
  </si>
  <si>
    <t>Version 1.2</t>
  </si>
  <si>
    <t>The IDEA Model will use those values in the Default mode.</t>
  </si>
  <si>
    <t>Cost Estimate of Several Sites*</t>
  </si>
  <si>
    <t>Compilation of Actual Costs*</t>
  </si>
  <si>
    <t>car</t>
  </si>
  <si>
    <t>truck</t>
  </si>
  <si>
    <t>various</t>
  </si>
  <si>
    <t>Schedule C, Part 2, Labor and Equipment</t>
  </si>
  <si>
    <t>Schedule C, Part 3, Labor and Equipment</t>
  </si>
  <si>
    <t>That Values Apply To</t>
  </si>
  <si>
    <t>Schedule C, Part 4, Labor and Equipment</t>
  </si>
  <si>
    <t>Schedule F, Site Restoration</t>
  </si>
  <si>
    <t>Schedule C, Parts 2, 3 and 4</t>
  </si>
  <si>
    <t>Schedule C, Parts 2, 3 and 4, "Per Unit Equipment Costs"</t>
  </si>
  <si>
    <t>Schedule F, Site Security</t>
  </si>
  <si>
    <t>Schedule F, Signs and Other Items</t>
  </si>
  <si>
    <t>Schedule E</t>
  </si>
  <si>
    <t>Subtotal</t>
  </si>
  <si>
    <r>
      <t xml:space="preserve">2 </t>
    </r>
    <r>
      <rPr>
        <sz val="8"/>
        <rFont val="Times New Roman"/>
        <family val="1"/>
      </rPr>
      <t xml:space="preserve"> This value from Schedule J is treated as a debit against total costs.</t>
    </r>
  </si>
  <si>
    <t>Schedules</t>
  </si>
  <si>
    <t>Cost Estimate of an Individual Site*</t>
  </si>
  <si>
    <t>Values*</t>
  </si>
  <si>
    <t>Values**</t>
  </si>
  <si>
    <t>*In 1999 Dollars</t>
  </si>
  <si>
    <t>You can use a mix of default values and your own values.</t>
  </si>
  <si>
    <t>You will also be able to use the Manual mode to affect line item costs in the IDEA Model Schedules.</t>
  </si>
  <si>
    <t xml:space="preserve"> dollars.</t>
  </si>
  <si>
    <t xml:space="preserve">**These Default Values Adjusted for Inflation in Schedule K and are in the year </t>
  </si>
  <si>
    <t xml:space="preserve"> of </t>
  </si>
  <si>
    <t xml:space="preserve"> in </t>
  </si>
  <si>
    <t>.</t>
  </si>
  <si>
    <t>a primarily residential area</t>
  </si>
  <si>
    <t>a primarily commercial area</t>
  </si>
  <si>
    <t>a primarily industrial area</t>
  </si>
  <si>
    <t>a rural setting</t>
  </si>
  <si>
    <t>an urban setting</t>
  </si>
  <si>
    <t>Model</t>
  </si>
  <si>
    <t>Enter Your</t>
  </si>
  <si>
    <t>Solid Waste Landfill/Transfer Sta.</t>
  </si>
  <si>
    <t>S.W. landfill/transfer</t>
  </si>
  <si>
    <t>To first adjust model's default values for inflation, go to Schedule K.</t>
  </si>
  <si>
    <t xml:space="preserve">  (Manual Only)                Other Labor</t>
  </si>
  <si>
    <t>Schedule C, Part 1</t>
  </si>
  <si>
    <t>See Chapter 2 page 4 for reporting requirements</t>
  </si>
  <si>
    <t>You indicated a lump sum was available for cleanup costs, but you did not enter a value in Schedule C Part 1.</t>
  </si>
  <si>
    <t>You indicated no lump sum was available for cleanup costs, but there is a number entered in Schedule C Part 1.</t>
  </si>
  <si>
    <t>Waste Transport Costs</t>
  </si>
  <si>
    <t>Cleanup, Waste Transport, and Disposal Costs:</t>
  </si>
  <si>
    <t>Waste Quantities and Types</t>
  </si>
  <si>
    <t>Unknown</t>
  </si>
  <si>
    <t xml:space="preserve">* Costs rounded to the nearest </t>
  </si>
  <si>
    <r>
      <t>1</t>
    </r>
    <r>
      <rPr>
        <sz val="8"/>
        <rFont val="Times New Roman"/>
        <family val="1"/>
      </rPr>
      <t xml:space="preserve"> These costs are highly variable; completion of this section does not constitute due diligence.</t>
    </r>
  </si>
  <si>
    <t>Total Cleanup, Transport, and Disposal Costs</t>
  </si>
  <si>
    <t xml:space="preserve"> County</t>
  </si>
  <si>
    <t xml:space="preserve">, </t>
  </si>
  <si>
    <t>If you want to replace default values with your own actual values, enter them in the yellow boxes.</t>
  </si>
  <si>
    <t>and enter the current year</t>
  </si>
  <si>
    <t>Enter an annual inflation rate</t>
  </si>
  <si>
    <t>Schedule C, Parts 3 and 4</t>
  </si>
  <si>
    <t>Front-End Loader Operator</t>
  </si>
  <si>
    <t>Dump Truck Driver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</si>
</sst>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$&quot;#,##0.00"/>
    <numFmt numFmtId="169" formatCode="mmmm\ d\,\ yyyy"/>
    <numFmt numFmtId="170" formatCode="mm/dd/yy"/>
    <numFmt numFmtId="171" formatCode="0.000000000"/>
    <numFmt numFmtId="172" formatCode="0.0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_(* #,##0.0_);_(* \(#,##0.0\);_(* &quot;-&quot;_);_(@_)"/>
    <numFmt numFmtId="181" formatCode="_(* #,##0.00_);_(* \(#,##0.00\);_(* &quot;-&quot;_);_(@_)"/>
    <numFmt numFmtId="182" formatCode="&quot;$&quot;#,##0.00;[Red]&quot;$&quot;#,##0.00"/>
    <numFmt numFmtId="183" formatCode="#,##0.0"/>
    <numFmt numFmtId="184" formatCode="&quot;$&quot;#,##0.0"/>
    <numFmt numFmtId="185" formatCode="&quot;$&quot;#,##0"/>
    <numFmt numFmtId="186" formatCode="&quot;$&quot;#,##0.000"/>
    <numFmt numFmtId="187" formatCode="&quot;$&quot;#,##0.0_);[Red]\(&quot;$&quot;#,##0.0\)"/>
    <numFmt numFmtId="188" formatCode="0.0%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Times New Roman"/>
      <family val="1"/>
    </font>
    <font>
      <sz val="12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33"/>
      <name val="Arial"/>
      <family val="2"/>
    </font>
    <font>
      <b/>
      <sz val="9"/>
      <color indexed="33"/>
      <name val="Arial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color indexed="10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b/>
      <u val="single"/>
      <sz val="11"/>
      <name val="Times New Roman"/>
      <family val="1"/>
    </font>
    <font>
      <b/>
      <i/>
      <sz val="11"/>
      <name val="Times New Roman"/>
      <family val="1"/>
    </font>
    <font>
      <b/>
      <u val="double"/>
      <sz val="11"/>
      <name val="Times New Roman"/>
      <family val="1"/>
    </font>
    <font>
      <sz val="10"/>
      <color indexed="33"/>
      <name val="Arial"/>
      <family val="2"/>
    </font>
    <font>
      <b/>
      <sz val="12"/>
      <color indexed="33"/>
      <name val="Arial"/>
      <family val="2"/>
    </font>
    <font>
      <b/>
      <vertAlign val="superscript"/>
      <sz val="12"/>
      <name val="Times New Roman"/>
      <family val="1"/>
    </font>
    <font>
      <b/>
      <u val="single"/>
      <vertAlign val="superscript"/>
      <sz val="11"/>
      <name val="Times New Roman"/>
      <family val="1"/>
    </font>
    <font>
      <vertAlign val="superscript"/>
      <sz val="8"/>
      <name val="Times New Roman"/>
      <family val="1"/>
    </font>
    <font>
      <sz val="8"/>
      <color indexed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color indexed="10"/>
      <name val="Times New Roman"/>
      <family val="1"/>
    </font>
    <font>
      <sz val="8"/>
      <name val="Tahoma"/>
      <family val="2"/>
    </font>
    <font>
      <b/>
      <sz val="36"/>
      <color indexed="48"/>
      <name val="Book Antiqua"/>
      <family val="1"/>
    </font>
    <font>
      <b/>
      <sz val="22"/>
      <color indexed="48"/>
      <name val="Book Antiqua"/>
      <family val="1"/>
    </font>
    <font>
      <b/>
      <sz val="11"/>
      <color indexed="48"/>
      <name val="Book Antiqua"/>
      <family val="1"/>
    </font>
    <font>
      <b/>
      <sz val="18"/>
      <name val="Book Antiqua"/>
      <family val="1"/>
    </font>
    <font>
      <b/>
      <sz val="8"/>
      <name val="Tahoma"/>
      <family val="0"/>
    </font>
    <font>
      <b/>
      <sz val="16"/>
      <name val="Book Antiqua"/>
      <family val="1"/>
    </font>
    <font>
      <i/>
      <sz val="20"/>
      <color indexed="10"/>
      <name val="Lucida Sans"/>
      <family val="2"/>
    </font>
    <font>
      <sz val="14"/>
      <color indexed="14"/>
      <name val="Arial"/>
      <family val="2"/>
    </font>
    <font>
      <sz val="14"/>
      <color indexed="8"/>
      <name val="Arial"/>
      <family val="2"/>
    </font>
    <font>
      <sz val="14"/>
      <color indexed="10"/>
      <name val="Arial"/>
      <family val="2"/>
    </font>
    <font>
      <b/>
      <sz val="10"/>
      <color indexed="14"/>
      <name val="Arial"/>
      <family val="2"/>
    </font>
    <font>
      <sz val="11"/>
      <name val="Arial"/>
      <family val="2"/>
    </font>
    <font>
      <b/>
      <sz val="11"/>
      <color indexed="33"/>
      <name val="Arial"/>
      <family val="2"/>
    </font>
    <font>
      <b/>
      <sz val="11"/>
      <color indexed="14"/>
      <name val="Arial"/>
      <family val="2"/>
    </font>
    <font>
      <b/>
      <sz val="9"/>
      <color indexed="14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i/>
      <sz val="14"/>
      <name val="Arial"/>
      <family val="2"/>
    </font>
    <font>
      <b/>
      <i/>
      <sz val="22"/>
      <color indexed="10"/>
      <name val="Lucida Sans"/>
      <family val="2"/>
    </font>
    <font>
      <b/>
      <sz val="14"/>
      <name val="Times New Roman"/>
      <family val="1"/>
    </font>
    <font>
      <sz val="9"/>
      <name val="Times New Roman"/>
      <family val="1"/>
    </font>
    <font>
      <b/>
      <sz val="12"/>
      <color indexed="25"/>
      <name val="Arial"/>
      <family val="2"/>
    </font>
    <font>
      <sz val="10"/>
      <color indexed="25"/>
      <name val="Arial"/>
      <family val="2"/>
    </font>
    <font>
      <b/>
      <i/>
      <sz val="11"/>
      <color indexed="14"/>
      <name val="Arial"/>
      <family val="2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lightGrid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double"/>
      <top style="double"/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ouble"/>
      <top style="dash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ashed"/>
      <right style="dashed"/>
      <top style="dashed"/>
      <bottom style="dash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ashed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right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11" xfId="0" applyBorder="1" applyAlignment="1">
      <alignment horizontal="centerContinuous"/>
    </xf>
    <xf numFmtId="0" fontId="1" fillId="0" borderId="2" xfId="0" applyFont="1" applyBorder="1" applyAlignment="1">
      <alignment horizontal="right"/>
    </xf>
    <xf numFmtId="0" fontId="1" fillId="0" borderId="0" xfId="0" applyFont="1" applyBorder="1" applyAlignment="1" quotePrefix="1">
      <alignment horizontal="center"/>
    </xf>
    <xf numFmtId="0" fontId="1" fillId="0" borderId="3" xfId="0" applyFont="1" applyBorder="1" applyAlignment="1" quotePrefix="1">
      <alignment horizontal="center"/>
    </xf>
    <xf numFmtId="0" fontId="0" fillId="0" borderId="2" xfId="0" applyBorder="1" applyAlignment="1">
      <alignment horizontal="right"/>
    </xf>
    <xf numFmtId="0" fontId="0" fillId="0" borderId="0" xfId="0" applyAlignment="1">
      <alignment/>
    </xf>
    <xf numFmtId="168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Continuous"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8" fillId="0" borderId="2" xfId="0" applyFont="1" applyBorder="1" applyAlignment="1">
      <alignment horizontal="right"/>
    </xf>
    <xf numFmtId="168" fontId="0" fillId="0" borderId="0" xfId="0" applyNumberFormat="1" applyAlignment="1">
      <alignment/>
    </xf>
    <xf numFmtId="165" fontId="0" fillId="0" borderId="0" xfId="0" applyNumberForma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0" fontId="1" fillId="0" borderId="13" xfId="0" applyFont="1" applyBorder="1" applyAlignment="1">
      <alignment horizontal="centerContinuous"/>
    </xf>
    <xf numFmtId="0" fontId="0" fillId="0" borderId="9" xfId="0" applyBorder="1" applyAlignment="1">
      <alignment horizontal="center"/>
    </xf>
    <xf numFmtId="168" fontId="0" fillId="0" borderId="9" xfId="0" applyNumberFormat="1" applyBorder="1" applyAlignment="1">
      <alignment horizontal="center"/>
    </xf>
    <xf numFmtId="179" fontId="0" fillId="0" borderId="0" xfId="0" applyNumberFormat="1" applyBorder="1" applyAlignment="1">
      <alignment/>
    </xf>
    <xf numFmtId="179" fontId="0" fillId="0" borderId="0" xfId="0" applyNumberFormat="1" applyBorder="1" applyAlignment="1">
      <alignment horizontal="right"/>
    </xf>
    <xf numFmtId="0" fontId="10" fillId="0" borderId="9" xfId="0" applyFont="1" applyBorder="1" applyAlignment="1">
      <alignment horizontal="center"/>
    </xf>
    <xf numFmtId="0" fontId="10" fillId="0" borderId="9" xfId="0" applyFont="1" applyBorder="1" applyAlignment="1">
      <alignment horizontal="left"/>
    </xf>
    <xf numFmtId="0" fontId="9" fillId="0" borderId="2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168" fontId="0" fillId="0" borderId="3" xfId="0" applyNumberFormat="1" applyBorder="1" applyAlignment="1">
      <alignment/>
    </xf>
    <xf numFmtId="0" fontId="9" fillId="0" borderId="2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168" fontId="0" fillId="0" borderId="15" xfId="0" applyNumberFormat="1" applyBorder="1" applyAlignment="1">
      <alignment horizontal="center"/>
    </xf>
    <xf numFmtId="0" fontId="8" fillId="0" borderId="2" xfId="0" applyFont="1" applyBorder="1" applyAlignment="1">
      <alignment horizontal="right"/>
    </xf>
    <xf numFmtId="168" fontId="0" fillId="0" borderId="3" xfId="0" applyNumberFormat="1" applyBorder="1" applyAlignment="1">
      <alignment horizontal="right"/>
    </xf>
    <xf numFmtId="0" fontId="8" fillId="0" borderId="0" xfId="0" applyFont="1" applyBorder="1" applyAlignment="1">
      <alignment horizontal="right"/>
    </xf>
    <xf numFmtId="168" fontId="0" fillId="0" borderId="3" xfId="0" applyNumberFormat="1" applyBorder="1" applyAlignment="1">
      <alignment horizontal="center"/>
    </xf>
    <xf numFmtId="0" fontId="9" fillId="0" borderId="2" xfId="0" applyFont="1" applyBorder="1" applyAlignment="1">
      <alignment horizontal="left"/>
    </xf>
    <xf numFmtId="0" fontId="1" fillId="0" borderId="5" xfId="0" applyFont="1" applyBorder="1" applyAlignment="1">
      <alignment horizontal="right"/>
    </xf>
    <xf numFmtId="168" fontId="0" fillId="0" borderId="6" xfId="0" applyNumberFormat="1" applyBorder="1" applyAlignment="1">
      <alignment/>
    </xf>
    <xf numFmtId="0" fontId="0" fillId="0" borderId="4" xfId="0" applyBorder="1" applyAlignment="1">
      <alignment horizontal="right"/>
    </xf>
    <xf numFmtId="0" fontId="0" fillId="0" borderId="16" xfId="0" applyBorder="1" applyAlignment="1">
      <alignment/>
    </xf>
    <xf numFmtId="0" fontId="1" fillId="0" borderId="16" xfId="0" applyFont="1" applyBorder="1" applyAlignment="1">
      <alignment horizontal="right"/>
    </xf>
    <xf numFmtId="168" fontId="0" fillId="0" borderId="17" xfId="0" applyNumberFormat="1" applyBorder="1" applyAlignment="1">
      <alignment/>
    </xf>
    <xf numFmtId="1" fontId="0" fillId="0" borderId="0" xfId="0" applyNumberFormat="1" applyBorder="1" applyAlignment="1">
      <alignment/>
    </xf>
    <xf numFmtId="0" fontId="7" fillId="0" borderId="0" xfId="0" applyFont="1" applyBorder="1" applyAlignment="1">
      <alignment/>
    </xf>
    <xf numFmtId="0" fontId="0" fillId="0" borderId="3" xfId="0" applyBorder="1" applyAlignment="1">
      <alignment horizontal="center"/>
    </xf>
    <xf numFmtId="0" fontId="9" fillId="0" borderId="0" xfId="0" applyFont="1" applyBorder="1" applyAlignment="1">
      <alignment horizontal="left"/>
    </xf>
    <xf numFmtId="0" fontId="0" fillId="0" borderId="17" xfId="0" applyBorder="1" applyAlignment="1">
      <alignment/>
    </xf>
    <xf numFmtId="168" fontId="0" fillId="0" borderId="0" xfId="0" applyNumberFormat="1" applyBorder="1" applyAlignment="1">
      <alignment horizontal="right"/>
    </xf>
    <xf numFmtId="0" fontId="11" fillId="0" borderId="2" xfId="0" applyFont="1" applyBorder="1" applyAlignment="1">
      <alignment horizontal="left"/>
    </xf>
    <xf numFmtId="182" fontId="0" fillId="0" borderId="3" xfId="0" applyNumberFormat="1" applyBorder="1" applyAlignment="1">
      <alignment/>
    </xf>
    <xf numFmtId="0" fontId="9" fillId="0" borderId="0" xfId="0" applyFont="1" applyBorder="1" applyAlignment="1">
      <alignment/>
    </xf>
    <xf numFmtId="8" fontId="0" fillId="0" borderId="0" xfId="0" applyNumberFormat="1" applyBorder="1" applyAlignment="1">
      <alignment horizontal="right"/>
    </xf>
    <xf numFmtId="43" fontId="0" fillId="0" borderId="9" xfId="15" applyFont="1" applyBorder="1" applyAlignment="1">
      <alignment horizontal="center"/>
    </xf>
    <xf numFmtId="0" fontId="0" fillId="2" borderId="0" xfId="0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right"/>
    </xf>
    <xf numFmtId="8" fontId="0" fillId="0" borderId="3" xfId="0" applyNumberFormat="1" applyBorder="1" applyAlignment="1">
      <alignment horizontal="right"/>
    </xf>
    <xf numFmtId="8" fontId="0" fillId="0" borderId="3" xfId="17" applyNumberFormat="1" applyBorder="1" applyAlignment="1">
      <alignment/>
    </xf>
    <xf numFmtId="0" fontId="4" fillId="0" borderId="0" xfId="0" applyFont="1" applyBorder="1" applyAlignment="1">
      <alignment horizontal="centerContinuous"/>
    </xf>
    <xf numFmtId="14" fontId="12" fillId="0" borderId="0" xfId="0" applyNumberFormat="1" applyFont="1" applyAlignment="1">
      <alignment/>
    </xf>
    <xf numFmtId="170" fontId="12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12" fillId="0" borderId="0" xfId="0" applyFont="1" applyAlignment="1">
      <alignment horizontal="right"/>
    </xf>
    <xf numFmtId="0" fontId="11" fillId="0" borderId="0" xfId="0" applyFont="1" applyBorder="1" applyAlignment="1">
      <alignment horizontal="left"/>
    </xf>
    <xf numFmtId="0" fontId="8" fillId="0" borderId="18" xfId="0" applyFont="1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68" fontId="0" fillId="0" borderId="1" xfId="0" applyNumberFormat="1" applyBorder="1" applyAlignment="1">
      <alignment/>
    </xf>
    <xf numFmtId="0" fontId="0" fillId="0" borderId="21" xfId="0" applyBorder="1" applyAlignment="1">
      <alignment/>
    </xf>
    <xf numFmtId="3" fontId="0" fillId="0" borderId="0" xfId="0" applyNumberForma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/>
    </xf>
    <xf numFmtId="185" fontId="0" fillId="0" borderId="3" xfId="0" applyNumberFormat="1" applyBorder="1" applyAlignment="1">
      <alignment/>
    </xf>
    <xf numFmtId="0" fontId="13" fillId="0" borderId="0" xfId="0" applyFont="1" applyAlignment="1">
      <alignment/>
    </xf>
    <xf numFmtId="0" fontId="13" fillId="0" borderId="22" xfId="0" applyFont="1" applyBorder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right"/>
    </xf>
    <xf numFmtId="8" fontId="13" fillId="0" borderId="0" xfId="0" applyNumberFormat="1" applyFont="1" applyAlignment="1">
      <alignment/>
    </xf>
    <xf numFmtId="0" fontId="12" fillId="0" borderId="0" xfId="0" applyFont="1" applyAlignment="1">
      <alignment/>
    </xf>
    <xf numFmtId="0" fontId="18" fillId="0" borderId="0" xfId="0" applyFont="1" applyAlignment="1">
      <alignment/>
    </xf>
    <xf numFmtId="168" fontId="12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168" fontId="12" fillId="0" borderId="0" xfId="0" applyNumberFormat="1" applyFont="1" applyAlignment="1">
      <alignment/>
    </xf>
    <xf numFmtId="0" fontId="19" fillId="0" borderId="0" xfId="0" applyFont="1" applyAlignment="1">
      <alignment/>
    </xf>
    <xf numFmtId="8" fontId="12" fillId="0" borderId="0" xfId="0" applyNumberFormat="1" applyFont="1" applyAlignment="1">
      <alignment horizontal="right"/>
    </xf>
    <xf numFmtId="8" fontId="12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14" fillId="0" borderId="0" xfId="0" applyFont="1" applyAlignment="1">
      <alignment horizontal="right"/>
    </xf>
    <xf numFmtId="0" fontId="0" fillId="0" borderId="5" xfId="0" applyBorder="1" applyAlignment="1">
      <alignment horizontal="center"/>
    </xf>
    <xf numFmtId="168" fontId="0" fillId="0" borderId="5" xfId="0" applyNumberFormat="1" applyBorder="1" applyAlignment="1">
      <alignment/>
    </xf>
    <xf numFmtId="0" fontId="8" fillId="0" borderId="2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Continuous"/>
    </xf>
    <xf numFmtId="0" fontId="8" fillId="0" borderId="3" xfId="0" applyFont="1" applyBorder="1" applyAlignment="1">
      <alignment horizontal="center"/>
    </xf>
    <xf numFmtId="0" fontId="7" fillId="0" borderId="0" xfId="0" applyFont="1" applyAlignment="1">
      <alignment/>
    </xf>
    <xf numFmtId="0" fontId="11" fillId="0" borderId="0" xfId="0" applyFont="1" applyBorder="1" applyAlignment="1">
      <alignment/>
    </xf>
    <xf numFmtId="0" fontId="22" fillId="0" borderId="0" xfId="0" applyFont="1" applyAlignment="1">
      <alignment horizontal="centerContinuous" wrapText="1"/>
    </xf>
    <xf numFmtId="0" fontId="1" fillId="0" borderId="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25" fillId="0" borderId="0" xfId="0" applyFont="1" applyAlignment="1">
      <alignment/>
    </xf>
    <xf numFmtId="185" fontId="20" fillId="0" borderId="23" xfId="0" applyNumberFormat="1" applyFont="1" applyBorder="1" applyAlignment="1">
      <alignment/>
    </xf>
    <xf numFmtId="0" fontId="1" fillId="0" borderId="12" xfId="0" applyFont="1" applyBorder="1" applyAlignment="1">
      <alignment horizontal="right" vertical="center"/>
    </xf>
    <xf numFmtId="0" fontId="1" fillId="0" borderId="24" xfId="0" applyFont="1" applyBorder="1" applyAlignment="1">
      <alignment horizontal="left" vertical="center"/>
    </xf>
    <xf numFmtId="0" fontId="9" fillId="0" borderId="2" xfId="0" applyFont="1" applyBorder="1" applyAlignment="1">
      <alignment/>
    </xf>
    <xf numFmtId="0" fontId="26" fillId="0" borderId="3" xfId="0" applyFont="1" applyBorder="1" applyAlignment="1">
      <alignment horizontal="center"/>
    </xf>
    <xf numFmtId="0" fontId="8" fillId="0" borderId="2" xfId="0" applyFont="1" applyBorder="1" applyAlignment="1">
      <alignment/>
    </xf>
    <xf numFmtId="0" fontId="26" fillId="0" borderId="25" xfId="0" applyFont="1" applyBorder="1" applyAlignment="1">
      <alignment horizontal="center"/>
    </xf>
    <xf numFmtId="0" fontId="29" fillId="0" borderId="0" xfId="0" applyFont="1" applyAlignment="1">
      <alignment/>
    </xf>
    <xf numFmtId="0" fontId="15" fillId="0" borderId="0" xfId="0" applyFont="1" applyAlignment="1">
      <alignment/>
    </xf>
    <xf numFmtId="183" fontId="0" fillId="0" borderId="0" xfId="0" applyNumberFormat="1" applyBorder="1" applyAlignment="1">
      <alignment/>
    </xf>
    <xf numFmtId="183" fontId="0" fillId="0" borderId="0" xfId="0" applyNumberFormat="1" applyBorder="1" applyAlignment="1">
      <alignment horizontal="right"/>
    </xf>
    <xf numFmtId="183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3" fontId="0" fillId="3" borderId="0" xfId="0" applyNumberFormat="1" applyFill="1" applyBorder="1" applyAlignment="1" applyProtection="1">
      <alignment/>
      <protection locked="0"/>
    </xf>
    <xf numFmtId="0" fontId="0" fillId="3" borderId="0" xfId="0" applyFill="1" applyBorder="1" applyAlignment="1" applyProtection="1">
      <alignment/>
      <protection locked="0"/>
    </xf>
    <xf numFmtId="0" fontId="0" fillId="3" borderId="0" xfId="0" applyFill="1" applyBorder="1" applyAlignment="1" applyProtection="1">
      <alignment/>
      <protection locked="0"/>
    </xf>
    <xf numFmtId="170" fontId="0" fillId="3" borderId="0" xfId="0" applyNumberFormat="1" applyFill="1" applyBorder="1" applyAlignment="1" applyProtection="1">
      <alignment horizontal="left"/>
      <protection locked="0"/>
    </xf>
    <xf numFmtId="3" fontId="0" fillId="3" borderId="0" xfId="0" applyNumberFormat="1" applyFill="1" applyAlignment="1" applyProtection="1">
      <alignment/>
      <protection locked="0"/>
    </xf>
    <xf numFmtId="168" fontId="0" fillId="3" borderId="26" xfId="0" applyNumberFormat="1" applyFill="1" applyBorder="1" applyAlignment="1" applyProtection="1">
      <alignment/>
      <protection locked="0"/>
    </xf>
    <xf numFmtId="7" fontId="0" fillId="3" borderId="0" xfId="17" applyNumberFormat="1" applyFill="1" applyBorder="1" applyAlignment="1" applyProtection="1">
      <alignment/>
      <protection locked="0"/>
    </xf>
    <xf numFmtId="0" fontId="0" fillId="3" borderId="0" xfId="0" applyFill="1" applyBorder="1" applyAlignment="1" applyProtection="1">
      <alignment horizontal="center"/>
      <protection locked="0"/>
    </xf>
    <xf numFmtId="168" fontId="0" fillId="3" borderId="0" xfId="17" applyNumberFormat="1" applyFill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168" fontId="0" fillId="0" borderId="0" xfId="0" applyNumberFormat="1" applyBorder="1" applyAlignment="1" applyProtection="1">
      <alignment/>
      <protection locked="0"/>
    </xf>
    <xf numFmtId="8" fontId="0" fillId="3" borderId="0" xfId="0" applyNumberFormat="1" applyFill="1" applyBorder="1" applyAlignment="1" applyProtection="1">
      <alignment/>
      <protection locked="0"/>
    </xf>
    <xf numFmtId="183" fontId="0" fillId="3" borderId="0" xfId="0" applyNumberFormat="1" applyFill="1" applyBorder="1" applyAlignment="1" applyProtection="1">
      <alignment/>
      <protection locked="0"/>
    </xf>
    <xf numFmtId="183" fontId="0" fillId="3" borderId="0" xfId="15" applyNumberFormat="1" applyFill="1" applyBorder="1" applyAlignment="1" applyProtection="1">
      <alignment/>
      <protection locked="0"/>
    </xf>
    <xf numFmtId="183" fontId="0" fillId="3" borderId="0" xfId="15" applyNumberFormat="1" applyFill="1" applyBorder="1" applyAlignment="1" applyProtection="1">
      <alignment horizontal="right"/>
      <protection locked="0"/>
    </xf>
    <xf numFmtId="8" fontId="0" fillId="3" borderId="0" xfId="0" applyNumberFormat="1" applyFill="1" applyBorder="1" applyAlignment="1" applyProtection="1">
      <alignment horizontal="right"/>
      <protection locked="0"/>
    </xf>
    <xf numFmtId="183" fontId="0" fillId="3" borderId="0" xfId="0" applyNumberFormat="1" applyFill="1" applyBorder="1" applyAlignment="1" applyProtection="1">
      <alignment horizontal="right"/>
      <protection locked="0"/>
    </xf>
    <xf numFmtId="183" fontId="0" fillId="0" borderId="0" xfId="0" applyNumberFormat="1" applyBorder="1" applyAlignment="1" applyProtection="1">
      <alignment horizontal="center"/>
      <protection locked="0"/>
    </xf>
    <xf numFmtId="183" fontId="0" fillId="0" borderId="0" xfId="0" applyNumberFormat="1" applyBorder="1" applyAlignment="1" applyProtection="1">
      <alignment/>
      <protection locked="0"/>
    </xf>
    <xf numFmtId="3" fontId="0" fillId="3" borderId="0" xfId="0" applyNumberFormat="1" applyFill="1" applyBorder="1" applyAlignment="1" applyProtection="1">
      <alignment/>
      <protection locked="0"/>
    </xf>
    <xf numFmtId="168" fontId="0" fillId="3" borderId="0" xfId="0" applyNumberFormat="1" applyFill="1" applyBorder="1" applyAlignment="1" applyProtection="1">
      <alignment/>
      <protection locked="0"/>
    </xf>
    <xf numFmtId="3" fontId="0" fillId="0" borderId="0" xfId="0" applyNumberFormat="1" applyBorder="1" applyAlignment="1" applyProtection="1">
      <alignment/>
      <protection locked="0"/>
    </xf>
    <xf numFmtId="4" fontId="0" fillId="3" borderId="0" xfId="0" applyNumberFormat="1" applyFill="1" applyBorder="1" applyAlignment="1" applyProtection="1">
      <alignment/>
      <protection locked="0"/>
    </xf>
    <xf numFmtId="3" fontId="0" fillId="3" borderId="27" xfId="0" applyNumberFormat="1" applyFill="1" applyBorder="1" applyAlignment="1" applyProtection="1">
      <alignment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/>
      <protection locked="0"/>
    </xf>
    <xf numFmtId="3" fontId="0" fillId="3" borderId="28" xfId="0" applyNumberFormat="1" applyFill="1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31" fillId="0" borderId="0" xfId="0" applyFont="1" applyAlignment="1">
      <alignment horizontal="centerContinuous"/>
    </xf>
    <xf numFmtId="0" fontId="32" fillId="0" borderId="0" xfId="0" applyFont="1" applyAlignment="1">
      <alignment horizontal="centerContinuous"/>
    </xf>
    <xf numFmtId="0" fontId="33" fillId="0" borderId="0" xfId="0" applyFont="1" applyAlignment="1">
      <alignment horizontal="centerContinuous"/>
    </xf>
    <xf numFmtId="0" fontId="34" fillId="0" borderId="0" xfId="0" applyFont="1" applyBorder="1" applyAlignment="1">
      <alignment horizontal="centerContinuous"/>
    </xf>
    <xf numFmtId="0" fontId="1" fillId="4" borderId="29" xfId="0" applyFont="1" applyFill="1" applyBorder="1" applyAlignment="1">
      <alignment horizontal="centerContinuous"/>
    </xf>
    <xf numFmtId="0" fontId="1" fillId="4" borderId="24" xfId="0" applyFont="1" applyFill="1" applyBorder="1" applyAlignment="1">
      <alignment horizontal="centerContinuous"/>
    </xf>
    <xf numFmtId="0" fontId="0" fillId="4" borderId="29" xfId="0" applyFill="1" applyBorder="1" applyAlignment="1">
      <alignment horizontal="centerContinuous"/>
    </xf>
    <xf numFmtId="0" fontId="0" fillId="4" borderId="24" xfId="0" applyFill="1" applyBorder="1" applyAlignment="1">
      <alignment horizontal="centerContinuous"/>
    </xf>
    <xf numFmtId="0" fontId="0" fillId="5" borderId="30" xfId="0" applyFill="1" applyBorder="1" applyAlignment="1">
      <alignment/>
    </xf>
    <xf numFmtId="0" fontId="1" fillId="5" borderId="10" xfId="0" applyFont="1" applyFill="1" applyBorder="1" applyAlignment="1">
      <alignment horizontal="right"/>
    </xf>
    <xf numFmtId="0" fontId="1" fillId="5" borderId="30" xfId="0" applyFont="1" applyFill="1" applyBorder="1" applyAlignment="1">
      <alignment/>
    </xf>
    <xf numFmtId="0" fontId="1" fillId="5" borderId="30" xfId="0" applyFont="1" applyFill="1" applyBorder="1" applyAlignment="1">
      <alignment horizontal="right"/>
    </xf>
    <xf numFmtId="0" fontId="0" fillId="5" borderId="10" xfId="0" applyFill="1" applyBorder="1" applyAlignment="1">
      <alignment/>
    </xf>
    <xf numFmtId="0" fontId="1" fillId="5" borderId="10" xfId="0" applyFont="1" applyFill="1" applyBorder="1" applyAlignment="1">
      <alignment horizontal="right"/>
    </xf>
    <xf numFmtId="0" fontId="1" fillId="5" borderId="31" xfId="0" applyFont="1" applyFill="1" applyBorder="1" applyAlignment="1">
      <alignment horizontal="right"/>
    </xf>
    <xf numFmtId="0" fontId="27" fillId="6" borderId="2" xfId="0" applyFont="1" applyFill="1" applyBorder="1" applyAlignment="1">
      <alignment horizontal="right"/>
    </xf>
    <xf numFmtId="182" fontId="0" fillId="0" borderId="3" xfId="0" applyNumberFormat="1" applyBorder="1" applyAlignment="1">
      <alignment horizontal="right"/>
    </xf>
    <xf numFmtId="0" fontId="0" fillId="0" borderId="32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/>
    </xf>
    <xf numFmtId="168" fontId="0" fillId="0" borderId="33" xfId="0" applyNumberFormat="1" applyBorder="1" applyAlignment="1">
      <alignment/>
    </xf>
    <xf numFmtId="0" fontId="0" fillId="0" borderId="33" xfId="0" applyBorder="1" applyAlignment="1">
      <alignment horizontal="center"/>
    </xf>
    <xf numFmtId="168" fontId="0" fillId="0" borderId="33" xfId="0" applyNumberFormat="1" applyBorder="1" applyAlignment="1">
      <alignment horizontal="center"/>
    </xf>
    <xf numFmtId="0" fontId="22" fillId="0" borderId="0" xfId="0" applyFont="1" applyAlignment="1">
      <alignment horizontal="center" vertical="top"/>
    </xf>
    <xf numFmtId="0" fontId="1" fillId="0" borderId="14" xfId="0" applyFont="1" applyFill="1" applyBorder="1" applyAlignment="1">
      <alignment horizontal="center"/>
    </xf>
    <xf numFmtId="185" fontId="12" fillId="0" borderId="0" xfId="0" applyNumberFormat="1" applyFont="1" applyAlignment="1">
      <alignment/>
    </xf>
    <xf numFmtId="6" fontId="12" fillId="0" borderId="0" xfId="0" applyNumberFormat="1" applyFont="1" applyAlignment="1">
      <alignment/>
    </xf>
    <xf numFmtId="6" fontId="12" fillId="0" borderId="0" xfId="0" applyNumberFormat="1" applyFont="1" applyAlignment="1">
      <alignment horizontal="right"/>
    </xf>
    <xf numFmtId="185" fontId="12" fillId="0" borderId="0" xfId="0" applyNumberFormat="1" applyFont="1" applyAlignment="1">
      <alignment/>
    </xf>
    <xf numFmtId="0" fontId="17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168" fontId="0" fillId="0" borderId="0" xfId="0" applyNumberFormat="1" applyFill="1" applyBorder="1" applyAlignment="1" applyProtection="1">
      <alignment/>
      <protection locked="0"/>
    </xf>
    <xf numFmtId="168" fontId="0" fillId="0" borderId="3" xfId="0" applyNumberFormat="1" applyFill="1" applyBorder="1" applyAlignment="1" applyProtection="1">
      <alignment/>
      <protection locked="0"/>
    </xf>
    <xf numFmtId="0" fontId="0" fillId="0" borderId="34" xfId="0" applyBorder="1" applyAlignment="1">
      <alignment/>
    </xf>
    <xf numFmtId="0" fontId="5" fillId="0" borderId="35" xfId="0" applyNumberFormat="1" applyFont="1" applyBorder="1" applyAlignment="1">
      <alignment/>
    </xf>
    <xf numFmtId="0" fontId="5" fillId="0" borderId="35" xfId="0" applyFont="1" applyBorder="1" applyAlignment="1">
      <alignment/>
    </xf>
    <xf numFmtId="164" fontId="0" fillId="0" borderId="0" xfId="15" applyNumberFormat="1" applyBorder="1" applyAlignment="1">
      <alignment/>
    </xf>
    <xf numFmtId="168" fontId="0" fillId="0" borderId="0" xfId="15" applyNumberFormat="1" applyBorder="1" applyAlignment="1">
      <alignment/>
    </xf>
    <xf numFmtId="0" fontId="0" fillId="3" borderId="0" xfId="0" applyFill="1" applyBorder="1" applyAlignment="1" applyProtection="1">
      <alignment horizontal="right"/>
      <protection locked="0"/>
    </xf>
    <xf numFmtId="6" fontId="12" fillId="0" borderId="0" xfId="0" applyNumberFormat="1" applyFont="1" applyAlignment="1">
      <alignment/>
    </xf>
    <xf numFmtId="185" fontId="12" fillId="0" borderId="0" xfId="0" applyNumberFormat="1" applyFont="1" applyAlignment="1">
      <alignment horizontal="right"/>
    </xf>
    <xf numFmtId="0" fontId="41" fillId="0" borderId="3" xfId="0" applyFont="1" applyBorder="1" applyAlignment="1">
      <alignment horizontal="center"/>
    </xf>
    <xf numFmtId="0" fontId="42" fillId="0" borderId="2" xfId="0" applyFont="1" applyBorder="1" applyAlignment="1">
      <alignment horizontal="right"/>
    </xf>
    <xf numFmtId="0" fontId="42" fillId="0" borderId="2" xfId="0" applyFont="1" applyBorder="1" applyAlignment="1">
      <alignment/>
    </xf>
    <xf numFmtId="0" fontId="43" fillId="0" borderId="2" xfId="0" applyFont="1" applyBorder="1" applyAlignment="1">
      <alignment horizontal="right"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2" xfId="0" applyFill="1" applyBorder="1" applyAlignment="1">
      <alignment horizontal="right"/>
    </xf>
    <xf numFmtId="0" fontId="0" fillId="0" borderId="2" xfId="0" applyFill="1" applyBorder="1" applyAlignment="1">
      <alignment/>
    </xf>
    <xf numFmtId="0" fontId="0" fillId="0" borderId="0" xfId="0" applyFill="1" applyBorder="1" applyAlignment="1" applyProtection="1">
      <alignment horizontal="right"/>
      <protection locked="0"/>
    </xf>
    <xf numFmtId="8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28" fillId="0" borderId="2" xfId="0" applyFont="1" applyBorder="1" applyAlignment="1">
      <alignment horizontal="right"/>
    </xf>
    <xf numFmtId="168" fontId="0" fillId="3" borderId="36" xfId="0" applyNumberFormat="1" applyFill="1" applyBorder="1" applyAlignment="1" applyProtection="1">
      <alignment/>
      <protection locked="0"/>
    </xf>
    <xf numFmtId="0" fontId="0" fillId="0" borderId="37" xfId="0" applyBorder="1" applyAlignment="1">
      <alignment/>
    </xf>
    <xf numFmtId="0" fontId="9" fillId="0" borderId="7" xfId="0" applyFont="1" applyBorder="1" applyAlignment="1">
      <alignment horizontal="left"/>
    </xf>
    <xf numFmtId="0" fontId="0" fillId="0" borderId="38" xfId="0" applyBorder="1" applyAlignment="1">
      <alignment/>
    </xf>
    <xf numFmtId="0" fontId="9" fillId="0" borderId="0" xfId="0" applyFont="1" applyBorder="1" applyAlignment="1">
      <alignment horizontal="right"/>
    </xf>
    <xf numFmtId="0" fontId="45" fillId="0" borderId="0" xfId="0" applyFont="1" applyBorder="1" applyAlignment="1">
      <alignment horizontal="right"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2" xfId="0" applyBorder="1" applyAlignment="1" applyProtection="1">
      <alignment horizontal="right"/>
      <protection locked="0"/>
    </xf>
    <xf numFmtId="0" fontId="0" fillId="0" borderId="2" xfId="0" applyBorder="1" applyAlignment="1" applyProtection="1">
      <alignment/>
      <protection locked="0"/>
    </xf>
    <xf numFmtId="0" fontId="0" fillId="3" borderId="2" xfId="0" applyFill="1" applyBorder="1" applyAlignment="1" applyProtection="1">
      <alignment horizontal="right"/>
      <protection locked="0"/>
    </xf>
    <xf numFmtId="0" fontId="0" fillId="3" borderId="2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49" fontId="0" fillId="0" borderId="39" xfId="0" applyNumberFormat="1" applyBorder="1" applyAlignment="1" applyProtection="1">
      <alignment/>
      <protection/>
    </xf>
    <xf numFmtId="0" fontId="0" fillId="0" borderId="0" xfId="0" applyAlignment="1" applyProtection="1" quotePrefix="1">
      <alignment/>
      <protection/>
    </xf>
    <xf numFmtId="0" fontId="0" fillId="0" borderId="22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41" xfId="0" applyBorder="1" applyAlignment="1" applyProtection="1">
      <alignment/>
      <protection/>
    </xf>
    <xf numFmtId="0" fontId="0" fillId="0" borderId="42" xfId="0" applyBorder="1" applyAlignment="1" applyProtection="1">
      <alignment/>
      <protection/>
    </xf>
    <xf numFmtId="0" fontId="0" fillId="0" borderId="43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Continuous"/>
      <protection/>
    </xf>
    <xf numFmtId="0" fontId="0" fillId="0" borderId="44" xfId="0" applyBorder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Continuous"/>
      <protection/>
    </xf>
    <xf numFmtId="0" fontId="0" fillId="0" borderId="0" xfId="0" applyBorder="1" applyAlignment="1" applyProtection="1">
      <alignment horizontal="right"/>
      <protection/>
    </xf>
    <xf numFmtId="44" fontId="0" fillId="6" borderId="0" xfId="17" applyFill="1" applyAlignment="1" applyProtection="1">
      <alignment/>
      <protection/>
    </xf>
    <xf numFmtId="0" fontId="0" fillId="6" borderId="0" xfId="0" applyFill="1" applyBorder="1" applyAlignment="1" applyProtection="1">
      <alignment/>
      <protection/>
    </xf>
    <xf numFmtId="0" fontId="0" fillId="0" borderId="7" xfId="0" applyBorder="1" applyAlignment="1" applyProtection="1">
      <alignment horizontal="right"/>
      <protection/>
    </xf>
    <xf numFmtId="0" fontId="0" fillId="6" borderId="0" xfId="0" applyFill="1" applyAlignment="1" applyProtection="1">
      <alignment/>
      <protection/>
    </xf>
    <xf numFmtId="0" fontId="0" fillId="0" borderId="9" xfId="0" applyBorder="1" applyAlignment="1" applyProtection="1">
      <alignment horizontal="right"/>
      <protection/>
    </xf>
    <xf numFmtId="0" fontId="0" fillId="6" borderId="9" xfId="0" applyFill="1" applyBorder="1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167" fontId="0" fillId="0" borderId="9" xfId="0" applyNumberFormat="1" applyBorder="1" applyAlignment="1" applyProtection="1">
      <alignment/>
      <protection/>
    </xf>
    <xf numFmtId="167" fontId="0" fillId="0" borderId="0" xfId="0" applyNumberFormat="1" applyBorder="1" applyAlignment="1" applyProtection="1">
      <alignment/>
      <protection/>
    </xf>
    <xf numFmtId="0" fontId="0" fillId="0" borderId="45" xfId="0" applyBorder="1" applyAlignment="1" applyProtection="1">
      <alignment/>
      <protection/>
    </xf>
    <xf numFmtId="167" fontId="0" fillId="0" borderId="45" xfId="0" applyNumberFormat="1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Border="1" applyAlignment="1" applyProtection="1">
      <alignment/>
      <protection locked="0"/>
    </xf>
    <xf numFmtId="0" fontId="1" fillId="0" borderId="46" xfId="0" applyFont="1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0" fontId="0" fillId="0" borderId="47" xfId="0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9" xfId="0" applyBorder="1" applyAlignment="1" applyProtection="1">
      <alignment wrapText="1"/>
      <protection locked="0"/>
    </xf>
    <xf numFmtId="0" fontId="9" fillId="0" borderId="0" xfId="0" applyFont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3" fillId="0" borderId="46" xfId="0" applyFont="1" applyBorder="1" applyAlignment="1" applyProtection="1">
      <alignment/>
      <protection locked="0"/>
    </xf>
    <xf numFmtId="0" fontId="3" fillId="0" borderId="35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45" xfId="0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1" fillId="0" borderId="27" xfId="0" applyFon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28" fillId="0" borderId="0" xfId="0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/>
      <protection locked="0"/>
    </xf>
    <xf numFmtId="6" fontId="0" fillId="0" borderId="0" xfId="0" applyNumberFormat="1" applyAlignment="1" applyProtection="1" quotePrefix="1">
      <alignment/>
      <protection locked="0"/>
    </xf>
    <xf numFmtId="0" fontId="11" fillId="0" borderId="0" xfId="0" applyFont="1" applyBorder="1" applyAlignment="1" applyProtection="1">
      <alignment/>
      <protection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3" fontId="0" fillId="3" borderId="48" xfId="0" applyNumberFormat="1" applyFill="1" applyBorder="1" applyAlignment="1" applyProtection="1">
      <alignment/>
      <protection locked="0"/>
    </xf>
    <xf numFmtId="0" fontId="0" fillId="3" borderId="48" xfId="0" applyFill="1" applyBorder="1" applyAlignment="1" applyProtection="1">
      <alignment/>
      <protection locked="0"/>
    </xf>
    <xf numFmtId="3" fontId="0" fillId="0" borderId="51" xfId="0" applyNumberFormat="1" applyBorder="1" applyAlignment="1">
      <alignment horizontal="right"/>
    </xf>
    <xf numFmtId="0" fontId="0" fillId="0" borderId="25" xfId="0" applyBorder="1" applyAlignment="1">
      <alignment horizontal="left"/>
    </xf>
    <xf numFmtId="165" fontId="0" fillId="3" borderId="0" xfId="15" applyNumberFormat="1" applyFill="1" applyAlignment="1" applyProtection="1">
      <alignment/>
      <protection locked="0"/>
    </xf>
    <xf numFmtId="0" fontId="0" fillId="0" borderId="0" xfId="0" applyAlignment="1" applyProtection="1">
      <alignment horizontal="center"/>
      <protection/>
    </xf>
    <xf numFmtId="168" fontId="0" fillId="0" borderId="3" xfId="0" applyNumberFormat="1" applyFill="1" applyBorder="1" applyAlignment="1" applyProtection="1">
      <alignment/>
      <protection/>
    </xf>
    <xf numFmtId="9" fontId="0" fillId="3" borderId="0" xfId="19" applyNumberFormat="1" applyFill="1" applyBorder="1" applyAlignment="1" applyProtection="1">
      <alignment horizontal="right"/>
      <protection locked="0"/>
    </xf>
    <xf numFmtId="0" fontId="41" fillId="0" borderId="0" xfId="0" applyFont="1" applyBorder="1" applyAlignment="1">
      <alignment horizontal="center"/>
    </xf>
    <xf numFmtId="0" fontId="28" fillId="0" borderId="2" xfId="0" applyFont="1" applyBorder="1" applyAlignment="1">
      <alignment horizontal="left"/>
    </xf>
    <xf numFmtId="188" fontId="0" fillId="3" borderId="0" xfId="19" applyNumberFormat="1" applyFill="1" applyBorder="1" applyAlignment="1" applyProtection="1">
      <alignment/>
      <protection locked="0"/>
    </xf>
    <xf numFmtId="0" fontId="41" fillId="0" borderId="12" xfId="0" applyFont="1" applyBorder="1" applyAlignment="1">
      <alignment horizontal="centerContinuous"/>
    </xf>
    <xf numFmtId="44" fontId="0" fillId="0" borderId="0" xfId="17" applyFont="1" applyFill="1" applyAlignment="1" applyProtection="1">
      <alignment/>
      <protection/>
    </xf>
    <xf numFmtId="44" fontId="0" fillId="0" borderId="9" xfId="17" applyFont="1" applyFill="1" applyBorder="1" applyAlignment="1" applyProtection="1">
      <alignment/>
      <protection/>
    </xf>
    <xf numFmtId="44" fontId="0" fillId="0" borderId="0" xfId="17" applyFill="1" applyAlignment="1" applyProtection="1">
      <alignment/>
      <protection/>
    </xf>
    <xf numFmtId="49" fontId="0" fillId="3" borderId="0" xfId="0" applyNumberFormat="1" applyFill="1" applyAlignment="1" applyProtection="1">
      <alignment/>
      <protection locked="0"/>
    </xf>
    <xf numFmtId="0" fontId="42" fillId="0" borderId="0" xfId="0" applyFont="1" applyAlignment="1" applyProtection="1">
      <alignment/>
      <protection/>
    </xf>
    <xf numFmtId="0" fontId="42" fillId="0" borderId="0" xfId="0" applyFont="1" applyAlignment="1">
      <alignment/>
    </xf>
    <xf numFmtId="44" fontId="42" fillId="0" borderId="0" xfId="17" applyFont="1" applyFill="1" applyAlignment="1" applyProtection="1">
      <alignment/>
      <protection/>
    </xf>
    <xf numFmtId="0" fontId="4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52" xfId="0" applyBorder="1" applyAlignment="1">
      <alignment/>
    </xf>
    <xf numFmtId="0" fontId="0" fillId="3" borderId="49" xfId="0" applyFill="1" applyBorder="1" applyAlignment="1" applyProtection="1">
      <alignment/>
      <protection locked="0"/>
    </xf>
    <xf numFmtId="2" fontId="0" fillId="0" borderId="53" xfId="0" applyNumberFormat="1" applyBorder="1" applyAlignment="1">
      <alignment horizontal="right"/>
    </xf>
    <xf numFmtId="0" fontId="0" fillId="0" borderId="54" xfId="0" applyBorder="1" applyAlignment="1">
      <alignment horizontal="left"/>
    </xf>
    <xf numFmtId="0" fontId="41" fillId="0" borderId="0" xfId="0" applyFont="1" applyAlignment="1">
      <alignment/>
    </xf>
    <xf numFmtId="0" fontId="0" fillId="0" borderId="55" xfId="0" applyBorder="1" applyAlignment="1">
      <alignment/>
    </xf>
    <xf numFmtId="0" fontId="42" fillId="3" borderId="55" xfId="0" applyFont="1" applyFill="1" applyBorder="1" applyAlignment="1" applyProtection="1">
      <alignment vertical="center"/>
      <protection locked="0"/>
    </xf>
    <xf numFmtId="0" fontId="42" fillId="3" borderId="55" xfId="0" applyFont="1" applyFill="1" applyBorder="1" applyAlignment="1" applyProtection="1">
      <alignment/>
      <protection locked="0"/>
    </xf>
    <xf numFmtId="0" fontId="42" fillId="0" borderId="30" xfId="0" applyFont="1" applyBorder="1" applyAlignment="1">
      <alignment horizontal="left"/>
    </xf>
    <xf numFmtId="0" fontId="42" fillId="0" borderId="30" xfId="0" applyFont="1" applyBorder="1" applyAlignment="1" applyProtection="1">
      <alignment/>
      <protection/>
    </xf>
    <xf numFmtId="0" fontId="42" fillId="0" borderId="56" xfId="0" applyFont="1" applyBorder="1" applyAlignment="1" applyProtection="1">
      <alignment/>
      <protection/>
    </xf>
    <xf numFmtId="0" fontId="0" fillId="0" borderId="55" xfId="0" applyBorder="1" applyAlignment="1" applyProtection="1">
      <alignment/>
      <protection/>
    </xf>
    <xf numFmtId="0" fontId="42" fillId="0" borderId="30" xfId="0" applyFont="1" applyBorder="1" applyAlignment="1" applyProtection="1">
      <alignment/>
      <protection locked="0"/>
    </xf>
    <xf numFmtId="0" fontId="42" fillId="0" borderId="30" xfId="0" applyFont="1" applyBorder="1" applyAlignment="1">
      <alignment horizontal="left" vertical="center" wrapText="1"/>
    </xf>
    <xf numFmtId="0" fontId="0" fillId="7" borderId="0" xfId="0" applyFill="1" applyAlignment="1" applyProtection="1">
      <alignment/>
      <protection/>
    </xf>
    <xf numFmtId="0" fontId="42" fillId="0" borderId="30" xfId="0" applyFont="1" applyBorder="1" applyAlignment="1" applyProtection="1">
      <alignment vertical="center"/>
      <protection/>
    </xf>
    <xf numFmtId="0" fontId="42" fillId="0" borderId="56" xfId="0" applyFont="1" applyBorder="1" applyAlignment="1" applyProtection="1">
      <alignment vertical="center"/>
      <protection/>
    </xf>
    <xf numFmtId="0" fontId="13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6" fontId="0" fillId="0" borderId="3" xfId="0" applyNumberFormat="1" applyBorder="1" applyAlignment="1">
      <alignment/>
    </xf>
    <xf numFmtId="6" fontId="0" fillId="0" borderId="3" xfId="0" applyNumberFormat="1" applyBorder="1" applyAlignment="1">
      <alignment horizontal="right"/>
    </xf>
    <xf numFmtId="0" fontId="4" fillId="0" borderId="34" xfId="0" applyFont="1" applyBorder="1" applyAlignment="1">
      <alignment/>
    </xf>
    <xf numFmtId="0" fontId="5" fillId="0" borderId="0" xfId="0" applyNumberFormat="1" applyFont="1" applyBorder="1" applyAlignment="1">
      <alignment/>
    </xf>
    <xf numFmtId="0" fontId="13" fillId="0" borderId="41" xfId="0" applyFont="1" applyBorder="1" applyAlignment="1">
      <alignment/>
    </xf>
    <xf numFmtId="0" fontId="47" fillId="0" borderId="41" xfId="0" applyFont="1" applyBorder="1" applyAlignment="1">
      <alignment/>
    </xf>
    <xf numFmtId="0" fontId="12" fillId="0" borderId="41" xfId="0" applyFont="1" applyBorder="1" applyAlignment="1">
      <alignment horizontal="left"/>
    </xf>
    <xf numFmtId="0" fontId="12" fillId="0" borderId="41" xfId="0" applyFont="1" applyBorder="1" applyAlignment="1">
      <alignment horizontal="right"/>
    </xf>
    <xf numFmtId="0" fontId="12" fillId="0" borderId="41" xfId="0" applyFont="1" applyBorder="1" applyAlignment="1">
      <alignment horizontal="center"/>
    </xf>
    <xf numFmtId="0" fontId="12" fillId="0" borderId="41" xfId="0" applyFont="1" applyBorder="1" applyAlignment="1">
      <alignment/>
    </xf>
    <xf numFmtId="0" fontId="0" fillId="0" borderId="41" xfId="0" applyBorder="1" applyAlignment="1">
      <alignment/>
    </xf>
    <xf numFmtId="0" fontId="42" fillId="0" borderId="57" xfId="0" applyFont="1" applyBorder="1" applyAlignment="1">
      <alignment/>
    </xf>
    <xf numFmtId="0" fontId="42" fillId="3" borderId="58" xfId="0" applyFont="1" applyFill="1" applyBorder="1" applyAlignment="1" applyProtection="1">
      <alignment/>
      <protection locked="0"/>
    </xf>
    <xf numFmtId="0" fontId="42" fillId="0" borderId="48" xfId="0" applyFont="1" applyBorder="1" applyAlignment="1">
      <alignment/>
    </xf>
    <xf numFmtId="0" fontId="42" fillId="5" borderId="51" xfId="0" applyFont="1" applyFill="1" applyBorder="1" applyAlignment="1">
      <alignment/>
    </xf>
    <xf numFmtId="0" fontId="42" fillId="0" borderId="25" xfId="0" applyFont="1" applyBorder="1" applyAlignment="1">
      <alignment/>
    </xf>
    <xf numFmtId="0" fontId="42" fillId="0" borderId="59" xfId="0" applyFont="1" applyBorder="1" applyAlignment="1">
      <alignment/>
    </xf>
    <xf numFmtId="0" fontId="42" fillId="3" borderId="10" xfId="0" applyFont="1" applyFill="1" applyBorder="1" applyAlignment="1" applyProtection="1">
      <alignment/>
      <protection locked="0"/>
    </xf>
    <xf numFmtId="0" fontId="42" fillId="0" borderId="30" xfId="0" applyFont="1" applyBorder="1" applyAlignment="1">
      <alignment/>
    </xf>
    <xf numFmtId="0" fontId="42" fillId="5" borderId="55" xfId="0" applyFont="1" applyFill="1" applyBorder="1" applyAlignment="1">
      <alignment/>
    </xf>
    <xf numFmtId="0" fontId="42" fillId="0" borderId="60" xfId="0" applyFont="1" applyBorder="1" applyAlignment="1">
      <alignment/>
    </xf>
    <xf numFmtId="2" fontId="42" fillId="5" borderId="55" xfId="0" applyNumberFormat="1" applyFont="1" applyFill="1" applyBorder="1" applyAlignment="1">
      <alignment/>
    </xf>
    <xf numFmtId="0" fontId="42" fillId="0" borderId="59" xfId="0" applyFont="1" applyBorder="1" applyAlignment="1">
      <alignment horizontal="left"/>
    </xf>
    <xf numFmtId="0" fontId="27" fillId="3" borderId="10" xfId="0" applyFont="1" applyFill="1" applyBorder="1" applyAlignment="1" applyProtection="1">
      <alignment horizontal="right"/>
      <protection locked="0"/>
    </xf>
    <xf numFmtId="0" fontId="42" fillId="5" borderId="55" xfId="0" applyFont="1" applyFill="1" applyBorder="1" applyAlignment="1">
      <alignment horizontal="right"/>
    </xf>
    <xf numFmtId="0" fontId="42" fillId="0" borderId="61" xfId="0" applyFont="1" applyBorder="1" applyAlignment="1">
      <alignment/>
    </xf>
    <xf numFmtId="0" fontId="42" fillId="3" borderId="62" xfId="0" applyFont="1" applyFill="1" applyBorder="1" applyAlignment="1" applyProtection="1">
      <alignment/>
      <protection locked="0"/>
    </xf>
    <xf numFmtId="0" fontId="42" fillId="0" borderId="49" xfId="0" applyFont="1" applyBorder="1" applyAlignment="1">
      <alignment/>
    </xf>
    <xf numFmtId="0" fontId="42" fillId="5" borderId="53" xfId="0" applyFont="1" applyFill="1" applyBorder="1" applyAlignment="1">
      <alignment/>
    </xf>
    <xf numFmtId="0" fontId="42" fillId="0" borderId="54" xfId="0" applyFont="1" applyBorder="1" applyAlignment="1">
      <alignment/>
    </xf>
    <xf numFmtId="0" fontId="48" fillId="4" borderId="8" xfId="0" applyFont="1" applyFill="1" applyBorder="1" applyAlignment="1">
      <alignment horizontal="centerContinuous"/>
    </xf>
    <xf numFmtId="0" fontId="0" fillId="8" borderId="55" xfId="0" applyFill="1" applyBorder="1" applyAlignment="1" applyProtection="1">
      <alignment vertical="center"/>
      <protection/>
    </xf>
    <xf numFmtId="0" fontId="0" fillId="8" borderId="55" xfId="0" applyFill="1" applyBorder="1" applyAlignment="1" applyProtection="1">
      <alignment/>
      <protection/>
    </xf>
    <xf numFmtId="165" fontId="42" fillId="8" borderId="55" xfId="15" applyNumberFormat="1" applyFont="1" applyFill="1" applyBorder="1" applyAlignment="1" applyProtection="1">
      <alignment/>
      <protection/>
    </xf>
    <xf numFmtId="44" fontId="42" fillId="8" borderId="55" xfId="17" applyFont="1" applyFill="1" applyBorder="1" applyAlignment="1" applyProtection="1">
      <alignment/>
      <protection/>
    </xf>
    <xf numFmtId="44" fontId="42" fillId="8" borderId="55" xfId="17" applyFont="1" applyFill="1" applyBorder="1" applyAlignment="1" applyProtection="1">
      <alignment vertical="center"/>
      <protection/>
    </xf>
    <xf numFmtId="9" fontId="0" fillId="0" borderId="0" xfId="19" applyNumberFormat="1" applyFill="1" applyBorder="1" applyAlignment="1" applyProtection="1">
      <alignment horizontal="right"/>
      <protection locked="0"/>
    </xf>
    <xf numFmtId="0" fontId="0" fillId="0" borderId="55" xfId="0" applyFill="1" applyBorder="1" applyAlignment="1" applyProtection="1">
      <alignment vertical="center"/>
      <protection/>
    </xf>
    <xf numFmtId="0" fontId="0" fillId="0" borderId="55" xfId="0" applyFill="1" applyBorder="1" applyAlignment="1" applyProtection="1">
      <alignment/>
      <protection/>
    </xf>
    <xf numFmtId="165" fontId="42" fillId="0" borderId="55" xfId="15" applyNumberFormat="1" applyFont="1" applyFill="1" applyBorder="1" applyAlignment="1" applyProtection="1">
      <alignment/>
      <protection/>
    </xf>
    <xf numFmtId="44" fontId="42" fillId="0" borderId="55" xfId="17" applyFont="1" applyFill="1" applyBorder="1" applyAlignment="1" applyProtection="1">
      <alignment/>
      <protection/>
    </xf>
    <xf numFmtId="44" fontId="42" fillId="0" borderId="55" xfId="17" applyFont="1" applyFill="1" applyBorder="1" applyAlignment="1" applyProtection="1">
      <alignment vertical="center"/>
      <protection/>
    </xf>
    <xf numFmtId="0" fontId="0" fillId="9" borderId="55" xfId="0" applyFill="1" applyBorder="1" applyAlignment="1">
      <alignment vertical="center" wrapText="1"/>
    </xf>
    <xf numFmtId="0" fontId="0" fillId="9" borderId="55" xfId="0" applyFill="1" applyBorder="1" applyAlignment="1">
      <alignment/>
    </xf>
    <xf numFmtId="0" fontId="0" fillId="9" borderId="55" xfId="0" applyFill="1" applyBorder="1" applyAlignment="1">
      <alignment horizontal="left" vertical="top" wrapText="1"/>
    </xf>
    <xf numFmtId="0" fontId="0" fillId="0" borderId="30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56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179" fontId="0" fillId="0" borderId="18" xfId="0" applyNumberFormat="1" applyBorder="1" applyAlignment="1" applyProtection="1">
      <alignment/>
      <protection locked="0"/>
    </xf>
    <xf numFmtId="0" fontId="0" fillId="0" borderId="7" xfId="0" applyNumberFormat="1" applyBorder="1" applyAlignment="1" applyProtection="1">
      <alignment/>
      <protection locked="0"/>
    </xf>
    <xf numFmtId="167" fontId="0" fillId="0" borderId="0" xfId="0" applyNumberFormat="1" applyBorder="1" applyAlignment="1" applyProtection="1">
      <alignment/>
      <protection locked="0"/>
    </xf>
    <xf numFmtId="167" fontId="0" fillId="0" borderId="41" xfId="0" applyNumberFormat="1" applyBorder="1" applyAlignment="1" applyProtection="1">
      <alignment/>
      <protection locked="0"/>
    </xf>
    <xf numFmtId="165" fontId="0" fillId="0" borderId="0" xfId="15" applyNumberFormat="1" applyBorder="1" applyAlignment="1" applyProtection="1">
      <alignment/>
      <protection locked="0"/>
    </xf>
    <xf numFmtId="44" fontId="0" fillId="6" borderId="0" xfId="17" applyFill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67" fontId="12" fillId="0" borderId="0" xfId="17" applyNumberFormat="1" applyFont="1" applyAlignment="1" applyProtection="1">
      <alignment horizontal="right"/>
      <protection locked="0"/>
    </xf>
    <xf numFmtId="167" fontId="12" fillId="0" borderId="0" xfId="17" applyNumberFormat="1" applyFont="1" applyAlignment="1" applyProtection="1">
      <alignment/>
      <protection locked="0"/>
    </xf>
    <xf numFmtId="0" fontId="27" fillId="0" borderId="0" xfId="0" applyFont="1" applyAlignment="1" applyProtection="1">
      <alignment horizontal="center"/>
      <protection locked="0"/>
    </xf>
    <xf numFmtId="0" fontId="46" fillId="0" borderId="0" xfId="0" applyFont="1" applyAlignment="1" applyProtection="1">
      <alignment horizontal="center"/>
      <protection locked="0"/>
    </xf>
    <xf numFmtId="0" fontId="42" fillId="0" borderId="30" xfId="0" applyFont="1" applyBorder="1" applyAlignment="1" applyProtection="1">
      <alignment horizontal="left" vertical="center" wrapText="1"/>
      <protection locked="0"/>
    </xf>
    <xf numFmtId="0" fontId="42" fillId="0" borderId="30" xfId="0" applyFont="1" applyBorder="1" applyAlignment="1" applyProtection="1">
      <alignment horizontal="left"/>
      <protection locked="0"/>
    </xf>
    <xf numFmtId="0" fontId="42" fillId="0" borderId="0" xfId="0" applyFont="1" applyAlignment="1" applyProtection="1">
      <alignment/>
      <protection locked="0"/>
    </xf>
    <xf numFmtId="0" fontId="42" fillId="0" borderId="30" xfId="0" applyFont="1" applyBorder="1" applyAlignment="1" applyProtection="1">
      <alignment vertical="center"/>
      <protection locked="0"/>
    </xf>
    <xf numFmtId="0" fontId="27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 horizontal="right"/>
      <protection locked="0"/>
    </xf>
    <xf numFmtId="1" fontId="0" fillId="6" borderId="0" xfId="0" applyNumberFormat="1" applyFill="1" applyAlignment="1" applyProtection="1">
      <alignment/>
      <protection locked="0"/>
    </xf>
    <xf numFmtId="0" fontId="0" fillId="6" borderId="0" xfId="0" applyFill="1" applyAlignment="1" applyProtection="1">
      <alignment/>
      <protection locked="0"/>
    </xf>
    <xf numFmtId="44" fontId="0" fillId="0" borderId="0" xfId="0" applyNumberFormat="1" applyAlignment="1" applyProtection="1">
      <alignment/>
      <protection locked="0"/>
    </xf>
    <xf numFmtId="44" fontId="0" fillId="0" borderId="0" xfId="0" applyNumberFormat="1" applyFill="1" applyAlignment="1" applyProtection="1">
      <alignment/>
      <protection locked="0"/>
    </xf>
    <xf numFmtId="0" fontId="0" fillId="5" borderId="0" xfId="0" applyFill="1" applyAlignment="1" applyProtection="1">
      <alignment/>
      <protection locked="0"/>
    </xf>
    <xf numFmtId="1" fontId="0" fillId="3" borderId="0" xfId="19" applyNumberFormat="1" applyFill="1" applyBorder="1" applyAlignment="1" applyProtection="1">
      <alignment/>
      <protection locked="0"/>
    </xf>
    <xf numFmtId="1" fontId="0" fillId="0" borderId="0" xfId="0" applyNumberFormat="1" applyAlignment="1" applyProtection="1">
      <alignment horizontal="left"/>
      <protection/>
    </xf>
    <xf numFmtId="3" fontId="12" fillId="0" borderId="0" xfId="15" applyNumberFormat="1" applyFont="1" applyAlignment="1">
      <alignment/>
    </xf>
    <xf numFmtId="0" fontId="42" fillId="0" borderId="0" xfId="0" applyFont="1" applyBorder="1" applyAlignment="1" applyProtection="1">
      <alignment/>
      <protection/>
    </xf>
    <xf numFmtId="0" fontId="1" fillId="10" borderId="63" xfId="0" applyFont="1" applyFill="1" applyBorder="1" applyAlignment="1">
      <alignment/>
    </xf>
    <xf numFmtId="0" fontId="1" fillId="10" borderId="14" xfId="0" applyFont="1" applyFill="1" applyBorder="1" applyAlignment="1">
      <alignment horizontal="center"/>
    </xf>
    <xf numFmtId="0" fontId="0" fillId="10" borderId="63" xfId="0" applyFill="1" applyBorder="1" applyAlignment="1">
      <alignment/>
    </xf>
    <xf numFmtId="0" fontId="1" fillId="10" borderId="64" xfId="0" applyFont="1" applyFill="1" applyBorder="1" applyAlignment="1">
      <alignment/>
    </xf>
    <xf numFmtId="0" fontId="0" fillId="10" borderId="16" xfId="0" applyFill="1" applyBorder="1" applyAlignment="1">
      <alignment/>
    </xf>
    <xf numFmtId="0" fontId="1" fillId="10" borderId="2" xfId="0" applyFont="1" applyFill="1" applyBorder="1" applyAlignment="1">
      <alignment/>
    </xf>
    <xf numFmtId="0" fontId="0" fillId="10" borderId="0" xfId="0" applyFill="1" applyBorder="1" applyAlignment="1">
      <alignment/>
    </xf>
    <xf numFmtId="0" fontId="1" fillId="10" borderId="64" xfId="0" applyFont="1" applyFill="1" applyBorder="1" applyAlignment="1">
      <alignment horizontal="left"/>
    </xf>
    <xf numFmtId="168" fontId="0" fillId="5" borderId="60" xfId="0" applyNumberFormat="1" applyFill="1" applyBorder="1" applyAlignment="1">
      <alignment/>
    </xf>
    <xf numFmtId="182" fontId="0" fillId="5" borderId="60" xfId="0" applyNumberFormat="1" applyFill="1" applyBorder="1" applyAlignment="1">
      <alignment/>
    </xf>
    <xf numFmtId="6" fontId="0" fillId="5" borderId="60" xfId="0" applyNumberFormat="1" applyFill="1" applyBorder="1" applyAlignment="1">
      <alignment/>
    </xf>
    <xf numFmtId="8" fontId="0" fillId="5" borderId="60" xfId="0" applyNumberFormat="1" applyFill="1" applyBorder="1" applyAlignment="1">
      <alignment/>
    </xf>
    <xf numFmtId="185" fontId="0" fillId="5" borderId="60" xfId="0" applyNumberFormat="1" applyFill="1" applyBorder="1" applyAlignment="1">
      <alignment/>
    </xf>
    <xf numFmtId="168" fontId="0" fillId="5" borderId="56" xfId="0" applyNumberFormat="1" applyFill="1" applyBorder="1" applyAlignment="1">
      <alignment/>
    </xf>
    <xf numFmtId="0" fontId="1" fillId="10" borderId="2" xfId="0" applyFont="1" applyFill="1" applyBorder="1" applyAlignment="1">
      <alignment/>
    </xf>
    <xf numFmtId="0" fontId="41" fillId="0" borderId="2" xfId="0" applyFont="1" applyBorder="1" applyAlignment="1">
      <alignment horizontal="right"/>
    </xf>
    <xf numFmtId="165" fontId="12" fillId="0" borderId="18" xfId="15" applyNumberFormat="1" applyFont="1" applyBorder="1" applyAlignment="1">
      <alignment/>
    </xf>
    <xf numFmtId="0" fontId="12" fillId="0" borderId="7" xfId="0" applyFont="1" applyBorder="1" applyAlignment="1">
      <alignment/>
    </xf>
    <xf numFmtId="3" fontId="12" fillId="0" borderId="7" xfId="0" applyNumberFormat="1" applyFont="1" applyBorder="1" applyAlignment="1">
      <alignment/>
    </xf>
    <xf numFmtId="0" fontId="12" fillId="0" borderId="7" xfId="0" applyFont="1" applyBorder="1" applyAlignment="1">
      <alignment horizontal="left"/>
    </xf>
    <xf numFmtId="0" fontId="0" fillId="0" borderId="11" xfId="0" applyBorder="1" applyAlignment="1">
      <alignment/>
    </xf>
    <xf numFmtId="165" fontId="12" fillId="0" borderId="27" xfId="15" applyNumberFormat="1" applyFont="1" applyBorder="1" applyAlignment="1">
      <alignment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left"/>
    </xf>
    <xf numFmtId="1" fontId="12" fillId="0" borderId="0" xfId="0" applyNumberFormat="1" applyFont="1" applyBorder="1" applyAlignment="1">
      <alignment/>
    </xf>
    <xf numFmtId="0" fontId="0" fillId="0" borderId="44" xfId="0" applyBorder="1" applyAlignment="1">
      <alignment/>
    </xf>
    <xf numFmtId="3" fontId="12" fillId="0" borderId="0" xfId="15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41" xfId="0" applyFont="1" applyBorder="1" applyAlignment="1">
      <alignment horizontal="right"/>
    </xf>
    <xf numFmtId="0" fontId="0" fillId="0" borderId="42" xfId="0" applyBorder="1" applyAlignment="1">
      <alignment/>
    </xf>
    <xf numFmtId="165" fontId="12" fillId="0" borderId="28" xfId="15" applyNumberFormat="1" applyFont="1" applyBorder="1" applyAlignment="1">
      <alignment/>
    </xf>
    <xf numFmtId="0" fontId="52" fillId="0" borderId="46" xfId="0" applyFont="1" applyBorder="1" applyAlignment="1">
      <alignment/>
    </xf>
    <xf numFmtId="0" fontId="53" fillId="0" borderId="0" xfId="0" applyFont="1" applyAlignment="1">
      <alignment horizontal="left"/>
    </xf>
    <xf numFmtId="3" fontId="13" fillId="0" borderId="0" xfId="0" applyNumberFormat="1" applyFont="1" applyAlignment="1" applyProtection="1">
      <alignment/>
      <protection/>
    </xf>
    <xf numFmtId="49" fontId="5" fillId="0" borderId="9" xfId="0" applyNumberFormat="1" applyFont="1" applyBorder="1" applyAlignment="1">
      <alignment horizontal="left"/>
    </xf>
    <xf numFmtId="0" fontId="5" fillId="0" borderId="47" xfId="0" applyNumberFormat="1" applyFont="1" applyBorder="1" applyAlignment="1">
      <alignment/>
    </xf>
    <xf numFmtId="0" fontId="0" fillId="0" borderId="0" xfId="0" applyAlignment="1" quotePrefix="1">
      <alignment/>
    </xf>
    <xf numFmtId="0" fontId="5" fillId="0" borderId="40" xfId="0" applyFont="1" applyBorder="1" applyAlignment="1">
      <alignment/>
    </xf>
    <xf numFmtId="0" fontId="0" fillId="0" borderId="40" xfId="0" applyBorder="1" applyAlignment="1">
      <alignment/>
    </xf>
    <xf numFmtId="49" fontId="5" fillId="0" borderId="43" xfId="0" applyNumberFormat="1" applyFont="1" applyBorder="1" applyAlignment="1">
      <alignment horizontal="left"/>
    </xf>
    <xf numFmtId="0" fontId="28" fillId="0" borderId="2" xfId="0" applyFont="1" applyBorder="1" applyAlignment="1" applyProtection="1">
      <alignment horizontal="right"/>
      <protection/>
    </xf>
    <xf numFmtId="188" fontId="0" fillId="0" borderId="0" xfId="19" applyNumberFormat="1" applyFill="1" applyBorder="1" applyAlignment="1" applyProtection="1">
      <alignment/>
      <protection/>
    </xf>
    <xf numFmtId="0" fontId="56" fillId="0" borderId="0" xfId="0" applyFont="1" applyAlignment="1" applyProtection="1">
      <alignment/>
      <protection/>
    </xf>
    <xf numFmtId="0" fontId="46" fillId="0" borderId="0" xfId="0" applyFont="1" applyAlignment="1" applyProtection="1">
      <alignment horizontal="center"/>
      <protection/>
    </xf>
    <xf numFmtId="0" fontId="44" fillId="0" borderId="0" xfId="0" applyFont="1" applyBorder="1" applyAlignment="1">
      <alignment horizontal="center" vertical="center" textRotation="90"/>
    </xf>
    <xf numFmtId="0" fontId="44" fillId="0" borderId="2" xfId="0" applyFont="1" applyBorder="1" applyAlignment="1">
      <alignment horizontal="center" vertical="center" textRotation="90"/>
    </xf>
    <xf numFmtId="0" fontId="36" fillId="0" borderId="0" xfId="0" applyFont="1" applyBorder="1" applyAlignment="1">
      <alignment horizontal="center"/>
    </xf>
    <xf numFmtId="0" fontId="48" fillId="0" borderId="5" xfId="0" applyFont="1" applyBorder="1" applyAlignment="1">
      <alignment/>
    </xf>
    <xf numFmtId="0" fontId="48" fillId="0" borderId="5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1685925</xdr:colOff>
      <xdr:row>7</xdr:row>
      <xdr:rowOff>95250</xdr:rowOff>
    </xdr:from>
    <xdr:to>
      <xdr:col>1</xdr:col>
      <xdr:colOff>2228850</xdr:colOff>
      <xdr:row>7</xdr:row>
      <xdr:rowOff>95250</xdr:rowOff>
    </xdr:to>
    <xdr:sp>
      <xdr:nvSpPr>
        <xdr:cNvPr id="1" name="Line 103"/>
        <xdr:cNvSpPr>
          <a:spLocks/>
        </xdr:cNvSpPr>
      </xdr:nvSpPr>
      <xdr:spPr>
        <a:xfrm>
          <a:off x="1800225" y="28098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2228850</xdr:colOff>
      <xdr:row>7</xdr:row>
      <xdr:rowOff>95250</xdr:rowOff>
    </xdr:from>
    <xdr:to>
      <xdr:col>1</xdr:col>
      <xdr:colOff>2228850</xdr:colOff>
      <xdr:row>7</xdr:row>
      <xdr:rowOff>247650</xdr:rowOff>
    </xdr:to>
    <xdr:sp>
      <xdr:nvSpPr>
        <xdr:cNvPr id="2" name="Line 104"/>
        <xdr:cNvSpPr>
          <a:spLocks/>
        </xdr:cNvSpPr>
      </xdr:nvSpPr>
      <xdr:spPr>
        <a:xfrm>
          <a:off x="2343150" y="28098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438150</xdr:colOff>
      <xdr:row>1</xdr:row>
      <xdr:rowOff>38100</xdr:rowOff>
    </xdr:from>
    <xdr:to>
      <xdr:col>7</xdr:col>
      <xdr:colOff>457200</xdr:colOff>
      <xdr:row>2</xdr:row>
      <xdr:rowOff>9525</xdr:rowOff>
    </xdr:to>
    <xdr:sp>
      <xdr:nvSpPr>
        <xdr:cNvPr id="3" name="TextBox 119"/>
        <xdr:cNvSpPr txBox="1">
          <a:spLocks noChangeArrowheads="1"/>
        </xdr:cNvSpPr>
      </xdr:nvSpPr>
      <xdr:spPr>
        <a:xfrm>
          <a:off x="552450" y="85725"/>
          <a:ext cx="6448425" cy="1238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Save this file now with a unique name:</a:t>
          </a:r>
          <a:r>
            <a:rPr lang="en-US" cap="none" sz="14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     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Alt-F, a,  </a:t>
          </a:r>
          <a:r>
            <a:rPr lang="en-US" cap="none" sz="1400" b="1" i="1" u="none" baseline="0">
              <a:latin typeface="Arial"/>
              <a:ea typeface="Arial"/>
              <a:cs typeface="Arial"/>
            </a:rPr>
            <a:t>name</a:t>
          </a:r>
          <a:r>
            <a:rPr lang="en-US" cap="none" sz="14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Magenta text provides guidance for using the model.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Select an answer from a drop-down list by using the left mouse button.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user data in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 the yellow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boxes only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
</a:t>
          </a: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Red text provides information and important messages.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170</xdr:row>
      <xdr:rowOff>66675</xdr:rowOff>
    </xdr:from>
    <xdr:to>
      <xdr:col>10</xdr:col>
      <xdr:colOff>714375</xdr:colOff>
      <xdr:row>182</xdr:row>
      <xdr:rowOff>95250</xdr:rowOff>
    </xdr:to>
    <xdr:sp>
      <xdr:nvSpPr>
        <xdr:cNvPr id="1" name="Rectangle 9"/>
        <xdr:cNvSpPr>
          <a:spLocks/>
        </xdr:cNvSpPr>
      </xdr:nvSpPr>
      <xdr:spPr>
        <a:xfrm>
          <a:off x="4105275" y="32070675"/>
          <a:ext cx="4781550" cy="2419350"/>
        </a:xfrm>
        <a:prstGeom prst="rect">
          <a:avLst/>
        </a:prstGeom>
        <a:solidFill>
          <a:srgbClr val="FFFFFF"/>
        </a:solidFill>
        <a:ln w="2540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1" i="1" u="none" baseline="0">
              <a:solidFill>
                <a:srgbClr val="FF0000"/>
              </a:solidFill>
            </a:rPr>
            <a:t>WARNING:</a:t>
          </a:r>
          <a:r>
            <a:rPr lang="en-US" cap="none" sz="2000" b="0" i="1" u="none" baseline="0">
              <a:solidFill>
                <a:srgbClr val="FF0000"/>
              </a:solidFill>
            </a:rPr>
            <a:t>  This page is write protected and should not be altered.  To adjust costs in the IDEA model, either use manual modes throughout the schedules, use Schedule K of the Model Input worksheet, or use the Adjusting Default Values worksheet.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4:BG445"/>
  <sheetViews>
    <sheetView showGridLines="0" tabSelected="1" zoomScale="90" zoomScaleNormal="90" workbookViewId="0" topLeftCell="A1">
      <selection activeCell="B8" sqref="B8"/>
    </sheetView>
  </sheetViews>
  <sheetFormatPr defaultColWidth="9.140625" defaultRowHeight="12.75"/>
  <cols>
    <col min="1" max="1" width="1.7109375" style="0" customWidth="1"/>
    <col min="2" max="2" width="36.8515625" style="0" customWidth="1"/>
    <col min="3" max="3" width="1.8515625" style="0" customWidth="1"/>
    <col min="4" max="7" width="14.421875" style="0" customWidth="1"/>
    <col min="8" max="8" width="15.421875" style="0" customWidth="1"/>
    <col min="9" max="9" width="4.421875" style="0" customWidth="1"/>
    <col min="10" max="10" width="13.8515625" style="0" customWidth="1"/>
  </cols>
  <sheetData>
    <row r="1" ht="3.75" customHeight="1"/>
    <row r="2" ht="99.75" customHeight="1"/>
    <row r="3" s="6" customFormat="1" ht="6" customHeight="1" thickBot="1"/>
    <row r="4" spans="2:8" ht="46.5" thickTop="1">
      <c r="B4" s="169" t="s">
        <v>324</v>
      </c>
      <c r="C4" s="23"/>
      <c r="D4" s="23"/>
      <c r="E4" s="23"/>
      <c r="F4" s="23"/>
      <c r="G4" s="23"/>
      <c r="H4" s="23"/>
    </row>
    <row r="5" spans="2:8" ht="27.75">
      <c r="B5" s="170" t="s">
        <v>0</v>
      </c>
      <c r="C5" s="23"/>
      <c r="D5" s="23"/>
      <c r="E5" s="23"/>
      <c r="F5" s="23"/>
      <c r="G5" s="23"/>
      <c r="H5" s="23"/>
    </row>
    <row r="6" spans="2:8" ht="15">
      <c r="B6" s="171" t="s">
        <v>390</v>
      </c>
      <c r="C6" s="23"/>
      <c r="D6" s="23"/>
      <c r="E6" s="23"/>
      <c r="F6" s="23"/>
      <c r="G6" s="23"/>
      <c r="H6" s="23"/>
    </row>
    <row r="7" spans="2:8" ht="15" customHeight="1">
      <c r="B7" s="171"/>
      <c r="C7" s="23"/>
      <c r="D7" s="23"/>
      <c r="E7" s="23"/>
      <c r="F7" s="23"/>
      <c r="G7" s="23"/>
      <c r="H7" s="23"/>
    </row>
    <row r="8" ht="22.5" customHeight="1" thickBot="1">
      <c r="B8" s="192" t="s">
        <v>1</v>
      </c>
    </row>
    <row r="9" spans="2:7" ht="19.5" thickBot="1" thickTop="1">
      <c r="B9" s="365" t="s">
        <v>293</v>
      </c>
      <c r="C9" s="173"/>
      <c r="D9" s="173"/>
      <c r="E9" s="173"/>
      <c r="F9" s="173"/>
      <c r="G9" s="174"/>
    </row>
    <row r="10" spans="2:7" ht="12.75">
      <c r="B10" s="3"/>
      <c r="C10" s="268"/>
      <c r="D10" s="250"/>
      <c r="E10" s="250"/>
      <c r="F10" s="235"/>
      <c r="G10" s="4"/>
    </row>
    <row r="11" spans="2:7" ht="14.25">
      <c r="B11" s="211" t="s">
        <v>2</v>
      </c>
      <c r="C11" s="268"/>
      <c r="D11" s="250"/>
      <c r="E11" s="250"/>
      <c r="F11" s="235"/>
      <c r="G11" s="4"/>
    </row>
    <row r="12" spans="2:7" ht="6" customHeight="1">
      <c r="B12" s="212"/>
      <c r="C12" s="268"/>
      <c r="D12" s="250"/>
      <c r="E12" s="250"/>
      <c r="F12" s="235"/>
      <c r="G12" s="4"/>
    </row>
    <row r="13" spans="2:7" ht="14.25">
      <c r="B13" s="211" t="s">
        <v>3</v>
      </c>
      <c r="C13" s="268"/>
      <c r="D13" s="250"/>
      <c r="E13" s="250"/>
      <c r="F13" s="291"/>
      <c r="G13" s="4"/>
    </row>
    <row r="14" spans="2:7" ht="6" customHeight="1">
      <c r="B14" s="212"/>
      <c r="C14" s="268"/>
      <c r="D14" s="250"/>
      <c r="E14" s="250"/>
      <c r="F14" s="235"/>
      <c r="G14" s="4"/>
    </row>
    <row r="15" spans="2:7" ht="14.25">
      <c r="B15" s="211" t="s">
        <v>306</v>
      </c>
      <c r="C15" s="268"/>
      <c r="D15" s="250"/>
      <c r="E15" s="250"/>
      <c r="F15" s="235"/>
      <c r="G15" s="4"/>
    </row>
    <row r="16" spans="2:7" ht="9" customHeight="1">
      <c r="B16" s="212"/>
      <c r="C16" s="268"/>
      <c r="D16" s="250"/>
      <c r="E16" s="250"/>
      <c r="F16" s="235"/>
      <c r="G16" s="4"/>
    </row>
    <row r="17" spans="2:7" ht="18.75" customHeight="1">
      <c r="B17" s="211" t="s">
        <v>4</v>
      </c>
      <c r="C17" s="268"/>
      <c r="D17" s="141"/>
      <c r="E17" s="250"/>
      <c r="F17" s="235"/>
      <c r="G17" s="4"/>
    </row>
    <row r="18" spans="2:7" ht="6.75" customHeight="1">
      <c r="B18" s="211"/>
      <c r="C18" s="22"/>
      <c r="E18" s="22"/>
      <c r="F18" s="2"/>
      <c r="G18" s="4"/>
    </row>
    <row r="19" spans="2:7" ht="18.75" customHeight="1">
      <c r="B19" s="211" t="s">
        <v>5</v>
      </c>
      <c r="C19" s="22"/>
      <c r="D19" s="142"/>
      <c r="E19" s="215"/>
      <c r="F19" s="2"/>
      <c r="G19" s="4"/>
    </row>
    <row r="20" spans="2:7" ht="6.75" customHeight="1">
      <c r="B20" s="211"/>
      <c r="C20" s="22"/>
      <c r="E20" s="22"/>
      <c r="F20" s="2"/>
      <c r="G20" s="4"/>
    </row>
    <row r="21" spans="2:7" ht="18.75" customHeight="1">
      <c r="B21" s="211" t="s">
        <v>6</v>
      </c>
      <c r="C21" s="2"/>
      <c r="D21" s="143"/>
      <c r="E21" s="214"/>
      <c r="F21" s="2"/>
      <c r="G21" s="4"/>
    </row>
    <row r="22" spans="2:7" ht="6.75" customHeight="1">
      <c r="B22" s="211"/>
      <c r="C22" s="2"/>
      <c r="E22" s="2"/>
      <c r="F22" s="2"/>
      <c r="G22" s="4"/>
    </row>
    <row r="23" spans="2:7" ht="18.75" customHeight="1">
      <c r="B23" s="211" t="s">
        <v>7</v>
      </c>
      <c r="C23" s="2"/>
      <c r="D23" s="143"/>
      <c r="E23" s="214"/>
      <c r="F23" s="2"/>
      <c r="G23" s="4"/>
    </row>
    <row r="24" spans="2:7" ht="6.75" customHeight="1">
      <c r="B24" s="211"/>
      <c r="C24" s="2"/>
      <c r="E24" s="2"/>
      <c r="F24" s="2"/>
      <c r="G24" s="4"/>
    </row>
    <row r="25" spans="2:7" ht="18.75" customHeight="1">
      <c r="B25" s="211" t="s">
        <v>8</v>
      </c>
      <c r="C25" s="2"/>
      <c r="D25" s="143"/>
      <c r="E25" s="2"/>
      <c r="F25" s="2"/>
      <c r="G25" s="4"/>
    </row>
    <row r="26" spans="2:7" ht="6.75" customHeight="1">
      <c r="B26" s="211"/>
      <c r="C26" s="2"/>
      <c r="E26" s="2"/>
      <c r="F26" s="2"/>
      <c r="G26" s="4"/>
    </row>
    <row r="27" spans="2:7" ht="18.75" customHeight="1">
      <c r="B27" s="211" t="s">
        <v>9</v>
      </c>
      <c r="C27" s="2"/>
      <c r="D27" s="143"/>
      <c r="E27" s="2"/>
      <c r="F27" s="2"/>
      <c r="G27" s="4"/>
    </row>
    <row r="28" spans="2:7" ht="6.75" customHeight="1">
      <c r="B28" s="211"/>
      <c r="C28" s="2"/>
      <c r="E28" s="2"/>
      <c r="F28" s="2"/>
      <c r="G28" s="4"/>
    </row>
    <row r="29" spans="2:7" ht="18.75" customHeight="1">
      <c r="B29" s="211" t="s">
        <v>327</v>
      </c>
      <c r="C29" s="2"/>
      <c r="D29" s="310"/>
      <c r="E29" s="2"/>
      <c r="F29" s="2"/>
      <c r="G29" s="4"/>
    </row>
    <row r="30" spans="2:7" ht="6.75" customHeight="1">
      <c r="B30" s="211"/>
      <c r="C30" s="2"/>
      <c r="E30" s="2"/>
      <c r="F30" s="2"/>
      <c r="G30" s="4"/>
    </row>
    <row r="31" spans="2:7" ht="18.75" customHeight="1">
      <c r="B31" s="211" t="s">
        <v>10</v>
      </c>
      <c r="C31" s="2"/>
      <c r="D31" s="144"/>
      <c r="E31" s="2"/>
      <c r="F31" s="2"/>
      <c r="G31" s="4"/>
    </row>
    <row r="32" spans="2:7" ht="4.5" customHeight="1" thickBot="1">
      <c r="B32" s="5"/>
      <c r="C32" s="6"/>
      <c r="D32" s="6"/>
      <c r="E32" s="6"/>
      <c r="F32" s="6"/>
      <c r="G32" s="7"/>
    </row>
    <row r="33" spans="2:7" ht="13.5" customHeight="1" thickTop="1">
      <c r="B33" s="2"/>
      <c r="C33" s="2"/>
      <c r="D33" s="2"/>
      <c r="E33" s="2"/>
      <c r="F33" s="2"/>
      <c r="G33" s="2"/>
    </row>
    <row r="34" spans="2:7" ht="13.5" customHeight="1" thickBot="1">
      <c r="B34" s="2"/>
      <c r="C34" s="2"/>
      <c r="D34" s="2"/>
      <c r="E34" s="2"/>
      <c r="F34" s="2"/>
      <c r="G34" s="2"/>
    </row>
    <row r="35" spans="2:8" ht="19.5" thickBot="1" thickTop="1">
      <c r="B35" s="365" t="s">
        <v>294</v>
      </c>
      <c r="C35" s="173"/>
      <c r="D35" s="173"/>
      <c r="E35" s="173"/>
      <c r="F35" s="173"/>
      <c r="G35" s="173"/>
      <c r="H35" s="174"/>
    </row>
    <row r="36" spans="2:8" ht="12.75">
      <c r="B36" s="3"/>
      <c r="C36" s="2"/>
      <c r="D36" s="17" t="s">
        <v>11</v>
      </c>
      <c r="E36" s="17" t="s">
        <v>12</v>
      </c>
      <c r="F36" s="17" t="s">
        <v>13</v>
      </c>
      <c r="G36" s="17"/>
      <c r="H36" s="18" t="s">
        <v>14</v>
      </c>
    </row>
    <row r="37" spans="2:8" ht="12.75">
      <c r="B37" s="3"/>
      <c r="C37" s="2"/>
      <c r="D37" s="17"/>
      <c r="E37" s="17"/>
      <c r="F37" s="17"/>
      <c r="G37" s="17"/>
      <c r="H37" s="210" t="s">
        <v>331</v>
      </c>
    </row>
    <row r="38" spans="2:8" ht="12.75">
      <c r="B38" s="113" t="s">
        <v>15</v>
      </c>
      <c r="C38" s="114"/>
      <c r="D38" s="115" t="s">
        <v>16</v>
      </c>
      <c r="E38" s="115" t="s">
        <v>17</v>
      </c>
      <c r="F38" s="116" t="s">
        <v>18</v>
      </c>
      <c r="G38" s="116"/>
      <c r="H38" s="117" t="s">
        <v>332</v>
      </c>
    </row>
    <row r="39" spans="2:8" ht="14.25" customHeight="1">
      <c r="B39" s="113"/>
      <c r="C39" s="114"/>
      <c r="D39" s="115" t="s">
        <v>19</v>
      </c>
      <c r="E39" s="114"/>
      <c r="F39" s="116" t="s">
        <v>308</v>
      </c>
      <c r="G39" s="116"/>
      <c r="H39" s="117" t="s">
        <v>330</v>
      </c>
    </row>
    <row r="40" spans="2:8" ht="6.75" customHeight="1">
      <c r="B40" s="113"/>
      <c r="C40" s="114"/>
      <c r="D40" s="115"/>
      <c r="E40" s="114"/>
      <c r="F40" s="116"/>
      <c r="G40" s="116"/>
      <c r="H40" s="117"/>
    </row>
    <row r="41" spans="1:59" s="13" customFormat="1" ht="18.75" customHeight="1">
      <c r="A41" s="2"/>
      <c r="B41" s="211" t="s">
        <v>361</v>
      </c>
      <c r="C41"/>
      <c r="D41" s="145"/>
      <c r="E41"/>
      <c r="F41"/>
      <c r="G41"/>
      <c r="H41" s="4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</row>
    <row r="42" spans="2:8" ht="6.75" customHeight="1">
      <c r="B42" s="211"/>
      <c r="D42" s="229"/>
      <c r="H42" s="4"/>
    </row>
    <row r="43" spans="1:59" s="13" customFormat="1" ht="18.75" customHeight="1">
      <c r="A43" s="2"/>
      <c r="B43" s="211" t="s">
        <v>20</v>
      </c>
      <c r="C43"/>
      <c r="D43" s="145"/>
      <c r="E43"/>
      <c r="F43"/>
      <c r="G43"/>
      <c r="H43" s="4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</row>
    <row r="44" spans="2:8" ht="6.75" customHeight="1">
      <c r="B44" s="211"/>
      <c r="D44" s="140"/>
      <c r="H44" s="4"/>
    </row>
    <row r="45" spans="1:59" s="13" customFormat="1" ht="18.75" customHeight="1">
      <c r="A45" s="2"/>
      <c r="B45" s="211" t="s">
        <v>340</v>
      </c>
      <c r="C45"/>
      <c r="D45" s="145"/>
      <c r="E45"/>
      <c r="F45"/>
      <c r="G45"/>
      <c r="H45" s="4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</row>
    <row r="46" spans="2:8" ht="6.75" customHeight="1">
      <c r="B46" s="211"/>
      <c r="D46" s="140"/>
      <c r="H46" s="4"/>
    </row>
    <row r="47" spans="2:8" ht="18.75" customHeight="1">
      <c r="B47" s="211" t="s">
        <v>341</v>
      </c>
      <c r="D47" s="299"/>
      <c r="H47" s="4"/>
    </row>
    <row r="48" spans="2:8" ht="6.75" customHeight="1">
      <c r="B48" s="211"/>
      <c r="D48" s="140"/>
      <c r="H48" s="4"/>
    </row>
    <row r="49" spans="1:59" s="13" customFormat="1" ht="18.75" customHeight="1">
      <c r="A49" s="2"/>
      <c r="B49" s="211" t="s">
        <v>21</v>
      </c>
      <c r="C49"/>
      <c r="D49" s="145"/>
      <c r="E49"/>
      <c r="F49"/>
      <c r="G49"/>
      <c r="H49" s="4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</row>
    <row r="50" spans="2:8" ht="6.75" customHeight="1">
      <c r="B50" s="211"/>
      <c r="D50" s="140"/>
      <c r="H50" s="4"/>
    </row>
    <row r="51" spans="1:59" s="13" customFormat="1" ht="18.75" customHeight="1">
      <c r="A51" s="2"/>
      <c r="B51" s="211" t="s">
        <v>22</v>
      </c>
      <c r="C51"/>
      <c r="D51" s="145"/>
      <c r="E51"/>
      <c r="F51"/>
      <c r="G51"/>
      <c r="H51" s="4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</row>
    <row r="52" spans="2:8" ht="6.75" customHeight="1">
      <c r="B52" s="211"/>
      <c r="D52" s="140"/>
      <c r="H52" s="4"/>
    </row>
    <row r="53" spans="1:59" s="13" customFormat="1" ht="18.75" customHeight="1">
      <c r="A53" s="2"/>
      <c r="B53" s="211" t="s">
        <v>23</v>
      </c>
      <c r="C53"/>
      <c r="D53" s="145"/>
      <c r="E53"/>
      <c r="F53"/>
      <c r="G53"/>
      <c r="H53" s="4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</row>
    <row r="54" spans="2:8" ht="6.75" customHeight="1">
      <c r="B54" s="211"/>
      <c r="D54" s="140"/>
      <c r="H54" s="4"/>
    </row>
    <row r="55" spans="1:59" s="13" customFormat="1" ht="18.75" customHeight="1">
      <c r="A55" s="2"/>
      <c r="B55" s="211" t="s">
        <v>24</v>
      </c>
      <c r="C55"/>
      <c r="D55" s="299"/>
      <c r="E55"/>
      <c r="F55" s="118">
        <f>IF(D55&gt;0,'Do Not Alter'!A24,'Do Not Alter'!E3)</f>
      </c>
      <c r="G55"/>
      <c r="H55" s="4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</row>
    <row r="56" spans="2:8" ht="4.5" customHeight="1" thickBot="1">
      <c r="B56" s="5"/>
      <c r="C56" s="6"/>
      <c r="D56" s="6"/>
      <c r="E56" s="6"/>
      <c r="F56" s="6"/>
      <c r="G56" s="6"/>
      <c r="H56" s="7"/>
    </row>
    <row r="57" spans="2:9" ht="13.5" customHeight="1" thickTop="1">
      <c r="B57" s="2"/>
      <c r="C57" s="2"/>
      <c r="D57" s="2"/>
      <c r="E57" s="2"/>
      <c r="F57" s="2"/>
      <c r="G57" s="2"/>
      <c r="H57" s="2"/>
      <c r="I57" s="2"/>
    </row>
    <row r="58" spans="2:9" ht="13.5" customHeight="1">
      <c r="B58" s="2"/>
      <c r="C58" s="2"/>
      <c r="D58" s="2"/>
      <c r="E58" s="2"/>
      <c r="F58" s="2"/>
      <c r="G58" s="2"/>
      <c r="H58" s="2"/>
      <c r="I58" s="2"/>
    </row>
    <row r="59" spans="2:9" ht="13.5" customHeight="1">
      <c r="B59" s="2"/>
      <c r="C59" s="2"/>
      <c r="D59" s="2"/>
      <c r="E59" s="2"/>
      <c r="F59" s="2"/>
      <c r="G59" s="2"/>
      <c r="H59" s="2"/>
      <c r="I59" s="2"/>
    </row>
    <row r="60" spans="2:9" ht="13.5" customHeight="1" thickBot="1">
      <c r="B60" s="2"/>
      <c r="C60" s="2"/>
      <c r="D60" s="2"/>
      <c r="E60" s="2"/>
      <c r="F60" s="2"/>
      <c r="G60" s="2"/>
      <c r="H60" s="2"/>
      <c r="I60" s="2"/>
    </row>
    <row r="61" spans="2:9" ht="19.5" thickBot="1" thickTop="1">
      <c r="B61" s="365" t="s">
        <v>301</v>
      </c>
      <c r="C61" s="175"/>
      <c r="D61" s="175"/>
      <c r="E61" s="175"/>
      <c r="F61" s="175"/>
      <c r="G61" s="175"/>
      <c r="H61" s="176"/>
      <c r="I61" s="2"/>
    </row>
    <row r="62" spans="2:9" ht="12.75">
      <c r="B62" s="431" t="s">
        <v>432</v>
      </c>
      <c r="C62" s="2"/>
      <c r="D62" s="2"/>
      <c r="E62" s="2"/>
      <c r="F62" s="2"/>
      <c r="G62" s="2"/>
      <c r="H62" s="130" t="s">
        <v>25</v>
      </c>
      <c r="I62" s="2"/>
    </row>
    <row r="63" spans="2:8" ht="18.75" customHeight="1">
      <c r="B63" s="131" t="s">
        <v>342</v>
      </c>
      <c r="C63" s="2"/>
      <c r="D63" s="2"/>
      <c r="E63" s="62" t="str">
        <f>IF('Do Not Alter'!B97=1,'Do Not Alter'!A101,'Do Not Alter'!A102)</f>
        <v>Then go on to Part 2 of this Schedule</v>
      </c>
      <c r="F63" s="2"/>
      <c r="H63" s="223"/>
    </row>
    <row r="64" spans="2:9" ht="12.75">
      <c r="B64" s="224"/>
      <c r="C64" s="8"/>
      <c r="D64" s="8"/>
      <c r="E64" s="225">
        <f>IF('Do Not Alter'!B97=1,'Do Not Alter'!A100,'Do Not Alter'!E3)</f>
      </c>
      <c r="F64" s="8"/>
      <c r="G64" s="8"/>
      <c r="H64" s="226"/>
      <c r="I64" s="21"/>
    </row>
    <row r="65" spans="2:9" ht="12.75">
      <c r="B65" s="422" t="s">
        <v>344</v>
      </c>
      <c r="C65" s="423"/>
      <c r="D65" s="423"/>
      <c r="E65" s="423"/>
      <c r="F65" s="2"/>
      <c r="G65" s="2"/>
      <c r="H65" s="4"/>
      <c r="I65" s="2"/>
    </row>
    <row r="66" spans="2:9" ht="12.75">
      <c r="B66" s="216"/>
      <c r="C66" s="2"/>
      <c r="D66" s="2"/>
      <c r="E66" s="2"/>
      <c r="F66" s="2"/>
      <c r="G66" s="2"/>
      <c r="H66" s="4"/>
      <c r="I66" s="2"/>
    </row>
    <row r="67" spans="2:9" ht="15">
      <c r="B67" s="184" t="str">
        <f>B41</f>
        <v>Mixed or unknown</v>
      </c>
      <c r="C67" s="2"/>
      <c r="D67" s="38">
        <f>'Do Not Alter'!B31</f>
        <v>0</v>
      </c>
      <c r="E67" s="2">
        <f>IF('Do Not Alter'!B31&gt;0,'Do Not Alter'!A31,'Do Not Alter'!E3)</f>
      </c>
      <c r="F67" s="80" t="str">
        <f>IF('Do Not Alter'!B31=0,'Do Not Alter'!A26,'Do Not Alter'!E3)</f>
        <v>Waste not present</v>
      </c>
      <c r="G67" s="2"/>
      <c r="H67" s="4"/>
      <c r="I67" s="2"/>
    </row>
    <row r="68" spans="2:9" ht="15">
      <c r="B68" s="184" t="str">
        <f>B43</f>
        <v>Household</v>
      </c>
      <c r="C68" s="2"/>
      <c r="D68" s="38">
        <f>'Do Not Alter'!B71</f>
        <v>0</v>
      </c>
      <c r="E68" s="2">
        <f>IF('Do Not Alter'!B71&gt;0,'Do Not Alter'!A71,'Do Not Alter'!E3)</f>
      </c>
      <c r="F68" s="80" t="str">
        <f>IF('Do Not Alter'!B71=0,'Do Not Alter'!A26,'Do Not Alter'!E3)</f>
        <v>Waste not present</v>
      </c>
      <c r="G68" s="2"/>
      <c r="H68" s="4"/>
      <c r="I68" s="2"/>
    </row>
    <row r="69" spans="2:9" ht="15">
      <c r="B69" s="184" t="str">
        <f>B45</f>
        <v>C&amp;D--Building Materials</v>
      </c>
      <c r="C69" s="2"/>
      <c r="D69" s="38">
        <f>'Do Not Alter'!B78</f>
        <v>0</v>
      </c>
      <c r="E69" s="2">
        <f>IF('Do Not Alter'!B78&gt;0,'Do Not Alter'!A78,'Do Not Alter'!E3)</f>
      </c>
      <c r="F69" s="80" t="str">
        <f>IF('Do Not Alter'!B78=0,'Do Not Alter'!A26,'Do Not Alter'!E3)</f>
        <v>Waste not present</v>
      </c>
      <c r="G69" s="2"/>
      <c r="H69" s="4"/>
      <c r="I69" s="2"/>
    </row>
    <row r="70" spans="2:9" ht="15">
      <c r="B70" s="184" t="str">
        <f>B47</f>
        <v>C&amp;D--Concrete</v>
      </c>
      <c r="C70" s="2"/>
      <c r="D70" s="38">
        <f>'Do Not Alter'!B86</f>
        <v>0</v>
      </c>
      <c r="E70" s="2">
        <f>IF('Do Not Alter'!B86&gt;0,'Do Not Alter'!A86,'Do Not Alter'!E3)</f>
      </c>
      <c r="F70" s="80" t="str">
        <f>IF('Do Not Alter'!B86=0,'Do Not Alter'!A26,'Do Not Alter'!E3)</f>
        <v>Waste not present</v>
      </c>
      <c r="G70" s="2"/>
      <c r="H70" s="4"/>
      <c r="I70" s="2"/>
    </row>
    <row r="71" spans="2:9" ht="15">
      <c r="B71" s="184" t="str">
        <f>B49</f>
        <v>Brush or landscape</v>
      </c>
      <c r="C71" s="2"/>
      <c r="D71" s="38">
        <f>'Do Not Alter'!B64</f>
        <v>0</v>
      </c>
      <c r="E71" s="2">
        <f>IF('Do Not Alter'!B64&gt;0,'Do Not Alter'!A64,'Do Not Alter'!E3)</f>
      </c>
      <c r="F71" s="80" t="str">
        <f>IF('Do Not Alter'!B64=0,'Do Not Alter'!A26,'Do Not Alter'!E3)</f>
        <v>Waste not present</v>
      </c>
      <c r="G71" s="2"/>
      <c r="H71" s="4"/>
      <c r="I71" s="2"/>
    </row>
    <row r="72" spans="2:9" ht="12.75">
      <c r="B72" s="16"/>
      <c r="C72" s="2"/>
      <c r="D72" s="30"/>
      <c r="E72" s="2"/>
      <c r="F72" s="31"/>
      <c r="G72" s="2"/>
      <c r="H72" s="4"/>
      <c r="I72" s="2"/>
    </row>
    <row r="73" spans="2:9" ht="12.75">
      <c r="B73" s="16" t="s">
        <v>26</v>
      </c>
      <c r="C73" s="2"/>
      <c r="D73" s="37">
        <f>SUM(D67:D71)</f>
        <v>0</v>
      </c>
      <c r="E73" s="2" t="s">
        <v>27</v>
      </c>
      <c r="F73" s="2"/>
      <c r="G73" s="2"/>
      <c r="H73" s="4"/>
      <c r="I73" s="2"/>
    </row>
    <row r="74" spans="2:8" ht="4.5" customHeight="1">
      <c r="B74" s="3"/>
      <c r="C74" s="2"/>
      <c r="D74" s="2"/>
      <c r="E74" s="2"/>
      <c r="F74" s="2"/>
      <c r="G74" s="2"/>
      <c r="H74" s="4"/>
    </row>
    <row r="75" spans="2:9" ht="12.75">
      <c r="B75" s="417"/>
      <c r="C75" s="186"/>
      <c r="D75" s="186"/>
      <c r="E75" s="187" t="s">
        <v>28</v>
      </c>
      <c r="F75" s="186"/>
      <c r="G75" s="186"/>
      <c r="H75" s="188"/>
      <c r="I75" s="2"/>
    </row>
    <row r="76" spans="2:8" ht="13.5" thickBot="1">
      <c r="B76" s="418" t="s">
        <v>29</v>
      </c>
      <c r="C76" s="12"/>
      <c r="D76" s="35" t="s">
        <v>30</v>
      </c>
      <c r="E76" s="35" t="s">
        <v>31</v>
      </c>
      <c r="F76" s="12" t="s">
        <v>32</v>
      </c>
      <c r="G76" s="35" t="s">
        <v>33</v>
      </c>
      <c r="H76" s="43" t="s">
        <v>26</v>
      </c>
    </row>
    <row r="77" spans="2:8" ht="4.5" customHeight="1">
      <c r="B77" s="3"/>
      <c r="C77" s="2"/>
      <c r="D77" s="2"/>
      <c r="E77" s="2"/>
      <c r="F77" s="2"/>
      <c r="G77" s="2"/>
      <c r="H77" s="4"/>
    </row>
    <row r="78" spans="2:8" ht="14.25">
      <c r="B78" s="211" t="s">
        <v>34</v>
      </c>
      <c r="C78" s="2"/>
      <c r="D78" s="2">
        <f>IF('Do Not Alter'!J35=1,'Do Not Alter'!J31,'Do Not Alter'!E4)</f>
        <v>1</v>
      </c>
      <c r="E78" s="2">
        <f>IF('Do Not Alter'!J35=1,'Do Not Alter'!W31,'Do Not Alter'!E4)</f>
        <v>28</v>
      </c>
      <c r="F78" s="37">
        <f>IF('Do Not Alter'!J35=1,D73/E78,'Do Not Alter'!E4)</f>
        <v>0</v>
      </c>
      <c r="G78" s="21">
        <f>IF('Do Not Alter'!J35=1,'Do Not Alter'!L31,'Do Not Alter'!E4)</f>
        <v>23.45</v>
      </c>
      <c r="H78" s="44">
        <f>IF('Do Not Alter'!J35=1,D78*F78*G78,"-")</f>
        <v>0</v>
      </c>
    </row>
    <row r="79" spans="2:10" ht="18.75" customHeight="1">
      <c r="B79" s="213">
        <f>IF('Do Not Alter'!J35=2,"enter manual #s here==&gt;",'Do Not Alter'!E3)</f>
      </c>
      <c r="C79" s="2"/>
      <c r="D79" s="143"/>
      <c r="E79" s="143"/>
      <c r="F79" s="37">
        <f>IF('Do Not Alter'!J35=2+AND(D79=0),(D73/E79),0)</f>
        <v>0</v>
      </c>
      <c r="G79" s="147"/>
      <c r="H79" s="49" t="str">
        <f>IF('Do Not Alter'!J35=2,D79*F79*G79,"-")</f>
        <v>-</v>
      </c>
      <c r="J79" s="27"/>
    </row>
    <row r="80" spans="2:8" ht="6.75" customHeight="1">
      <c r="B80" s="212"/>
      <c r="C80" s="2"/>
      <c r="D80" s="2"/>
      <c r="E80" s="2"/>
      <c r="F80" s="2"/>
      <c r="G80" s="2"/>
      <c r="H80" s="4"/>
    </row>
    <row r="81" spans="2:8" ht="14.25">
      <c r="B81" s="211" t="s">
        <v>35</v>
      </c>
      <c r="C81" s="2"/>
      <c r="D81" s="2">
        <f>IF('Do Not Alter'!M35=1,'Do Not Alter'!M31,'Do Not Alter'!E4)</f>
        <v>1</v>
      </c>
      <c r="E81" s="2">
        <f>IF('Do Not Alter'!M35=1,'Do Not Alter'!W31,'Do Not Alter'!E4)</f>
        <v>28</v>
      </c>
      <c r="F81" s="37">
        <f>IF('Do Not Alter'!M35=1,D73/E81,'Do Not Alter'!E4)</f>
        <v>0</v>
      </c>
      <c r="G81" s="21">
        <f>IF('Do Not Alter'!M35=1,'Do Not Alter'!O31,'Do Not Alter'!E4)</f>
        <v>27.2</v>
      </c>
      <c r="H81" s="44">
        <f>IF('Do Not Alter'!M35=1,D81*F81*G81,"-")</f>
        <v>0</v>
      </c>
    </row>
    <row r="82" spans="2:8" ht="18.75" customHeight="1">
      <c r="B82" s="213">
        <f>IF('Do Not Alter'!M35=2,"enter manual #s here==&gt;",'Do Not Alter'!E3)</f>
      </c>
      <c r="C82" s="2"/>
      <c r="D82" s="143"/>
      <c r="E82" s="143"/>
      <c r="F82" s="37">
        <f>IF('Do Not Alter'!M35=2+AND(D82=0),D73/E82,0)</f>
        <v>0</v>
      </c>
      <c r="G82" s="147"/>
      <c r="H82" s="49" t="str">
        <f>IF('Do Not Alter'!M35=2,D82*F82*G82,"-")</f>
        <v>-</v>
      </c>
    </row>
    <row r="83" spans="2:8" ht="6.75" customHeight="1">
      <c r="B83" s="212"/>
      <c r="C83" s="2"/>
      <c r="D83" s="2"/>
      <c r="E83" s="2"/>
      <c r="F83" s="37"/>
      <c r="G83" s="2"/>
      <c r="H83" s="4"/>
    </row>
    <row r="84" spans="2:8" ht="14.25">
      <c r="B84" s="211" t="s">
        <v>317</v>
      </c>
      <c r="C84" s="2"/>
      <c r="D84" s="2">
        <f>IF('Do Not Alter'!P35=1,'Do Not Alter'!P31,'Do Not Alter'!E4)</f>
        <v>2</v>
      </c>
      <c r="E84" s="2">
        <f>IF('Do Not Alter'!P35=1,'Do Not Alter'!W31,'Do Not Alter'!E4)</f>
        <v>28</v>
      </c>
      <c r="F84" s="37">
        <f>IF('Do Not Alter'!P35=1,D73/E84,'Do Not Alter'!E4)</f>
        <v>0</v>
      </c>
      <c r="G84" s="21">
        <f>IF('Do Not Alter'!P35=1,'Do Not Alter'!R31,'Do Not Alter'!E4)</f>
        <v>22.1</v>
      </c>
      <c r="H84" s="44">
        <f>IF('Do Not Alter'!P35=1,D84*F84*G84,"-")</f>
        <v>0</v>
      </c>
    </row>
    <row r="85" spans="2:8" ht="18.75" customHeight="1">
      <c r="B85" s="213">
        <f>IF('Do Not Alter'!P35=2,"enter manual #s here==&gt;",'Do Not Alter'!E3)</f>
      </c>
      <c r="C85" s="2"/>
      <c r="D85" s="143"/>
      <c r="E85" s="143"/>
      <c r="F85" s="37">
        <f>IF('Do Not Alter'!P35=2+AND(D85=0),D73/E85,0)</f>
        <v>0</v>
      </c>
      <c r="G85" s="147"/>
      <c r="H85" s="49" t="str">
        <f>IF('Do Not Alter'!P35=2,D85*F85*G85,"-")</f>
        <v>-</v>
      </c>
    </row>
    <row r="86" spans="2:8" ht="6.75" customHeight="1">
      <c r="B86" s="212"/>
      <c r="C86" s="2"/>
      <c r="D86" s="2"/>
      <c r="E86" s="2"/>
      <c r="F86" s="37"/>
      <c r="G86" s="2"/>
      <c r="H86" s="4"/>
    </row>
    <row r="87" spans="2:8" ht="18.75" customHeight="1">
      <c r="B87" s="211" t="s">
        <v>431</v>
      </c>
      <c r="C87" s="2"/>
      <c r="D87" s="143"/>
      <c r="E87" s="143"/>
      <c r="F87" s="37">
        <f>IF(D87&gt;0,$D$73/E87,0)</f>
        <v>0</v>
      </c>
      <c r="G87" s="147"/>
      <c r="H87" s="49" t="str">
        <f>IF(D87&gt;0,D87*F87*G87,"-")</f>
        <v>-</v>
      </c>
    </row>
    <row r="88" spans="2:8" ht="6.75" customHeight="1">
      <c r="B88" s="3"/>
      <c r="C88" s="2"/>
      <c r="D88" s="2"/>
      <c r="E88" s="2"/>
      <c r="F88" s="2"/>
      <c r="G88" s="2"/>
      <c r="H88" s="4"/>
    </row>
    <row r="89" spans="2:8" ht="15" customHeight="1">
      <c r="B89" s="3"/>
      <c r="C89" s="2"/>
      <c r="D89" s="2"/>
      <c r="E89" s="2"/>
      <c r="F89" s="177"/>
      <c r="G89" s="178" t="s">
        <v>38</v>
      </c>
      <c r="H89" s="425">
        <f>SUM(H78:H87)</f>
        <v>0</v>
      </c>
    </row>
    <row r="90" spans="2:8" ht="12.75">
      <c r="B90" s="3"/>
      <c r="C90" s="2"/>
      <c r="D90" s="2"/>
      <c r="E90" s="2"/>
      <c r="F90" s="2"/>
      <c r="G90" s="26"/>
      <c r="H90" s="44"/>
    </row>
    <row r="91" spans="2:9" ht="12.75">
      <c r="B91" s="3"/>
      <c r="C91" s="2"/>
      <c r="D91" s="2"/>
      <c r="E91" s="2"/>
      <c r="F91" s="2"/>
      <c r="G91" s="26"/>
      <c r="H91" s="44"/>
      <c r="I91" s="463" t="s">
        <v>345</v>
      </c>
    </row>
    <row r="92" spans="2:9" ht="12.75">
      <c r="B92" s="419"/>
      <c r="C92" s="186"/>
      <c r="D92" s="186"/>
      <c r="E92" s="187" t="s">
        <v>28</v>
      </c>
      <c r="F92" s="186"/>
      <c r="G92" s="186"/>
      <c r="H92" s="189"/>
      <c r="I92" s="463"/>
    </row>
    <row r="93" spans="2:9" ht="13.5" thickBot="1">
      <c r="B93" s="418" t="s">
        <v>39</v>
      </c>
      <c r="C93" s="12"/>
      <c r="D93" s="35" t="s">
        <v>40</v>
      </c>
      <c r="E93" s="35" t="str">
        <f>E76</f>
        <v>Cu Yd/Hour</v>
      </c>
      <c r="F93" s="12" t="s">
        <v>32</v>
      </c>
      <c r="G93" s="35" t="s">
        <v>41</v>
      </c>
      <c r="H93" s="47" t="s">
        <v>26</v>
      </c>
      <c r="I93" s="463"/>
    </row>
    <row r="94" spans="2:9" ht="4.5" customHeight="1">
      <c r="B94" s="3"/>
      <c r="C94" s="2"/>
      <c r="D94" s="2"/>
      <c r="E94" s="2"/>
      <c r="F94" s="2"/>
      <c r="G94" s="2"/>
      <c r="H94" s="4"/>
      <c r="I94" s="463"/>
    </row>
    <row r="95" spans="2:9" ht="12.75">
      <c r="B95" s="19" t="s">
        <v>42</v>
      </c>
      <c r="C95" s="2"/>
      <c r="D95" s="2">
        <f>IF('Do Not Alter'!S35=1,'Do Not Alter'!S31,'Do Not Alter'!E4)</f>
        <v>2</v>
      </c>
      <c r="E95" s="2">
        <f>IF('Do Not Alter'!S35=1,'Do Not Alter'!W31,'Do Not Alter'!E4)</f>
        <v>28</v>
      </c>
      <c r="F95" s="37">
        <f>IF('Do Not Alter'!S35=1,D73/E95,'Do Not Alter'!E4)</f>
        <v>0</v>
      </c>
      <c r="G95" s="21">
        <f>IF('Do Not Alter'!S35=1,'Do Not Alter'!U31,'Do Not Alter'!E4)</f>
        <v>59.06</v>
      </c>
      <c r="H95" s="44">
        <f>IF('Do Not Alter'!S35=1,(D95*F95*G95),"-")</f>
        <v>0</v>
      </c>
      <c r="I95" s="463"/>
    </row>
    <row r="96" spans="2:9" ht="18.75" customHeight="1">
      <c r="B96" s="48">
        <f>IF('Do Not Alter'!S35=2,"enter manual #s here==&gt;",'Do Not Alter'!E3)</f>
      </c>
      <c r="C96" s="2"/>
      <c r="D96" s="143"/>
      <c r="E96" s="143"/>
      <c r="F96" s="37">
        <f>IF('Do Not Alter'!S35=2+AND(D96=0),D73/E96,0)</f>
        <v>0</v>
      </c>
      <c r="G96" s="147"/>
      <c r="H96" s="49" t="str">
        <f>IF('Do Not Alter'!S35=2,(D96*F96*G96),"-")</f>
        <v>-</v>
      </c>
      <c r="I96" s="463"/>
    </row>
    <row r="97" spans="2:9" ht="6.75" customHeight="1">
      <c r="B97" s="3"/>
      <c r="C97" s="2"/>
      <c r="D97" s="2"/>
      <c r="E97" s="2"/>
      <c r="F97" s="37"/>
      <c r="G97" s="2"/>
      <c r="H97" s="4"/>
      <c r="I97" s="463"/>
    </row>
    <row r="98" spans="2:9" ht="12.75">
      <c r="B98" s="19" t="s">
        <v>368</v>
      </c>
      <c r="C98" s="2"/>
      <c r="D98" s="2">
        <f>IF('Do Not Alter'!V35=1,'Do Not Alter'!V31,'Do Not Alter'!E4)</f>
        <v>1</v>
      </c>
      <c r="E98" s="2">
        <f>IF('Do Not Alter'!V35=1,'Do Not Alter'!W31,'Do Not Alter'!E4)</f>
        <v>28</v>
      </c>
      <c r="F98" s="37">
        <f>IF('Do Not Alter'!V35=1,D73/E98,'Do Not Alter'!E4)</f>
        <v>0</v>
      </c>
      <c r="G98" s="21">
        <f>IF('Do Not Alter'!V35=1,'Do Not Alter'!X31,'Do Not Alter'!E4)</f>
        <v>72.11</v>
      </c>
      <c r="H98" s="44">
        <f>IF('Do Not Alter'!V35=1,(D98*F98*G98),"-")</f>
        <v>0</v>
      </c>
      <c r="I98" s="463"/>
    </row>
    <row r="99" spans="2:9" ht="18.75" customHeight="1">
      <c r="B99" s="48">
        <f>IF('Do Not Alter'!V35=2,"enter manual #s here==&gt;",'Do Not Alter'!E3)</f>
      </c>
      <c r="C99" s="2"/>
      <c r="D99" s="143"/>
      <c r="E99" s="143"/>
      <c r="F99" s="37">
        <f>IF('Do Not Alter'!V35=2+AND(D99=0),D73/E99,0)</f>
        <v>0</v>
      </c>
      <c r="G99" s="147"/>
      <c r="H99" s="49" t="str">
        <f>IF('Do Not Alter'!V35=2,D99*F99*G99,"-")</f>
        <v>-</v>
      </c>
      <c r="I99" s="463"/>
    </row>
    <row r="100" spans="2:9" ht="6.75" customHeight="1">
      <c r="B100" s="3"/>
      <c r="C100" s="2"/>
      <c r="D100" s="2"/>
      <c r="E100" s="2"/>
      <c r="F100" s="37"/>
      <c r="G100" s="2"/>
      <c r="H100" s="4"/>
      <c r="I100" s="463"/>
    </row>
    <row r="101" spans="2:9" ht="18.75" customHeight="1">
      <c r="B101" s="19" t="s">
        <v>304</v>
      </c>
      <c r="C101" s="2"/>
      <c r="D101" s="143"/>
      <c r="E101" s="143"/>
      <c r="F101" s="37">
        <f>IF(D101&gt;0,$D$73/E101,0)</f>
        <v>0</v>
      </c>
      <c r="G101" s="147"/>
      <c r="H101" s="49">
        <f>D101*F101*G101</f>
        <v>0</v>
      </c>
      <c r="I101" s="463"/>
    </row>
    <row r="102" spans="2:9" ht="6.75" customHeight="1">
      <c r="B102" s="3"/>
      <c r="C102" s="2"/>
      <c r="D102" s="139"/>
      <c r="E102" s="139"/>
      <c r="F102" s="37"/>
      <c r="G102" s="139"/>
      <c r="H102" s="4"/>
      <c r="I102" s="463"/>
    </row>
    <row r="103" spans="2:9" ht="18.75" customHeight="1">
      <c r="B103" s="19" t="s">
        <v>43</v>
      </c>
      <c r="C103" s="2"/>
      <c r="D103" s="143"/>
      <c r="E103" s="143"/>
      <c r="F103" s="37">
        <f>IF(D103&gt;0,$D$73/E103,0)</f>
        <v>0</v>
      </c>
      <c r="G103" s="147"/>
      <c r="H103" s="49">
        <f>D103*F103*G103</f>
        <v>0</v>
      </c>
      <c r="I103" s="463"/>
    </row>
    <row r="104" spans="2:9" ht="12.75">
      <c r="B104" s="3"/>
      <c r="C104" s="2"/>
      <c r="D104" s="2"/>
      <c r="E104" s="25"/>
      <c r="F104" s="2"/>
      <c r="G104" s="2"/>
      <c r="H104" s="44"/>
      <c r="I104" s="463"/>
    </row>
    <row r="105" spans="2:9" ht="12.75">
      <c r="B105" s="419"/>
      <c r="C105" s="186"/>
      <c r="D105" s="187" t="s">
        <v>44</v>
      </c>
      <c r="E105" s="187" t="s">
        <v>45</v>
      </c>
      <c r="F105" s="187" t="s">
        <v>46</v>
      </c>
      <c r="G105" s="186" t="s">
        <v>47</v>
      </c>
      <c r="H105" s="189"/>
      <c r="I105" s="463"/>
    </row>
    <row r="106" spans="2:9" ht="13.5" thickBot="1">
      <c r="B106" s="418" t="s">
        <v>334</v>
      </c>
      <c r="C106" s="40"/>
      <c r="D106" s="39" t="s">
        <v>48</v>
      </c>
      <c r="E106" s="35" t="s">
        <v>49</v>
      </c>
      <c r="F106" s="35" t="s">
        <v>50</v>
      </c>
      <c r="G106" s="36" t="s">
        <v>51</v>
      </c>
      <c r="H106" s="47" t="s">
        <v>26</v>
      </c>
      <c r="I106" s="463"/>
    </row>
    <row r="107" spans="2:9" ht="12.75">
      <c r="B107" s="52"/>
      <c r="C107" s="2"/>
      <c r="D107" s="2"/>
      <c r="E107" s="2"/>
      <c r="F107" s="2"/>
      <c r="G107" s="21"/>
      <c r="H107" s="44"/>
      <c r="I107" s="463"/>
    </row>
    <row r="108" spans="2:9" ht="18.75" customHeight="1">
      <c r="B108" s="46" t="s">
        <v>302</v>
      </c>
      <c r="C108" s="2"/>
      <c r="D108" s="143"/>
      <c r="E108" s="143"/>
      <c r="F108" s="143"/>
      <c r="G108" s="147"/>
      <c r="H108" s="44">
        <f>E108*F108*G108</f>
        <v>0</v>
      </c>
      <c r="I108" s="463"/>
    </row>
    <row r="109" spans="2:9" ht="6.75" customHeight="1">
      <c r="B109" s="3"/>
      <c r="C109" s="2"/>
      <c r="D109" s="139"/>
      <c r="E109" s="139"/>
      <c r="F109" s="139"/>
      <c r="G109" s="139"/>
      <c r="H109" s="4"/>
      <c r="I109" s="463"/>
    </row>
    <row r="110" spans="2:9" ht="18.75" customHeight="1">
      <c r="B110" s="46" t="s">
        <v>52</v>
      </c>
      <c r="C110" s="2"/>
      <c r="D110" s="143"/>
      <c r="E110" s="143"/>
      <c r="F110" s="143"/>
      <c r="G110" s="147"/>
      <c r="H110" s="44">
        <f>E110*F110*G110</f>
        <v>0</v>
      </c>
      <c r="I110" s="463"/>
    </row>
    <row r="111" spans="2:9" ht="6.75" customHeight="1">
      <c r="B111" s="3"/>
      <c r="C111" s="2"/>
      <c r="D111" s="139"/>
      <c r="E111" s="139"/>
      <c r="F111" s="139"/>
      <c r="G111" s="139"/>
      <c r="H111" s="4"/>
      <c r="I111" s="463"/>
    </row>
    <row r="112" spans="2:9" ht="18.75" customHeight="1">
      <c r="B112" s="46" t="s">
        <v>303</v>
      </c>
      <c r="C112" s="2"/>
      <c r="D112" s="143"/>
      <c r="E112" s="143"/>
      <c r="F112" s="143"/>
      <c r="G112" s="147"/>
      <c r="H112" s="44">
        <f>E112*F112*G112</f>
        <v>0</v>
      </c>
      <c r="I112" s="463"/>
    </row>
    <row r="113" spans="2:9" ht="6.75" customHeight="1">
      <c r="B113" s="3"/>
      <c r="C113" s="2"/>
      <c r="D113" s="139"/>
      <c r="E113" s="139"/>
      <c r="F113" s="139"/>
      <c r="G113" s="139"/>
      <c r="H113" s="4"/>
      <c r="I113" s="463"/>
    </row>
    <row r="114" spans="2:9" ht="18.75" customHeight="1">
      <c r="B114" s="19" t="s">
        <v>53</v>
      </c>
      <c r="C114" s="2"/>
      <c r="D114" s="143"/>
      <c r="E114" s="143"/>
      <c r="F114" s="143"/>
      <c r="G114" s="147"/>
      <c r="H114" s="44">
        <f>E114*F114*G114</f>
        <v>0</v>
      </c>
      <c r="I114" s="463"/>
    </row>
    <row r="115" spans="2:8" ht="6.75" customHeight="1">
      <c r="B115" s="3"/>
      <c r="C115" s="2"/>
      <c r="D115" s="2"/>
      <c r="E115" s="2"/>
      <c r="F115" s="2"/>
      <c r="G115" s="2"/>
      <c r="H115" s="4"/>
    </row>
    <row r="116" spans="2:10" ht="15" customHeight="1">
      <c r="B116" s="19"/>
      <c r="C116" s="2"/>
      <c r="D116" s="2"/>
      <c r="E116" s="2"/>
      <c r="F116" s="177"/>
      <c r="G116" s="178" t="s">
        <v>54</v>
      </c>
      <c r="H116" s="425">
        <f>SUM(H95:H115)</f>
        <v>0</v>
      </c>
      <c r="J116" s="29"/>
    </row>
    <row r="117" spans="2:10" ht="13.5" thickBot="1">
      <c r="B117" s="55"/>
      <c r="C117" s="6"/>
      <c r="D117" s="6"/>
      <c r="E117" s="6"/>
      <c r="F117" s="6"/>
      <c r="G117" s="53"/>
      <c r="H117" s="54"/>
      <c r="J117" s="29"/>
    </row>
    <row r="118" spans="2:10" ht="13.5" customHeight="1" thickTop="1">
      <c r="B118" s="11"/>
      <c r="C118" s="2"/>
      <c r="D118" s="2"/>
      <c r="E118" s="2"/>
      <c r="F118" s="2"/>
      <c r="G118" s="26"/>
      <c r="H118" s="21"/>
      <c r="J118" s="29"/>
    </row>
    <row r="119" spans="2:10" ht="13.5" customHeight="1" thickBot="1">
      <c r="B119" s="50"/>
      <c r="C119" s="2"/>
      <c r="D119" s="2"/>
      <c r="E119" s="2"/>
      <c r="F119" s="2"/>
      <c r="G119" s="26"/>
      <c r="H119" s="21"/>
      <c r="J119" s="29"/>
    </row>
    <row r="120" spans="2:10" ht="13.5" thickTop="1">
      <c r="B120" s="420" t="s">
        <v>343</v>
      </c>
      <c r="C120" s="421"/>
      <c r="D120" s="421"/>
      <c r="E120" s="421"/>
      <c r="F120" s="56"/>
      <c r="G120" s="57"/>
      <c r="H120" s="58"/>
      <c r="J120" s="29"/>
    </row>
    <row r="121" spans="2:10" ht="12.75">
      <c r="B121" s="217"/>
      <c r="C121" s="2"/>
      <c r="D121" s="2"/>
      <c r="E121" s="2"/>
      <c r="F121" s="2"/>
      <c r="G121" s="26"/>
      <c r="H121" s="44"/>
      <c r="J121" s="29"/>
    </row>
    <row r="122" spans="2:10" ht="15">
      <c r="B122" s="184" t="str">
        <f>B51</f>
        <v>Appliances</v>
      </c>
      <c r="C122" s="2"/>
      <c r="D122" s="59">
        <f>ROUNDUP('Do Not Alter'!B40,-0.5)</f>
        <v>0</v>
      </c>
      <c r="E122" s="2">
        <f>IF('Do Not Alter'!B40&gt;0,'Do Not Alter'!A40,'Do Not Alter'!E3)</f>
      </c>
      <c r="F122" s="60" t="str">
        <f>IF('Do Not Alter'!B40=0,'Do Not Alter'!A26,'Do Not Alter'!E3)</f>
        <v>Waste not present</v>
      </c>
      <c r="G122" s="2"/>
      <c r="H122" s="4"/>
      <c r="J122" s="29"/>
    </row>
    <row r="123" spans="2:10" ht="12.75">
      <c r="B123" s="3"/>
      <c r="C123" s="2"/>
      <c r="D123" s="2"/>
      <c r="E123" s="2"/>
      <c r="F123" s="2"/>
      <c r="G123" s="2"/>
      <c r="H123" s="4"/>
      <c r="J123" s="29"/>
    </row>
    <row r="124" spans="2:10" ht="12.75">
      <c r="B124" s="16" t="s">
        <v>26</v>
      </c>
      <c r="C124" s="2"/>
      <c r="D124" s="59">
        <f>SUM(D122:D122)</f>
        <v>0</v>
      </c>
      <c r="E124" s="2">
        <f>E122</f>
      </c>
      <c r="F124" s="2"/>
      <c r="G124" s="2"/>
      <c r="H124" s="4"/>
      <c r="J124" s="29"/>
    </row>
    <row r="125" spans="2:8" ht="4.5" customHeight="1">
      <c r="B125" s="3"/>
      <c r="C125" s="2"/>
      <c r="D125" s="2"/>
      <c r="E125" s="2"/>
      <c r="F125" s="2"/>
      <c r="G125" s="2"/>
      <c r="H125" s="4"/>
    </row>
    <row r="126" spans="2:10" ht="12.75">
      <c r="B126" s="419"/>
      <c r="C126" s="186"/>
      <c r="D126" s="187"/>
      <c r="E126" s="187" t="str">
        <f>E75</f>
        <v>Process Rate</v>
      </c>
      <c r="F126" s="187"/>
      <c r="G126" s="187"/>
      <c r="H126" s="190"/>
      <c r="J126" s="29"/>
    </row>
    <row r="127" spans="2:10" ht="13.5" thickBot="1">
      <c r="B127" s="418" t="s">
        <v>29</v>
      </c>
      <c r="C127" s="12"/>
      <c r="D127" s="35" t="str">
        <f>D76</f>
        <v># of Workers</v>
      </c>
      <c r="E127" s="35" t="s">
        <v>55</v>
      </c>
      <c r="F127" s="35" t="str">
        <f>F76</f>
        <v>Total Hours</v>
      </c>
      <c r="G127" s="35" t="str">
        <f>G76</f>
        <v>$ per hour</v>
      </c>
      <c r="H127" s="43" t="str">
        <f>H76</f>
        <v>Total</v>
      </c>
      <c r="J127" s="29"/>
    </row>
    <row r="128" spans="2:8" ht="4.5" customHeight="1">
      <c r="B128" s="3"/>
      <c r="C128" s="2"/>
      <c r="D128" s="2"/>
      <c r="E128" s="2"/>
      <c r="F128" s="2"/>
      <c r="G128" s="2"/>
      <c r="H128" s="4"/>
    </row>
    <row r="129" spans="2:10" ht="12.75">
      <c r="B129" s="19" t="s">
        <v>34</v>
      </c>
      <c r="C129" s="2"/>
      <c r="D129" s="2">
        <f>IF('Do Not Alter'!J45=1,'Do Not Alter'!J40,'Do Not Alter'!E4)</f>
        <v>1</v>
      </c>
      <c r="E129" s="2">
        <f>IF('Do Not Alter'!J45=1,'Do Not Alter'!W40,'Do Not Alter'!E4)</f>
        <v>12</v>
      </c>
      <c r="F129" s="37">
        <f>IF('Do Not Alter'!J45=1,D124/E129,'Do Not Alter'!E4)</f>
        <v>0</v>
      </c>
      <c r="G129" s="21">
        <f>IF('Do Not Alter'!J45=1,'Do Not Alter'!L31,'Do Not Alter'!E4)</f>
        <v>23.45</v>
      </c>
      <c r="H129" s="44">
        <f>IF('Do Not Alter'!J45=1,D129*F129*G129,"-")</f>
        <v>0</v>
      </c>
      <c r="J129" s="29"/>
    </row>
    <row r="130" spans="2:10" ht="18.75" customHeight="1">
      <c r="B130" s="45">
        <f>IF('Do Not Alter'!J45=2,"enter manual #s here==&gt;",'Do Not Alter'!E3)</f>
      </c>
      <c r="C130" s="2"/>
      <c r="D130" s="143"/>
      <c r="E130" s="143"/>
      <c r="F130" s="37">
        <f>IF('Do Not Alter'!J45=2+AND(D130=0),D124/E130,0)</f>
        <v>0</v>
      </c>
      <c r="G130" s="147"/>
      <c r="H130" s="49" t="str">
        <f>IF('Do Not Alter'!J45=2,(D130*F130*G130),"-")</f>
        <v>-</v>
      </c>
      <c r="J130" s="29"/>
    </row>
    <row r="131" spans="2:8" ht="6.75" customHeight="1">
      <c r="B131" s="3"/>
      <c r="C131" s="2"/>
      <c r="D131" s="2"/>
      <c r="E131" s="2"/>
      <c r="F131" s="37"/>
      <c r="G131" s="2"/>
      <c r="H131" s="4"/>
    </row>
    <row r="132" spans="2:10" ht="12.75">
      <c r="B132" s="19" t="s">
        <v>35</v>
      </c>
      <c r="C132" s="2"/>
      <c r="D132" s="2">
        <f>IF('Do Not Alter'!M45=1,'Do Not Alter'!M40,'Do Not Alter'!E4)</f>
        <v>1</v>
      </c>
      <c r="E132" s="2">
        <f>IF('Do Not Alter'!M45=1,'Do Not Alter'!W40,'Do Not Alter'!E4)</f>
        <v>12</v>
      </c>
      <c r="F132" s="37">
        <f>IF('Do Not Alter'!M45=1,D124/E132,'Do Not Alter'!E4)</f>
        <v>0</v>
      </c>
      <c r="G132" s="21">
        <f>IF('Do Not Alter'!M45=1,'Do Not Alter'!O31,'Do Not Alter'!E4)</f>
        <v>27.2</v>
      </c>
      <c r="H132" s="44">
        <f>IF('Do Not Alter'!M45=1,D132*F132*G132,"-")</f>
        <v>0</v>
      </c>
      <c r="J132" s="29"/>
    </row>
    <row r="133" spans="2:10" ht="18.75" customHeight="1">
      <c r="B133" s="45">
        <f>IF('Do Not Alter'!M45=2,"enter manual #s herre==&gt;",'Do Not Alter'!E3)</f>
      </c>
      <c r="C133" s="2"/>
      <c r="D133" s="143"/>
      <c r="E133" s="143"/>
      <c r="F133" s="37">
        <f>IF('Do Not Alter'!M45=2+AND(D133=0),D124/E133,0)</f>
        <v>0</v>
      </c>
      <c r="G133" s="147"/>
      <c r="H133" s="49" t="str">
        <f>IF('Do Not Alter'!M45=2,D133*F133*G133,"-")</f>
        <v>-</v>
      </c>
      <c r="J133" s="29"/>
    </row>
    <row r="134" spans="2:8" ht="6.75" customHeight="1">
      <c r="B134" s="3"/>
      <c r="C134" s="2"/>
      <c r="D134" s="2"/>
      <c r="E134" s="2"/>
      <c r="F134" s="37"/>
      <c r="G134" s="2"/>
      <c r="H134" s="4"/>
    </row>
    <row r="135" spans="2:10" ht="12.75">
      <c r="B135" s="19" t="s">
        <v>36</v>
      </c>
      <c r="C135" s="2"/>
      <c r="D135" s="2">
        <v>1</v>
      </c>
      <c r="E135" s="2">
        <f>IF('Do Not Alter'!P45=1,'Do Not Alter'!W40,'Do Not Alter'!E4)</f>
        <v>12</v>
      </c>
      <c r="F135" s="37">
        <f>IF('Do Not Alter'!P45=1,D124/E135,'Do Not Alter'!E4)</f>
        <v>0</v>
      </c>
      <c r="G135" s="21">
        <f>IF('Do Not Alter'!P45=1,'Do Not Alter'!O41,'Do Not Alter'!E4)</f>
        <v>21.45</v>
      </c>
      <c r="H135" s="44">
        <f>IF('Do Not Alter'!P45=1,D135*F135*G135,"-")</f>
        <v>0</v>
      </c>
      <c r="J135" s="29"/>
    </row>
    <row r="136" spans="2:10" ht="18.75" customHeight="1">
      <c r="B136" s="45">
        <f>IF('Do Not Alter'!P45=2,"enter manual #s here==&gt;",'Do Not Alter'!E3)</f>
      </c>
      <c r="C136" s="2"/>
      <c r="D136" s="143"/>
      <c r="E136" s="143"/>
      <c r="F136" s="37">
        <f>IF('Do Not Alter'!P45=2+AND(D136=0),(D124/E136),0)</f>
        <v>0</v>
      </c>
      <c r="G136" s="147"/>
      <c r="H136" s="49" t="str">
        <f>IF('Do Not Alter'!P45=2,D136*F136*G136,"-")</f>
        <v>-</v>
      </c>
      <c r="J136" s="29"/>
    </row>
    <row r="137" spans="2:8" ht="6.75" customHeight="1">
      <c r="B137" s="3"/>
      <c r="C137" s="2"/>
      <c r="D137" s="139"/>
      <c r="E137" s="139"/>
      <c r="F137" s="37"/>
      <c r="G137" s="139"/>
      <c r="H137" s="4"/>
    </row>
    <row r="138" spans="2:10" ht="18.75" customHeight="1">
      <c r="B138" s="19" t="s">
        <v>37</v>
      </c>
      <c r="C138" s="2"/>
      <c r="D138" s="143"/>
      <c r="E138" s="143"/>
      <c r="F138" s="37">
        <f>IF(D138&gt;0,$D$124/E138,0)</f>
        <v>0</v>
      </c>
      <c r="G138" s="147"/>
      <c r="H138" s="44">
        <f>IF(D138&gt;0,D138*F138*G138,0)</f>
        <v>0</v>
      </c>
      <c r="J138" s="29"/>
    </row>
    <row r="139" spans="2:8" ht="6.75" customHeight="1">
      <c r="B139" s="3"/>
      <c r="C139" s="2"/>
      <c r="D139" s="2"/>
      <c r="E139" s="2"/>
      <c r="F139" s="2"/>
      <c r="G139" s="2"/>
      <c r="H139" s="4"/>
    </row>
    <row r="140" spans="2:10" ht="15" customHeight="1">
      <c r="B140" s="19"/>
      <c r="C140" s="2"/>
      <c r="D140" s="2"/>
      <c r="E140" s="2"/>
      <c r="F140" s="177"/>
      <c r="G140" s="178" t="s">
        <v>38</v>
      </c>
      <c r="H140" s="425">
        <f>SUM(H129:H138)</f>
        <v>0</v>
      </c>
      <c r="I140" s="462" t="s">
        <v>346</v>
      </c>
      <c r="J140" s="29"/>
    </row>
    <row r="141" spans="2:10" ht="12.75">
      <c r="B141" s="19"/>
      <c r="C141" s="2"/>
      <c r="D141" s="2"/>
      <c r="E141" s="2"/>
      <c r="F141" s="2"/>
      <c r="G141" s="2"/>
      <c r="H141" s="4"/>
      <c r="I141" s="462"/>
      <c r="J141" s="29"/>
    </row>
    <row r="142" spans="2:9" ht="12.75">
      <c r="B142" s="419"/>
      <c r="C142" s="186"/>
      <c r="D142" s="187"/>
      <c r="E142" s="187" t="str">
        <f>E126</f>
        <v>Process Rate</v>
      </c>
      <c r="F142" s="187"/>
      <c r="G142" s="187"/>
      <c r="H142" s="191"/>
      <c r="I142" s="462"/>
    </row>
    <row r="143" spans="2:9" ht="13.5" thickBot="1">
      <c r="B143" s="418" t="str">
        <f>B93</f>
        <v>Process Equipment Costs</v>
      </c>
      <c r="C143" s="12"/>
      <c r="D143" s="35" t="str">
        <f>D93</f>
        <v>Quantity</v>
      </c>
      <c r="E143" s="35" t="str">
        <f>E127</f>
        <v>Units Per Hour</v>
      </c>
      <c r="F143" s="35" t="str">
        <f>F93</f>
        <v>Total Hours</v>
      </c>
      <c r="G143" s="35" t="str">
        <f>G93</f>
        <v>$ Per Hour</v>
      </c>
      <c r="H143" s="47" t="str">
        <f>H93</f>
        <v>Total</v>
      </c>
      <c r="I143" s="462"/>
    </row>
    <row r="144" spans="2:10" ht="12.75">
      <c r="B144" s="19"/>
      <c r="C144" s="2"/>
      <c r="D144" s="2"/>
      <c r="E144" s="2"/>
      <c r="F144" s="2"/>
      <c r="G144" s="2"/>
      <c r="H144" s="4"/>
      <c r="I144" s="462"/>
      <c r="J144" s="29"/>
    </row>
    <row r="145" spans="2:10" ht="12.75">
      <c r="B145" s="19" t="str">
        <f>B98</f>
        <v>Front-end Loader (4 cy)</v>
      </c>
      <c r="C145" s="2"/>
      <c r="D145" s="2">
        <f>IF('Do Not Alter'!V45=1,'Do Not Alter'!V40,'Do Not Alter'!E4)</f>
        <v>1</v>
      </c>
      <c r="E145" s="2">
        <f>IF('Do Not Alter'!V45=1,'Do Not Alter'!W40,'Do Not Alter'!E4)</f>
        <v>12</v>
      </c>
      <c r="F145" s="37">
        <f>IF('Do Not Alter'!V45=1,D124/E145,'Do Not Alter'!E4)</f>
        <v>0</v>
      </c>
      <c r="G145" s="21">
        <f>IF('Do Not Alter'!V45=1,'Do Not Alter'!X31,'Do Not Alter'!E4)</f>
        <v>72.11</v>
      </c>
      <c r="H145" s="44">
        <f>IF('Do Not Alter'!V45=1,D145*F145*G145,"-")</f>
        <v>0</v>
      </c>
      <c r="I145" s="462"/>
      <c r="J145" s="29"/>
    </row>
    <row r="146" spans="2:10" ht="18.75" customHeight="1">
      <c r="B146" s="48">
        <f>IF('Do Not Alter'!V45=2,"enter manual #s here==&gt;",'Do Not Alter'!E3)</f>
      </c>
      <c r="C146" s="2"/>
      <c r="D146" s="143"/>
      <c r="E146" s="143"/>
      <c r="F146" s="37">
        <f>IF('Do Not Alter'!V45=2+AND(D146=0),D124/E146,0)</f>
        <v>0</v>
      </c>
      <c r="G146" s="147"/>
      <c r="H146" s="49" t="str">
        <f>IF('Do Not Alter'!V45=2,D146*F146*G146,"-")</f>
        <v>-</v>
      </c>
      <c r="I146" s="462"/>
      <c r="J146" s="29"/>
    </row>
    <row r="147" spans="2:9" ht="6.75" customHeight="1">
      <c r="B147" s="3"/>
      <c r="C147" s="2"/>
      <c r="D147" s="139"/>
      <c r="E147" s="139"/>
      <c r="F147" s="37"/>
      <c r="G147" s="139"/>
      <c r="H147" s="4"/>
      <c r="I147" s="462"/>
    </row>
    <row r="148" spans="2:10" ht="18.75" customHeight="1">
      <c r="B148" s="19" t="s">
        <v>56</v>
      </c>
      <c r="C148" s="2"/>
      <c r="D148" s="143"/>
      <c r="E148" s="143"/>
      <c r="F148" s="37">
        <f>IF(D148&gt;0,D123/E147,0)</f>
        <v>0</v>
      </c>
      <c r="G148" s="147"/>
      <c r="H148" s="49">
        <f>D148*F148*G148</f>
        <v>0</v>
      </c>
      <c r="I148" s="462"/>
      <c r="J148" s="29"/>
    </row>
    <row r="149" spans="2:9" ht="6.75" customHeight="1">
      <c r="B149" s="3"/>
      <c r="C149" s="2"/>
      <c r="D149" s="2"/>
      <c r="E149" s="2"/>
      <c r="F149" s="2"/>
      <c r="G149" s="2"/>
      <c r="H149" s="4"/>
      <c r="I149" s="462"/>
    </row>
    <row r="150" spans="2:10" ht="12.75">
      <c r="B150" s="419"/>
      <c r="C150" s="186"/>
      <c r="D150" s="186"/>
      <c r="E150" s="187" t="s">
        <v>57</v>
      </c>
      <c r="F150" s="187" t="s">
        <v>26</v>
      </c>
      <c r="G150" s="187" t="s">
        <v>58</v>
      </c>
      <c r="H150" s="191"/>
      <c r="I150" s="462"/>
      <c r="J150" s="29"/>
    </row>
    <row r="151" spans="2:10" ht="13.5" thickBot="1">
      <c r="B151" s="418" t="s">
        <v>59</v>
      </c>
      <c r="C151" s="12"/>
      <c r="D151" s="35"/>
      <c r="E151" s="35" t="s">
        <v>60</v>
      </c>
      <c r="F151" s="35" t="s">
        <v>61</v>
      </c>
      <c r="G151" s="35" t="s">
        <v>60</v>
      </c>
      <c r="H151" s="47" t="s">
        <v>26</v>
      </c>
      <c r="I151" s="462"/>
      <c r="J151" s="29"/>
    </row>
    <row r="152" spans="2:10" ht="12.75">
      <c r="B152" s="14"/>
      <c r="C152" s="2"/>
      <c r="D152" s="25"/>
      <c r="E152" s="25"/>
      <c r="F152" s="2"/>
      <c r="G152" s="25"/>
      <c r="H152" s="51"/>
      <c r="I152" s="462"/>
      <c r="J152" s="29"/>
    </row>
    <row r="153" spans="2:10" ht="12.75">
      <c r="B153" s="19" t="s">
        <v>62</v>
      </c>
      <c r="C153" s="2"/>
      <c r="D153" s="2"/>
      <c r="E153" s="11">
        <f>IF('Do Not Alter'!AB45=1,'Do Not Alter'!AC40,'Do Not Alter'!E4)</f>
        <v>50</v>
      </c>
      <c r="F153" s="11">
        <f>IF('Do Not Alter'!AB45=1,ROUNDUP(D124/E153,-0.5),'Do Not Alter'!E4)</f>
        <v>0</v>
      </c>
      <c r="G153" s="64">
        <f>IF('Do Not Alter'!AB45=1,'Do Not Alter'!AD40,'Do Not Alter'!E4)</f>
        <v>200</v>
      </c>
      <c r="H153" s="44">
        <f>IF('Do Not Alter'!AB45=1,F153*G153,"-")</f>
        <v>0</v>
      </c>
      <c r="I153" s="462"/>
      <c r="J153" s="29"/>
    </row>
    <row r="154" spans="2:10" ht="18.75" customHeight="1">
      <c r="B154" s="48">
        <f>IF('Do Not Alter'!AB45=2,"enter manual #s here==&gt;",'Do Not Alter'!E3)</f>
      </c>
      <c r="C154" s="2"/>
      <c r="D154" s="2"/>
      <c r="E154" s="143"/>
      <c r="F154" s="11">
        <f>IF('Do Not Alter'!AB45=2+AND(E154=0),ROUNDUP((D124/E154),-0.5),0)</f>
        <v>0</v>
      </c>
      <c r="G154" s="147"/>
      <c r="H154" s="49" t="str">
        <f>IF('Do Not Alter'!AB45=2,F154*G154,"-")</f>
        <v>-</v>
      </c>
      <c r="I154" s="462"/>
      <c r="J154" s="29"/>
    </row>
    <row r="155" spans="2:9" ht="6.75" customHeight="1">
      <c r="B155" s="3"/>
      <c r="C155" s="2"/>
      <c r="D155" s="2"/>
      <c r="E155" s="139"/>
      <c r="F155" s="2"/>
      <c r="G155" s="139"/>
      <c r="H155" s="4"/>
      <c r="I155" s="462"/>
    </row>
    <row r="156" spans="2:9" ht="18.75" customHeight="1">
      <c r="B156" s="19" t="s">
        <v>63</v>
      </c>
      <c r="C156" s="2"/>
      <c r="D156" s="2"/>
      <c r="E156" s="143"/>
      <c r="F156" s="59">
        <f>IF(E156&gt;0,ROUNDUP(D124/E156,-0.5),0)</f>
        <v>0</v>
      </c>
      <c r="G156" s="147"/>
      <c r="H156" s="44">
        <f>F156*G156</f>
        <v>0</v>
      </c>
      <c r="I156" s="462"/>
    </row>
    <row r="157" spans="2:9" ht="12.75">
      <c r="B157" s="3"/>
      <c r="C157" s="2"/>
      <c r="D157" s="2"/>
      <c r="E157" s="2"/>
      <c r="F157" s="2"/>
      <c r="G157" s="2"/>
      <c r="H157" s="4"/>
      <c r="I157" s="462"/>
    </row>
    <row r="158" spans="2:9" ht="12.75">
      <c r="B158" s="419"/>
      <c r="C158" s="186"/>
      <c r="D158" s="187" t="s">
        <v>44</v>
      </c>
      <c r="E158" s="187" t="s">
        <v>45</v>
      </c>
      <c r="F158" s="187" t="s">
        <v>46</v>
      </c>
      <c r="G158" s="186" t="s">
        <v>47</v>
      </c>
      <c r="H158" s="189"/>
      <c r="I158" s="462"/>
    </row>
    <row r="159" spans="2:9" ht="13.5" thickBot="1">
      <c r="B159" s="418" t="s">
        <v>334</v>
      </c>
      <c r="C159" s="40"/>
      <c r="D159" s="39" t="s">
        <v>48</v>
      </c>
      <c r="E159" s="35" t="s">
        <v>49</v>
      </c>
      <c r="F159" s="35" t="s">
        <v>50</v>
      </c>
      <c r="G159" s="36" t="s">
        <v>51</v>
      </c>
      <c r="H159" s="47" t="s">
        <v>26</v>
      </c>
      <c r="I159" s="462"/>
    </row>
    <row r="160" spans="2:9" ht="12.75">
      <c r="B160" s="52"/>
      <c r="C160" s="2"/>
      <c r="D160" s="2"/>
      <c r="E160" s="2"/>
      <c r="F160" s="2"/>
      <c r="G160" s="2"/>
      <c r="H160" s="4"/>
      <c r="I160" s="462"/>
    </row>
    <row r="161" spans="2:9" ht="18.75" customHeight="1">
      <c r="B161" s="19" t="s">
        <v>64</v>
      </c>
      <c r="C161" s="2"/>
      <c r="D161" s="148"/>
      <c r="E161" s="143"/>
      <c r="F161" s="143"/>
      <c r="G161" s="149"/>
      <c r="H161" s="44">
        <f>E161*F161*G161</f>
        <v>0</v>
      </c>
      <c r="I161" s="462"/>
    </row>
    <row r="162" spans="2:9" ht="6.75" customHeight="1">
      <c r="B162" s="3"/>
      <c r="C162" s="2"/>
      <c r="D162" s="150"/>
      <c r="E162" s="139"/>
      <c r="F162" s="139"/>
      <c r="G162" s="151"/>
      <c r="H162" s="44"/>
      <c r="I162" s="462"/>
    </row>
    <row r="163" spans="2:9" ht="18.75" customHeight="1">
      <c r="B163" s="19" t="s">
        <v>63</v>
      </c>
      <c r="C163" s="2"/>
      <c r="D163" s="148"/>
      <c r="E163" s="143"/>
      <c r="F163" s="143"/>
      <c r="G163" s="149"/>
      <c r="H163" s="44">
        <f>E163*F163*G163</f>
        <v>0</v>
      </c>
      <c r="I163" s="462"/>
    </row>
    <row r="164" spans="2:8" ht="6.75" customHeight="1">
      <c r="B164" s="3"/>
      <c r="C164" s="2"/>
      <c r="D164" s="150"/>
      <c r="E164" s="139"/>
      <c r="F164" s="139"/>
      <c r="G164" s="151"/>
      <c r="H164" s="44"/>
    </row>
    <row r="165" spans="2:8" ht="18.75" customHeight="1">
      <c r="B165" s="19" t="s">
        <v>65</v>
      </c>
      <c r="C165" s="2"/>
      <c r="D165" s="148"/>
      <c r="E165" s="143"/>
      <c r="F165" s="143"/>
      <c r="G165" s="149"/>
      <c r="H165" s="44">
        <f>E165*F165*G165</f>
        <v>0</v>
      </c>
    </row>
    <row r="166" spans="2:8" ht="6.75" customHeight="1">
      <c r="B166" s="3"/>
      <c r="C166" s="2"/>
      <c r="D166" s="2"/>
      <c r="E166" s="2"/>
      <c r="F166" s="2"/>
      <c r="G166" s="2"/>
      <c r="H166" s="4"/>
    </row>
    <row r="167" spans="2:8" ht="15" customHeight="1">
      <c r="B167" s="3"/>
      <c r="C167" s="2"/>
      <c r="D167" s="2"/>
      <c r="E167" s="2"/>
      <c r="F167" s="177"/>
      <c r="G167" s="178" t="s">
        <v>54</v>
      </c>
      <c r="H167" s="425">
        <f>SUM(H145:H165)</f>
        <v>0</v>
      </c>
    </row>
    <row r="168" spans="2:8" ht="13.5" thickBot="1">
      <c r="B168" s="5"/>
      <c r="C168" s="6"/>
      <c r="D168" s="6"/>
      <c r="E168" s="6"/>
      <c r="F168" s="6"/>
      <c r="G168" s="6"/>
      <c r="H168" s="7"/>
    </row>
    <row r="169" spans="2:8" ht="14.25" thickBot="1" thickTop="1">
      <c r="B169" s="2"/>
      <c r="C169" s="2"/>
      <c r="D169" s="2"/>
      <c r="E169" s="2"/>
      <c r="G169" s="2"/>
      <c r="H169" s="21"/>
    </row>
    <row r="170" spans="2:8" ht="13.5" thickTop="1">
      <c r="B170" s="424" t="s">
        <v>348</v>
      </c>
      <c r="C170" s="421"/>
      <c r="D170" s="421"/>
      <c r="E170" s="421"/>
      <c r="F170" s="56"/>
      <c r="G170" s="56"/>
      <c r="H170" s="63"/>
    </row>
    <row r="171" spans="2:8" ht="12.75">
      <c r="B171" s="218"/>
      <c r="C171" s="2"/>
      <c r="D171" s="2"/>
      <c r="E171" s="2"/>
      <c r="F171" s="2"/>
      <c r="G171" s="2"/>
      <c r="H171" s="4"/>
    </row>
    <row r="172" spans="2:8" ht="15">
      <c r="B172" s="184" t="str">
        <f>B53</f>
        <v>Tires</v>
      </c>
      <c r="C172" s="2"/>
      <c r="D172" s="59">
        <f>'Do Not Alter'!B50</f>
        <v>0</v>
      </c>
      <c r="E172" s="2" t="s">
        <v>66</v>
      </c>
      <c r="F172" s="119" t="str">
        <f>IF('Do Not Alter'!B50=0,'Do Not Alter'!A26,'Do Not Alter'!E3)</f>
        <v>Waste not present</v>
      </c>
      <c r="G172" s="2"/>
      <c r="H172" s="4"/>
    </row>
    <row r="173" spans="2:8" ht="12.75">
      <c r="B173" s="3"/>
      <c r="C173" s="2"/>
      <c r="D173" s="2"/>
      <c r="E173" s="2"/>
      <c r="F173" s="2"/>
      <c r="G173" s="2"/>
      <c r="H173" s="4"/>
    </row>
    <row r="174" spans="2:8" ht="12.75">
      <c r="B174" s="16" t="s">
        <v>26</v>
      </c>
      <c r="C174" s="2"/>
      <c r="D174" s="59">
        <f>SUM(D172)</f>
        <v>0</v>
      </c>
      <c r="E174" s="2" t="str">
        <f>E172</f>
        <v>tires</v>
      </c>
      <c r="F174" s="2"/>
      <c r="G174" s="2"/>
      <c r="H174" s="4"/>
    </row>
    <row r="175" spans="2:8" ht="12.75">
      <c r="B175" s="3"/>
      <c r="C175" s="2"/>
      <c r="D175" s="2"/>
      <c r="E175" s="2"/>
      <c r="F175" s="2"/>
      <c r="G175" s="2"/>
      <c r="H175" s="4"/>
    </row>
    <row r="176" spans="2:8" ht="12.75">
      <c r="B176" s="419"/>
      <c r="C176" s="186"/>
      <c r="D176" s="187"/>
      <c r="E176" s="187" t="str">
        <f>E126</f>
        <v>Process Rate</v>
      </c>
      <c r="F176" s="187"/>
      <c r="G176" s="187"/>
      <c r="H176" s="190"/>
    </row>
    <row r="177" spans="2:8" ht="13.5" thickBot="1">
      <c r="B177" s="418" t="s">
        <v>29</v>
      </c>
      <c r="C177" s="12"/>
      <c r="D177" s="35" t="str">
        <f>D127</f>
        <v># of Workers</v>
      </c>
      <c r="E177" s="35" t="s">
        <v>55</v>
      </c>
      <c r="F177" s="35" t="str">
        <f>F127</f>
        <v>Total Hours</v>
      </c>
      <c r="G177" s="35" t="str">
        <f>G127</f>
        <v>$ per hour</v>
      </c>
      <c r="H177" s="43" t="str">
        <f>H127</f>
        <v>Total</v>
      </c>
    </row>
    <row r="178" spans="2:8" ht="12.75">
      <c r="B178" s="3"/>
      <c r="C178" s="2"/>
      <c r="D178" s="2"/>
      <c r="E178" s="2"/>
      <c r="F178" s="2"/>
      <c r="G178" s="2"/>
      <c r="H178" s="4"/>
    </row>
    <row r="179" spans="2:8" ht="12.75">
      <c r="B179" s="19" t="s">
        <v>34</v>
      </c>
      <c r="C179" s="2"/>
      <c r="D179" s="2">
        <f>IF('Do Not Alter'!J56=1,'Do Not Alter'!J50,'Do Not Alter'!E4)</f>
        <v>1</v>
      </c>
      <c r="E179" s="2">
        <f>IF('Do Not Alter'!J56=1,'Do Not Alter'!K50,'Do Not Alter'!E4)</f>
        <v>240</v>
      </c>
      <c r="F179" s="37">
        <f>IF('Do Not Alter'!J56=1,D174/E179,'Do Not Alter'!E4)</f>
        <v>0</v>
      </c>
      <c r="G179" s="21">
        <f>IF('Do Not Alter'!J56=1,'Do Not Alter'!L31,'Do Not Alter'!E4)</f>
        <v>23.45</v>
      </c>
      <c r="H179" s="44">
        <f>IF('Do Not Alter'!J56=1,D179*F179*G179,"-")</f>
        <v>0</v>
      </c>
    </row>
    <row r="180" spans="2:8" ht="18.75" customHeight="1">
      <c r="B180" s="45">
        <f>IF('Do Not Alter'!J56=2,"enter manual #s here==&gt;",'Do Not Alter'!E3)</f>
      </c>
      <c r="C180" s="2"/>
      <c r="D180" s="143"/>
      <c r="E180" s="143"/>
      <c r="F180" s="37">
        <f>IF('Do Not Alter'!J56=2+AND(D180=0),D174/E180,0)</f>
        <v>0</v>
      </c>
      <c r="G180" s="147"/>
      <c r="H180" s="49" t="str">
        <f>IF('Do Not Alter'!J56=2,D180*F180*G180,"-")</f>
        <v>-</v>
      </c>
    </row>
    <row r="181" spans="2:8" ht="6.75" customHeight="1">
      <c r="B181" s="3"/>
      <c r="C181" s="2"/>
      <c r="D181" s="2"/>
      <c r="E181" s="2"/>
      <c r="F181" s="2"/>
      <c r="G181" s="2"/>
      <c r="H181" s="4"/>
    </row>
    <row r="182" spans="2:8" ht="12.75">
      <c r="B182" s="19" t="s">
        <v>35</v>
      </c>
      <c r="C182" s="2"/>
      <c r="D182" s="2">
        <f>IF('Do Not Alter'!M56=1,'Do Not Alter'!M50,'Do Not Alter'!E4)</f>
        <v>1</v>
      </c>
      <c r="E182" s="2">
        <f>IF('Do Not Alter'!M56=1,'Do Not Alter'!K50,'Do Not Alter'!E4)</f>
        <v>240</v>
      </c>
      <c r="F182" s="37">
        <f>IF('Do Not Alter'!M56=1,D174/E182,'Do Not Alter'!E4)</f>
        <v>0</v>
      </c>
      <c r="G182" s="21">
        <f>IF('Do Not Alter'!M56=1,'Do Not Alter'!O31,'Do Not Alter'!E4)</f>
        <v>27.2</v>
      </c>
      <c r="H182" s="44">
        <f>IF('Do Not Alter'!M56=1,D182*F182*G182,"-")</f>
        <v>0</v>
      </c>
    </row>
    <row r="183" spans="2:8" ht="18.75" customHeight="1">
      <c r="B183" s="45">
        <f>IF('Do Not Alter'!M56=2,"enter manual #s here==&gt;",'Do Not Alter'!E3)</f>
      </c>
      <c r="C183" s="2"/>
      <c r="D183" s="143"/>
      <c r="E183" s="143"/>
      <c r="F183" s="37">
        <f>IF('Do Not Alter'!M56=2+AND(D183=0),D174/E183,0)</f>
        <v>0</v>
      </c>
      <c r="G183" s="147"/>
      <c r="H183" s="49" t="str">
        <f>IF('Do Not Alter'!M56=2,D183*F183*G183,"-")</f>
        <v>-</v>
      </c>
    </row>
    <row r="184" spans="2:8" ht="6.75" customHeight="1">
      <c r="B184" s="3"/>
      <c r="C184" s="2"/>
      <c r="D184" s="2"/>
      <c r="E184" s="2"/>
      <c r="F184" s="2"/>
      <c r="G184" s="2"/>
      <c r="H184" s="4"/>
    </row>
    <row r="185" spans="2:8" ht="12.75">
      <c r="B185" s="19" t="s">
        <v>36</v>
      </c>
      <c r="C185" s="2"/>
      <c r="D185" s="2">
        <v>1</v>
      </c>
      <c r="E185" s="2">
        <f>IF('Do Not Alter'!P56=1,'Do Not Alter'!K50,'Do Not Alter'!E4)</f>
        <v>240</v>
      </c>
      <c r="F185" s="37">
        <f>IF('Do Not Alter'!P56=1,D174/E185,'Do Not Alter'!E4)</f>
        <v>0</v>
      </c>
      <c r="G185" s="21">
        <f>IF('Do Not Alter'!P56=1,'Do Not Alter'!O41,'Do Not Alter'!E4)</f>
        <v>21.45</v>
      </c>
      <c r="H185" s="44">
        <f>IF('Do Not Alter'!P56=1,D185*F185*G185,"-")</f>
        <v>0</v>
      </c>
    </row>
    <row r="186" spans="2:9" ht="15" customHeight="1">
      <c r="B186" s="45">
        <f>IF('Do Not Alter'!P56=2,"enter manual #s here==&gt;",'Do Not Alter'!E3)</f>
      </c>
      <c r="C186" s="2"/>
      <c r="D186" s="143"/>
      <c r="E186" s="143"/>
      <c r="F186" s="37">
        <f>IF('Do Not Alter'!P56=2+AND(D186=0),(D174/E186),0)</f>
        <v>0</v>
      </c>
      <c r="G186" s="147"/>
      <c r="H186" s="49" t="str">
        <f>IF('Do Not Alter'!P56=2,D186*F186*G186,"-")</f>
        <v>-</v>
      </c>
      <c r="I186" s="462" t="s">
        <v>347</v>
      </c>
    </row>
    <row r="187" spans="2:9" ht="15" customHeight="1">
      <c r="B187" s="3"/>
      <c r="C187" s="2"/>
      <c r="D187" s="139"/>
      <c r="E187" s="139"/>
      <c r="F187" s="2"/>
      <c r="G187" s="139"/>
      <c r="H187" s="4"/>
      <c r="I187" s="462"/>
    </row>
    <row r="188" spans="2:9" ht="15" customHeight="1">
      <c r="B188" s="19" t="s">
        <v>37</v>
      </c>
      <c r="C188" s="2"/>
      <c r="D188" s="143"/>
      <c r="E188" s="143"/>
      <c r="F188" s="37">
        <f>IF(D188&gt;0,D174/E188,0)</f>
        <v>0</v>
      </c>
      <c r="G188" s="147"/>
      <c r="H188" s="44">
        <f>IF(D188&gt;0,D188*F188*G188,0)</f>
        <v>0</v>
      </c>
      <c r="I188" s="462"/>
    </row>
    <row r="189" spans="2:9" ht="9" customHeight="1">
      <c r="B189" s="3"/>
      <c r="C189" s="2"/>
      <c r="D189" s="2"/>
      <c r="E189" s="2"/>
      <c r="F189" s="2"/>
      <c r="G189" s="2"/>
      <c r="H189" s="4"/>
      <c r="I189" s="462"/>
    </row>
    <row r="190" spans="2:9" ht="15" customHeight="1">
      <c r="B190" s="3"/>
      <c r="C190" s="2"/>
      <c r="D190" s="2"/>
      <c r="E190" s="2"/>
      <c r="F190" s="177"/>
      <c r="G190" s="178" t="s">
        <v>38</v>
      </c>
      <c r="H190" s="425">
        <f>SUM(H179:H188)</f>
        <v>0</v>
      </c>
      <c r="I190" s="462"/>
    </row>
    <row r="191" spans="2:9" ht="15" customHeight="1">
      <c r="B191" s="3"/>
      <c r="C191" s="2"/>
      <c r="D191" s="2"/>
      <c r="E191" s="2"/>
      <c r="F191" s="2"/>
      <c r="G191" s="2"/>
      <c r="H191" s="4"/>
      <c r="I191" s="462"/>
    </row>
    <row r="192" spans="2:9" ht="15" customHeight="1">
      <c r="B192" s="419"/>
      <c r="C192" s="186"/>
      <c r="D192" s="186"/>
      <c r="E192" s="187" t="str">
        <f>E176</f>
        <v>Process Rate</v>
      </c>
      <c r="F192" s="186"/>
      <c r="G192" s="186"/>
      <c r="H192" s="189"/>
      <c r="I192" s="462"/>
    </row>
    <row r="193" spans="2:9" ht="15" customHeight="1" thickBot="1">
      <c r="B193" s="418" t="str">
        <f>B143</f>
        <v>Process Equipment Costs</v>
      </c>
      <c r="C193" s="12"/>
      <c r="D193" s="35" t="str">
        <f>D143</f>
        <v>Quantity</v>
      </c>
      <c r="E193" s="35" t="str">
        <f>E177</f>
        <v>Units Per Hour</v>
      </c>
      <c r="F193" s="12" t="str">
        <f>F143</f>
        <v>Total Hours</v>
      </c>
      <c r="G193" s="35" t="str">
        <f>G143</f>
        <v>$ Per Hour</v>
      </c>
      <c r="H193" s="47" t="str">
        <f>H143</f>
        <v>Total</v>
      </c>
      <c r="I193" s="462"/>
    </row>
    <row r="194" spans="2:9" ht="15" customHeight="1">
      <c r="B194" s="3"/>
      <c r="C194" s="2"/>
      <c r="D194" s="2"/>
      <c r="E194" s="2"/>
      <c r="F194" s="2"/>
      <c r="G194" s="2"/>
      <c r="H194" s="4"/>
      <c r="I194" s="462"/>
    </row>
    <row r="195" spans="2:9" ht="15" customHeight="1">
      <c r="B195" s="19" t="str">
        <f>B98</f>
        <v>Front-end Loader (4 cy)</v>
      </c>
      <c r="C195" s="2"/>
      <c r="D195" s="2">
        <f>IF('Do Not Alter'!V56=1,'Do Not Alter'!V50,'Do Not Alter'!E4)</f>
        <v>1</v>
      </c>
      <c r="E195" s="2">
        <f>IF('Do Not Alter'!V56=1,'Do Not Alter'!K50,'Do Not Alter'!E4)</f>
        <v>240</v>
      </c>
      <c r="F195" s="37">
        <f>IF('Do Not Alter'!V56=1,D174/E195,"-")</f>
        <v>0</v>
      </c>
      <c r="G195" s="21">
        <f>IF('Do Not Alter'!V56=1,'Do Not Alter'!X31,'Do Not Alter'!E4)</f>
        <v>72.11</v>
      </c>
      <c r="H195" s="44">
        <f>IF('Do Not Alter'!V56=1,D195*F195*G195,"-")</f>
        <v>0</v>
      </c>
      <c r="I195" s="462"/>
    </row>
    <row r="196" spans="2:9" ht="15" customHeight="1">
      <c r="B196" s="48">
        <f>IF('Do Not Alter'!V56=2,"enter manual #s here==&gt;",'Do Not Alter'!E3)</f>
      </c>
      <c r="C196" s="2"/>
      <c r="D196" s="143"/>
      <c r="E196" s="143"/>
      <c r="F196" s="37">
        <f>IF('Do Not Alter'!V56=2+AND(D196=0),D174/E196,0)</f>
        <v>0</v>
      </c>
      <c r="G196" s="147"/>
      <c r="H196" s="49" t="str">
        <f>IF('Do Not Alter'!V56=2,D196*F196*G196,"-")</f>
        <v>-</v>
      </c>
      <c r="I196" s="462"/>
    </row>
    <row r="197" spans="2:9" ht="15" customHeight="1">
      <c r="B197" s="3"/>
      <c r="C197" s="2"/>
      <c r="D197" s="139"/>
      <c r="E197" s="139"/>
      <c r="F197" s="2"/>
      <c r="G197" s="139"/>
      <c r="H197" s="4"/>
      <c r="I197" s="462"/>
    </row>
    <row r="198" spans="2:9" ht="15" customHeight="1">
      <c r="B198" s="19" t="s">
        <v>67</v>
      </c>
      <c r="C198" s="2"/>
      <c r="D198" s="143"/>
      <c r="E198" s="143"/>
      <c r="F198" s="37">
        <f>IF(D198&gt;0,D174/E198,0)</f>
        <v>0</v>
      </c>
      <c r="G198" s="147"/>
      <c r="H198" s="44">
        <f>D198*F198*G198</f>
        <v>0</v>
      </c>
      <c r="I198" s="462"/>
    </row>
    <row r="199" spans="2:9" ht="15" customHeight="1">
      <c r="B199" s="3"/>
      <c r="C199" s="2"/>
      <c r="D199" s="2"/>
      <c r="E199" s="2"/>
      <c r="F199" s="2"/>
      <c r="G199" s="2"/>
      <c r="H199" s="4"/>
      <c r="I199" s="462"/>
    </row>
    <row r="200" spans="2:9" ht="15" customHeight="1">
      <c r="B200" s="419"/>
      <c r="C200" s="186"/>
      <c r="D200" s="186"/>
      <c r="E200" s="187" t="s">
        <v>57</v>
      </c>
      <c r="F200" s="186" t="s">
        <v>26</v>
      </c>
      <c r="G200" s="186" t="s">
        <v>58</v>
      </c>
      <c r="H200" s="189"/>
      <c r="I200" s="462"/>
    </row>
    <row r="201" spans="2:9" ht="15" customHeight="1" thickBot="1">
      <c r="B201" s="418" t="str">
        <f>B151</f>
        <v>Per Unit Equipment Costs</v>
      </c>
      <c r="C201" s="12"/>
      <c r="D201" s="35"/>
      <c r="E201" s="35" t="s">
        <v>60</v>
      </c>
      <c r="F201" s="12" t="s">
        <v>61</v>
      </c>
      <c r="G201" s="35" t="s">
        <v>60</v>
      </c>
      <c r="H201" s="47" t="s">
        <v>26</v>
      </c>
      <c r="I201" s="462"/>
    </row>
    <row r="202" spans="2:9" ht="15" customHeight="1">
      <c r="B202" s="3"/>
      <c r="C202" s="2"/>
      <c r="D202" s="2"/>
      <c r="E202" s="2"/>
      <c r="F202" s="2"/>
      <c r="G202" s="2"/>
      <c r="H202" s="4"/>
      <c r="I202" s="462"/>
    </row>
    <row r="203" spans="2:9" ht="15" customHeight="1">
      <c r="B203" s="19" t="s">
        <v>62</v>
      </c>
      <c r="C203" s="2"/>
      <c r="D203" s="2"/>
      <c r="E203" s="2">
        <f>IF('Do Not Alter'!AB56=1,'Do Not Alter'!AC50,'Do Not Alter'!E4)</f>
        <v>345</v>
      </c>
      <c r="F203" s="2">
        <f>IF('Do Not Alter'!AB56=1,ROUNDUP(D174/E203,-0.5),'Do Not Alter'!E4)</f>
        <v>0</v>
      </c>
      <c r="G203" s="21">
        <f>IF('Do Not Alter'!AB56=1,'Do Not Alter'!AD40,'Do Not Alter'!E4)</f>
        <v>200</v>
      </c>
      <c r="H203" s="44">
        <f>IF('Do Not Alter'!AB56=1,F203*G203,"-")</f>
        <v>0</v>
      </c>
      <c r="I203" s="462"/>
    </row>
    <row r="204" spans="2:9" ht="15" customHeight="1">
      <c r="B204" s="48">
        <f>IF('Do Not Alter'!AB56=2,"enter manual #s here==&gt;",'Do Not Alter'!E3)</f>
      </c>
      <c r="C204" s="2"/>
      <c r="D204" s="2"/>
      <c r="E204" s="143"/>
      <c r="F204" s="2">
        <f>IF('Do Not Alter'!AB56=2+AND(E204=0),ROUNDUP(D174/E204,-0.5),0)</f>
        <v>0</v>
      </c>
      <c r="G204" s="147"/>
      <c r="H204" s="49" t="str">
        <f>IF('Do Not Alter'!AB56=2,F204*G204,"-")</f>
        <v>-</v>
      </c>
      <c r="I204" s="462"/>
    </row>
    <row r="205" spans="2:9" ht="15" customHeight="1">
      <c r="B205" s="3"/>
      <c r="C205" s="2"/>
      <c r="D205" s="2"/>
      <c r="E205" s="139"/>
      <c r="F205" s="2"/>
      <c r="G205" s="139"/>
      <c r="H205" s="4"/>
      <c r="I205" s="462"/>
    </row>
    <row r="206" spans="2:9" ht="15" customHeight="1">
      <c r="B206" s="19" t="s">
        <v>63</v>
      </c>
      <c r="C206" s="2"/>
      <c r="D206" s="2"/>
      <c r="E206" s="143"/>
      <c r="F206" s="2">
        <f>IF(E206&gt;0,ROUNDUP(D174/E206,-0.5),0)</f>
        <v>0</v>
      </c>
      <c r="G206" s="147"/>
      <c r="H206" s="44">
        <f>F206*G206</f>
        <v>0</v>
      </c>
      <c r="I206" s="462"/>
    </row>
    <row r="207" spans="2:9" ht="15" customHeight="1">
      <c r="B207" s="3"/>
      <c r="C207" s="2"/>
      <c r="D207" s="2"/>
      <c r="E207" s="2"/>
      <c r="F207" s="2"/>
      <c r="G207" s="2"/>
      <c r="H207" s="4"/>
      <c r="I207" s="462"/>
    </row>
    <row r="208" spans="2:9" ht="15" customHeight="1">
      <c r="B208" s="3"/>
      <c r="C208" s="2"/>
      <c r="D208" s="2"/>
      <c r="E208" s="2"/>
      <c r="F208" s="2"/>
      <c r="G208" s="2"/>
      <c r="H208" s="4"/>
      <c r="I208" s="462"/>
    </row>
    <row r="209" spans="2:9" ht="15" customHeight="1">
      <c r="B209" s="419"/>
      <c r="C209" s="186"/>
      <c r="D209" s="187" t="s">
        <v>44</v>
      </c>
      <c r="E209" s="187" t="s">
        <v>45</v>
      </c>
      <c r="F209" s="187" t="s">
        <v>46</v>
      </c>
      <c r="G209" s="186" t="s">
        <v>47</v>
      </c>
      <c r="H209" s="189"/>
      <c r="I209" s="462"/>
    </row>
    <row r="210" spans="2:8" ht="13.5" thickBot="1">
      <c r="B210" s="418" t="s">
        <v>334</v>
      </c>
      <c r="C210" s="40"/>
      <c r="D210" s="39" t="s">
        <v>48</v>
      </c>
      <c r="E210" s="35" t="s">
        <v>49</v>
      </c>
      <c r="F210" s="35" t="s">
        <v>50</v>
      </c>
      <c r="G210" s="36" t="s">
        <v>51</v>
      </c>
      <c r="H210" s="47" t="s">
        <v>26</v>
      </c>
    </row>
    <row r="211" spans="2:8" ht="12.75">
      <c r="B211" s="52"/>
      <c r="C211" s="2"/>
      <c r="D211" s="2"/>
      <c r="E211" s="2"/>
      <c r="F211" s="2"/>
      <c r="G211" s="2"/>
      <c r="H211" s="4"/>
    </row>
    <row r="212" spans="2:8" ht="12.75">
      <c r="B212" s="19" t="s">
        <v>305</v>
      </c>
      <c r="C212" s="2"/>
      <c r="D212" s="148"/>
      <c r="E212" s="143"/>
      <c r="F212" s="143"/>
      <c r="G212" s="149"/>
      <c r="H212" s="44">
        <f>E212*F212*G212</f>
        <v>0</v>
      </c>
    </row>
    <row r="213" spans="2:8" ht="4.5" customHeight="1">
      <c r="B213" s="3"/>
      <c r="C213" s="2"/>
      <c r="D213" s="150"/>
      <c r="E213" s="139"/>
      <c r="F213" s="139"/>
      <c r="G213" s="151"/>
      <c r="H213" s="44"/>
    </row>
    <row r="214" spans="2:8" ht="12.75">
      <c r="B214" s="19" t="s">
        <v>63</v>
      </c>
      <c r="C214" s="2"/>
      <c r="D214" s="148"/>
      <c r="E214" s="143"/>
      <c r="F214" s="143"/>
      <c r="G214" s="149"/>
      <c r="H214" s="44">
        <f>E214*F214*G214</f>
        <v>0</v>
      </c>
    </row>
    <row r="215" spans="2:8" ht="4.5" customHeight="1">
      <c r="B215" s="3"/>
      <c r="C215" s="2"/>
      <c r="D215" s="150"/>
      <c r="E215" s="139"/>
      <c r="F215" s="139"/>
      <c r="G215" s="151"/>
      <c r="H215" s="44"/>
    </row>
    <row r="216" spans="2:8" ht="12.75">
      <c r="B216" s="19" t="s">
        <v>65</v>
      </c>
      <c r="C216" s="2"/>
      <c r="D216" s="148"/>
      <c r="E216" s="143"/>
      <c r="F216" s="143"/>
      <c r="G216" s="149"/>
      <c r="H216" s="44">
        <f>E216*F216*G216</f>
        <v>0</v>
      </c>
    </row>
    <row r="217" spans="2:8" ht="4.5" customHeight="1">
      <c r="B217" s="3"/>
      <c r="C217" s="2"/>
      <c r="D217" s="25"/>
      <c r="E217" s="2"/>
      <c r="F217" s="2"/>
      <c r="G217" s="21"/>
      <c r="H217" s="44"/>
    </row>
    <row r="218" spans="2:8" ht="15" customHeight="1">
      <c r="B218" s="3"/>
      <c r="C218" s="2"/>
      <c r="D218" s="2"/>
      <c r="E218" s="2"/>
      <c r="F218" s="177"/>
      <c r="G218" s="178" t="s">
        <v>54</v>
      </c>
      <c r="H218" s="425">
        <f>SUM(H195:H216)</f>
        <v>0</v>
      </c>
    </row>
    <row r="219" spans="2:8" ht="13.5" thickBot="1">
      <c r="B219" s="5"/>
      <c r="C219" s="6"/>
      <c r="D219" s="6"/>
      <c r="E219" s="6"/>
      <c r="F219" s="6"/>
      <c r="G219" s="6"/>
      <c r="H219" s="7"/>
    </row>
    <row r="220" spans="2:8" ht="14.25" thickBot="1" thickTop="1">
      <c r="B220" s="2"/>
      <c r="C220" s="2"/>
      <c r="D220" s="2"/>
      <c r="E220" s="2"/>
      <c r="F220" s="2"/>
      <c r="G220" s="2"/>
      <c r="H220" s="2"/>
    </row>
    <row r="221" spans="2:8" ht="19.5" thickBot="1" thickTop="1">
      <c r="B221" s="365" t="s">
        <v>300</v>
      </c>
      <c r="C221" s="175"/>
      <c r="D221" s="175"/>
      <c r="E221" s="175"/>
      <c r="F221" s="175"/>
      <c r="G221" s="175"/>
      <c r="H221" s="176"/>
    </row>
    <row r="222" spans="2:8" ht="12.75">
      <c r="B222" s="14"/>
      <c r="C222" s="2"/>
      <c r="D222" s="2"/>
      <c r="E222" s="2"/>
      <c r="F222" s="2"/>
      <c r="G222" s="2"/>
      <c r="H222" s="132" t="s">
        <v>25</v>
      </c>
    </row>
    <row r="223" spans="2:8" ht="15" customHeight="1">
      <c r="B223" s="65"/>
      <c r="C223" s="2"/>
      <c r="D223" s="2"/>
      <c r="G223" s="227" t="str">
        <f>IF('Do Not Alter'!B117=1,'Do Not Alter'!A101,'Do Not Alter'!A122)</f>
        <v>Review this Schedule for accuracy.</v>
      </c>
      <c r="H223" s="146"/>
    </row>
    <row r="224" spans="2:8" ht="12.75">
      <c r="B224" s="52" t="s">
        <v>283</v>
      </c>
      <c r="C224" s="2"/>
      <c r="D224" s="2"/>
      <c r="E224" s="2"/>
      <c r="F224" s="228">
        <f>IF('Do Not Alter'!B117=1,'Do Not Alter'!A123,'Do Not Alter'!E3)</f>
      </c>
      <c r="H224" s="4"/>
    </row>
    <row r="225" spans="2:8" ht="12.75">
      <c r="B225" s="52"/>
      <c r="C225" s="2"/>
      <c r="D225" s="2"/>
      <c r="E225" s="2"/>
      <c r="F225" s="67"/>
      <c r="G225" s="2"/>
      <c r="H225" s="4"/>
    </row>
    <row r="226" spans="2:8" ht="12.75">
      <c r="B226" s="3"/>
      <c r="C226" s="2"/>
      <c r="D226" s="2"/>
      <c r="E226" s="2"/>
      <c r="F226" s="25" t="s">
        <v>326</v>
      </c>
      <c r="G226" s="25" t="s">
        <v>326</v>
      </c>
      <c r="H226" s="4"/>
    </row>
    <row r="227" spans="2:8" ht="13.5" thickBot="1">
      <c r="B227" s="418" t="s">
        <v>68</v>
      </c>
      <c r="C227" s="35"/>
      <c r="D227" s="35" t="s">
        <v>69</v>
      </c>
      <c r="E227" s="35" t="s">
        <v>325</v>
      </c>
      <c r="F227" s="35" t="s">
        <v>134</v>
      </c>
      <c r="G227" s="35" t="s">
        <v>104</v>
      </c>
      <c r="H227" s="43" t="s">
        <v>26</v>
      </c>
    </row>
    <row r="228" spans="2:8" ht="4.5" customHeight="1">
      <c r="B228" s="3"/>
      <c r="C228" s="2"/>
      <c r="D228" s="25"/>
      <c r="E228" s="2"/>
      <c r="F228" s="2"/>
      <c r="G228" s="21"/>
      <c r="H228" s="44"/>
    </row>
    <row r="229" spans="2:8" ht="14.25">
      <c r="B229" s="211" t="str">
        <f>B41</f>
        <v>Mixed or unknown</v>
      </c>
      <c r="C229" s="2"/>
      <c r="D229" s="11">
        <f>IF('Do Not Alter'!D35=1,ROUNDUP('Do Not Alter'!B31/'Do Not Alter'!D36,-0.5),'Do Not Alter'!E4)</f>
        <v>0</v>
      </c>
      <c r="E229" s="205">
        <f>IF('Do Not Alter'!$D$30=1,'Do Not Alter'!$D$37,IF('Do Not Alter'!$D$30=2,'Do Not Alter'!$D$38))</f>
        <v>2</v>
      </c>
      <c r="F229" s="206">
        <f>'Do Not Alter'!$R$31</f>
        <v>22.1</v>
      </c>
      <c r="G229" s="29">
        <f>'Do Not Alter'!$U$31</f>
        <v>59.06</v>
      </c>
      <c r="H229" s="66">
        <f>IF('Do Not Alter'!D35=1,(D229*E229)*(F229+G229),"-")</f>
        <v>0</v>
      </c>
    </row>
    <row r="230" spans="2:8" ht="18.75" customHeight="1">
      <c r="B230" s="45">
        <f>IF('Do Not Alter'!D35=2,'Do Not Alter'!A28,'Do Not Alter'!E3)</f>
      </c>
      <c r="C230" s="2"/>
      <c r="D230" s="207"/>
      <c r="E230" s="152"/>
      <c r="F230" s="143"/>
      <c r="G230" s="152"/>
      <c r="H230" s="185" t="str">
        <f>IF('Do Not Alter'!D35=2,(D230*E230)+(D230*F230*G230),"-")</f>
        <v>-</v>
      </c>
    </row>
    <row r="231" spans="2:8" ht="4.5" customHeight="1">
      <c r="B231" s="3"/>
      <c r="C231" s="2"/>
      <c r="D231" s="11"/>
      <c r="E231" s="2"/>
      <c r="F231" s="2"/>
      <c r="G231" s="21"/>
      <c r="H231" s="44"/>
    </row>
    <row r="232" spans="2:8" ht="14.25">
      <c r="B232" s="211" t="str">
        <f>B43</f>
        <v>Household</v>
      </c>
      <c r="C232" s="2"/>
      <c r="D232" s="11">
        <f>IF('Do Not Alter'!D73=1,ROUNDUP('Do Not Alter'!B71/'Do Not Alter'!D74,-0.5),'Do Not Alter'!E4)</f>
        <v>0</v>
      </c>
      <c r="E232" s="205">
        <f>IF('Do Not Alter'!D70=1,'Do Not Alter'!$D$37,IF('Do Not Alter'!D70=2,'Do Not Alter'!$D$38))</f>
        <v>2</v>
      </c>
      <c r="F232" s="206">
        <f>'Do Not Alter'!$R$31</f>
        <v>22.1</v>
      </c>
      <c r="G232" s="29">
        <f>'Do Not Alter'!$U$31</f>
        <v>59.06</v>
      </c>
      <c r="H232" s="66">
        <f>IF('Do Not Alter'!D73=1,(D232*E232)*(F232+G232),"-")</f>
        <v>0</v>
      </c>
    </row>
    <row r="233" spans="2:8" ht="18.75" customHeight="1">
      <c r="B233" s="213">
        <f>IF('Do Not Alter'!D73=2,'Do Not Alter'!A28,'Do Not Alter'!E3)</f>
      </c>
      <c r="C233" s="2"/>
      <c r="D233" s="207"/>
      <c r="E233" s="152"/>
      <c r="F233" s="143"/>
      <c r="G233" s="152"/>
      <c r="H233" s="185" t="str">
        <f>IF('Do Not Alter'!D73=2,(D233*E233)+(D233*F233*G233),"-")</f>
        <v>-</v>
      </c>
    </row>
    <row r="234" spans="2:8" ht="4.5" customHeight="1">
      <c r="B234" s="212"/>
      <c r="C234" s="2"/>
      <c r="D234" s="11"/>
      <c r="E234" s="2"/>
      <c r="F234" s="2"/>
      <c r="G234" s="21"/>
      <c r="H234" s="44"/>
    </row>
    <row r="235" spans="2:8" ht="14.25">
      <c r="B235" s="211" t="str">
        <f>B45</f>
        <v>C&amp;D--Building Materials</v>
      </c>
      <c r="C235" s="2"/>
      <c r="D235" s="11">
        <f>IF('Do Not Alter'!D81=1,ROUNDUP('Do Not Alter'!B78/'Do Not Alter'!D82,-0.5),'Do Not Alter'!E4)</f>
        <v>0</v>
      </c>
      <c r="E235" s="205">
        <f>IF('Do Not Alter'!D77=1,'Do Not Alter'!$D$37,IF('Do Not Alter'!D77=2,'Do Not Alter'!$D$38))</f>
        <v>2</v>
      </c>
      <c r="F235" s="206">
        <f>'Do Not Alter'!$R$31</f>
        <v>22.1</v>
      </c>
      <c r="G235" s="29">
        <f>'Do Not Alter'!$U$31</f>
        <v>59.06</v>
      </c>
      <c r="H235" s="66">
        <f>IF('Do Not Alter'!D81=1,(D235*E235)*(F235+G235),"-")</f>
        <v>0</v>
      </c>
    </row>
    <row r="236" spans="2:8" ht="18.75" customHeight="1">
      <c r="B236" s="213">
        <f>IF('Do Not Alter'!D81=2,'Do Not Alter'!A28,'Do Not Alter'!E3)</f>
      </c>
      <c r="C236" s="2"/>
      <c r="D236" s="207"/>
      <c r="E236" s="152"/>
      <c r="F236" s="143"/>
      <c r="G236" s="152"/>
      <c r="H236" s="185" t="str">
        <f>IF('Do Not Alter'!D81=2,(D236*E236)+(D236*F236*G236),"-")</f>
        <v>-</v>
      </c>
    </row>
    <row r="237" spans="2:8" ht="4.5" customHeight="1">
      <c r="B237" s="213"/>
      <c r="C237" s="2"/>
      <c r="D237" s="219"/>
      <c r="E237" s="220"/>
      <c r="F237" s="221"/>
      <c r="G237" s="220"/>
      <c r="H237" s="185"/>
    </row>
    <row r="238" spans="2:8" ht="12.75" customHeight="1">
      <c r="B238" s="211" t="str">
        <f>B47</f>
        <v>C&amp;D--Concrete</v>
      </c>
      <c r="C238" s="2"/>
      <c r="D238" s="230">
        <f>IF('Do Not Alter'!D89=1,ROUNDUP(('Do Not Alter'!B86/'Do Not Alter'!D90),-0.5),'Do Not Alter'!E4)</f>
        <v>0</v>
      </c>
      <c r="E238" s="205">
        <f>IF('Do Not Alter'!D85=1,'Do Not Alter'!$D$37,IF('Do Not Alter'!D85=2,'Do Not Alter'!$D$38))</f>
        <v>2</v>
      </c>
      <c r="F238" s="206">
        <f>'Do Not Alter'!$R$31</f>
        <v>22.1</v>
      </c>
      <c r="G238" s="29">
        <f>'Do Not Alter'!$U$31</f>
        <v>59.06</v>
      </c>
      <c r="H238" s="66">
        <f>IF('Do Not Alter'!D89=1,(D238*E238)*(F238+G238),"-")</f>
        <v>0</v>
      </c>
    </row>
    <row r="239" spans="2:8" ht="18.75" customHeight="1">
      <c r="B239" s="213">
        <f>IF('Do Not Alter'!D89=2,'Do Not Alter'!A28,'Do Not Alter'!E3)</f>
      </c>
      <c r="C239" s="2"/>
      <c r="D239" s="207"/>
      <c r="E239" s="152"/>
      <c r="F239" s="143"/>
      <c r="G239" s="152"/>
      <c r="H239" s="185" t="str">
        <f>IF('Do Not Alter'!D89=2,(D239*E239)+(D239*F239*G239),"-")</f>
        <v>-</v>
      </c>
    </row>
    <row r="240" spans="2:8" ht="4.5" customHeight="1">
      <c r="B240" s="212"/>
      <c r="C240" s="2"/>
      <c r="D240" s="11"/>
      <c r="E240" s="2"/>
      <c r="F240" s="2"/>
      <c r="G240" s="21"/>
      <c r="H240" s="44"/>
    </row>
    <row r="241" spans="2:8" ht="14.25">
      <c r="B241" s="211" t="str">
        <f>B49</f>
        <v>Brush or landscape</v>
      </c>
      <c r="C241" s="2"/>
      <c r="D241" s="11">
        <f>IF('Do Not Alter'!D66=1,ROUNDUP('Do Not Alter'!B64/'Do Not Alter'!D67,-0.5),'Do Not Alter'!E4)</f>
        <v>0</v>
      </c>
      <c r="E241" s="205">
        <f>IF('Do Not Alter'!D63=1,'Do Not Alter'!$D$37,IF('Do Not Alter'!D63=2,'Do Not Alter'!$D$38))</f>
        <v>2</v>
      </c>
      <c r="F241" s="206">
        <f>'Do Not Alter'!$R$31</f>
        <v>22.1</v>
      </c>
      <c r="G241" s="29">
        <f>'Do Not Alter'!$U$31</f>
        <v>59.06</v>
      </c>
      <c r="H241" s="66">
        <f>IF('Do Not Alter'!D66=1,(D241*E241)*(F241+G241),"-")</f>
        <v>0</v>
      </c>
    </row>
    <row r="242" spans="2:8" ht="18.75" customHeight="1">
      <c r="B242" s="213">
        <f>IF('Do Not Alter'!D66=2,'Do Not Alter'!A28,'Do Not Alter'!E3)</f>
      </c>
      <c r="C242" s="2"/>
      <c r="D242" s="207"/>
      <c r="E242" s="152"/>
      <c r="F242" s="143"/>
      <c r="G242" s="152"/>
      <c r="H242" s="185" t="str">
        <f>IF('Do Not Alter'!D66=2,(D242*E242)+(D242*F242*G242),"-")</f>
        <v>-</v>
      </c>
    </row>
    <row r="243" spans="2:8" ht="4.5" customHeight="1">
      <c r="B243" s="212"/>
      <c r="C243" s="2"/>
      <c r="D243" s="11"/>
      <c r="E243" s="2"/>
      <c r="F243" s="2"/>
      <c r="G243" s="21"/>
      <c r="H243" s="44"/>
    </row>
    <row r="244" spans="2:8" ht="14.25">
      <c r="B244" s="211" t="str">
        <f>B51</f>
        <v>Appliances</v>
      </c>
      <c r="C244" s="2"/>
      <c r="D244" s="11">
        <f>IF('Do Not Alter'!D45=1,F153+F154+F156,'Do Not Alter'!E4)</f>
        <v>0</v>
      </c>
      <c r="E244" s="205">
        <f>IF('Do Not Alter'!D39=1,'Do Not Alter'!$D$37,IF('Do Not Alter'!D39=2,'Do Not Alter'!$D$38))</f>
        <v>2</v>
      </c>
      <c r="F244" s="206">
        <f>'Do Not Alter'!$R$31</f>
        <v>22.1</v>
      </c>
      <c r="G244" s="29">
        <f>'Do Not Alter'!$U$31</f>
        <v>59.06</v>
      </c>
      <c r="H244" s="66">
        <f>IF('Do Not Alter'!D45=1,(D244*E244)*(F244+G244),"-")</f>
        <v>0</v>
      </c>
    </row>
    <row r="245" spans="2:8" ht="18.75" customHeight="1">
      <c r="B245" s="213">
        <f>IF('Do Not Alter'!D45=2,'Do Not Alter'!A28,'Do Not Alter'!E3)</f>
      </c>
      <c r="C245" s="2"/>
      <c r="D245" s="207"/>
      <c r="E245" s="152"/>
      <c r="F245" s="143"/>
      <c r="G245" s="152"/>
      <c r="H245" s="185" t="str">
        <f>IF('Do Not Alter'!D45=2,(D245*E245)+(D245*F245*G245),"-")</f>
        <v>-</v>
      </c>
    </row>
    <row r="246" spans="2:8" ht="6.75" customHeight="1">
      <c r="B246" s="212"/>
      <c r="C246" s="2"/>
      <c r="D246" s="11"/>
      <c r="E246" s="2"/>
      <c r="F246" s="2"/>
      <c r="G246" s="21"/>
      <c r="H246" s="44"/>
    </row>
    <row r="247" spans="2:8" ht="14.25">
      <c r="B247" s="211" t="str">
        <f>B53</f>
        <v>Tires</v>
      </c>
      <c r="C247" s="2"/>
      <c r="D247" s="11">
        <f>IF('Do Not Alter'!D56=1,'Model Input'!F203+'Model Input'!F204+'Model Input'!F206,'Do Not Alter'!E4)</f>
        <v>0</v>
      </c>
      <c r="E247" s="205">
        <f>IF('Do Not Alter'!D49=1,'Do Not Alter'!$D$37,IF('Do Not Alter'!D49=2,'Do Not Alter'!$D$38))</f>
        <v>2</v>
      </c>
      <c r="F247" s="206">
        <f>'Do Not Alter'!$R$31</f>
        <v>22.1</v>
      </c>
      <c r="G247" s="29">
        <f>'Do Not Alter'!$U$31</f>
        <v>59.06</v>
      </c>
      <c r="H247" s="66">
        <f>IF('Do Not Alter'!D56=1,(D247*E247)*(F247+G247),"-")</f>
        <v>0</v>
      </c>
    </row>
    <row r="248" spans="2:8" ht="18.75" customHeight="1">
      <c r="B248" s="45">
        <f>IF('Do Not Alter'!D56=2,'Do Not Alter'!A28,'Do Not Alter'!E3)</f>
      </c>
      <c r="C248" s="2"/>
      <c r="D248" s="207"/>
      <c r="E248" s="152"/>
      <c r="F248" s="143"/>
      <c r="G248" s="152"/>
      <c r="H248" s="185" t="str">
        <f>IF('Do Not Alter'!D56=2,(D248*E248)+(D248*F248*G248),"-")</f>
        <v>-</v>
      </c>
    </row>
    <row r="249" spans="2:8" ht="4.5" customHeight="1">
      <c r="B249" s="3"/>
      <c r="C249" s="2"/>
      <c r="D249" s="25"/>
      <c r="E249" s="2"/>
      <c r="F249" s="2"/>
      <c r="G249" s="21"/>
      <c r="H249" s="44"/>
    </row>
    <row r="250" spans="2:8" ht="15" customHeight="1">
      <c r="B250" s="3"/>
      <c r="C250" s="2"/>
      <c r="D250" s="2"/>
      <c r="F250" s="177"/>
      <c r="G250" s="178" t="s">
        <v>70</v>
      </c>
      <c r="H250" s="426">
        <f>SUM(H229:H248)</f>
        <v>0</v>
      </c>
    </row>
    <row r="251" spans="2:8" ht="13.5" thickBot="1">
      <c r="B251" s="5"/>
      <c r="C251" s="6"/>
      <c r="D251" s="6"/>
      <c r="E251" s="6"/>
      <c r="F251" s="6"/>
      <c r="G251" s="6"/>
      <c r="H251" s="7"/>
    </row>
    <row r="252" spans="2:8" ht="13.5" thickTop="1">
      <c r="B252" s="2"/>
      <c r="C252" s="2"/>
      <c r="D252" s="2"/>
      <c r="E252" s="2"/>
      <c r="F252" s="2"/>
      <c r="G252" s="2"/>
      <c r="H252" s="2"/>
    </row>
    <row r="253" spans="2:8" ht="13.5" thickBot="1">
      <c r="B253" s="2"/>
      <c r="C253" s="2"/>
      <c r="D253" s="2"/>
      <c r="E253" s="2"/>
      <c r="F253" s="2"/>
      <c r="G253" s="2"/>
      <c r="H253" s="2"/>
    </row>
    <row r="254" spans="2:8" ht="19.5" thickBot="1" thickTop="1">
      <c r="B254" s="365" t="s">
        <v>299</v>
      </c>
      <c r="C254" s="175"/>
      <c r="D254" s="175"/>
      <c r="E254" s="175"/>
      <c r="F254" s="175"/>
      <c r="G254" s="176"/>
      <c r="H254" s="2"/>
    </row>
    <row r="255" spans="2:7" ht="12.75">
      <c r="B255" s="3"/>
      <c r="C255" s="2"/>
      <c r="D255" s="2"/>
      <c r="E255" s="2"/>
      <c r="F255" s="2"/>
      <c r="G255" s="4"/>
    </row>
    <row r="256" spans="2:7" ht="12.75">
      <c r="B256" s="41"/>
      <c r="C256" s="2"/>
      <c r="D256" s="2"/>
      <c r="E256" s="2"/>
      <c r="F256" s="2"/>
      <c r="G256" s="130" t="s">
        <v>25</v>
      </c>
    </row>
    <row r="257" spans="2:7" ht="15" customHeight="1">
      <c r="B257" s="41" t="str">
        <f>'Do Not Alter'!A133</f>
        <v>Do you have a lump sum for disposal costs?</v>
      </c>
      <c r="C257" s="2"/>
      <c r="D257" s="2"/>
      <c r="F257" s="228" t="str">
        <f>IF('Do Not Alter'!B129=1,'Do Not Alter'!A124,'Do Not Alter'!A122)</f>
        <v>Review this Schedule for accuracy.</v>
      </c>
      <c r="G257" s="146"/>
    </row>
    <row r="258" spans="2:7" ht="12.75">
      <c r="B258" s="3"/>
      <c r="C258" s="2"/>
      <c r="D258" s="2"/>
      <c r="E258" s="2"/>
      <c r="F258" s="2"/>
      <c r="G258" s="4"/>
    </row>
    <row r="259" spans="2:7" ht="12.75">
      <c r="B259" s="41"/>
      <c r="C259" s="2"/>
      <c r="D259" s="2"/>
      <c r="E259" s="2"/>
      <c r="F259" s="2"/>
      <c r="G259" s="4"/>
    </row>
    <row r="260" spans="2:7" ht="12.75">
      <c r="B260" s="3"/>
      <c r="C260" s="2"/>
      <c r="D260" s="2"/>
      <c r="E260" s="2"/>
      <c r="F260" s="2"/>
      <c r="G260" s="4"/>
    </row>
    <row r="261" spans="2:7" ht="12.75">
      <c r="B261" s="3"/>
      <c r="C261" s="2"/>
      <c r="D261" s="25" t="s">
        <v>71</v>
      </c>
      <c r="E261" s="25" t="s">
        <v>71</v>
      </c>
      <c r="F261" s="25" t="s">
        <v>72</v>
      </c>
      <c r="G261" s="61"/>
    </row>
    <row r="262" spans="2:7" ht="13.5" thickBot="1">
      <c r="B262" s="418" t="s">
        <v>73</v>
      </c>
      <c r="C262" s="12"/>
      <c r="D262" s="35" t="s">
        <v>74</v>
      </c>
      <c r="E262" s="35" t="s">
        <v>75</v>
      </c>
      <c r="F262" s="35" t="s">
        <v>76</v>
      </c>
      <c r="G262" s="43" t="s">
        <v>26</v>
      </c>
    </row>
    <row r="263" spans="2:7" ht="4.5" customHeight="1">
      <c r="B263" s="3"/>
      <c r="C263" s="2"/>
      <c r="D263" s="25"/>
      <c r="E263" s="2"/>
      <c r="F263" s="2"/>
      <c r="G263" s="44"/>
    </row>
    <row r="264" spans="2:7" ht="12.75">
      <c r="B264" s="19" t="str">
        <f>'Do Not Alter'!A105</f>
        <v>Solid Waste Landfill</v>
      </c>
      <c r="C264" s="2"/>
      <c r="D264" s="70"/>
      <c r="E264" s="136">
        <f>IF('Do Not Alter'!K105=1,'Do Not Alter'!I105,'Do Not Alter'!E4)</f>
        <v>0</v>
      </c>
      <c r="F264" s="68">
        <f>IF('Do Not Alter'!K105=1,'Do Not Alter'!J105,'Do Not Alter'!E4)</f>
        <v>37</v>
      </c>
      <c r="G264" s="335">
        <f>IF('Do Not Alter'!K105=1,E264*F264,"-")</f>
        <v>0</v>
      </c>
    </row>
    <row r="265" spans="2:7" ht="12.75">
      <c r="B265" s="45">
        <f>IF('Do Not Alter'!K105=2,'Do Not Alter'!A28,'Do Not Alter'!E3)</f>
      </c>
      <c r="C265" s="2"/>
      <c r="D265" s="153"/>
      <c r="E265" s="154"/>
      <c r="F265" s="152"/>
      <c r="G265" s="336" t="str">
        <f>IF('Do Not Alter'!K105=2,IF(D265&gt;0,D265*F265,E265*F265),"-")</f>
        <v>-</v>
      </c>
    </row>
    <row r="266" spans="2:7" ht="4.5" customHeight="1">
      <c r="B266" s="3"/>
      <c r="C266" s="2"/>
      <c r="D266" s="137"/>
      <c r="E266" s="135"/>
      <c r="F266" s="2"/>
      <c r="G266" s="335"/>
    </row>
    <row r="267" spans="2:7" ht="12.75">
      <c r="B267" s="19" t="str">
        <f>'Do Not Alter'!A106</f>
        <v>Solid Waste Incinerator</v>
      </c>
      <c r="C267" s="2"/>
      <c r="D267" s="70"/>
      <c r="E267" s="136">
        <f>IF('Do Not Alter'!K106=1,'Do Not Alter'!I106,'Do Not Alter'!E4)</f>
        <v>0</v>
      </c>
      <c r="F267" s="68">
        <f>IF('Do Not Alter'!K106=1,'Do Not Alter'!J106,'Do Not Alter'!E4)</f>
        <v>40</v>
      </c>
      <c r="G267" s="335">
        <f>IF('Do Not Alter'!K106=1,E267*F267,"-")</f>
        <v>0</v>
      </c>
    </row>
    <row r="268" spans="2:7" ht="12.75">
      <c r="B268" s="45">
        <f>IF('Do Not Alter'!K106=2,'Do Not Alter'!A28,'Do Not Alter'!E3)</f>
      </c>
      <c r="C268" s="2"/>
      <c r="D268" s="153"/>
      <c r="E268" s="155"/>
      <c r="F268" s="156"/>
      <c r="G268" s="336" t="str">
        <f>IF('Do Not Alter'!K106=2,IF(D268&gt;0,D268*F268,E268*F268),"-")</f>
        <v>-</v>
      </c>
    </row>
    <row r="269" spans="2:7" ht="4.5" customHeight="1">
      <c r="B269" s="3"/>
      <c r="C269" s="2"/>
      <c r="D269" s="137"/>
      <c r="E269" s="135"/>
      <c r="F269" s="2"/>
      <c r="G269" s="335"/>
    </row>
    <row r="270" spans="2:7" ht="12.75">
      <c r="B270" s="19" t="str">
        <f>'Do Not Alter'!A107</f>
        <v>C&amp;D Landfill</v>
      </c>
      <c r="C270" s="2"/>
      <c r="D270" s="70"/>
      <c r="E270" s="136">
        <f>IF('Do Not Alter'!K107=1,'Do Not Alter'!I107,'Do Not Alter'!E4)</f>
        <v>0</v>
      </c>
      <c r="F270" s="68">
        <f>IF('Do Not Alter'!K107=1,'Do Not Alter'!J107,'Do Not Alter'!E4)</f>
        <v>42</v>
      </c>
      <c r="G270" s="335">
        <f>IF('Do Not Alter'!K107=1,E270*F270,"-")</f>
        <v>0</v>
      </c>
    </row>
    <row r="271" spans="2:7" ht="12.75">
      <c r="B271" s="45">
        <f>IF('Do Not Alter'!K107=2,'Do Not Alter'!A28,'Do Not Alter'!E3)</f>
      </c>
      <c r="C271" s="2"/>
      <c r="D271" s="153"/>
      <c r="E271" s="155"/>
      <c r="F271" s="156"/>
      <c r="G271" s="336" t="str">
        <f>IF('Do Not Alter'!K107=2,IF(D271&gt;0,D271*F271,E271*F271),"-")</f>
        <v>-</v>
      </c>
    </row>
    <row r="272" spans="2:7" ht="4.5" customHeight="1">
      <c r="B272" s="3"/>
      <c r="C272" s="2"/>
      <c r="D272" s="137"/>
      <c r="E272" s="135"/>
      <c r="F272" s="2"/>
      <c r="G272" s="335"/>
    </row>
    <row r="273" spans="2:7" ht="12.75">
      <c r="B273" s="19" t="str">
        <f>'Do Not Alter'!A108</f>
        <v>C&amp;D Recycler</v>
      </c>
      <c r="C273" s="2"/>
      <c r="D273" s="70"/>
      <c r="E273" s="136">
        <f>IF('Do Not Alter'!K108=1,'Do Not Alter'!I108,'Do Not Alter'!E4)</f>
        <v>0</v>
      </c>
      <c r="F273" s="68">
        <f>IF('Do Not Alter'!K108=1,'Do Not Alter'!J108,'Do Not Alter'!E4)</f>
        <v>28</v>
      </c>
      <c r="G273" s="335">
        <f>IF('Do Not Alter'!K108=1,E273*F273,"-")</f>
        <v>0</v>
      </c>
    </row>
    <row r="274" spans="2:7" ht="12.75">
      <c r="B274" s="45">
        <f>IF('Do Not Alter'!K108=2,'Do Not Alter'!A28,'Do Not Alter'!E3)</f>
      </c>
      <c r="C274" s="2"/>
      <c r="D274" s="153"/>
      <c r="E274" s="155"/>
      <c r="F274" s="156"/>
      <c r="G274" s="336" t="str">
        <f>IF('Do Not Alter'!K108=2,IF(D274&gt;0,D274*F274,E274*F274),"-")</f>
        <v>-</v>
      </c>
    </row>
    <row r="275" spans="2:7" ht="4.5" customHeight="1">
      <c r="B275" s="3"/>
      <c r="C275" s="2"/>
      <c r="D275" s="137"/>
      <c r="E275" s="135"/>
      <c r="F275" s="2"/>
      <c r="G275" s="335"/>
    </row>
    <row r="276" spans="2:7" ht="12.75">
      <c r="B276" s="19" t="str">
        <f>'Do Not Alter'!A109</f>
        <v>Compost Landfill</v>
      </c>
      <c r="C276" s="2"/>
      <c r="D276" s="70"/>
      <c r="E276" s="136">
        <f>IF('Do Not Alter'!K109=1,'Do Not Alter'!I109,'Do Not Alter'!E4)</f>
        <v>0</v>
      </c>
      <c r="F276" s="68">
        <f>IF('Do Not Alter'!K109=1,'Do Not Alter'!J109,'Do Not Alter'!E4)</f>
        <v>20</v>
      </c>
      <c r="G276" s="335">
        <f>IF('Do Not Alter'!K109=1,E276*F276,"-")</f>
        <v>0</v>
      </c>
    </row>
    <row r="277" spans="2:7" ht="12.75">
      <c r="B277" s="45">
        <f>IF('Do Not Alter'!K109=2,'Do Not Alter'!A28,'Do Not Alter'!E3)</f>
      </c>
      <c r="C277" s="2"/>
      <c r="D277" s="153"/>
      <c r="E277" s="155"/>
      <c r="F277" s="156"/>
      <c r="G277" s="336" t="str">
        <f>IF('Do Not Alter'!K109=2,IF(D277&gt;0,D277*F277,E277*F277),"-")</f>
        <v>-</v>
      </c>
    </row>
    <row r="278" spans="2:7" ht="4.5" customHeight="1">
      <c r="B278" s="3"/>
      <c r="C278" s="2"/>
      <c r="D278" s="137"/>
      <c r="E278" s="135"/>
      <c r="F278" s="2"/>
      <c r="G278" s="335"/>
    </row>
    <row r="279" spans="2:7" ht="12.75">
      <c r="B279" s="19" t="str">
        <f>'Do Not Alter'!A110</f>
        <v>Metals Recycler</v>
      </c>
      <c r="C279" s="2"/>
      <c r="D279" s="70"/>
      <c r="E279" s="136">
        <f>IF('Do Not Alter'!K110=1,'Do Not Alter'!I110,'Do Not Alter'!E4)</f>
        <v>0</v>
      </c>
      <c r="F279" s="68">
        <f>IF('Do Not Alter'!K110=1,'Do Not Alter'!J110,'Do Not Alter'!E4)</f>
        <v>22</v>
      </c>
      <c r="G279" s="335">
        <f>IF('Do Not Alter'!K110=1,E279*F279,"-")</f>
        <v>0</v>
      </c>
    </row>
    <row r="280" spans="2:7" ht="12.75">
      <c r="B280" s="45">
        <f>IF('Do Not Alter'!K110=2,'Do Not Alter'!A28,'Do Not Alter'!E3)</f>
      </c>
      <c r="C280" s="2"/>
      <c r="D280" s="153"/>
      <c r="E280" s="155"/>
      <c r="F280" s="156"/>
      <c r="G280" s="336" t="str">
        <f>IF('Do Not Alter'!K110=2,IF(D280&gt;0,D280*F280,E280*F280),"-")</f>
        <v>-</v>
      </c>
    </row>
    <row r="281" spans="2:7" ht="4.5" customHeight="1">
      <c r="B281" s="3"/>
      <c r="C281" s="2"/>
      <c r="D281" s="137"/>
      <c r="E281" s="135"/>
      <c r="F281" s="2"/>
      <c r="G281" s="335"/>
    </row>
    <row r="282" spans="2:7" ht="12.75">
      <c r="B282" s="19" t="str">
        <f>'Do Not Alter'!A111</f>
        <v>Tire Recycler</v>
      </c>
      <c r="C282" s="2"/>
      <c r="D282" s="70"/>
      <c r="E282" s="136">
        <f>IF('Do Not Alter'!K111=1,'Do Not Alter'!I111,'Do Not Alter'!E4)</f>
        <v>0</v>
      </c>
      <c r="F282" s="68">
        <f>IF('Do Not Alter'!K111=1,'Do Not Alter'!J111,'Do Not Alter'!E4)</f>
        <v>26</v>
      </c>
      <c r="G282" s="335">
        <f>IF('Do Not Alter'!K111=1,E282*F282,"-")</f>
        <v>0</v>
      </c>
    </row>
    <row r="283" spans="2:7" ht="12.75">
      <c r="B283" s="45">
        <f>IF('Do Not Alter'!K111=2,'Do Not Alter'!A28,'Do Not Alter'!E3)</f>
      </c>
      <c r="C283" s="2"/>
      <c r="D283" s="153"/>
      <c r="E283" s="155"/>
      <c r="F283" s="156"/>
      <c r="G283" s="336" t="str">
        <f>IF('Do Not Alter'!K111=2,IF(D283&gt;0,D283*F283,E283*F283),"-")</f>
        <v>-</v>
      </c>
    </row>
    <row r="284" spans="2:7" ht="4.5" customHeight="1">
      <c r="B284" s="3"/>
      <c r="C284" s="2"/>
      <c r="D284" s="137"/>
      <c r="E284" s="135"/>
      <c r="F284" s="2"/>
      <c r="G284" s="335"/>
    </row>
    <row r="285" spans="2:7" ht="12.75">
      <c r="B285" s="19" t="str">
        <f>'Do Not Alter'!A112</f>
        <v>Tire Incinerator</v>
      </c>
      <c r="C285" s="2"/>
      <c r="D285" s="70"/>
      <c r="E285" s="136">
        <f>IF('Do Not Alter'!K112=1,'Do Not Alter'!I112,'Do Not Alter'!E4)</f>
        <v>0</v>
      </c>
      <c r="F285" s="68">
        <f>IF('Do Not Alter'!K112=1,'Do Not Alter'!J112,'Do Not Alter'!E4)</f>
        <v>31</v>
      </c>
      <c r="G285" s="335">
        <f>IF('Do Not Alter'!K112=1,E285*F285,"-")</f>
        <v>0</v>
      </c>
    </row>
    <row r="286" spans="2:7" ht="12.75">
      <c r="B286" s="45">
        <f>IF('Do Not Alter'!K112=2,'Do Not Alter'!A28,'Do Not Alter'!E3)</f>
      </c>
      <c r="C286" s="2"/>
      <c r="D286" s="153"/>
      <c r="E286" s="155"/>
      <c r="F286" s="156"/>
      <c r="G286" s="336" t="str">
        <f>IF('Do Not Alter'!K112=2,IF(D286&gt;0,D286*F286,E286*F286),"-")</f>
        <v>-</v>
      </c>
    </row>
    <row r="287" spans="2:7" ht="4.5" customHeight="1">
      <c r="B287" s="3"/>
      <c r="C287" s="2"/>
      <c r="D287" s="25"/>
      <c r="E287" s="2"/>
      <c r="F287" s="2"/>
      <c r="G287" s="335"/>
    </row>
    <row r="288" spans="2:7" ht="12.75">
      <c r="B288" s="3"/>
      <c r="C288" s="2"/>
      <c r="D288" s="2"/>
      <c r="E288" s="179"/>
      <c r="F288" s="180" t="s">
        <v>77</v>
      </c>
      <c r="G288" s="427">
        <f>SUM(G264:G286)</f>
        <v>0</v>
      </c>
    </row>
    <row r="289" spans="2:8" ht="3.75" customHeight="1" thickBot="1">
      <c r="B289" s="5"/>
      <c r="C289" s="6"/>
      <c r="D289" s="6"/>
      <c r="E289" s="6"/>
      <c r="F289" s="6"/>
      <c r="G289" s="7"/>
      <c r="H289" s="2"/>
    </row>
    <row r="290" spans="2:8" ht="14.25" thickBot="1" thickTop="1">
      <c r="B290" s="2"/>
      <c r="C290" s="2"/>
      <c r="D290" s="2"/>
      <c r="E290" s="2"/>
      <c r="F290" s="2"/>
      <c r="G290" s="2"/>
      <c r="H290" s="2"/>
    </row>
    <row r="291" spans="2:8" ht="19.5" thickBot="1" thickTop="1">
      <c r="B291" s="365" t="s">
        <v>298</v>
      </c>
      <c r="C291" s="175"/>
      <c r="D291" s="175"/>
      <c r="E291" s="175"/>
      <c r="F291" s="175"/>
      <c r="G291" s="175"/>
      <c r="H291" s="176"/>
    </row>
    <row r="292" spans="2:8" ht="12.75">
      <c r="B292" s="3"/>
      <c r="C292" s="2"/>
      <c r="D292" s="2"/>
      <c r="E292" s="2"/>
      <c r="F292" s="2"/>
      <c r="G292" s="2"/>
      <c r="H292" s="4"/>
    </row>
    <row r="293" spans="2:8" ht="12.75">
      <c r="B293" s="71"/>
      <c r="C293" s="25"/>
      <c r="D293" s="25" t="s">
        <v>78</v>
      </c>
      <c r="E293" s="25" t="s">
        <v>79</v>
      </c>
      <c r="F293" s="25" t="s">
        <v>80</v>
      </c>
      <c r="G293" s="25" t="s">
        <v>81</v>
      </c>
      <c r="H293" s="61"/>
    </row>
    <row r="294" spans="2:8" ht="13.5" thickBot="1">
      <c r="B294" s="418" t="s">
        <v>82</v>
      </c>
      <c r="C294" s="35"/>
      <c r="D294" s="35" t="s">
        <v>79</v>
      </c>
      <c r="E294" s="35" t="s">
        <v>83</v>
      </c>
      <c r="F294" s="35" t="s">
        <v>41</v>
      </c>
      <c r="G294" s="69" t="s">
        <v>41</v>
      </c>
      <c r="H294" s="43" t="s">
        <v>26</v>
      </c>
    </row>
    <row r="295" spans="2:8" ht="4.5" customHeight="1">
      <c r="B295" s="3"/>
      <c r="C295" s="2"/>
      <c r="D295" s="25"/>
      <c r="E295" s="2"/>
      <c r="F295" s="2"/>
      <c r="G295" s="21"/>
      <c r="H295" s="44"/>
    </row>
    <row r="296" spans="2:8" ht="12.75">
      <c r="B296" s="72" t="s">
        <v>84</v>
      </c>
      <c r="C296" s="25"/>
      <c r="D296" s="157"/>
      <c r="E296" s="138">
        <f>IF('Do Not Alter'!F139=1,'Do Not Alter'!B139,'Do Not Alter'!E4)</f>
        <v>3000</v>
      </c>
      <c r="F296" s="68">
        <f>IF('Do Not Alter'!F139=1,'Do Not Alter'!D139,'Do Not Alter'!E4)</f>
        <v>46.65</v>
      </c>
      <c r="G296" s="68">
        <f>IF('Do Not Alter'!F139=1,'Do Not Alter'!E139,'Do Not Alter'!E4)</f>
        <v>32.4</v>
      </c>
      <c r="H296" s="73">
        <f>IF('Do Not Alter'!F139=1,(D296/E296)*(F296+G296),"-")</f>
        <v>0</v>
      </c>
    </row>
    <row r="297" spans="2:8" ht="4.5" customHeight="1">
      <c r="B297" s="3"/>
      <c r="C297" s="2"/>
      <c r="D297" s="137"/>
      <c r="E297" s="135"/>
      <c r="F297" s="2"/>
      <c r="G297" s="21"/>
      <c r="H297" s="44"/>
    </row>
    <row r="298" spans="2:8" ht="12.75">
      <c r="B298" s="45">
        <f>IF('Do Not Alter'!F139=2,'Do Not Alter'!A28,'Do Not Alter'!E3)</f>
      </c>
      <c r="C298" s="25"/>
      <c r="D298" s="157"/>
      <c r="E298" s="157"/>
      <c r="F298" s="152"/>
      <c r="G298" s="152"/>
      <c r="H298" s="73" t="str">
        <f>IF('Do Not Alter'!F139=2,IF(D298&gt;0,(D298/E298)*(F298+G298),0),"-")</f>
        <v>-</v>
      </c>
    </row>
    <row r="299" spans="2:8" ht="4.5" customHeight="1">
      <c r="B299" s="3"/>
      <c r="C299" s="2"/>
      <c r="D299" s="158"/>
      <c r="E299" s="159"/>
      <c r="F299" s="139"/>
      <c r="G299" s="151"/>
      <c r="H299" s="44"/>
    </row>
    <row r="300" spans="2:8" ht="12.75">
      <c r="B300" s="72" t="s">
        <v>339</v>
      </c>
      <c r="C300" s="25"/>
      <c r="D300" s="157"/>
      <c r="E300" s="157"/>
      <c r="F300" s="152"/>
      <c r="G300" s="152"/>
      <c r="H300" s="74">
        <f>IF(D300&gt;0,(D300/E300)*(F300+G300),0)</f>
        <v>0</v>
      </c>
    </row>
    <row r="301" spans="2:8" ht="4.5" customHeight="1">
      <c r="B301" s="3"/>
      <c r="C301" s="2"/>
      <c r="D301" s="158"/>
      <c r="E301" s="159"/>
      <c r="F301" s="139"/>
      <c r="G301" s="151"/>
      <c r="H301" s="44"/>
    </row>
    <row r="302" spans="2:8" ht="12.75">
      <c r="B302" s="19" t="s">
        <v>338</v>
      </c>
      <c r="C302" s="2"/>
      <c r="D302" s="157"/>
      <c r="E302" s="157"/>
      <c r="F302" s="152"/>
      <c r="G302" s="152"/>
      <c r="H302" s="74">
        <f>IF(D302&gt;0,(D302/E302)*(F302+G302),0)</f>
        <v>0</v>
      </c>
    </row>
    <row r="303" spans="2:8" ht="4.5" customHeight="1">
      <c r="B303" s="3"/>
      <c r="C303" s="2"/>
      <c r="D303" s="25"/>
      <c r="E303" s="2"/>
      <c r="F303" s="2"/>
      <c r="G303" s="21"/>
      <c r="H303" s="44"/>
    </row>
    <row r="304" spans="2:8" ht="12.75">
      <c r="B304" s="3"/>
      <c r="C304" s="2"/>
      <c r="D304" s="2"/>
      <c r="E304" s="2"/>
      <c r="F304" s="25" t="s">
        <v>85</v>
      </c>
      <c r="G304" s="25" t="s">
        <v>72</v>
      </c>
      <c r="H304" s="61"/>
    </row>
    <row r="305" spans="2:8" ht="13.5" thickBot="1">
      <c r="B305" s="418" t="s">
        <v>86</v>
      </c>
      <c r="C305" s="12"/>
      <c r="D305" s="35" t="s">
        <v>87</v>
      </c>
      <c r="E305" s="12" t="s">
        <v>88</v>
      </c>
      <c r="F305" s="35" t="s">
        <v>89</v>
      </c>
      <c r="G305" s="35" t="s">
        <v>90</v>
      </c>
      <c r="H305" s="43" t="s">
        <v>26</v>
      </c>
    </row>
    <row r="306" spans="2:8" ht="12.75">
      <c r="B306" s="14"/>
      <c r="C306" s="2"/>
      <c r="D306" s="2"/>
      <c r="E306" s="2"/>
      <c r="F306" s="25"/>
      <c r="G306" s="25"/>
      <c r="H306" s="61"/>
    </row>
    <row r="307" spans="2:8" ht="12.75">
      <c r="B307" s="19" t="s">
        <v>91</v>
      </c>
      <c r="C307" s="2"/>
      <c r="D307" s="160"/>
      <c r="E307" s="21">
        <f>IF('Do Not Alter'!F140=1,'Do Not Alter'!D140,'Do Not Alter'!E4)</f>
        <v>250</v>
      </c>
      <c r="F307" s="160"/>
      <c r="G307" s="21">
        <f>IF('Do Not Alter'!F140=1,'Do Not Alter'!B140,'Do Not Alter'!E4)</f>
        <v>30</v>
      </c>
      <c r="H307" s="44">
        <f>IF('Do Not Alter'!F140=1,(D307*E307)+(F307*G307),"-")</f>
        <v>0</v>
      </c>
    </row>
    <row r="308" spans="2:8" ht="4.5" customHeight="1">
      <c r="B308" s="3"/>
      <c r="C308" s="2"/>
      <c r="D308" s="25"/>
      <c r="E308" s="2"/>
      <c r="F308" s="87"/>
      <c r="G308" s="21"/>
      <c r="H308" s="44"/>
    </row>
    <row r="309" spans="2:8" ht="12.75">
      <c r="B309" s="45">
        <f>IF('Do Not Alter'!F140=2,'Do Not Alter'!A28,'Do Not Alter'!E3)</f>
      </c>
      <c r="C309" s="2"/>
      <c r="D309" s="160"/>
      <c r="E309" s="161"/>
      <c r="F309" s="160"/>
      <c r="G309" s="161"/>
      <c r="H309" s="49" t="str">
        <f>IF('Do Not Alter'!F140=2,IF(D309&gt;0,(D309*E309)+(F309*G309),IF(F309&gt;0,(D309*E309)+(F309*G309),"-")),"-")</f>
        <v>-</v>
      </c>
    </row>
    <row r="310" spans="2:8" ht="4.5" customHeight="1">
      <c r="B310" s="3"/>
      <c r="C310" s="2"/>
      <c r="D310" s="25"/>
      <c r="E310" s="2"/>
      <c r="F310" s="87"/>
      <c r="G310" s="21"/>
      <c r="H310" s="44"/>
    </row>
    <row r="311" spans="2:8" ht="12.75">
      <c r="B311" s="19" t="s">
        <v>92</v>
      </c>
      <c r="C311" s="2"/>
      <c r="D311" s="70"/>
      <c r="E311" s="70"/>
      <c r="F311" s="160"/>
      <c r="G311" s="21">
        <f>IF('Do Not Alter'!F141=1,'Do Not Alter'!B141,'Do Not Alter'!E4)</f>
        <v>28</v>
      </c>
      <c r="H311" s="44">
        <f>IF('Do Not Alter'!F141=1,F311*G311,"-")</f>
        <v>0</v>
      </c>
    </row>
    <row r="312" spans="2:8" ht="4.5" customHeight="1">
      <c r="B312" s="3"/>
      <c r="C312" s="2"/>
      <c r="D312" s="25"/>
      <c r="E312" s="2"/>
      <c r="F312" s="162"/>
      <c r="G312" s="21"/>
      <c r="H312" s="44"/>
    </row>
    <row r="313" spans="2:8" ht="12.75">
      <c r="B313" s="45">
        <f>IF('Do Not Alter'!F141=2,'Do Not Alter'!A28,'Do Not Alter'!E3)</f>
      </c>
      <c r="C313" s="2"/>
      <c r="D313" s="70"/>
      <c r="E313" s="70"/>
      <c r="F313" s="160"/>
      <c r="G313" s="161"/>
      <c r="H313" s="49" t="str">
        <f>IF('Do Not Alter'!F141=2,F313*G313,"-")</f>
        <v>-</v>
      </c>
    </row>
    <row r="314" spans="2:8" ht="4.5" customHeight="1">
      <c r="B314" s="3"/>
      <c r="C314" s="2"/>
      <c r="D314" s="25"/>
      <c r="E314" s="2"/>
      <c r="F314" s="162"/>
      <c r="G314" s="151"/>
      <c r="H314" s="44"/>
    </row>
    <row r="315" spans="2:8" ht="14.25" customHeight="1">
      <c r="B315" s="19" t="s">
        <v>93</v>
      </c>
      <c r="C315" s="2"/>
      <c r="D315" s="70"/>
      <c r="E315" s="70"/>
      <c r="F315" s="160"/>
      <c r="G315" s="161"/>
      <c r="H315" s="44">
        <f>F315*G315</f>
        <v>0</v>
      </c>
    </row>
    <row r="316" spans="2:8" ht="7.5" customHeight="1">
      <c r="B316" s="19"/>
      <c r="C316" s="2"/>
      <c r="D316" s="2"/>
      <c r="E316" s="2"/>
      <c r="F316" s="2"/>
      <c r="G316" s="139"/>
      <c r="H316" s="4"/>
    </row>
    <row r="317" spans="2:8" ht="12.75">
      <c r="B317" s="3"/>
      <c r="C317" s="2"/>
      <c r="D317" s="2"/>
      <c r="E317" s="25"/>
      <c r="F317" s="25"/>
      <c r="G317" s="25"/>
      <c r="H317" s="61"/>
    </row>
    <row r="318" spans="2:8" ht="13.5" thickBot="1">
      <c r="B318" s="418" t="s">
        <v>94</v>
      </c>
      <c r="C318" s="12"/>
      <c r="D318" s="12"/>
      <c r="E318" s="35" t="s">
        <v>363</v>
      </c>
      <c r="F318" s="35" t="s">
        <v>364</v>
      </c>
      <c r="G318" s="35" t="s">
        <v>47</v>
      </c>
      <c r="H318" s="43" t="s">
        <v>26</v>
      </c>
    </row>
    <row r="319" spans="2:8" ht="12.75">
      <c r="B319" s="3"/>
      <c r="C319" s="2"/>
      <c r="D319" s="2"/>
      <c r="E319" s="2"/>
      <c r="F319" s="2"/>
      <c r="G319" s="2"/>
      <c r="H319" s="4"/>
    </row>
    <row r="320" spans="2:8" ht="12.75">
      <c r="B320" s="19" t="s">
        <v>96</v>
      </c>
      <c r="C320" s="2"/>
      <c r="D320" s="2"/>
      <c r="E320" s="2">
        <f>IF(F320=0,ROUNDUP((F307+F309+F311+F313+F315)/100,-0.5),"-")</f>
        <v>0</v>
      </c>
      <c r="F320" s="160"/>
      <c r="G320" s="309">
        <f>IF('Adjusting Default Values'!F36&gt;1,'Adjusting Default Values'!F36,IF('Model Input'!$D$29&lt;1,'Adjusting Default Values'!D36,('Adjusting Default Values'!D36*'Model Input'!$D$440)))</f>
        <v>48</v>
      </c>
      <c r="H320" s="44">
        <f>IF(F320&gt;0,G320*F320,G320*E320)</f>
        <v>0</v>
      </c>
    </row>
    <row r="321" spans="2:8" ht="4.5" customHeight="1">
      <c r="B321" s="3"/>
      <c r="C321" s="2"/>
      <c r="D321" s="25"/>
      <c r="E321" s="2"/>
      <c r="F321" s="139"/>
      <c r="G321" s="21"/>
      <c r="H321" s="44"/>
    </row>
    <row r="322" spans="2:8" ht="12.75">
      <c r="B322" s="19" t="s">
        <v>97</v>
      </c>
      <c r="C322" s="2"/>
      <c r="D322" s="2"/>
      <c r="E322" s="70"/>
      <c r="F322" s="163"/>
      <c r="G322" s="161"/>
      <c r="H322" s="44">
        <f>F322*G322</f>
        <v>0</v>
      </c>
    </row>
    <row r="323" spans="2:8" ht="4.5" customHeight="1">
      <c r="B323" s="3"/>
      <c r="C323" s="2"/>
      <c r="D323" s="25"/>
      <c r="E323" s="2"/>
      <c r="F323" s="2"/>
      <c r="G323" s="21"/>
      <c r="H323" s="44"/>
    </row>
    <row r="324" spans="2:8" ht="15" customHeight="1">
      <c r="B324" s="3"/>
      <c r="C324" s="2"/>
      <c r="D324" s="177"/>
      <c r="E324" s="181"/>
      <c r="F324" s="181"/>
      <c r="G324" s="182" t="s">
        <v>98</v>
      </c>
      <c r="H324" s="428">
        <f>SUM(H296:H322)</f>
        <v>0</v>
      </c>
    </row>
    <row r="325" spans="2:8" ht="13.5" thickBot="1">
      <c r="B325" s="5"/>
      <c r="C325" s="6"/>
      <c r="D325" s="6"/>
      <c r="E325" s="6"/>
      <c r="F325" s="6"/>
      <c r="G325" s="6"/>
      <c r="H325" s="7"/>
    </row>
    <row r="326" spans="2:8" ht="14.25" thickBot="1" thickTop="1">
      <c r="B326" s="2"/>
      <c r="C326" s="2"/>
      <c r="D326" s="2"/>
      <c r="E326" s="2"/>
      <c r="F326" s="2"/>
      <c r="G326" s="2"/>
      <c r="H326" s="2"/>
    </row>
    <row r="327" spans="2:8" ht="19.5" thickBot="1" thickTop="1">
      <c r="B327" s="365" t="s">
        <v>335</v>
      </c>
      <c r="C327" s="175"/>
      <c r="D327" s="175"/>
      <c r="E327" s="175"/>
      <c r="F327" s="175"/>
      <c r="G327" s="175"/>
      <c r="H327" s="176"/>
    </row>
    <row r="328" spans="2:8" ht="12.75">
      <c r="B328" s="3"/>
      <c r="C328" s="2"/>
      <c r="D328" s="2"/>
      <c r="E328" s="2"/>
      <c r="F328" s="2"/>
      <c r="G328" s="2"/>
      <c r="H328" s="4"/>
    </row>
    <row r="329" spans="2:8" ht="12.75">
      <c r="B329" s="3"/>
      <c r="C329" s="2"/>
      <c r="D329" s="81" t="s">
        <v>99</v>
      </c>
      <c r="E329" s="82"/>
      <c r="F329" s="82"/>
      <c r="G329" s="15"/>
      <c r="H329" s="4"/>
    </row>
    <row r="330" spans="2:8" ht="13.5" thickBot="1">
      <c r="B330" s="3"/>
      <c r="C330" s="2"/>
      <c r="D330" s="83" t="s">
        <v>100</v>
      </c>
      <c r="E330" s="35" t="s">
        <v>101</v>
      </c>
      <c r="F330" s="35" t="s">
        <v>102</v>
      </c>
      <c r="G330" s="84" t="s">
        <v>103</v>
      </c>
      <c r="H330" s="4"/>
    </row>
    <row r="331" spans="2:8" ht="12.75">
      <c r="B331" s="3"/>
      <c r="C331" s="2"/>
      <c r="D331" s="164"/>
      <c r="E331" s="164"/>
      <c r="F331" s="164"/>
      <c r="G331" s="1">
        <f>IF(F331=0,D331*E331,D331*E331*F331)</f>
        <v>0</v>
      </c>
      <c r="H331" s="4"/>
    </row>
    <row r="332" spans="2:8" ht="4.5" customHeight="1">
      <c r="B332" s="3"/>
      <c r="C332" s="2"/>
      <c r="D332" s="165"/>
      <c r="E332" s="166"/>
      <c r="F332" s="166"/>
      <c r="G332" s="85"/>
      <c r="H332" s="44"/>
    </row>
    <row r="333" spans="2:8" ht="12.75">
      <c r="B333" s="3"/>
      <c r="C333" s="2"/>
      <c r="D333" s="164"/>
      <c r="E333" s="164"/>
      <c r="F333" s="164"/>
      <c r="G333" s="1">
        <f>IF(F333=0,D333*E333,D333*E333*F333)</f>
        <v>0</v>
      </c>
      <c r="H333" s="4"/>
    </row>
    <row r="334" spans="2:8" ht="4.5" customHeight="1">
      <c r="B334" s="3"/>
      <c r="C334" s="2"/>
      <c r="D334" s="165"/>
      <c r="E334" s="166"/>
      <c r="F334" s="166"/>
      <c r="G334" s="85"/>
      <c r="H334" s="44"/>
    </row>
    <row r="335" spans="2:8" ht="12.75">
      <c r="B335" s="3"/>
      <c r="C335" s="2"/>
      <c r="D335" s="167"/>
      <c r="E335" s="167"/>
      <c r="F335" s="167"/>
      <c r="G335" s="86">
        <f>IF(F335=0,D335*E335,D335*E335*F335)</f>
        <v>0</v>
      </c>
      <c r="H335" s="4"/>
    </row>
    <row r="336" spans="2:8" ht="12.75">
      <c r="B336" s="3"/>
      <c r="C336" s="2"/>
      <c r="D336" s="2"/>
      <c r="E336" s="2"/>
      <c r="F336" s="2"/>
      <c r="G336" s="2"/>
      <c r="H336" s="4"/>
    </row>
    <row r="337" spans="2:8" ht="12.75">
      <c r="B337" s="3"/>
      <c r="C337" s="2"/>
      <c r="D337" s="25"/>
      <c r="E337" s="25"/>
      <c r="F337" s="25" t="s">
        <v>104</v>
      </c>
      <c r="G337" s="25"/>
      <c r="H337" s="61"/>
    </row>
    <row r="338" spans="2:8" ht="13.5" thickBot="1">
      <c r="B338" s="42" t="s">
        <v>44</v>
      </c>
      <c r="C338" s="12"/>
      <c r="D338" s="35" t="s">
        <v>103</v>
      </c>
      <c r="E338" s="35" t="s">
        <v>105</v>
      </c>
      <c r="F338" s="35" t="s">
        <v>106</v>
      </c>
      <c r="G338" s="35" t="s">
        <v>107</v>
      </c>
      <c r="H338" s="43" t="s">
        <v>108</v>
      </c>
    </row>
    <row r="339" spans="2:8" ht="12.75">
      <c r="B339" s="3"/>
      <c r="C339" s="2"/>
      <c r="D339" s="2"/>
      <c r="E339" s="2"/>
      <c r="F339" s="2"/>
      <c r="G339" s="2"/>
      <c r="H339" s="4"/>
    </row>
    <row r="340" spans="2:8" ht="12.75">
      <c r="B340" s="233" t="s">
        <v>109</v>
      </c>
      <c r="C340" s="2"/>
      <c r="D340" s="153"/>
      <c r="E340" s="161"/>
      <c r="F340" s="161"/>
      <c r="G340" s="161"/>
      <c r="H340" s="44">
        <f>(D340*E340)+(D340*F340)+(D340*G340)</f>
        <v>0</v>
      </c>
    </row>
    <row r="341" spans="2:8" ht="4.5" customHeight="1">
      <c r="B341" s="234"/>
      <c r="C341" s="2"/>
      <c r="D341" s="150"/>
      <c r="E341" s="139"/>
      <c r="F341" s="139"/>
      <c r="G341" s="151"/>
      <c r="H341" s="44"/>
    </row>
    <row r="342" spans="2:8" ht="12.75">
      <c r="B342" s="233" t="s">
        <v>109</v>
      </c>
      <c r="C342" s="2"/>
      <c r="D342" s="153"/>
      <c r="E342" s="161"/>
      <c r="F342" s="161"/>
      <c r="G342" s="161"/>
      <c r="H342" s="44">
        <f>(D342*E342)+(D342*F342)+(D342*G342)</f>
        <v>0</v>
      </c>
    </row>
    <row r="343" spans="2:8" ht="4.5" customHeight="1">
      <c r="B343" s="234"/>
      <c r="C343" s="2"/>
      <c r="D343" s="150"/>
      <c r="E343" s="139"/>
      <c r="F343" s="139"/>
      <c r="G343" s="151"/>
      <c r="H343" s="44"/>
    </row>
    <row r="344" spans="2:8" ht="12.75">
      <c r="B344" s="233" t="s">
        <v>110</v>
      </c>
      <c r="C344" s="2"/>
      <c r="D344" s="153"/>
      <c r="E344" s="161"/>
      <c r="F344" s="161"/>
      <c r="G344" s="161"/>
      <c r="H344" s="44">
        <f>(D344*E344)+(D344*F344)+(D344*G344)</f>
        <v>0</v>
      </c>
    </row>
    <row r="345" spans="2:8" ht="4.5" customHeight="1">
      <c r="B345" s="234"/>
      <c r="C345" s="2"/>
      <c r="D345" s="150"/>
      <c r="E345" s="139"/>
      <c r="F345" s="139"/>
      <c r="G345" s="151"/>
      <c r="H345" s="44"/>
    </row>
    <row r="346" spans="2:8" ht="12.75">
      <c r="B346" s="233" t="s">
        <v>110</v>
      </c>
      <c r="C346" s="2"/>
      <c r="D346" s="153"/>
      <c r="E346" s="161"/>
      <c r="F346" s="161"/>
      <c r="G346" s="161"/>
      <c r="H346" s="44">
        <f>(D346*E346)+(D346*F346)+(D346*G346)</f>
        <v>0</v>
      </c>
    </row>
    <row r="347" spans="2:8" ht="4.5" customHeight="1">
      <c r="B347" s="234"/>
      <c r="C347" s="2"/>
      <c r="D347" s="150"/>
      <c r="E347" s="139"/>
      <c r="F347" s="139"/>
      <c r="G347" s="151"/>
      <c r="H347" s="44"/>
    </row>
    <row r="348" spans="2:8" ht="12.75">
      <c r="B348" s="233" t="s">
        <v>111</v>
      </c>
      <c r="C348" s="2"/>
      <c r="D348" s="153"/>
      <c r="E348" s="161"/>
      <c r="F348" s="161"/>
      <c r="G348" s="161"/>
      <c r="H348" s="44">
        <f>(D348*E348)+(D348*F348)+(D348*G348)</f>
        <v>0</v>
      </c>
    </row>
    <row r="349" spans="2:8" ht="4.5" customHeight="1">
      <c r="B349" s="234"/>
      <c r="C349" s="2"/>
      <c r="D349" s="150"/>
      <c r="E349" s="139"/>
      <c r="F349" s="139"/>
      <c r="G349" s="151"/>
      <c r="H349" s="44"/>
    </row>
    <row r="350" spans="2:8" ht="12.75">
      <c r="B350" s="233" t="s">
        <v>111</v>
      </c>
      <c r="C350" s="2"/>
      <c r="D350" s="153"/>
      <c r="E350" s="161"/>
      <c r="F350" s="161"/>
      <c r="G350" s="161"/>
      <c r="H350" s="44">
        <f>(D350*E350)+(D350*F350)+(D350*G350)</f>
        <v>0</v>
      </c>
    </row>
    <row r="351" spans="2:8" ht="4.5" customHeight="1">
      <c r="B351" s="232"/>
      <c r="C351" s="2"/>
      <c r="D351" s="25"/>
      <c r="E351" s="2"/>
      <c r="F351" s="2"/>
      <c r="G351" s="21"/>
      <c r="H351" s="44"/>
    </row>
    <row r="352" spans="2:9" ht="12.75">
      <c r="B352" s="231" t="s">
        <v>112</v>
      </c>
      <c r="C352" s="2"/>
      <c r="D352" s="2"/>
      <c r="E352" s="21">
        <f>(E340*$D$340)+(E342*$D$342)+(E344*$D$344)+(E346*$D$346)+(E348*$D$348)+(E350*$D$350)</f>
        <v>0</v>
      </c>
      <c r="F352" s="21">
        <f>(F340*$D$340)+(F342*$D$342)+(F344*$D$344)+(F346*$D$346)+(F348*$D$348)+(F350*$D$350)</f>
        <v>0</v>
      </c>
      <c r="G352" s="21">
        <f>(G340*$D$340)+(G342*$D$342)+(G344*$D$344)+(G346*$D$346)+(G348*$D$348)+(G350*$D$350)</f>
        <v>0</v>
      </c>
      <c r="H352" s="44"/>
      <c r="I352" s="29"/>
    </row>
    <row r="353" spans="2:8" ht="12.75">
      <c r="B353" s="3"/>
      <c r="C353" s="2"/>
      <c r="D353" s="2"/>
      <c r="E353" s="2"/>
      <c r="F353" s="2"/>
      <c r="G353" s="2"/>
      <c r="H353" s="44"/>
    </row>
    <row r="354" spans="2:8" ht="12.75">
      <c r="B354" s="3"/>
      <c r="C354" s="2"/>
      <c r="D354" s="2"/>
      <c r="E354" s="177"/>
      <c r="F354" s="181"/>
      <c r="G354" s="178" t="s">
        <v>336</v>
      </c>
      <c r="H354" s="425">
        <f>SUM(H340:H350)</f>
        <v>0</v>
      </c>
    </row>
    <row r="355" spans="2:8" ht="13.5" thickBot="1">
      <c r="B355" s="5"/>
      <c r="C355" s="6"/>
      <c r="D355" s="6"/>
      <c r="E355" s="6"/>
      <c r="F355" s="6"/>
      <c r="G355" s="6"/>
      <c r="H355" s="7"/>
    </row>
    <row r="356" spans="2:8" ht="13.5" thickTop="1">
      <c r="B356" s="2"/>
      <c r="C356" s="2"/>
      <c r="D356" s="2"/>
      <c r="E356" s="2"/>
      <c r="F356" s="2"/>
      <c r="G356" s="2"/>
      <c r="H356" s="2"/>
    </row>
    <row r="357" spans="2:8" ht="13.5" thickBot="1">
      <c r="B357" s="2"/>
      <c r="C357" s="2"/>
      <c r="D357" s="2"/>
      <c r="E357" s="2"/>
      <c r="F357" s="2"/>
      <c r="G357" s="2"/>
      <c r="H357" s="2"/>
    </row>
    <row r="358" spans="2:8" ht="19.5" thickBot="1" thickTop="1">
      <c r="B358" s="365" t="s">
        <v>333</v>
      </c>
      <c r="C358" s="175"/>
      <c r="D358" s="175"/>
      <c r="E358" s="175"/>
      <c r="F358" s="175"/>
      <c r="G358" s="175"/>
      <c r="H358" s="176"/>
    </row>
    <row r="359" spans="2:8" ht="12.75">
      <c r="B359" s="3"/>
      <c r="C359" s="2"/>
      <c r="D359" s="2"/>
      <c r="E359" s="2"/>
      <c r="F359" s="2"/>
      <c r="G359" s="2"/>
      <c r="H359" s="4"/>
    </row>
    <row r="360" spans="2:8" ht="12.75">
      <c r="B360" s="19" t="s">
        <v>113</v>
      </c>
      <c r="C360" s="2"/>
      <c r="D360" s="2" t="str">
        <f>IF('Do Not Alter'!$B$14=1,'Do Not Alter'!$A$14,IF('Do Not Alter'!$B$14=2,'Do Not Alter'!$A$15,'Do Not Alter'!$E$3))</f>
        <v>an urban setting</v>
      </c>
      <c r="E360" s="2"/>
      <c r="F360" s="2"/>
      <c r="G360" s="2"/>
      <c r="H360" s="4"/>
    </row>
    <row r="361" spans="2:8" ht="12.75">
      <c r="B361" s="3"/>
      <c r="C361" s="2"/>
      <c r="D361" s="2" t="str">
        <f>IF('Do Not Alter'!$B$16=1,'Do Not Alter'!$A$16,IF('Do Not Alter'!$B$16=2,'Do Not Alter'!$A$17,IF('Do Not Alter'!$B$16=3,'Do Not Alter'!$A$18,IF('Do Not Alter'!$B$16=4,'Do Not Alter'!$A$19,IF('Do Not Alter'!$B$16=5,'Do Not Alter'!$A$20,IF('Do Not Alter'!$B$16=6,'Do Not Alter'!$A$21,'Do Not Alter'!$E$3))))))</f>
        <v>an abandonned/vacant lot</v>
      </c>
      <c r="E361" s="2"/>
      <c r="F361" s="2"/>
      <c r="G361" s="2"/>
      <c r="H361" s="4"/>
    </row>
    <row r="362" spans="2:8" ht="12.75">
      <c r="B362" s="19" t="s">
        <v>114</v>
      </c>
      <c r="C362" s="2"/>
      <c r="D362" s="87">
        <f>D17</f>
        <v>0</v>
      </c>
      <c r="E362" s="2" t="str">
        <f>IF('Do Not Alter'!B22=1,'Do Not Alter'!A22,IF('Do Not Alter'!B22=2,'Do Not Alter'!A23,'Do Not Alter'!E3))</f>
        <v>square feet</v>
      </c>
      <c r="F362" s="2"/>
      <c r="G362" s="2"/>
      <c r="H362" s="4"/>
    </row>
    <row r="363" spans="2:8" ht="12.75">
      <c r="B363" s="19" t="s">
        <v>115</v>
      </c>
      <c r="C363" s="2"/>
      <c r="D363" s="2">
        <f>'Do Not Alter'!I113</f>
        <v>0</v>
      </c>
      <c r="E363" s="2" t="str">
        <f>'Do Not Alter'!J113</f>
        <v>tons</v>
      </c>
      <c r="F363" s="2"/>
      <c r="G363" s="2"/>
      <c r="H363" s="4"/>
    </row>
    <row r="364" spans="2:8" ht="12.75">
      <c r="B364" s="19" t="s">
        <v>116</v>
      </c>
      <c r="C364" s="2"/>
      <c r="D364" s="21">
        <f>'Cost Summary'!K29</f>
        <v>0</v>
      </c>
      <c r="E364" s="2"/>
      <c r="F364" s="2"/>
      <c r="G364" s="2"/>
      <c r="H364" s="4"/>
    </row>
    <row r="365" spans="2:8" ht="4.5" customHeight="1">
      <c r="B365" s="3"/>
      <c r="C365" s="2"/>
      <c r="D365" s="2"/>
      <c r="E365" s="2"/>
      <c r="F365" s="2"/>
      <c r="G365" s="2"/>
      <c r="H365" s="4"/>
    </row>
    <row r="366" spans="2:8" ht="12.75" customHeight="1">
      <c r="B366" s="28" t="s">
        <v>117</v>
      </c>
      <c r="C366" s="2"/>
      <c r="D366" s="2"/>
      <c r="E366" s="2"/>
      <c r="F366" s="2"/>
      <c r="G366" s="2"/>
      <c r="H366" s="4"/>
    </row>
    <row r="367" spans="2:8" ht="4.5" customHeight="1">
      <c r="B367" s="3"/>
      <c r="C367" s="2"/>
      <c r="D367" s="2"/>
      <c r="E367" s="2"/>
      <c r="F367" s="2"/>
      <c r="G367" s="2"/>
      <c r="H367" s="4"/>
    </row>
    <row r="368" spans="2:8" ht="12.75">
      <c r="B368" s="28">
        <f>IF('Do Not Alter'!E143=1,'Do Not Alter'!A145,'Do Not Alter'!E3)</f>
      </c>
      <c r="C368" s="2"/>
      <c r="D368" s="161"/>
      <c r="E368" s="2"/>
      <c r="F368" s="2"/>
      <c r="G368" s="2"/>
      <c r="H368" s="4"/>
    </row>
    <row r="369" spans="2:8" ht="4.5" customHeight="1">
      <c r="B369" s="3"/>
      <c r="C369" s="2"/>
      <c r="D369" s="139"/>
      <c r="E369" s="2"/>
      <c r="F369" s="2"/>
      <c r="G369" s="2"/>
      <c r="H369" s="4"/>
    </row>
    <row r="370" spans="2:8" ht="12.75">
      <c r="B370" s="432" t="s">
        <v>118</v>
      </c>
      <c r="C370" s="2"/>
      <c r="D370" s="161"/>
      <c r="E370" s="25"/>
      <c r="F370" s="25"/>
      <c r="G370" s="25"/>
      <c r="H370" s="61"/>
    </row>
    <row r="371" spans="2:8" ht="4.5" customHeight="1">
      <c r="B371" s="3"/>
      <c r="C371" s="2"/>
      <c r="D371" s="235"/>
      <c r="E371" s="2"/>
      <c r="F371" s="2"/>
      <c r="G371" s="2"/>
      <c r="H371" s="4"/>
    </row>
    <row r="372" spans="2:8" ht="12.75">
      <c r="B372" s="233" t="s">
        <v>119</v>
      </c>
      <c r="C372" s="2"/>
      <c r="D372" s="161"/>
      <c r="E372" s="89">
        <f>IF(D372&gt;0,"Type in liability title to the left",'Do Not Alter'!E3)</f>
      </c>
      <c r="F372" s="2"/>
      <c r="G372" s="2"/>
      <c r="H372" s="4"/>
    </row>
    <row r="373" spans="2:8" ht="4.5" customHeight="1">
      <c r="B373" s="19"/>
      <c r="C373" s="2"/>
      <c r="D373" s="139"/>
      <c r="E373" s="90"/>
      <c r="F373" s="2"/>
      <c r="G373" s="2"/>
      <c r="H373" s="4"/>
    </row>
    <row r="374" spans="2:8" ht="12.75">
      <c r="B374" s="233" t="s">
        <v>119</v>
      </c>
      <c r="C374" s="2"/>
      <c r="D374" s="161"/>
      <c r="E374" s="89">
        <f>IF(D374&gt;0,"Type in liability title to the left",'Do Not Alter'!E3)</f>
      </c>
      <c r="F374" s="2"/>
      <c r="G374" s="2"/>
      <c r="H374" s="4"/>
    </row>
    <row r="375" spans="2:8" ht="4.5" customHeight="1">
      <c r="B375" s="3"/>
      <c r="C375" s="2"/>
      <c r="D375" s="2"/>
      <c r="E375" s="2"/>
      <c r="F375" s="2"/>
      <c r="G375" s="2"/>
      <c r="H375" s="4"/>
    </row>
    <row r="376" spans="2:8" ht="12.75">
      <c r="B376" s="3"/>
      <c r="C376" s="2"/>
      <c r="D376" s="25"/>
      <c r="E376" s="25"/>
      <c r="F376" s="25" t="s">
        <v>120</v>
      </c>
      <c r="G376" s="25" t="s">
        <v>121</v>
      </c>
      <c r="H376" s="61"/>
    </row>
    <row r="377" spans="2:8" ht="12.75">
      <c r="B377" s="3"/>
      <c r="C377" s="2"/>
      <c r="D377" s="25" t="s">
        <v>122</v>
      </c>
      <c r="E377" s="25" t="s">
        <v>123</v>
      </c>
      <c r="F377" s="25" t="s">
        <v>123</v>
      </c>
      <c r="G377" s="25" t="s">
        <v>124</v>
      </c>
      <c r="H377" s="61" t="s">
        <v>125</v>
      </c>
    </row>
    <row r="378" spans="2:8" ht="13.5" thickBot="1">
      <c r="B378" s="193" t="s">
        <v>126</v>
      </c>
      <c r="C378" s="12"/>
      <c r="D378" s="35" t="s">
        <v>79</v>
      </c>
      <c r="E378" s="35" t="s">
        <v>127</v>
      </c>
      <c r="F378" s="35" t="s">
        <v>127</v>
      </c>
      <c r="G378" s="35" t="s">
        <v>127</v>
      </c>
      <c r="H378" s="91"/>
    </row>
    <row r="379" spans="2:8" ht="12.75">
      <c r="B379" s="129" t="s">
        <v>128</v>
      </c>
      <c r="C379" s="2"/>
      <c r="D379" s="2"/>
      <c r="E379" s="2"/>
      <c r="F379" s="2"/>
      <c r="G379" s="2"/>
      <c r="H379" s="4"/>
    </row>
    <row r="380" spans="2:8" ht="12.75">
      <c r="B380" s="233" t="s">
        <v>129</v>
      </c>
      <c r="C380" s="2"/>
      <c r="D380" s="160"/>
      <c r="E380" s="161"/>
      <c r="F380" s="161"/>
      <c r="G380" s="21">
        <f>E380-F380</f>
        <v>0</v>
      </c>
      <c r="H380" s="92">
        <f>G380*D380</f>
        <v>0</v>
      </c>
    </row>
    <row r="381" spans="2:8" ht="4.5" customHeight="1">
      <c r="B381" s="3"/>
      <c r="C381" s="2"/>
      <c r="D381" s="139"/>
      <c r="E381" s="139"/>
      <c r="F381" s="139"/>
      <c r="G381" s="2"/>
      <c r="H381" s="4"/>
    </row>
    <row r="382" spans="2:8" ht="12.75">
      <c r="B382" s="233" t="s">
        <v>130</v>
      </c>
      <c r="C382" s="2"/>
      <c r="D382" s="160"/>
      <c r="E382" s="161"/>
      <c r="F382" s="161"/>
      <c r="G382" s="21">
        <f>E382-F382</f>
        <v>0</v>
      </c>
      <c r="H382" s="92">
        <f>G382*D382</f>
        <v>0</v>
      </c>
    </row>
    <row r="383" spans="2:8" ht="4.5" customHeight="1">
      <c r="B383" s="3"/>
      <c r="C383" s="2"/>
      <c r="D383" s="2"/>
      <c r="E383" s="2"/>
      <c r="F383" s="2"/>
      <c r="G383" s="2"/>
      <c r="H383" s="4"/>
    </row>
    <row r="384" spans="2:8" ht="12.75">
      <c r="B384" s="3"/>
      <c r="C384" s="2"/>
      <c r="D384" s="88" t="s">
        <v>131</v>
      </c>
      <c r="E384" s="2"/>
      <c r="F384" s="2"/>
      <c r="G384" s="2"/>
      <c r="H384" s="4"/>
    </row>
    <row r="385" spans="2:8" ht="12.75">
      <c r="B385" s="3"/>
      <c r="C385" s="2"/>
      <c r="D385" s="2"/>
      <c r="E385" s="2"/>
      <c r="F385" s="2"/>
      <c r="G385" s="2"/>
      <c r="H385" s="4"/>
    </row>
    <row r="386" spans="2:8" ht="15" customHeight="1">
      <c r="B386" s="3"/>
      <c r="C386" s="2"/>
      <c r="D386" s="2"/>
      <c r="E386" s="177"/>
      <c r="F386" s="181"/>
      <c r="G386" s="182" t="s">
        <v>132</v>
      </c>
      <c r="H386" s="429">
        <f>(-H380)+(-H382)+D368+D372+D374</f>
        <v>0</v>
      </c>
    </row>
    <row r="387" spans="2:8" ht="12.75">
      <c r="B387" s="3"/>
      <c r="C387" s="2"/>
      <c r="D387" s="2"/>
      <c r="E387" s="2"/>
      <c r="F387" s="2"/>
      <c r="G387" s="2"/>
      <c r="H387" s="4"/>
    </row>
    <row r="388" spans="2:8" ht="13.5" thickBot="1">
      <c r="B388" s="5"/>
      <c r="C388" s="6"/>
      <c r="D388" s="6"/>
      <c r="E388" s="6"/>
      <c r="F388" s="6"/>
      <c r="G388" s="6"/>
      <c r="H388" s="7"/>
    </row>
    <row r="389" spans="2:8" ht="13.5" thickTop="1">
      <c r="B389" s="2"/>
      <c r="C389" s="2"/>
      <c r="D389" s="2"/>
      <c r="E389" s="2"/>
      <c r="F389" s="2"/>
      <c r="G389" s="2"/>
      <c r="H389" s="2"/>
    </row>
    <row r="390" spans="2:8" ht="13.5" thickBot="1">
      <c r="B390" s="2"/>
      <c r="C390" s="2"/>
      <c r="D390" s="2"/>
      <c r="E390" s="2"/>
      <c r="F390" s="2"/>
      <c r="G390" s="2"/>
      <c r="H390" s="2"/>
    </row>
    <row r="391" spans="2:8" ht="19.5" thickBot="1" thickTop="1">
      <c r="B391" s="365" t="s">
        <v>297</v>
      </c>
      <c r="C391" s="175"/>
      <c r="D391" s="175"/>
      <c r="E391" s="175"/>
      <c r="F391" s="175"/>
      <c r="G391" s="175"/>
      <c r="H391" s="176"/>
    </row>
    <row r="392" spans="2:8" ht="12.75">
      <c r="B392" s="3"/>
      <c r="C392" s="2"/>
      <c r="D392" s="2"/>
      <c r="E392" s="2"/>
      <c r="F392" s="2"/>
      <c r="G392" s="2"/>
      <c r="H392" s="4"/>
    </row>
    <row r="393" spans="2:8" ht="13.5" thickBot="1">
      <c r="B393" s="193" t="s">
        <v>133</v>
      </c>
      <c r="C393" s="12"/>
      <c r="D393" s="35" t="s">
        <v>40</v>
      </c>
      <c r="E393" s="35" t="s">
        <v>134</v>
      </c>
      <c r="F393" s="35" t="s">
        <v>104</v>
      </c>
      <c r="G393" s="35" t="s">
        <v>107</v>
      </c>
      <c r="H393" s="43" t="s">
        <v>108</v>
      </c>
    </row>
    <row r="394" spans="2:8" ht="12.75">
      <c r="B394" s="109" t="s">
        <v>135</v>
      </c>
      <c r="C394" s="2"/>
      <c r="D394" s="2"/>
      <c r="E394" s="2"/>
      <c r="F394" s="2"/>
      <c r="G394" s="2"/>
      <c r="H394" s="4"/>
    </row>
    <row r="395" spans="2:8" ht="4.5" customHeight="1">
      <c r="B395" s="3"/>
      <c r="C395" s="2"/>
      <c r="D395" s="25"/>
      <c r="E395" s="2"/>
      <c r="F395" s="2"/>
      <c r="G395" s="21"/>
      <c r="H395" s="44"/>
    </row>
    <row r="396" spans="2:8" ht="12.75">
      <c r="B396" s="233" t="s">
        <v>136</v>
      </c>
      <c r="C396" s="2"/>
      <c r="D396" s="153"/>
      <c r="E396" s="161"/>
      <c r="F396" s="161"/>
      <c r="G396" s="161"/>
      <c r="H396" s="44">
        <f>(D396*E396)+(D396*F396)+(G396*D396)</f>
        <v>0</v>
      </c>
    </row>
    <row r="397" spans="2:8" ht="4.5" customHeight="1">
      <c r="B397" s="234"/>
      <c r="C397" s="2"/>
      <c r="D397" s="150"/>
      <c r="E397" s="139"/>
      <c r="F397" s="139"/>
      <c r="G397" s="151"/>
      <c r="H397" s="44"/>
    </row>
    <row r="398" spans="2:8" ht="12.75">
      <c r="B398" s="233" t="s">
        <v>137</v>
      </c>
      <c r="C398" s="2"/>
      <c r="D398" s="153"/>
      <c r="E398" s="161"/>
      <c r="F398" s="161"/>
      <c r="G398" s="161"/>
      <c r="H398" s="44">
        <f>(D398*E398)+(D398*F398)+(G398*D398)</f>
        <v>0</v>
      </c>
    </row>
    <row r="399" spans="2:8" ht="4.5" customHeight="1">
      <c r="B399" s="234"/>
      <c r="C399" s="2"/>
      <c r="D399" s="150"/>
      <c r="E399" s="139"/>
      <c r="F399" s="139"/>
      <c r="G399" s="151"/>
      <c r="H399" s="44"/>
    </row>
    <row r="400" spans="2:8" ht="12.75">
      <c r="B400" s="233" t="s">
        <v>138</v>
      </c>
      <c r="C400" s="2"/>
      <c r="D400" s="153"/>
      <c r="E400" s="161"/>
      <c r="F400" s="161"/>
      <c r="G400" s="161"/>
      <c r="H400" s="44">
        <f>(D400*E400)+(D400*F400)+(G400*D400)</f>
        <v>0</v>
      </c>
    </row>
    <row r="401" spans="2:8" ht="4.5" customHeight="1">
      <c r="B401" s="234"/>
      <c r="C401" s="2"/>
      <c r="D401" s="150"/>
      <c r="E401" s="139"/>
      <c r="F401" s="139"/>
      <c r="G401" s="151"/>
      <c r="H401" s="44"/>
    </row>
    <row r="402" spans="2:8" ht="12.75">
      <c r="B402" s="233" t="s">
        <v>139</v>
      </c>
      <c r="C402" s="2"/>
      <c r="D402" s="153"/>
      <c r="E402" s="161"/>
      <c r="F402" s="161"/>
      <c r="G402" s="161"/>
      <c r="H402" s="44">
        <f>(D402*E402)+(D402*F402)+(G402*D402)</f>
        <v>0</v>
      </c>
    </row>
    <row r="403" spans="2:8" ht="4.5" customHeight="1">
      <c r="B403" s="234"/>
      <c r="C403" s="2"/>
      <c r="D403" s="150"/>
      <c r="E403" s="139"/>
      <c r="F403" s="139"/>
      <c r="G403" s="151"/>
      <c r="H403" s="44"/>
    </row>
    <row r="404" spans="2:8" ht="12.75">
      <c r="B404" s="233" t="s">
        <v>140</v>
      </c>
      <c r="C404" s="2"/>
      <c r="D404" s="153"/>
      <c r="E404" s="161"/>
      <c r="F404" s="161"/>
      <c r="G404" s="161"/>
      <c r="H404" s="44">
        <f>(D404*E404)+(D404*F404)+(G404*D404)</f>
        <v>0</v>
      </c>
    </row>
    <row r="405" spans="2:8" ht="4.5" customHeight="1">
      <c r="B405" s="234"/>
      <c r="C405" s="2"/>
      <c r="D405" s="150"/>
      <c r="E405" s="139"/>
      <c r="F405" s="139"/>
      <c r="G405" s="151"/>
      <c r="H405" s="44"/>
    </row>
    <row r="406" spans="2:8" ht="12.75">
      <c r="B406" s="233" t="s">
        <v>141</v>
      </c>
      <c r="C406" s="2"/>
      <c r="D406" s="153"/>
      <c r="E406" s="161"/>
      <c r="F406" s="161"/>
      <c r="G406" s="161"/>
      <c r="H406" s="44">
        <f>(D406*E406)+(D406*F406)+(G406*D406)</f>
        <v>0</v>
      </c>
    </row>
    <row r="407" spans="2:8" ht="4.5" customHeight="1">
      <c r="B407" s="234"/>
      <c r="C407" s="2"/>
      <c r="D407" s="150"/>
      <c r="E407" s="139"/>
      <c r="F407" s="139"/>
      <c r="G407" s="151"/>
      <c r="H407" s="44"/>
    </row>
    <row r="408" spans="2:8" ht="12.75">
      <c r="B408" s="233" t="s">
        <v>142</v>
      </c>
      <c r="C408" s="2"/>
      <c r="D408" s="153"/>
      <c r="E408" s="161"/>
      <c r="F408" s="161"/>
      <c r="G408" s="161"/>
      <c r="H408" s="44">
        <f>(D408*E408)+(D408*F408)+(G408*D408)</f>
        <v>0</v>
      </c>
    </row>
    <row r="409" spans="2:8" ht="12.75">
      <c r="B409" s="3"/>
      <c r="C409" s="2"/>
      <c r="D409" s="2"/>
      <c r="E409" s="2"/>
      <c r="F409" s="2"/>
      <c r="G409" s="2"/>
      <c r="H409" s="4"/>
    </row>
    <row r="410" spans="2:8" ht="12.75">
      <c r="B410" s="3"/>
      <c r="C410" s="2"/>
      <c r="D410" s="2"/>
      <c r="E410" s="21">
        <f>(E396*$D$396)+(E398*$D$398)+(E400*$D$400)+(E402*$D$402)+(E404*$D$404)+(E406*$D$406)+(E408*$D$408)</f>
        <v>0</v>
      </c>
      <c r="F410" s="21">
        <f>(F396*$D$396)+(F398*$D$398)+(F400*$D$400)+(F402*$D$402)+(F404*$D$404)+(F406*$D$406)+(F408*$D$408)</f>
        <v>0</v>
      </c>
      <c r="G410" s="21">
        <f>(G396*$D$396)+(G398*$D$398)+(G400*$D$400)+(G402*$D$402)+(G404*$D$404)+(G406*$D$406)+(G408*$D$408)</f>
        <v>0</v>
      </c>
      <c r="H410" s="4"/>
    </row>
    <row r="411" spans="2:8" ht="4.5" customHeight="1">
      <c r="B411" s="3"/>
      <c r="C411" s="2"/>
      <c r="D411" s="25"/>
      <c r="E411" s="2"/>
      <c r="F411" s="2"/>
      <c r="G411" s="21"/>
      <c r="H411" s="44"/>
    </row>
    <row r="412" spans="2:8" ht="15" customHeight="1">
      <c r="B412" s="3"/>
      <c r="C412" s="2"/>
      <c r="D412" s="2"/>
      <c r="E412" s="177"/>
      <c r="F412" s="181"/>
      <c r="G412" s="178" t="s">
        <v>143</v>
      </c>
      <c r="H412" s="425">
        <f>SUM(H396:H408)</f>
        <v>0</v>
      </c>
    </row>
    <row r="413" spans="2:8" ht="4.5" customHeight="1" thickBot="1">
      <c r="B413" s="5"/>
      <c r="C413" s="6"/>
      <c r="D413" s="111"/>
      <c r="E413" s="6"/>
      <c r="F413" s="6"/>
      <c r="G413" s="112"/>
      <c r="H413" s="54"/>
    </row>
    <row r="414" spans="2:8" ht="13.5" thickTop="1">
      <c r="B414" s="2"/>
      <c r="C414" s="2"/>
      <c r="D414" s="2"/>
      <c r="E414" s="2"/>
      <c r="F414" s="2"/>
      <c r="G414" s="2"/>
      <c r="H414" s="2"/>
    </row>
    <row r="415" spans="2:8" ht="13.5" thickBot="1">
      <c r="B415" s="2"/>
      <c r="C415" s="2"/>
      <c r="D415" s="2"/>
      <c r="E415" s="2"/>
      <c r="F415" s="2"/>
      <c r="G415" s="2"/>
      <c r="H415" s="2"/>
    </row>
    <row r="416" spans="2:8" ht="19.5" thickBot="1" thickTop="1">
      <c r="B416" s="365" t="s">
        <v>296</v>
      </c>
      <c r="C416" s="175"/>
      <c r="D416" s="175"/>
      <c r="E416" s="176"/>
      <c r="F416" s="2"/>
      <c r="G416" s="2"/>
      <c r="H416" s="2"/>
    </row>
    <row r="417" spans="2:8" ht="12.75">
      <c r="B417" s="3"/>
      <c r="C417" s="2"/>
      <c r="D417" s="25" t="s">
        <v>111</v>
      </c>
      <c r="E417" s="4"/>
      <c r="F417" s="2"/>
      <c r="G417" s="2"/>
      <c r="H417" s="2"/>
    </row>
    <row r="418" spans="2:8" ht="12.75">
      <c r="B418" s="3"/>
      <c r="C418" s="2"/>
      <c r="D418" s="25" t="s">
        <v>144</v>
      </c>
      <c r="E418" s="4"/>
      <c r="F418" s="2"/>
      <c r="G418" s="2"/>
      <c r="H418" s="2"/>
    </row>
    <row r="419" spans="2:8" ht="12.75">
      <c r="B419" s="19" t="s">
        <v>145</v>
      </c>
      <c r="C419" s="2"/>
      <c r="D419" s="161"/>
      <c r="E419" s="4"/>
      <c r="F419" s="2"/>
      <c r="G419" s="2"/>
      <c r="H419" s="2"/>
    </row>
    <row r="420" spans="2:8" ht="4.5" customHeight="1">
      <c r="B420" s="19"/>
      <c r="C420" s="2"/>
      <c r="D420" s="139"/>
      <c r="E420" s="4"/>
      <c r="F420" s="2"/>
      <c r="G420" s="2"/>
      <c r="H420" s="2"/>
    </row>
    <row r="421" spans="2:8" ht="12.75">
      <c r="B421" s="19" t="s">
        <v>146</v>
      </c>
      <c r="C421" s="2"/>
      <c r="D421" s="161"/>
      <c r="E421" s="4"/>
      <c r="F421" s="2"/>
      <c r="G421" s="2"/>
      <c r="H421" s="2"/>
    </row>
    <row r="422" spans="2:8" ht="4.5" customHeight="1">
      <c r="B422" s="19"/>
      <c r="C422" s="2"/>
      <c r="D422" s="139"/>
      <c r="E422" s="4"/>
      <c r="F422" s="2"/>
      <c r="G422" s="2"/>
      <c r="H422" s="2"/>
    </row>
    <row r="423" spans="2:8" ht="12.75">
      <c r="B423" s="19" t="s">
        <v>147</v>
      </c>
      <c r="C423" s="2"/>
      <c r="D423" s="161"/>
      <c r="E423" s="4"/>
      <c r="F423" s="2"/>
      <c r="G423" s="2"/>
      <c r="H423" s="2"/>
    </row>
    <row r="424" spans="2:8" ht="12.75">
      <c r="B424" s="3"/>
      <c r="C424" s="2"/>
      <c r="D424" s="2"/>
      <c r="E424" s="4"/>
      <c r="F424" s="2"/>
      <c r="G424" s="2"/>
      <c r="H424" s="2"/>
    </row>
    <row r="425" spans="2:8" ht="12.75">
      <c r="B425" s="183" t="s">
        <v>148</v>
      </c>
      <c r="C425" s="13"/>
      <c r="D425" s="430">
        <f>SUM(D419:D423)</f>
        <v>0</v>
      </c>
      <c r="E425" s="4"/>
      <c r="F425" s="2"/>
      <c r="G425" s="2"/>
      <c r="H425" s="2"/>
    </row>
    <row r="426" spans="2:8" ht="13.5" thickBot="1">
      <c r="B426" s="5"/>
      <c r="C426" s="6"/>
      <c r="D426" s="6"/>
      <c r="E426" s="7"/>
      <c r="F426" s="2"/>
      <c r="G426" s="2"/>
      <c r="H426" s="2"/>
    </row>
    <row r="427" ht="13.5" thickTop="1"/>
    <row r="428" ht="13.5" thickBot="1"/>
    <row r="429" spans="2:5" ht="19.5" thickBot="1" thickTop="1">
      <c r="B429" s="365" t="s">
        <v>295</v>
      </c>
      <c r="C429" s="175"/>
      <c r="D429" s="175"/>
      <c r="E429" s="176"/>
    </row>
    <row r="430" spans="2:5" ht="12.75">
      <c r="B430" s="3"/>
      <c r="C430" s="2"/>
      <c r="D430" s="303"/>
      <c r="E430" s="61"/>
    </row>
    <row r="431" spans="2:5" ht="12.75">
      <c r="B431" s="3"/>
      <c r="C431" s="2"/>
      <c r="D431" s="303" t="s">
        <v>365</v>
      </c>
      <c r="E431" s="61"/>
    </row>
    <row r="432" spans="2:5" ht="15" customHeight="1">
      <c r="B432" s="304" t="s">
        <v>366</v>
      </c>
      <c r="C432" s="2"/>
      <c r="D432" s="302"/>
      <c r="E432" s="61"/>
    </row>
    <row r="433" spans="2:5" ht="6.75" customHeight="1">
      <c r="B433" s="304"/>
      <c r="C433" s="2"/>
      <c r="D433" s="371"/>
      <c r="E433" s="61"/>
    </row>
    <row r="434" spans="2:5" ht="12.75">
      <c r="B434" s="304"/>
      <c r="C434" s="2"/>
      <c r="D434" s="371"/>
      <c r="E434" s="61"/>
    </row>
    <row r="435" spans="2:5" ht="12" customHeight="1">
      <c r="B435" s="3"/>
      <c r="C435" s="2"/>
      <c r="D435" s="25"/>
      <c r="E435" s="61"/>
    </row>
    <row r="436" spans="2:5" ht="12.75" customHeight="1">
      <c r="B436" s="222" t="s">
        <v>447</v>
      </c>
      <c r="C436" s="2"/>
      <c r="D436" s="305"/>
      <c r="E436" s="301"/>
    </row>
    <row r="437" spans="2:5" ht="6.75" customHeight="1">
      <c r="B437" s="458"/>
      <c r="C437" s="235"/>
      <c r="D437" s="459"/>
      <c r="E437" s="301"/>
    </row>
    <row r="438" spans="2:5" ht="12.75">
      <c r="B438" s="222" t="s">
        <v>446</v>
      </c>
      <c r="C438" s="2"/>
      <c r="D438" s="413"/>
      <c r="E438" s="301"/>
    </row>
    <row r="439" spans="2:8" ht="4.5" customHeight="1">
      <c r="B439" s="19"/>
      <c r="C439" s="2"/>
      <c r="D439" s="139"/>
      <c r="E439" s="168"/>
      <c r="F439" s="2"/>
      <c r="G439" s="2"/>
      <c r="H439" s="2"/>
    </row>
    <row r="440" spans="2:5" ht="12.75">
      <c r="B440" s="222" t="s">
        <v>337</v>
      </c>
      <c r="C440" s="2"/>
      <c r="D440" s="236" t="e">
        <f>VLOOKUP((TRUNC(D29/100)),'Do Not Alter'!A285:B1186,2)</f>
        <v>#N/A</v>
      </c>
      <c r="E440" s="301"/>
    </row>
    <row r="441" spans="2:5" ht="6" customHeight="1">
      <c r="B441" s="19"/>
      <c r="C441" s="2"/>
      <c r="D441" s="200"/>
      <c r="E441" s="201"/>
    </row>
    <row r="442" spans="2:5" ht="12.75">
      <c r="B442" s="222" t="s">
        <v>323</v>
      </c>
      <c r="C442" s="2"/>
      <c r="D442" s="2"/>
      <c r="E442" s="4"/>
    </row>
    <row r="443" spans="2:5" ht="13.5" thickBot="1">
      <c r="B443" s="5"/>
      <c r="C443" s="6"/>
      <c r="D443" s="6"/>
      <c r="E443" s="7"/>
    </row>
    <row r="444" ht="13.5" thickTop="1"/>
    <row r="445" spans="2:7" ht="31.5">
      <c r="B445" s="120" t="s">
        <v>362</v>
      </c>
      <c r="C445" s="23"/>
      <c r="D445" s="23"/>
      <c r="E445" s="23"/>
      <c r="F445" s="23"/>
      <c r="G445" s="23"/>
    </row>
  </sheetData>
  <sheetProtection sheet="1" objects="1" scenarios="1"/>
  <mergeCells count="3">
    <mergeCell ref="I186:I209"/>
    <mergeCell ref="I91:I114"/>
    <mergeCell ref="I140:I163"/>
  </mergeCells>
  <printOptions/>
  <pageMargins left="0.65" right="0.25" top="0.5" bottom="1" header="0.5" footer="0.5"/>
  <pageSetup fitToHeight="8" horizontalDpi="300" verticalDpi="300" orientation="portrait" scale="85" r:id="rId3"/>
  <headerFooter alignWithMargins="0">
    <oddFooter>&amp;L&amp;F
&amp;A Schedules&amp;CPage &amp;P of &amp;N</oddFooter>
  </headerFooter>
  <rowBreaks count="7" manualBreakCount="7">
    <brk id="59" min="1" max="7" man="1"/>
    <brk id="118" min="1" max="7" man="1"/>
    <brk id="168" min="1" max="7" man="1"/>
    <brk id="220" min="1" max="7" man="1"/>
    <brk id="289" min="1" max="7" man="1"/>
    <brk id="356" min="1" max="7" man="1"/>
    <brk id="427" min="1" max="7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B2:H52"/>
  <sheetViews>
    <sheetView showGridLines="0" workbookViewId="0" topLeftCell="A1">
      <selection activeCell="F11" sqref="F11"/>
    </sheetView>
  </sheetViews>
  <sheetFormatPr defaultColWidth="9.140625" defaultRowHeight="12.75"/>
  <cols>
    <col min="1" max="1" width="0.9921875" style="0" customWidth="1"/>
    <col min="2" max="2" width="31.140625" style="0" customWidth="1"/>
    <col min="3" max="3" width="1.8515625" style="0" customWidth="1"/>
    <col min="4" max="4" width="11.140625" style="0" customWidth="1"/>
    <col min="5" max="5" width="1.57421875" style="0" customWidth="1"/>
    <col min="6" max="6" width="12.7109375" style="0" customWidth="1"/>
    <col min="7" max="7" width="1.8515625" style="0" customWidth="1"/>
    <col min="8" max="8" width="36.7109375" style="0" customWidth="1"/>
  </cols>
  <sheetData>
    <row r="1" ht="9" customHeight="1"/>
    <row r="2" ht="12.75">
      <c r="B2" s="320" t="s">
        <v>430</v>
      </c>
    </row>
    <row r="3" ht="12.75">
      <c r="B3" s="320" t="s">
        <v>445</v>
      </c>
    </row>
    <row r="4" ht="12.75">
      <c r="B4" s="320" t="s">
        <v>391</v>
      </c>
    </row>
    <row r="5" ht="12.75">
      <c r="B5" s="320" t="s">
        <v>414</v>
      </c>
    </row>
    <row r="6" ht="12.75">
      <c r="B6" s="320" t="s">
        <v>415</v>
      </c>
    </row>
    <row r="7" ht="7.5" customHeight="1"/>
    <row r="8" spans="4:8" ht="15" customHeight="1">
      <c r="D8" s="315" t="s">
        <v>426</v>
      </c>
      <c r="F8" s="315" t="s">
        <v>427</v>
      </c>
      <c r="H8" s="315"/>
    </row>
    <row r="9" spans="4:8" ht="15" customHeight="1">
      <c r="D9" s="315" t="s">
        <v>248</v>
      </c>
      <c r="F9" s="315" t="s">
        <v>248</v>
      </c>
      <c r="H9" s="315" t="s">
        <v>409</v>
      </c>
    </row>
    <row r="10" spans="2:8" ht="15" customHeight="1">
      <c r="B10" s="314" t="s">
        <v>375</v>
      </c>
      <c r="C10" s="311"/>
      <c r="D10" s="315" t="s">
        <v>374</v>
      </c>
      <c r="F10" s="315" t="s">
        <v>374</v>
      </c>
      <c r="H10" s="315" t="s">
        <v>399</v>
      </c>
    </row>
    <row r="11" spans="2:8" ht="42" customHeight="1">
      <c r="B11" s="329" t="s">
        <v>376</v>
      </c>
      <c r="C11" s="326"/>
      <c r="D11" s="372">
        <v>28</v>
      </c>
      <c r="E11" s="321"/>
      <c r="F11" s="322"/>
      <c r="G11" s="321"/>
      <c r="H11" s="377" t="s">
        <v>397</v>
      </c>
    </row>
    <row r="12" spans="2:8" ht="15" customHeight="1">
      <c r="B12" s="324" t="s">
        <v>377</v>
      </c>
      <c r="C12" s="326"/>
      <c r="D12" s="373">
        <v>12</v>
      </c>
      <c r="E12" s="321"/>
      <c r="F12" s="323"/>
      <c r="G12" s="321"/>
      <c r="H12" s="377" t="s">
        <v>398</v>
      </c>
    </row>
    <row r="13" spans="2:8" ht="15" customHeight="1">
      <c r="B13" s="324" t="s">
        <v>378</v>
      </c>
      <c r="C13" s="326"/>
      <c r="D13" s="373">
        <v>240</v>
      </c>
      <c r="E13" s="321"/>
      <c r="F13" s="323"/>
      <c r="G13" s="321"/>
      <c r="H13" s="377" t="s">
        <v>400</v>
      </c>
    </row>
    <row r="14" spans="2:8" ht="15" customHeight="1">
      <c r="B14" s="325" t="s">
        <v>373</v>
      </c>
      <c r="C14" s="326"/>
      <c r="D14" s="374">
        <v>3000</v>
      </c>
      <c r="E14" s="321"/>
      <c r="F14" s="323"/>
      <c r="G14" s="321"/>
      <c r="H14" s="378" t="s">
        <v>401</v>
      </c>
    </row>
    <row r="15" spans="2:6" ht="15" customHeight="1">
      <c r="B15" s="416"/>
      <c r="C15" s="416"/>
      <c r="D15" s="315" t="s">
        <v>426</v>
      </c>
      <c r="E15" s="2"/>
      <c r="F15" s="315" t="s">
        <v>427</v>
      </c>
    </row>
    <row r="16" spans="4:8" ht="15" customHeight="1">
      <c r="D16" s="315" t="s">
        <v>248</v>
      </c>
      <c r="F16" s="315" t="s">
        <v>248</v>
      </c>
      <c r="H16" s="315" t="s">
        <v>409</v>
      </c>
    </row>
    <row r="17" spans="2:8" ht="15" customHeight="1">
      <c r="B17" s="314" t="s">
        <v>379</v>
      </c>
      <c r="D17" s="315" t="str">
        <f>IF('Model Input'!$D$436&gt;0,'Do Not Alter'!$A$209,'Do Not Alter'!$A$208)</f>
        <v>Values*</v>
      </c>
      <c r="F17" s="315" t="s">
        <v>374</v>
      </c>
      <c r="H17" s="315" t="s">
        <v>399</v>
      </c>
    </row>
    <row r="18" spans="2:8" ht="15" customHeight="1">
      <c r="B18" s="325" t="s">
        <v>34</v>
      </c>
      <c r="C18" s="326"/>
      <c r="D18" s="375">
        <f>IF('Model Input'!$D$436&gt;0,('Model Input'!$D$436+1)*'Do Not Alter'!B240,'Do Not Alter'!B240)</f>
        <v>23.45</v>
      </c>
      <c r="E18" s="327"/>
      <c r="F18" s="323"/>
      <c r="G18" s="321"/>
      <c r="H18" s="378" t="s">
        <v>402</v>
      </c>
    </row>
    <row r="19" spans="2:8" ht="15" customHeight="1">
      <c r="B19" s="325" t="s">
        <v>449</v>
      </c>
      <c r="C19" s="326"/>
      <c r="D19" s="375">
        <f>IF('Model Input'!$D$436&gt;0,('Model Input'!$D$436+1)*'Do Not Alter'!B241,'Do Not Alter'!B241)</f>
        <v>27.2</v>
      </c>
      <c r="E19" s="327"/>
      <c r="F19" s="323"/>
      <c r="G19" s="321"/>
      <c r="H19" s="378" t="s">
        <v>402</v>
      </c>
    </row>
    <row r="20" spans="2:8" ht="15" customHeight="1">
      <c r="B20" s="325" t="s">
        <v>450</v>
      </c>
      <c r="C20" s="326"/>
      <c r="D20" s="375">
        <f>IF('Model Input'!$D$436&gt;0,('Model Input'!$D$436+1)*'Do Not Alter'!B242,'Do Not Alter'!B242)</f>
        <v>22.1</v>
      </c>
      <c r="E20" s="327"/>
      <c r="F20" s="323"/>
      <c r="G20" s="321"/>
      <c r="H20" s="378" t="s">
        <v>402</v>
      </c>
    </row>
    <row r="21" spans="2:8" ht="15" customHeight="1">
      <c r="B21" s="325" t="s">
        <v>36</v>
      </c>
      <c r="C21" s="326"/>
      <c r="D21" s="375">
        <f>IF('Model Input'!$D$436&gt;0,('Model Input'!$D$436+1)*'Do Not Alter'!B243,'Do Not Alter'!B243)</f>
        <v>21.45</v>
      </c>
      <c r="E21" s="327"/>
      <c r="F21" s="323"/>
      <c r="G21" s="321"/>
      <c r="H21" s="378" t="s">
        <v>448</v>
      </c>
    </row>
    <row r="22" spans="2:8" ht="15" customHeight="1">
      <c r="B22" s="325" t="s">
        <v>381</v>
      </c>
      <c r="C22" s="326"/>
      <c r="D22" s="375">
        <f>IF('Model Input'!$D$436&gt;0,('Model Input'!$D$436+1)*'Do Not Alter'!B244,'Do Not Alter'!B244)</f>
        <v>32.4</v>
      </c>
      <c r="E22" s="327"/>
      <c r="F22" s="323"/>
      <c r="G22" s="321"/>
      <c r="H22" s="378" t="s">
        <v>401</v>
      </c>
    </row>
    <row r="23" spans="2:6" ht="15" customHeight="1">
      <c r="B23" s="416"/>
      <c r="C23" s="416"/>
      <c r="D23" s="315" t="s">
        <v>426</v>
      </c>
      <c r="E23" s="2"/>
      <c r="F23" s="315" t="s">
        <v>427</v>
      </c>
    </row>
    <row r="24" spans="2:8" ht="15" customHeight="1">
      <c r="B24" s="311"/>
      <c r="C24" s="311"/>
      <c r="D24" s="315" t="s">
        <v>248</v>
      </c>
      <c r="F24" s="315" t="s">
        <v>248</v>
      </c>
      <c r="H24" s="315" t="s">
        <v>409</v>
      </c>
    </row>
    <row r="25" spans="2:8" ht="15" customHeight="1">
      <c r="B25" s="314" t="s">
        <v>104</v>
      </c>
      <c r="C25" s="312"/>
      <c r="D25" s="315" t="str">
        <f>IF('Model Input'!$D$436&gt;0,'Do Not Alter'!$A$209,'Do Not Alter'!$A$208)</f>
        <v>Values*</v>
      </c>
      <c r="F25" s="315" t="s">
        <v>374</v>
      </c>
      <c r="H25" s="315" t="s">
        <v>399</v>
      </c>
    </row>
    <row r="26" spans="2:8" ht="15" customHeight="1">
      <c r="B26" s="325" t="s">
        <v>384</v>
      </c>
      <c r="C26" s="326"/>
      <c r="D26" s="375">
        <f>IF('Model Input'!$D$436&gt;0,('Model Input'!$D$436+1)*'Do Not Alter'!B247,'Do Not Alter'!B247)</f>
        <v>59.06</v>
      </c>
      <c r="E26" s="327"/>
      <c r="F26" s="323"/>
      <c r="G26" s="321"/>
      <c r="H26" s="378" t="s">
        <v>402</v>
      </c>
    </row>
    <row r="27" spans="2:8" ht="15" customHeight="1">
      <c r="B27" s="325" t="s">
        <v>382</v>
      </c>
      <c r="C27" s="326"/>
      <c r="D27" s="375">
        <f>IF('Model Input'!$D$436&gt;0,('Model Input'!$D$436+1)*'Do Not Alter'!B248,'Do Not Alter'!B248)</f>
        <v>72.11</v>
      </c>
      <c r="E27" s="327"/>
      <c r="F27" s="323"/>
      <c r="G27" s="321"/>
      <c r="H27" s="378" t="s">
        <v>402</v>
      </c>
    </row>
    <row r="28" spans="2:8" ht="15" customHeight="1">
      <c r="B28" s="325" t="s">
        <v>383</v>
      </c>
      <c r="C28" s="326"/>
      <c r="D28" s="375">
        <f>IF('Model Input'!$D$436&gt;0,('Model Input'!$D$436+1)*'Do Not Alter'!B249,'Do Not Alter'!B249)</f>
        <v>46.65</v>
      </c>
      <c r="E28" s="327"/>
      <c r="F28" s="323"/>
      <c r="G28" s="321"/>
      <c r="H28" s="378" t="s">
        <v>401</v>
      </c>
    </row>
    <row r="29" spans="2:8" ht="28.5" customHeight="1">
      <c r="B29" s="331" t="s">
        <v>380</v>
      </c>
      <c r="C29" s="332"/>
      <c r="D29" s="376">
        <f>IF('Model Input'!$D$436&gt;0,('Model Input'!$D$436+1)*'Do Not Alter'!B250,'Do Not Alter'!B250)</f>
        <v>200</v>
      </c>
      <c r="E29" s="327"/>
      <c r="F29" s="323"/>
      <c r="G29" s="321"/>
      <c r="H29" s="379" t="s">
        <v>403</v>
      </c>
    </row>
    <row r="30" spans="2:6" ht="15" customHeight="1">
      <c r="B30" s="416"/>
      <c r="C30" s="416"/>
      <c r="D30" s="315" t="s">
        <v>426</v>
      </c>
      <c r="E30" s="2"/>
      <c r="F30" s="315" t="s">
        <v>427</v>
      </c>
    </row>
    <row r="31" spans="2:8" ht="15" customHeight="1">
      <c r="B31" s="311"/>
      <c r="C31" s="311"/>
      <c r="D31" s="315" t="s">
        <v>248</v>
      </c>
      <c r="F31" s="315" t="s">
        <v>248</v>
      </c>
      <c r="H31" s="315" t="s">
        <v>409</v>
      </c>
    </row>
    <row r="32" spans="2:8" ht="15" customHeight="1">
      <c r="B32" s="314" t="s">
        <v>107</v>
      </c>
      <c r="C32" s="312"/>
      <c r="D32" s="315" t="str">
        <f>IF('Model Input'!$D$436&gt;0,'Do Not Alter'!$A$209,'Do Not Alter'!$A$208)</f>
        <v>Values*</v>
      </c>
      <c r="F32" s="315" t="s">
        <v>374</v>
      </c>
      <c r="H32" s="315" t="s">
        <v>399</v>
      </c>
    </row>
    <row r="33" spans="2:8" ht="15" customHeight="1">
      <c r="B33" s="325" t="s">
        <v>369</v>
      </c>
      <c r="C33" s="326"/>
      <c r="D33" s="375">
        <f>IF('Model Input'!$D$436&gt;0,('Model Input'!$D$436+1)*'Do Not Alter'!B253,'Do Not Alter'!B253)</f>
        <v>250</v>
      </c>
      <c r="E33" s="327"/>
      <c r="F33" s="323"/>
      <c r="G33" s="321"/>
      <c r="H33" s="378" t="s">
        <v>404</v>
      </c>
    </row>
    <row r="34" spans="2:8" ht="15" customHeight="1">
      <c r="B34" s="325" t="s">
        <v>370</v>
      </c>
      <c r="C34" s="326"/>
      <c r="D34" s="375">
        <f>IF('Model Input'!$D$436&gt;0,('Model Input'!$D$436+1)*'Do Not Alter'!B254,'Do Not Alter'!B254)</f>
        <v>30</v>
      </c>
      <c r="E34" s="327"/>
      <c r="F34" s="323"/>
      <c r="G34" s="321"/>
      <c r="H34" s="378" t="s">
        <v>404</v>
      </c>
    </row>
    <row r="35" spans="2:8" ht="15" customHeight="1">
      <c r="B35" s="325" t="s">
        <v>371</v>
      </c>
      <c r="C35" s="326"/>
      <c r="D35" s="375">
        <f>IF('Model Input'!$D$436&gt;0,('Model Input'!$D$436+1)*'Do Not Alter'!B255,'Do Not Alter'!B255)</f>
        <v>28</v>
      </c>
      <c r="E35" s="327"/>
      <c r="F35" s="323"/>
      <c r="G35" s="321"/>
      <c r="H35" s="378" t="s">
        <v>404</v>
      </c>
    </row>
    <row r="36" spans="2:8" ht="15" customHeight="1">
      <c r="B36" s="325" t="s">
        <v>372</v>
      </c>
      <c r="C36" s="326"/>
      <c r="D36" s="375">
        <f>IF('Model Input'!$D$436&gt;0,('Model Input'!$D$436+1)*'Do Not Alter'!B256,'Do Not Alter'!B256)</f>
        <v>48</v>
      </c>
      <c r="E36" s="327"/>
      <c r="F36" s="323"/>
      <c r="G36" s="321"/>
      <c r="H36" s="378" t="s">
        <v>405</v>
      </c>
    </row>
    <row r="37" spans="2:6" ht="15" customHeight="1">
      <c r="B37" s="416"/>
      <c r="C37" s="416"/>
      <c r="D37" s="315" t="s">
        <v>426</v>
      </c>
      <c r="E37" s="2"/>
      <c r="F37" s="315" t="s">
        <v>427</v>
      </c>
    </row>
    <row r="38" spans="2:8" ht="15" customHeight="1">
      <c r="B38" s="311"/>
      <c r="C38" s="311"/>
      <c r="D38" s="315" t="s">
        <v>248</v>
      </c>
      <c r="F38" s="315" t="s">
        <v>248</v>
      </c>
      <c r="H38" s="315" t="s">
        <v>409</v>
      </c>
    </row>
    <row r="39" spans="2:8" ht="15" customHeight="1">
      <c r="B39" s="461" t="s">
        <v>389</v>
      </c>
      <c r="C39" s="311"/>
      <c r="D39" s="315" t="str">
        <f>IF('Model Input'!$D$436&gt;0,'Do Not Alter'!$A$209,'Do Not Alter'!$A$208)</f>
        <v>Values*</v>
      </c>
      <c r="F39" s="315" t="s">
        <v>374</v>
      </c>
      <c r="H39" s="315" t="s">
        <v>399</v>
      </c>
    </row>
    <row r="40" spans="2:8" ht="15" customHeight="1">
      <c r="B40" s="325" t="s">
        <v>428</v>
      </c>
      <c r="C40" s="326"/>
      <c r="D40" s="375">
        <f>IF('Model Input'!$D$436&gt;0,('Model Input'!$D$436+1)*'Do Not Alter'!B259,'Do Not Alter'!B259)</f>
        <v>37</v>
      </c>
      <c r="E40" s="327"/>
      <c r="F40" s="323"/>
      <c r="G40" s="321"/>
      <c r="H40" s="378" t="s">
        <v>406</v>
      </c>
    </row>
    <row r="41" spans="2:8" ht="15" customHeight="1">
      <c r="B41" s="325" t="s">
        <v>276</v>
      </c>
      <c r="C41" s="326"/>
      <c r="D41" s="375">
        <f>IF('Model Input'!$D$436&gt;0,('Model Input'!$D$436+1)*'Do Not Alter'!B260,'Do Not Alter'!B260)</f>
        <v>40</v>
      </c>
      <c r="E41" s="327"/>
      <c r="F41" s="323"/>
      <c r="G41" s="321"/>
      <c r="H41" s="378" t="s">
        <v>406</v>
      </c>
    </row>
    <row r="42" spans="2:8" ht="15" customHeight="1">
      <c r="B42" s="325" t="s">
        <v>277</v>
      </c>
      <c r="C42" s="326"/>
      <c r="D42" s="375">
        <f>IF('Model Input'!$D$436&gt;0,('Model Input'!$D$436+1)*'Do Not Alter'!B261,'Do Not Alter'!B261)</f>
        <v>42</v>
      </c>
      <c r="E42" s="327"/>
      <c r="F42" s="323"/>
      <c r="G42" s="321"/>
      <c r="H42" s="378" t="s">
        <v>406</v>
      </c>
    </row>
    <row r="43" spans="2:8" ht="15" customHeight="1">
      <c r="B43" s="325" t="s">
        <v>278</v>
      </c>
      <c r="C43" s="326"/>
      <c r="D43" s="375">
        <f>IF('Model Input'!$D$436&gt;0,('Model Input'!$D$436+1)*'Do Not Alter'!B262,'Do Not Alter'!B262)</f>
        <v>28</v>
      </c>
      <c r="E43" s="327"/>
      <c r="F43" s="323"/>
      <c r="G43" s="321"/>
      <c r="H43" s="378" t="s">
        <v>406</v>
      </c>
    </row>
    <row r="44" spans="2:8" ht="15" customHeight="1">
      <c r="B44" s="325" t="s">
        <v>279</v>
      </c>
      <c r="C44" s="326"/>
      <c r="D44" s="375">
        <f>IF('Model Input'!$D$436&gt;0,('Model Input'!$D$436+1)*'Do Not Alter'!B263,'Do Not Alter'!B263)</f>
        <v>20</v>
      </c>
      <c r="E44" s="327"/>
      <c r="F44" s="323"/>
      <c r="G44" s="321"/>
      <c r="H44" s="378" t="s">
        <v>406</v>
      </c>
    </row>
    <row r="45" spans="2:8" ht="15" customHeight="1">
      <c r="B45" s="325" t="s">
        <v>280</v>
      </c>
      <c r="C45" s="326"/>
      <c r="D45" s="375">
        <f>IF('Model Input'!$D$436&gt;0,('Model Input'!$D$436+1)*'Do Not Alter'!B264,'Do Not Alter'!B264)</f>
        <v>22</v>
      </c>
      <c r="E45" s="327"/>
      <c r="F45" s="323"/>
      <c r="G45" s="321"/>
      <c r="H45" s="378" t="s">
        <v>406</v>
      </c>
    </row>
    <row r="46" spans="2:8" ht="15" customHeight="1">
      <c r="B46" s="325" t="s">
        <v>281</v>
      </c>
      <c r="C46" s="326"/>
      <c r="D46" s="375">
        <f>IF('Model Input'!$D$436&gt;0,('Model Input'!$D$436+1)*'Do Not Alter'!B265,'Do Not Alter'!B265)</f>
        <v>26</v>
      </c>
      <c r="E46" s="327"/>
      <c r="F46" s="323"/>
      <c r="G46" s="321"/>
      <c r="H46" s="378" t="s">
        <v>406</v>
      </c>
    </row>
    <row r="47" spans="2:8" ht="15" customHeight="1">
      <c r="B47" s="325" t="s">
        <v>282</v>
      </c>
      <c r="C47" s="326"/>
      <c r="D47" s="375">
        <f>IF('Model Input'!$D$436&gt;0,('Model Input'!$D$436+1)*'Do Not Alter'!B266,'Do Not Alter'!B266)</f>
        <v>31</v>
      </c>
      <c r="E47" s="327"/>
      <c r="F47" s="323"/>
      <c r="G47" s="321"/>
      <c r="H47" s="378" t="s">
        <v>406</v>
      </c>
    </row>
    <row r="48" spans="2:5" ht="15" customHeight="1">
      <c r="B48" s="460" t="str">
        <f>IF('Model Input'!$D$436&gt;0,'Do Not Alter'!$A$210,'Do Not Alter'!$A$211)</f>
        <v>*In 1999 Dollars</v>
      </c>
      <c r="C48" s="311"/>
      <c r="D48" s="313"/>
      <c r="E48" s="229"/>
    </row>
    <row r="49" ht="15" customHeight="1">
      <c r="E49" s="229"/>
    </row>
    <row r="50" ht="15" customHeight="1">
      <c r="E50" s="229"/>
    </row>
    <row r="51" spans="2:5" ht="15" customHeight="1">
      <c r="B51" s="311"/>
      <c r="C51" s="311"/>
      <c r="D51" s="311"/>
      <c r="E51" s="229"/>
    </row>
    <row r="52" spans="2:4" ht="15" customHeight="1">
      <c r="B52" s="312"/>
      <c r="C52" s="312"/>
      <c r="D52" s="312"/>
    </row>
  </sheetData>
  <sheetProtection sheet="1" objects="1" scenarios="1"/>
  <printOptions/>
  <pageMargins left="0.65" right="0.25" top="0.25" bottom="0.49" header="0.25" footer="0.2"/>
  <pageSetup horizontalDpi="600" verticalDpi="600" orientation="portrait" r:id="rId2"/>
  <headerFooter alignWithMargins="0">
    <oddFooter>&amp;L&amp;F
&amp;A and User-Entered Values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B1:M64"/>
  <sheetViews>
    <sheetView showGridLines="0" zoomScale="90" zoomScaleNormal="90" workbookViewId="0" topLeftCell="A48">
      <selection activeCell="L60" sqref="L60"/>
    </sheetView>
  </sheetViews>
  <sheetFormatPr defaultColWidth="9.140625" defaultRowHeight="12.75"/>
  <cols>
    <col min="1" max="1" width="2.7109375" style="0" customWidth="1"/>
    <col min="2" max="2" width="5.00390625" style="0" customWidth="1"/>
    <col min="3" max="3" width="12.00390625" style="0" customWidth="1"/>
    <col min="4" max="4" width="8.28125" style="0" customWidth="1"/>
    <col min="5" max="5" width="12.140625" style="0" customWidth="1"/>
    <col min="6" max="6" width="6.421875" style="0" customWidth="1"/>
    <col min="7" max="7" width="13.7109375" style="0" customWidth="1"/>
    <col min="8" max="8" width="2.7109375" style="0" customWidth="1"/>
    <col min="9" max="9" width="15.7109375" style="78" customWidth="1"/>
    <col min="10" max="10" width="7.8515625" style="0" customWidth="1"/>
    <col min="11" max="11" width="13.8515625" style="0" customWidth="1"/>
    <col min="12" max="12" width="14.421875" style="0" customWidth="1"/>
  </cols>
  <sheetData>
    <row r="1" spans="2:13" ht="20.25" customHeight="1">
      <c r="B1" s="464" t="s">
        <v>328</v>
      </c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</row>
    <row r="2" spans="2:12" ht="20.25" customHeight="1" thickBot="1">
      <c r="B2" s="172" t="str">
        <f>IF('Do Not Alter'!B11=1,'Do Not Alter'!D11,IF('Do Not Alter'!B11=2,'Do Not Alter'!D12,IF('Do Not Alter'!B11=3,'Do Not Alter'!D13)))</f>
        <v>Cost Estimate of an Individual Site*</v>
      </c>
      <c r="C2" s="75"/>
      <c r="D2" s="75"/>
      <c r="E2" s="10"/>
      <c r="F2" s="10"/>
      <c r="G2" s="23"/>
      <c r="H2" s="23"/>
      <c r="I2" s="23"/>
      <c r="J2" s="23"/>
      <c r="K2" s="23"/>
      <c r="L2" s="23"/>
    </row>
    <row r="3" spans="2:12" ht="16.5" customHeight="1">
      <c r="B3" s="93"/>
      <c r="C3" s="449">
        <f>IF('Model Input'!D19=0,'Do Not Alter'!E3,'Model Input'!D19)</f>
      </c>
      <c r="D3" s="337"/>
      <c r="E3" s="202"/>
      <c r="F3" s="94"/>
      <c r="G3" s="333"/>
      <c r="H3" s="333"/>
      <c r="K3" s="79" t="s">
        <v>329</v>
      </c>
      <c r="L3" s="76">
        <f ca="1">TODAY()</f>
        <v>36914</v>
      </c>
    </row>
    <row r="4" spans="2:12" ht="15.75">
      <c r="B4" s="93"/>
      <c r="C4" s="203">
        <f>IF('Model Input'!D21&gt;0,'Model Input'!D21,'Do Not Alter'!E3)</f>
      </c>
      <c r="D4" s="338"/>
      <c r="E4" s="2"/>
      <c r="F4" s="455"/>
      <c r="G4" s="333"/>
      <c r="H4" s="333"/>
      <c r="K4" s="79" t="str">
        <f>'Model Input'!B31</f>
        <v>Date Evaluated</v>
      </c>
      <c r="L4" s="77">
        <f>'Model Input'!D31</f>
        <v>0</v>
      </c>
    </row>
    <row r="5" spans="2:12" ht="15.75">
      <c r="B5" s="93"/>
      <c r="C5" s="203" t="str">
        <f>CONCATENATE('Do Not Alter'!A213,'Do Not Alter'!B213)</f>
        <v>Unknown County</v>
      </c>
      <c r="D5" s="24"/>
      <c r="E5" s="24"/>
      <c r="F5" s="456"/>
      <c r="G5" s="333"/>
      <c r="H5" s="333"/>
      <c r="I5" s="95"/>
      <c r="J5" s="96"/>
      <c r="K5" s="96"/>
      <c r="L5" s="20"/>
    </row>
    <row r="6" spans="2:12" ht="15" customHeight="1" thickBot="1">
      <c r="B6" s="93"/>
      <c r="C6" s="453" t="str">
        <f>CONCATENATE('Do Not Alter'!A214,'Do Not Alter'!B214,'Do Not Alter'!C214,'Do Not Alter'!D214,'Do Not Alter'!E214)</f>
        <v>,  </v>
      </c>
      <c r="D6" s="452"/>
      <c r="E6" s="452"/>
      <c r="F6" s="457"/>
      <c r="G6" s="2"/>
      <c r="H6" s="2"/>
      <c r="I6" s="95"/>
      <c r="J6" s="96"/>
      <c r="K6" s="96"/>
      <c r="L6" s="20"/>
    </row>
    <row r="7" spans="2:12" ht="6" customHeight="1">
      <c r="B7" s="93"/>
      <c r="C7" s="93"/>
      <c r="D7" s="93"/>
      <c r="E7" s="93"/>
      <c r="F7" s="93"/>
      <c r="G7" s="93"/>
      <c r="H7" s="93"/>
      <c r="I7" s="95"/>
      <c r="J7" s="96"/>
      <c r="K7" s="96"/>
      <c r="L7" s="20"/>
    </row>
    <row r="8" spans="2:12" ht="15.75">
      <c r="B8" s="97" t="s">
        <v>150</v>
      </c>
      <c r="C8" s="93"/>
      <c r="D8" s="93"/>
      <c r="E8" s="93"/>
      <c r="F8" s="93"/>
      <c r="G8" s="96"/>
      <c r="H8" s="96"/>
      <c r="I8" s="95"/>
      <c r="J8" s="96"/>
      <c r="K8" s="96"/>
      <c r="L8" s="20"/>
    </row>
    <row r="9" spans="2:12" ht="5.25" customHeight="1">
      <c r="B9" s="93"/>
      <c r="C9" s="93"/>
      <c r="D9" s="93"/>
      <c r="E9" s="93"/>
      <c r="F9" s="93"/>
      <c r="G9" s="93"/>
      <c r="H9" s="93"/>
      <c r="I9" s="95"/>
      <c r="J9" s="93"/>
      <c r="K9" s="96"/>
      <c r="L9" s="20"/>
    </row>
    <row r="10" spans="2:11" ht="15" customHeight="1">
      <c r="B10" s="93"/>
      <c r="D10" s="101" t="str">
        <f>'Do Not Alter'!A206</f>
        <v>Unknown square feet of an abandonned/vacant lot in an urban setting.</v>
      </c>
      <c r="E10" s="101"/>
      <c r="F10" s="101"/>
      <c r="G10" s="101"/>
      <c r="H10" s="101"/>
      <c r="I10" s="79"/>
      <c r="K10" s="93"/>
    </row>
    <row r="11" spans="2:12" ht="15" customHeight="1">
      <c r="B11" s="93"/>
      <c r="D11" s="340" t="s">
        <v>438</v>
      </c>
      <c r="E11" s="341"/>
      <c r="F11" s="342"/>
      <c r="G11" s="342"/>
      <c r="H11" s="343"/>
      <c r="I11" s="344"/>
      <c r="J11" s="345"/>
      <c r="K11" s="339"/>
      <c r="L11" s="345"/>
    </row>
    <row r="12" spans="2:12" ht="15" customHeight="1">
      <c r="B12" s="198"/>
      <c r="D12" s="433">
        <f>'Model Input'!D67</f>
        <v>0</v>
      </c>
      <c r="E12" s="434">
        <f>'Model Input'!E67</f>
      </c>
      <c r="F12" s="435" t="str">
        <f>'Model Input'!B67</f>
        <v>Mixed or unknown</v>
      </c>
      <c r="G12" s="436"/>
      <c r="H12" s="436"/>
      <c r="I12" s="435">
        <f>'Model Input'!D71</f>
        <v>0</v>
      </c>
      <c r="J12" s="434">
        <f>'Model Input'!E71</f>
      </c>
      <c r="K12" s="434" t="str">
        <f>'Model Input'!B71</f>
        <v>Brush or landscape</v>
      </c>
      <c r="L12" s="437"/>
    </row>
    <row r="13" spans="2:12" ht="15" customHeight="1">
      <c r="B13" s="93"/>
      <c r="D13" s="438">
        <f>'Model Input'!D68</f>
        <v>0</v>
      </c>
      <c r="E13" s="439">
        <f>'Model Input'!E68</f>
      </c>
      <c r="F13" s="440" t="str">
        <f>'Model Input'!B68</f>
        <v>Household</v>
      </c>
      <c r="G13" s="441"/>
      <c r="H13" s="441"/>
      <c r="I13" s="442">
        <f>'Model Input'!D122</f>
        <v>0</v>
      </c>
      <c r="J13" s="439">
        <f>'Model Input'!E122</f>
      </c>
      <c r="K13" s="439" t="str">
        <f>'Model Input'!B122</f>
        <v>Appliances</v>
      </c>
      <c r="L13" s="443"/>
    </row>
    <row r="14" spans="2:12" ht="15" customHeight="1">
      <c r="B14" s="93"/>
      <c r="D14" s="438">
        <f>'Model Input'!D69</f>
        <v>0</v>
      </c>
      <c r="E14" s="439">
        <f>'Model Input'!E69</f>
      </c>
      <c r="F14" s="440" t="str">
        <f>'Model Input'!B69</f>
        <v>C&amp;D--Building Materials</v>
      </c>
      <c r="G14" s="441"/>
      <c r="H14" s="441"/>
      <c r="I14" s="444">
        <f>'Model Input'!D172</f>
        <v>0</v>
      </c>
      <c r="J14" s="445"/>
      <c r="K14" s="439" t="str">
        <f>'Model Input'!B172</f>
        <v>Tires</v>
      </c>
      <c r="L14" s="443"/>
    </row>
    <row r="15" spans="2:12" ht="15" customHeight="1">
      <c r="B15" s="93"/>
      <c r="D15" s="448">
        <f>'Model Input'!D70</f>
        <v>0</v>
      </c>
      <c r="E15" s="344">
        <f>'Model Input'!E70</f>
      </c>
      <c r="F15" s="344" t="str">
        <f>'Model Input'!B70</f>
        <v>C&amp;D--Concrete</v>
      </c>
      <c r="G15" s="339"/>
      <c r="H15" s="339"/>
      <c r="I15" s="446"/>
      <c r="J15" s="339"/>
      <c r="K15" s="339"/>
      <c r="L15" s="447"/>
    </row>
    <row r="16" spans="2:11" ht="12.75">
      <c r="B16" s="93"/>
      <c r="C16" s="93"/>
      <c r="D16" s="93"/>
      <c r="E16" s="93"/>
      <c r="F16" s="93"/>
      <c r="G16" s="93"/>
      <c r="H16" s="93"/>
      <c r="I16" s="95"/>
      <c r="J16" s="93"/>
      <c r="K16" s="93"/>
    </row>
    <row r="17" spans="2:11" ht="15.75">
      <c r="B17" s="97" t="s">
        <v>437</v>
      </c>
      <c r="C17" s="93"/>
      <c r="D17" s="93"/>
      <c r="E17" s="93"/>
      <c r="F17" s="93"/>
      <c r="G17" s="93"/>
      <c r="H17" s="93"/>
      <c r="I17" s="95"/>
      <c r="J17" s="133"/>
      <c r="K17" s="93"/>
    </row>
    <row r="18" spans="2:11" ht="15.75">
      <c r="B18" s="97"/>
      <c r="D18" s="102" t="s">
        <v>151</v>
      </c>
      <c r="E18" s="101"/>
      <c r="F18" s="101"/>
      <c r="G18" s="101"/>
      <c r="H18" s="101"/>
      <c r="I18" s="79"/>
      <c r="J18" s="101"/>
      <c r="K18" s="101"/>
    </row>
    <row r="19" spans="2:11" ht="15">
      <c r="B19" s="134">
        <f>IF('Do Not Alter'!B97=1,IF('Model Input'!H63=0,'Do Not Alter'!A150,'Do Not Alter'!E3),IF('Do Not Alter'!B97=2,IF('Model Input'!H63&gt;0,'Do Not Alter'!A151,'Do Not Alter'!E3)))</f>
      </c>
      <c r="E19" s="101"/>
      <c r="F19" s="101"/>
      <c r="G19" s="101"/>
      <c r="H19" s="101"/>
      <c r="I19" s="79"/>
      <c r="J19" s="101"/>
      <c r="K19" s="101"/>
    </row>
    <row r="20" spans="2:11" ht="15">
      <c r="B20" s="93"/>
      <c r="C20" s="101"/>
      <c r="D20" s="101"/>
      <c r="E20" s="101" t="s">
        <v>152</v>
      </c>
      <c r="F20" s="101"/>
      <c r="G20" s="194">
        <f>ROUND('Do Not Alter'!B159,'Do Not Alter'!C165)</f>
        <v>0</v>
      </c>
      <c r="H20" s="194"/>
      <c r="J20" s="101"/>
      <c r="K20" s="101"/>
    </row>
    <row r="21" spans="2:11" ht="15">
      <c r="B21" s="93"/>
      <c r="C21" s="101"/>
      <c r="D21" s="101"/>
      <c r="E21" s="101" t="s">
        <v>153</v>
      </c>
      <c r="F21" s="101"/>
      <c r="G21" s="194">
        <f>ROUND('Do Not Alter'!B160,'Do Not Alter'!C165)</f>
        <v>0</v>
      </c>
      <c r="H21" s="194"/>
      <c r="I21" s="79"/>
      <c r="J21" s="101"/>
      <c r="K21" s="101"/>
    </row>
    <row r="22" spans="2:11" ht="7.5" customHeight="1">
      <c r="B22" s="98"/>
      <c r="C22" s="101"/>
      <c r="D22" s="101"/>
      <c r="E22" s="101"/>
      <c r="F22" s="101"/>
      <c r="G22" s="101"/>
      <c r="H22" s="101"/>
      <c r="I22" s="79"/>
      <c r="J22" s="101"/>
      <c r="K22" s="101"/>
    </row>
    <row r="23" spans="2:11" ht="15">
      <c r="B23" s="93"/>
      <c r="C23" s="101"/>
      <c r="D23" s="101"/>
      <c r="F23" s="101"/>
      <c r="G23" s="79" t="s">
        <v>407</v>
      </c>
      <c r="H23" s="79"/>
      <c r="I23" s="195">
        <f>ROUND(IF('Model Input'!H63&gt;0,'Model Input'!H63,G20+G21),'Do Not Alter'!C165)</f>
        <v>0</v>
      </c>
      <c r="J23" s="101"/>
      <c r="K23" s="101"/>
    </row>
    <row r="24" spans="2:11" ht="7.5" customHeight="1">
      <c r="B24" s="133">
        <f>IF('Do Not Alter'!$B$97=1,IF('Do Not Alter'!$B$117=1,IF('Model Input'!$H$223&gt;0,'Do Not Alter'!$A$154,'Do Not Alter'!$E$3),'Do Not Alter'!$E$3),'Do Not Alter'!E3)</f>
      </c>
      <c r="C24" s="101"/>
      <c r="D24" s="101"/>
      <c r="E24" s="101"/>
      <c r="F24" s="101"/>
      <c r="G24" s="101"/>
      <c r="H24" s="101"/>
      <c r="I24" s="79"/>
      <c r="J24" s="101"/>
      <c r="K24" s="101"/>
    </row>
    <row r="25" spans="2:11" ht="15">
      <c r="B25" s="93"/>
      <c r="D25" s="102" t="s">
        <v>436</v>
      </c>
      <c r="E25" s="101"/>
      <c r="F25" s="101"/>
      <c r="G25" s="101"/>
      <c r="H25" s="101"/>
      <c r="I25" s="196">
        <f>ROUND(IF('Model Input'!H223&gt;0,'Model Input'!H223,'Model Input'!H250),'Do Not Alter'!C165)</f>
        <v>0</v>
      </c>
      <c r="J25" s="101"/>
      <c r="K25" s="101"/>
    </row>
    <row r="26" spans="2:11" ht="12" customHeight="1">
      <c r="B26" s="134">
        <f>IF('Do Not Alter'!B117=1,IF('Model Input'!H223=0,'Do Not Alter'!A152,'Do Not Alter'!E3),IF('Do Not Alter'!B117=2,IF('Model Input'!H223&gt;0,'Do Not Alter'!A153,'Do Not Alter'!E3)))</f>
      </c>
      <c r="C26" s="101"/>
      <c r="D26" s="101"/>
      <c r="E26" s="101"/>
      <c r="F26" s="101"/>
      <c r="G26" s="101"/>
      <c r="H26" s="101"/>
      <c r="I26" s="79"/>
      <c r="J26" s="101"/>
      <c r="K26" s="101"/>
    </row>
    <row r="27" spans="2:11" ht="15">
      <c r="B27" s="93"/>
      <c r="D27" s="102" t="s">
        <v>154</v>
      </c>
      <c r="E27" s="101"/>
      <c r="F27" s="101"/>
      <c r="G27" s="101"/>
      <c r="H27" s="101"/>
      <c r="I27" s="196">
        <f>ROUND(IF('Model Input'!G257&gt;0,'Model Input'!G257,'Model Input'!G288),'Do Not Alter'!C165)</f>
        <v>0</v>
      </c>
      <c r="J27" s="101"/>
      <c r="K27" s="101"/>
    </row>
    <row r="28" spans="2:11" ht="12.75" customHeight="1">
      <c r="B28" s="134">
        <f>IF('Do Not Alter'!B129=1,IF('Model Input'!G257=0,'Do Not Alter'!A155,'Do Not Alter'!E3),IF('Do Not Alter'!B129=2,IF('Model Input'!G257&gt;0,'Do Not Alter'!A156,'Do Not Alter'!E3)))</f>
      </c>
      <c r="C28" s="101"/>
      <c r="D28" s="101"/>
      <c r="E28" s="101"/>
      <c r="F28" s="101"/>
      <c r="G28" s="101"/>
      <c r="H28" s="101"/>
      <c r="I28" s="107"/>
      <c r="J28" s="101"/>
      <c r="K28" s="101"/>
    </row>
    <row r="29" spans="2:11" ht="15">
      <c r="B29" s="93"/>
      <c r="C29" s="101"/>
      <c r="D29" s="101"/>
      <c r="E29" s="101"/>
      <c r="F29" s="101"/>
      <c r="H29" s="101"/>
      <c r="I29" s="79"/>
      <c r="J29" s="104" t="s">
        <v>442</v>
      </c>
      <c r="K29" s="197">
        <f>I23+I25+I27</f>
        <v>0</v>
      </c>
    </row>
    <row r="30" spans="2:11" ht="15">
      <c r="B30" s="93"/>
      <c r="C30" s="101"/>
      <c r="D30" s="101"/>
      <c r="E30" s="101"/>
      <c r="F30" s="106"/>
      <c r="G30" s="101"/>
      <c r="H30" s="101"/>
      <c r="I30" s="79"/>
      <c r="J30" s="101"/>
      <c r="K30" s="105"/>
    </row>
    <row r="31" spans="2:11" ht="15.75">
      <c r="B31" s="97" t="s">
        <v>155</v>
      </c>
      <c r="C31" s="93"/>
      <c r="D31" s="93"/>
      <c r="E31" s="93"/>
      <c r="F31" s="93"/>
      <c r="G31" s="93"/>
      <c r="H31" s="93"/>
      <c r="I31" s="95"/>
      <c r="J31" s="93"/>
      <c r="K31" s="93"/>
    </row>
    <row r="32" spans="2:11" ht="15">
      <c r="B32" s="93"/>
      <c r="D32" s="102" t="s">
        <v>156</v>
      </c>
      <c r="E32" s="101"/>
      <c r="F32" s="101"/>
      <c r="G32" s="101"/>
      <c r="H32" s="101"/>
      <c r="I32" s="196">
        <f>ROUND('Model Input'!H324,'Do Not Alter'!C165)</f>
        <v>0</v>
      </c>
      <c r="J32" s="101"/>
      <c r="K32" s="101"/>
    </row>
    <row r="33" spans="2:11" ht="7.5" customHeight="1">
      <c r="B33" s="93"/>
      <c r="C33" s="101"/>
      <c r="D33" s="101"/>
      <c r="E33" s="101"/>
      <c r="F33" s="101"/>
      <c r="G33" s="101"/>
      <c r="H33" s="101"/>
      <c r="I33" s="79"/>
      <c r="J33" s="101"/>
      <c r="K33" s="101"/>
    </row>
    <row r="34" spans="2:11" ht="15">
      <c r="B34" s="93"/>
      <c r="D34" s="102" t="s">
        <v>157</v>
      </c>
      <c r="E34" s="101"/>
      <c r="F34" s="101"/>
      <c r="G34" s="101"/>
      <c r="H34" s="101"/>
      <c r="I34" s="79"/>
      <c r="J34" s="101"/>
      <c r="K34" s="101"/>
    </row>
    <row r="35" spans="2:11" ht="7.5" customHeight="1">
      <c r="B35" s="93"/>
      <c r="C35" s="101"/>
      <c r="D35" s="101"/>
      <c r="E35" s="101"/>
      <c r="F35" s="101"/>
      <c r="G35" s="101"/>
      <c r="H35" s="101"/>
      <c r="I35" s="79"/>
      <c r="J35" s="101"/>
      <c r="K35" s="101"/>
    </row>
    <row r="36" spans="2:11" ht="15">
      <c r="B36" s="93"/>
      <c r="C36" s="101"/>
      <c r="D36" s="101"/>
      <c r="E36" s="101" t="s">
        <v>81</v>
      </c>
      <c r="F36" s="101"/>
      <c r="G36" s="197">
        <f>ROUND('Model Input'!E352,'Do Not Alter'!C165)</f>
        <v>0</v>
      </c>
      <c r="H36" s="197"/>
      <c r="I36" s="79"/>
      <c r="J36" s="101"/>
      <c r="K36" s="101"/>
    </row>
    <row r="37" spans="2:11" ht="15">
      <c r="B37" s="93"/>
      <c r="C37" s="101"/>
      <c r="D37" s="101"/>
      <c r="E37" s="101" t="s">
        <v>104</v>
      </c>
      <c r="F37" s="101"/>
      <c r="G37" s="197">
        <f>ROUND('Model Input'!F352,'Do Not Alter'!C165)</f>
        <v>0</v>
      </c>
      <c r="H37" s="197"/>
      <c r="I37" s="79"/>
      <c r="J37" s="101"/>
      <c r="K37" s="101"/>
    </row>
    <row r="38" spans="2:11" ht="15">
      <c r="B38" s="93"/>
      <c r="C38" s="101"/>
      <c r="D38" s="101"/>
      <c r="E38" s="101" t="s">
        <v>107</v>
      </c>
      <c r="F38" s="101"/>
      <c r="G38" s="197">
        <f>ROUND('Model Input'!G352,'Do Not Alter'!C165)</f>
        <v>0</v>
      </c>
      <c r="H38" s="197"/>
      <c r="I38" s="79"/>
      <c r="J38" s="101"/>
      <c r="K38" s="101"/>
    </row>
    <row r="39" spans="2:11" ht="7.5" customHeight="1">
      <c r="B39" s="93"/>
      <c r="C39" s="101"/>
      <c r="D39" s="101"/>
      <c r="E39" s="101"/>
      <c r="F39" s="101"/>
      <c r="G39" s="101"/>
      <c r="H39" s="101"/>
      <c r="I39" s="79"/>
      <c r="J39" s="101"/>
      <c r="K39" s="101"/>
    </row>
    <row r="40" spans="2:11" ht="15">
      <c r="B40" s="93"/>
      <c r="E40" s="101"/>
      <c r="G40" s="79" t="s">
        <v>407</v>
      </c>
      <c r="H40" s="79"/>
      <c r="I40" s="209">
        <f>SUM(G36:G38)</f>
        <v>0</v>
      </c>
      <c r="J40" s="101"/>
      <c r="K40" s="101"/>
    </row>
    <row r="41" spans="2:11" ht="7.5" customHeight="1">
      <c r="B41" s="93"/>
      <c r="C41" s="101"/>
      <c r="D41" s="101"/>
      <c r="E41" s="101"/>
      <c r="F41" s="101"/>
      <c r="G41" s="101"/>
      <c r="H41" s="101"/>
      <c r="I41" s="79"/>
      <c r="J41" s="101"/>
      <c r="K41" s="101"/>
    </row>
    <row r="42" spans="2:11" ht="15">
      <c r="B42" s="93"/>
      <c r="C42" s="101"/>
      <c r="D42" s="101"/>
      <c r="E42" s="101"/>
      <c r="F42" s="101"/>
      <c r="H42" s="101"/>
      <c r="I42" s="79"/>
      <c r="J42" s="104" t="s">
        <v>158</v>
      </c>
      <c r="K42" s="208">
        <f>I32+I40</f>
        <v>0</v>
      </c>
    </row>
    <row r="43" spans="2:11" ht="15">
      <c r="B43" s="93"/>
      <c r="C43" s="101"/>
      <c r="D43" s="101"/>
      <c r="E43" s="101"/>
      <c r="F43" s="101"/>
      <c r="G43" s="101"/>
      <c r="H43" s="101"/>
      <c r="I43" s="79"/>
      <c r="J43" s="104"/>
      <c r="K43" s="108"/>
    </row>
    <row r="44" spans="2:11" ht="15.75">
      <c r="B44" s="97" t="s">
        <v>159</v>
      </c>
      <c r="C44" s="93"/>
      <c r="D44" s="93"/>
      <c r="E44" s="93"/>
      <c r="F44" s="93"/>
      <c r="G44" s="93"/>
      <c r="H44" s="93"/>
      <c r="I44" s="95"/>
      <c r="J44" s="99"/>
      <c r="K44" s="100"/>
    </row>
    <row r="45" spans="2:11" ht="7.5" customHeight="1">
      <c r="B45" s="101"/>
      <c r="C45" s="101"/>
      <c r="D45" s="101"/>
      <c r="E45" s="101"/>
      <c r="F45" s="101"/>
      <c r="G45" s="101"/>
      <c r="H45" s="101"/>
      <c r="I45" s="79"/>
      <c r="J45" s="104"/>
      <c r="K45" s="108"/>
    </row>
    <row r="46" spans="2:11" ht="17.25">
      <c r="B46" s="101"/>
      <c r="D46" s="102" t="s">
        <v>160</v>
      </c>
      <c r="E46" s="101"/>
      <c r="F46" s="101"/>
      <c r="G46" s="101"/>
      <c r="H46" s="101"/>
      <c r="I46" s="197">
        <f>ROUND('Model Input'!H386,'Do Not Alter'!C165)</f>
        <v>0</v>
      </c>
      <c r="J46" s="104"/>
      <c r="K46" s="101"/>
    </row>
    <row r="47" spans="2:11" ht="7.5" customHeight="1">
      <c r="B47" s="101"/>
      <c r="C47" s="101"/>
      <c r="D47" s="101"/>
      <c r="E47" s="101"/>
      <c r="F47" s="101"/>
      <c r="G47" s="101"/>
      <c r="H47" s="101"/>
      <c r="I47" s="79"/>
      <c r="J47" s="104"/>
      <c r="K47" s="101"/>
    </row>
    <row r="48" spans="2:11" ht="15">
      <c r="B48" s="101"/>
      <c r="D48" s="102" t="s">
        <v>161</v>
      </c>
      <c r="E48" s="101"/>
      <c r="F48" s="101"/>
      <c r="G48" s="101"/>
      <c r="H48" s="101"/>
      <c r="I48" s="79"/>
      <c r="J48" s="104"/>
      <c r="K48" s="101"/>
    </row>
    <row r="49" spans="2:11" ht="7.5" customHeight="1">
      <c r="B49" s="101"/>
      <c r="C49" s="101"/>
      <c r="D49" s="101"/>
      <c r="E49" s="101"/>
      <c r="F49" s="101"/>
      <c r="G49" s="101"/>
      <c r="H49" s="101"/>
      <c r="I49" s="79"/>
      <c r="J49" s="104"/>
      <c r="K49" s="101"/>
    </row>
    <row r="50" spans="2:11" ht="15">
      <c r="B50" s="101"/>
      <c r="C50" s="101"/>
      <c r="D50" s="101"/>
      <c r="E50" s="101" t="s">
        <v>81</v>
      </c>
      <c r="F50" s="101"/>
      <c r="G50" s="197">
        <f>ROUND('Model Input'!E410,'Do Not Alter'!C165)</f>
        <v>0</v>
      </c>
      <c r="H50" s="197"/>
      <c r="I50" s="79"/>
      <c r="J50" s="104"/>
      <c r="K50" s="101"/>
    </row>
    <row r="51" spans="2:11" ht="15">
      <c r="B51" s="101"/>
      <c r="C51" s="101"/>
      <c r="D51" s="101"/>
      <c r="E51" s="101" t="s">
        <v>104</v>
      </c>
      <c r="F51" s="101"/>
      <c r="G51" s="197">
        <f>ROUND('Model Input'!F410,'Do Not Alter'!C165)</f>
        <v>0</v>
      </c>
      <c r="H51" s="197"/>
      <c r="I51" s="79"/>
      <c r="J51" s="104"/>
      <c r="K51" s="101"/>
    </row>
    <row r="52" spans="2:11" ht="15">
      <c r="B52" s="101"/>
      <c r="C52" s="101"/>
      <c r="D52" s="101"/>
      <c r="E52" s="101" t="s">
        <v>107</v>
      </c>
      <c r="F52" s="101"/>
      <c r="G52" s="197">
        <f>ROUND('Model Input'!G410,'Do Not Alter'!C165)</f>
        <v>0</v>
      </c>
      <c r="H52" s="197"/>
      <c r="I52" s="79"/>
      <c r="J52" s="104"/>
      <c r="K52" s="101"/>
    </row>
    <row r="53" spans="2:11" ht="7.5" customHeight="1">
      <c r="B53" s="101"/>
      <c r="C53" s="101"/>
      <c r="D53" s="101"/>
      <c r="E53" s="101"/>
      <c r="F53" s="101"/>
      <c r="G53" s="101"/>
      <c r="H53" s="101"/>
      <c r="I53" s="79"/>
      <c r="J53" s="104"/>
      <c r="K53" s="101"/>
    </row>
    <row r="54" spans="2:11" ht="15">
      <c r="B54" s="101"/>
      <c r="C54" s="101"/>
      <c r="D54" s="101"/>
      <c r="G54" s="79" t="s">
        <v>407</v>
      </c>
      <c r="H54" s="79"/>
      <c r="I54" s="209">
        <f>SUM(G50:G52)</f>
        <v>0</v>
      </c>
      <c r="J54" s="104"/>
      <c r="K54" s="101"/>
    </row>
    <row r="55" spans="2:11" ht="7.5" customHeight="1">
      <c r="B55" s="101"/>
      <c r="C55" s="101"/>
      <c r="D55" s="101"/>
      <c r="F55" s="101"/>
      <c r="G55" s="101"/>
      <c r="H55" s="101"/>
      <c r="I55" s="103"/>
      <c r="J55" s="104"/>
      <c r="K55" s="101"/>
    </row>
    <row r="56" spans="2:11" ht="15">
      <c r="B56" s="101"/>
      <c r="C56" s="101"/>
      <c r="D56" s="101"/>
      <c r="F56" s="101"/>
      <c r="G56" s="101"/>
      <c r="H56" s="101"/>
      <c r="I56" s="103"/>
      <c r="J56" s="104" t="s">
        <v>162</v>
      </c>
      <c r="K56" s="197">
        <f>I46+I54</f>
        <v>0</v>
      </c>
    </row>
    <row r="57" spans="2:11" ht="15">
      <c r="B57" s="101"/>
      <c r="C57" s="101"/>
      <c r="D57" s="101"/>
      <c r="F57" s="101"/>
      <c r="G57" s="101"/>
      <c r="H57" s="101"/>
      <c r="I57" s="103"/>
      <c r="J57" s="104"/>
      <c r="K57" s="105"/>
    </row>
    <row r="58" spans="2:11" ht="18.75">
      <c r="B58" s="97" t="s">
        <v>163</v>
      </c>
      <c r="C58" s="101"/>
      <c r="D58" s="101"/>
      <c r="F58" s="101"/>
      <c r="G58" s="101"/>
      <c r="H58" s="101"/>
      <c r="I58"/>
      <c r="J58" s="104"/>
      <c r="K58" s="209">
        <f>ROUND('Model Input'!D425,'Do Not Alter'!C165)</f>
        <v>0</v>
      </c>
    </row>
    <row r="59" spans="2:11" ht="15.75" thickBot="1">
      <c r="B59" s="101"/>
      <c r="C59" s="101"/>
      <c r="D59" s="101"/>
      <c r="F59" s="101"/>
      <c r="G59" s="101"/>
      <c r="H59" s="101"/>
      <c r="I59" s="103"/>
      <c r="J59" s="104"/>
      <c r="K59" s="101"/>
    </row>
    <row r="60" spans="2:12" ht="16.5" thickBot="1">
      <c r="B60" s="101"/>
      <c r="C60" s="101"/>
      <c r="D60" s="101"/>
      <c r="E60" s="101"/>
      <c r="G60" s="101"/>
      <c r="H60" s="101"/>
      <c r="I60" s="101"/>
      <c r="J60" s="110" t="s">
        <v>164</v>
      </c>
      <c r="K60" s="104"/>
      <c r="L60" s="126">
        <f>K29+K42+K56-K58</f>
        <v>0</v>
      </c>
    </row>
    <row r="61" spans="2:11" ht="15">
      <c r="B61" s="101"/>
      <c r="C61" s="101"/>
      <c r="D61" s="101"/>
      <c r="E61" s="101"/>
      <c r="F61" s="101"/>
      <c r="G61" s="101"/>
      <c r="H61" s="101"/>
      <c r="I61" s="79"/>
      <c r="J61" s="104"/>
      <c r="K61" s="101"/>
    </row>
    <row r="62" spans="2:11" ht="15">
      <c r="B62" s="199" t="s">
        <v>440</v>
      </c>
      <c r="C62" s="101"/>
      <c r="D62" s="101"/>
      <c r="E62" s="450" t="str">
        <f>IF('Do Not Alter'!B165=1,'Do Not Alter'!A166,IF('Do Not Alter'!B165=2,'Do Not Alter'!A167,IF('Do Not Alter'!B165=3,'Do Not Alter'!A168,IF('Do Not Alter'!B165=4,'Do Not Alter'!A169,IF('Do Not Alter'!B165=5,'Do Not Alter'!A170,"unit not selected")))))</f>
        <v>$100</v>
      </c>
      <c r="G62" s="101"/>
      <c r="H62" s="101"/>
      <c r="I62" s="79"/>
      <c r="J62" s="104"/>
      <c r="K62" s="101"/>
    </row>
    <row r="63" spans="2:11" ht="15">
      <c r="B63" s="125" t="s">
        <v>441</v>
      </c>
      <c r="C63" s="101"/>
      <c r="D63" s="101"/>
      <c r="E63" s="101"/>
      <c r="F63" s="101"/>
      <c r="G63" s="101"/>
      <c r="H63" s="101"/>
      <c r="I63" s="79"/>
      <c r="J63" s="104"/>
      <c r="K63" s="101"/>
    </row>
    <row r="64" spans="2:11" ht="12.75">
      <c r="B64" s="125" t="s">
        <v>408</v>
      </c>
      <c r="C64" s="93"/>
      <c r="D64" s="93"/>
      <c r="E64" s="93"/>
      <c r="F64" s="93"/>
      <c r="G64" s="93"/>
      <c r="H64" s="93"/>
      <c r="I64" s="95"/>
      <c r="J64" s="93"/>
      <c r="K64" s="93"/>
    </row>
  </sheetData>
  <sheetProtection sheet="1" objects="1" scenarios="1"/>
  <mergeCells count="1">
    <mergeCell ref="B1:M1"/>
  </mergeCells>
  <printOptions/>
  <pageMargins left="0.49" right="0.25" top="0.25" bottom="0.55" header="0" footer="0.24"/>
  <pageSetup horizontalDpi="300" verticalDpi="300" orientation="portrait" scale="82" r:id="rId2"/>
  <headerFooter alignWithMargins="0">
    <oddFooter>&amp;CPage &amp;P of &amp;N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:H23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33.7109375" style="0" customWidth="1"/>
    <col min="2" max="2" width="12.7109375" style="0" customWidth="1"/>
    <col min="3" max="3" width="15.7109375" style="0" customWidth="1"/>
    <col min="4" max="4" width="12.7109375" style="0" customWidth="1"/>
    <col min="5" max="5" width="14.8515625" style="0" customWidth="1"/>
    <col min="6" max="6" width="10.28125" style="0" customWidth="1"/>
    <col min="7" max="7" width="15.8515625" style="0" customWidth="1"/>
  </cols>
  <sheetData>
    <row r="2" spans="1:5" ht="18.75" thickBot="1">
      <c r="A2" s="466" t="s">
        <v>165</v>
      </c>
      <c r="B2" s="466"/>
      <c r="C2" s="466"/>
      <c r="D2" s="466"/>
      <c r="E2" s="466"/>
    </row>
    <row r="3" spans="1:5" ht="14.25" thickBot="1" thickTop="1">
      <c r="A3" s="9" t="s">
        <v>166</v>
      </c>
      <c r="B3" s="32" t="s">
        <v>167</v>
      </c>
      <c r="C3" s="33" t="s">
        <v>168</v>
      </c>
      <c r="D3" s="306" t="s">
        <v>169</v>
      </c>
      <c r="E3" s="34" t="s">
        <v>170</v>
      </c>
    </row>
    <row r="4" spans="1:5" ht="14.25">
      <c r="A4" s="346" t="s">
        <v>171</v>
      </c>
      <c r="B4" s="347"/>
      <c r="C4" s="348" t="s">
        <v>217</v>
      </c>
      <c r="D4" s="349">
        <f>B4*43560</f>
        <v>0</v>
      </c>
      <c r="E4" s="350" t="s">
        <v>173</v>
      </c>
    </row>
    <row r="5" spans="1:5" ht="14.25">
      <c r="A5" s="351" t="s">
        <v>174</v>
      </c>
      <c r="B5" s="352"/>
      <c r="C5" s="353" t="s">
        <v>217</v>
      </c>
      <c r="D5" s="354">
        <f>B5/640</f>
        <v>0</v>
      </c>
      <c r="E5" s="355" t="s">
        <v>175</v>
      </c>
    </row>
    <row r="6" spans="1:5" ht="14.25">
      <c r="A6" s="351" t="s">
        <v>176</v>
      </c>
      <c r="B6" s="352"/>
      <c r="C6" s="353" t="s">
        <v>385</v>
      </c>
      <c r="D6" s="354" t="e">
        <f>1/B6</f>
        <v>#DIV/0!</v>
      </c>
      <c r="E6" s="355" t="s">
        <v>177</v>
      </c>
    </row>
    <row r="7" spans="1:5" ht="14.25">
      <c r="A7" s="351" t="s">
        <v>178</v>
      </c>
      <c r="B7" s="352"/>
      <c r="C7" s="353" t="s">
        <v>179</v>
      </c>
      <c r="D7" s="356">
        <f>B7/27</f>
        <v>0</v>
      </c>
      <c r="E7" s="355" t="s">
        <v>180</v>
      </c>
    </row>
    <row r="8" spans="1:5" ht="14.25">
      <c r="A8" s="351" t="s">
        <v>181</v>
      </c>
      <c r="B8" s="352"/>
      <c r="C8" s="353" t="s">
        <v>386</v>
      </c>
      <c r="D8" s="354">
        <f>B8*27</f>
        <v>0</v>
      </c>
      <c r="E8" s="355" t="s">
        <v>179</v>
      </c>
    </row>
    <row r="9" spans="1:5" ht="14.25">
      <c r="A9" s="351" t="s">
        <v>182</v>
      </c>
      <c r="B9" s="352"/>
      <c r="C9" s="353" t="s">
        <v>183</v>
      </c>
      <c r="D9" s="354">
        <f>B9/3</f>
        <v>0</v>
      </c>
      <c r="E9" s="355" t="s">
        <v>184</v>
      </c>
    </row>
    <row r="10" spans="1:5" ht="14.25">
      <c r="A10" s="351" t="s">
        <v>186</v>
      </c>
      <c r="B10" s="352"/>
      <c r="C10" s="353" t="s">
        <v>187</v>
      </c>
      <c r="D10" s="354" t="e">
        <f>1/B10</f>
        <v>#DIV/0!</v>
      </c>
      <c r="E10" s="355" t="s">
        <v>188</v>
      </c>
    </row>
    <row r="11" spans="1:5" ht="15">
      <c r="A11" s="357" t="s">
        <v>189</v>
      </c>
      <c r="B11" s="358"/>
      <c r="C11" s="353" t="s">
        <v>185</v>
      </c>
      <c r="D11" s="359">
        <f>B11/2000</f>
        <v>0</v>
      </c>
      <c r="E11" s="355" t="s">
        <v>190</v>
      </c>
    </row>
    <row r="12" spans="1:5" ht="14.25">
      <c r="A12" s="351" t="s">
        <v>191</v>
      </c>
      <c r="B12" s="352"/>
      <c r="C12" s="353" t="s">
        <v>173</v>
      </c>
      <c r="D12" s="354">
        <f>B12/43560</f>
        <v>0</v>
      </c>
      <c r="E12" s="355" t="s">
        <v>172</v>
      </c>
    </row>
    <row r="13" spans="1:5" ht="14.25">
      <c r="A13" s="351" t="s">
        <v>192</v>
      </c>
      <c r="B13" s="352"/>
      <c r="C13" s="353" t="s">
        <v>173</v>
      </c>
      <c r="D13" s="354">
        <f>B13/9</f>
        <v>0</v>
      </c>
      <c r="E13" s="355" t="s">
        <v>193</v>
      </c>
    </row>
    <row r="14" spans="1:5" ht="14.25">
      <c r="A14" s="351" t="s">
        <v>194</v>
      </c>
      <c r="B14" s="352"/>
      <c r="C14" s="353" t="s">
        <v>175</v>
      </c>
      <c r="D14" s="354">
        <f>B14*640</f>
        <v>0</v>
      </c>
      <c r="E14" s="355" t="s">
        <v>172</v>
      </c>
    </row>
    <row r="15" spans="1:5" ht="14.25">
      <c r="A15" s="351" t="s">
        <v>195</v>
      </c>
      <c r="B15" s="352"/>
      <c r="C15" s="353" t="s">
        <v>387</v>
      </c>
      <c r="D15" s="354">
        <f>B15*9</f>
        <v>0</v>
      </c>
      <c r="E15" s="355" t="s">
        <v>173</v>
      </c>
    </row>
    <row r="16" spans="1:5" ht="14.25">
      <c r="A16" s="351" t="s">
        <v>196</v>
      </c>
      <c r="B16" s="352"/>
      <c r="C16" s="353" t="s">
        <v>188</v>
      </c>
      <c r="D16" s="354" t="e">
        <f>1/B16</f>
        <v>#DIV/0!</v>
      </c>
      <c r="E16" s="355" t="s">
        <v>187</v>
      </c>
    </row>
    <row r="17" spans="1:5" ht="14.25">
      <c r="A17" s="351" t="s">
        <v>197</v>
      </c>
      <c r="B17" s="352"/>
      <c r="C17" s="353" t="s">
        <v>190</v>
      </c>
      <c r="D17" s="354">
        <f>B17*2000</f>
        <v>0</v>
      </c>
      <c r="E17" s="355" t="s">
        <v>185</v>
      </c>
    </row>
    <row r="18" spans="1:5" ht="15" thickBot="1">
      <c r="A18" s="360" t="s">
        <v>198</v>
      </c>
      <c r="B18" s="361"/>
      <c r="C18" s="362" t="s">
        <v>388</v>
      </c>
      <c r="D18" s="363">
        <f>B18*3</f>
        <v>0</v>
      </c>
      <c r="E18" s="364" t="s">
        <v>183</v>
      </c>
    </row>
    <row r="19" ht="13.5" thickTop="1"/>
    <row r="20" spans="1:7" ht="18.75" thickBot="1">
      <c r="A20" s="465" t="s">
        <v>199</v>
      </c>
      <c r="B20" s="465"/>
      <c r="C20" s="465"/>
      <c r="D20" s="465"/>
      <c r="E20" s="465"/>
      <c r="F20" s="465"/>
      <c r="G20" s="465"/>
    </row>
    <row r="21" spans="1:8" ht="14.25" thickBot="1" thickTop="1">
      <c r="A21" s="121" t="s">
        <v>200</v>
      </c>
      <c r="B21" s="122" t="s">
        <v>201</v>
      </c>
      <c r="C21" s="123" t="s">
        <v>202</v>
      </c>
      <c r="D21" s="122" t="s">
        <v>203</v>
      </c>
      <c r="E21" s="123" t="s">
        <v>204</v>
      </c>
      <c r="F21" s="127" t="s">
        <v>169</v>
      </c>
      <c r="G21" s="128" t="s">
        <v>205</v>
      </c>
      <c r="H21" s="23"/>
    </row>
    <row r="22" spans="1:7" ht="12.75">
      <c r="A22" s="294" t="s">
        <v>206</v>
      </c>
      <c r="B22" s="295"/>
      <c r="C22" s="292" t="s">
        <v>207</v>
      </c>
      <c r="D22" s="296"/>
      <c r="E22" s="292" t="s">
        <v>208</v>
      </c>
      <c r="F22" s="297">
        <f>(B22*D22)/27</f>
        <v>0</v>
      </c>
      <c r="G22" s="298" t="s">
        <v>27</v>
      </c>
    </row>
    <row r="23" spans="1:7" ht="13.5" thickBot="1">
      <c r="A23" s="316" t="s">
        <v>209</v>
      </c>
      <c r="B23" s="317"/>
      <c r="C23" s="293" t="s">
        <v>210</v>
      </c>
      <c r="D23" s="317"/>
      <c r="E23" s="293" t="s">
        <v>109</v>
      </c>
      <c r="F23" s="318" t="e">
        <f>B23/D23</f>
        <v>#DIV/0!</v>
      </c>
      <c r="G23" s="319" t="s">
        <v>188</v>
      </c>
    </row>
    <row r="24" ht="13.5" thickTop="1"/>
  </sheetData>
  <sheetProtection sheet="1" objects="1" scenarios="1"/>
  <mergeCells count="2">
    <mergeCell ref="A20:G20"/>
    <mergeCell ref="A2:E2"/>
  </mergeCells>
  <printOptions/>
  <pageMargins left="0.49" right="0.25" top="1" bottom="1" header="0.5" footer="0.5"/>
  <pageSetup fitToHeight="1" fitToWidth="1" horizontalDpi="300" verticalDpi="300" orientation="portrait" scale="80" r:id="rId1"/>
  <headerFooter alignWithMargins="0">
    <oddFooter>&amp;L&amp;F
&amp;A&amp;CPage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3:AQ1187"/>
  <sheetViews>
    <sheetView showGridLines="0" workbookViewId="0" topLeftCell="C168">
      <selection activeCell="H178" sqref="H178"/>
    </sheetView>
  </sheetViews>
  <sheetFormatPr defaultColWidth="9.140625" defaultRowHeight="12.75"/>
  <cols>
    <col min="1" max="1" width="36.28125" style="229" customWidth="1"/>
    <col min="2" max="2" width="12.28125" style="229" customWidth="1"/>
    <col min="3" max="3" width="7.8515625" style="229" customWidth="1"/>
    <col min="4" max="4" width="8.7109375" style="229" customWidth="1"/>
    <col min="5" max="5" width="8.28125" style="229" customWidth="1"/>
    <col min="6" max="6" width="12.57421875" style="229" customWidth="1"/>
    <col min="7" max="7" width="8.140625" style="229" customWidth="1"/>
    <col min="8" max="8" width="8.421875" style="229" customWidth="1"/>
    <col min="9" max="9" width="8.140625" style="229" customWidth="1"/>
    <col min="10" max="10" width="11.8515625" style="229" customWidth="1"/>
    <col min="11" max="11" width="12.00390625" style="229" customWidth="1"/>
    <col min="12" max="12" width="10.8515625" style="229" customWidth="1"/>
    <col min="13" max="13" width="8.140625" style="229" customWidth="1"/>
    <col min="14" max="14" width="9.28125" style="229" customWidth="1"/>
    <col min="15" max="18" width="9.140625" style="229" customWidth="1"/>
    <col min="19" max="19" width="9.7109375" style="229" customWidth="1"/>
    <col min="20" max="16384" width="9.140625" style="229" customWidth="1"/>
  </cols>
  <sheetData>
    <row r="1" ht="12.75"/>
    <row r="2" ht="12.75"/>
    <row r="3" spans="5:6" ht="12.75">
      <c r="E3" s="237" t="s">
        <v>211</v>
      </c>
      <c r="F3" s="229" t="s">
        <v>212</v>
      </c>
    </row>
    <row r="4" spans="5:6" ht="12.75">
      <c r="E4" s="237" t="s">
        <v>213</v>
      </c>
      <c r="F4" s="238" t="s">
        <v>214</v>
      </c>
    </row>
    <row r="5" ht="12.75"/>
    <row r="6" ht="13.5" thickBot="1"/>
    <row r="7" spans="1:6" ht="12.75">
      <c r="A7" s="269"/>
      <c r="B7" s="239"/>
      <c r="D7" s="240" t="s">
        <v>215</v>
      </c>
      <c r="E7" s="241" t="s">
        <v>216</v>
      </c>
      <c r="F7" s="242"/>
    </row>
    <row r="8" spans="1:6" ht="12.75">
      <c r="A8" s="270" t="s">
        <v>217</v>
      </c>
      <c r="B8" s="243"/>
      <c r="D8" s="244" t="s">
        <v>218</v>
      </c>
      <c r="E8" s="245" t="s">
        <v>219</v>
      </c>
      <c r="F8" s="246"/>
    </row>
    <row r="9" spans="1:2" ht="13.5" thickBot="1">
      <c r="A9" s="271" t="s">
        <v>220</v>
      </c>
      <c r="B9" s="247"/>
    </row>
    <row r="10" spans="1:2" ht="12.75">
      <c r="A10" s="272" t="str">
        <f>'Model Input'!B9</f>
        <v>Schedule A.  Identify Illegal Dump Site Features</v>
      </c>
      <c r="B10" s="235"/>
    </row>
    <row r="11" spans="1:4" ht="12.75">
      <c r="A11" s="139" t="s">
        <v>221</v>
      </c>
      <c r="B11" s="139">
        <v>1</v>
      </c>
      <c r="D11" s="140" t="s">
        <v>410</v>
      </c>
    </row>
    <row r="12" spans="1:4" ht="12.75">
      <c r="A12" s="139" t="s">
        <v>222</v>
      </c>
      <c r="B12" s="235"/>
      <c r="D12" s="140" t="s">
        <v>392</v>
      </c>
    </row>
    <row r="13" spans="1:4" ht="12.75">
      <c r="A13" s="139" t="s">
        <v>367</v>
      </c>
      <c r="B13" s="235"/>
      <c r="D13" s="140" t="s">
        <v>393</v>
      </c>
    </row>
    <row r="14" spans="1:2" ht="12.75">
      <c r="A14" s="139" t="s">
        <v>424</v>
      </c>
      <c r="B14" s="139">
        <v>2</v>
      </c>
    </row>
    <row r="15" spans="1:2" ht="12.75">
      <c r="A15" s="139" t="s">
        <v>425</v>
      </c>
      <c r="B15" s="235"/>
    </row>
    <row r="16" spans="1:2" ht="12.75">
      <c r="A16" s="139" t="s">
        <v>223</v>
      </c>
      <c r="B16" s="139">
        <v>6</v>
      </c>
    </row>
    <row r="17" spans="1:2" ht="12.75">
      <c r="A17" s="139" t="s">
        <v>421</v>
      </c>
      <c r="B17" s="235"/>
    </row>
    <row r="18" spans="1:2" ht="12.75">
      <c r="A18" s="139" t="s">
        <v>422</v>
      </c>
      <c r="B18" s="235"/>
    </row>
    <row r="19" spans="1:2" ht="12.75">
      <c r="A19" s="139" t="s">
        <v>423</v>
      </c>
      <c r="B19" s="235"/>
    </row>
    <row r="20" spans="1:2" ht="12.75">
      <c r="A20" s="139" t="s">
        <v>224</v>
      </c>
      <c r="B20" s="235"/>
    </row>
    <row r="21" s="235" customFormat="1" ht="12.75">
      <c r="A21" s="139" t="s">
        <v>307</v>
      </c>
    </row>
    <row r="22" spans="1:2" s="235" customFormat="1" ht="12.75">
      <c r="A22" s="139" t="s">
        <v>225</v>
      </c>
      <c r="B22" s="139">
        <v>1</v>
      </c>
    </row>
    <row r="23" s="235" customFormat="1" ht="12.75">
      <c r="A23" s="139" t="s">
        <v>217</v>
      </c>
    </row>
    <row r="24" s="235" customFormat="1" ht="12.75">
      <c r="A24" s="139" t="s">
        <v>433</v>
      </c>
    </row>
    <row r="25" s="248" customFormat="1" ht="13.5" thickBot="1">
      <c r="A25" s="273"/>
    </row>
    <row r="26" spans="1:2" ht="12.75">
      <c r="A26" s="140" t="s">
        <v>226</v>
      </c>
      <c r="B26" s="235"/>
    </row>
    <row r="27" spans="1:28" ht="12.75">
      <c r="A27" s="140" t="s">
        <v>227</v>
      </c>
      <c r="J27" s="240"/>
      <c r="K27" s="241"/>
      <c r="L27" s="241"/>
      <c r="M27" s="241"/>
      <c r="N27" s="241"/>
      <c r="O27" s="241"/>
      <c r="P27" s="241"/>
      <c r="Q27" s="241"/>
      <c r="R27" s="242"/>
      <c r="AB27" s="229" t="str">
        <f>'Model Input'!B153</f>
        <v>40-cubic yard Container</v>
      </c>
    </row>
    <row r="28" spans="1:30" ht="12.75">
      <c r="A28" s="274" t="s">
        <v>228</v>
      </c>
      <c r="E28" s="229" t="s">
        <v>229</v>
      </c>
      <c r="F28" s="229" t="s">
        <v>230</v>
      </c>
      <c r="G28" s="229" t="s">
        <v>231</v>
      </c>
      <c r="H28" s="229" t="s">
        <v>232</v>
      </c>
      <c r="I28" s="229" t="s">
        <v>231</v>
      </c>
      <c r="J28" s="249" t="str">
        <f>'Model Input'!B78</f>
        <v>Supervisor</v>
      </c>
      <c r="K28" s="250" t="s">
        <v>28</v>
      </c>
      <c r="L28" s="250"/>
      <c r="M28" s="250" t="str">
        <f>'Model Input'!B81</f>
        <v>Equipment Operator</v>
      </c>
      <c r="N28" s="251"/>
      <c r="O28" s="251"/>
      <c r="P28" s="250" t="str">
        <f>'Model Input'!B84</f>
        <v>Drivers</v>
      </c>
      <c r="Q28" s="251"/>
      <c r="R28" s="252"/>
      <c r="S28" s="253" t="str">
        <f>'Model Input'!B95</f>
        <v>Dump Truck</v>
      </c>
      <c r="T28" s="254"/>
      <c r="U28" s="254"/>
      <c r="V28" s="229" t="str">
        <f>'Model Input'!B98</f>
        <v>Front-end Loader (4 cy)</v>
      </c>
      <c r="Y28" s="229" t="s">
        <v>233</v>
      </c>
      <c r="AA28" s="229" t="str">
        <f>'Model Input'!G105</f>
        <v>$ Per Unit</v>
      </c>
      <c r="AC28" s="229" t="str">
        <f>'Model Input'!E150</f>
        <v>Units Per</v>
      </c>
      <c r="AD28" s="229" t="s">
        <v>234</v>
      </c>
    </row>
    <row r="29" spans="1:30" s="248" customFormat="1" ht="17.25" customHeight="1" thickBot="1">
      <c r="A29" s="275"/>
      <c r="B29" s="248" t="s">
        <v>235</v>
      </c>
      <c r="C29" s="248" t="s">
        <v>236</v>
      </c>
      <c r="D29" s="248" t="s">
        <v>237</v>
      </c>
      <c r="E29" s="248" t="s">
        <v>238</v>
      </c>
      <c r="F29" s="248" t="s">
        <v>239</v>
      </c>
      <c r="G29" s="248" t="s">
        <v>240</v>
      </c>
      <c r="H29" s="248" t="s">
        <v>106</v>
      </c>
      <c r="I29" s="248" t="s">
        <v>241</v>
      </c>
      <c r="J29" s="244" t="str">
        <f>'Model Input'!D76</f>
        <v># of Workers</v>
      </c>
      <c r="K29" s="245" t="str">
        <f>'Model Input'!E76</f>
        <v>Cu Yd/Hour</v>
      </c>
      <c r="L29" s="245" t="str">
        <f>'Model Input'!G76</f>
        <v>$ per hour</v>
      </c>
      <c r="M29" s="245" t="str">
        <f>'Model Input'!D76</f>
        <v># of Workers</v>
      </c>
      <c r="N29" s="245" t="str">
        <f>'Model Input'!E76</f>
        <v>Cu Yd/Hour</v>
      </c>
      <c r="O29" s="245" t="str">
        <f>'Model Input'!G76</f>
        <v>$ per hour</v>
      </c>
      <c r="P29" s="245" t="str">
        <f>'Model Input'!D76</f>
        <v># of Workers</v>
      </c>
      <c r="Q29" s="245" t="str">
        <f>'Model Input'!E76</f>
        <v>Cu Yd/Hour</v>
      </c>
      <c r="R29" s="246" t="str">
        <f>'Model Input'!G76</f>
        <v>$ per hour</v>
      </c>
      <c r="S29" s="248" t="str">
        <f>'Model Input'!D93</f>
        <v>Quantity</v>
      </c>
      <c r="T29" s="248" t="str">
        <f>'Model Input'!E93</f>
        <v>Cu Yd/Hour</v>
      </c>
      <c r="U29" s="248" t="str">
        <f>'Model Input'!G93</f>
        <v>$ Per Hour</v>
      </c>
      <c r="V29" s="248" t="str">
        <f>'Model Input'!D93</f>
        <v>Quantity</v>
      </c>
      <c r="W29" s="248" t="str">
        <f>'Model Input'!E93</f>
        <v>Cu Yd/Hour</v>
      </c>
      <c r="X29" s="248" t="str">
        <f>'Model Input'!G93</f>
        <v>$ Per Hour</v>
      </c>
      <c r="Y29" s="248" t="str">
        <f>'Model Input'!E106</f>
        <v>Units</v>
      </c>
      <c r="Z29" s="248" t="str">
        <f>'Model Input'!D106</f>
        <v>(Day, Wk, Mo)</v>
      </c>
      <c r="AA29" s="248" t="str">
        <f>'Model Input'!G106</f>
        <v>Per Term</v>
      </c>
      <c r="AB29" s="248" t="s">
        <v>242</v>
      </c>
      <c r="AC29" s="248" t="str">
        <f>'Model Input'!E151</f>
        <v>Container</v>
      </c>
      <c r="AD29" s="248" t="s">
        <v>243</v>
      </c>
    </row>
    <row r="30" spans="1:13" ht="12.75">
      <c r="A30" s="276" t="str">
        <f>'Model Input'!B41</f>
        <v>Mixed or unknown</v>
      </c>
      <c r="B30" s="380">
        <v>1</v>
      </c>
      <c r="C30" s="381">
        <v>1</v>
      </c>
      <c r="D30" s="381">
        <v>1</v>
      </c>
      <c r="E30" s="382">
        <f>'Model Input'!D41</f>
        <v>0</v>
      </c>
      <c r="F30" s="235"/>
      <c r="G30" s="235"/>
      <c r="I30" s="235"/>
      <c r="K30" s="235"/>
      <c r="M30" s="235"/>
    </row>
    <row r="31" spans="1:27" ht="12.75">
      <c r="A31" s="270" t="s">
        <v>180</v>
      </c>
      <c r="B31" s="383">
        <f>SUM(E31:E32)</f>
        <v>0</v>
      </c>
      <c r="C31" s="384"/>
      <c r="D31" s="384"/>
      <c r="E31" s="385">
        <f>IF(B30=1,E30)</f>
        <v>0</v>
      </c>
      <c r="I31" s="255"/>
      <c r="J31" s="140">
        <v>1</v>
      </c>
      <c r="K31" s="407">
        <f>W31</f>
        <v>28</v>
      </c>
      <c r="L31" s="396">
        <f>IF('Adjusting Default Values'!F18&gt;1,'Adjusting Default Values'!F18,IF('Model Input'!D29&lt;1,'Adjusting Default Values'!D18,('Adjusting Default Values'!D18*'Model Input'!D440)))</f>
        <v>23.45</v>
      </c>
      <c r="M31" s="407">
        <v>1</v>
      </c>
      <c r="N31" s="140">
        <f>W31</f>
        <v>28</v>
      </c>
      <c r="O31" s="396">
        <f>IF('Adjusting Default Values'!F19&gt;1,'Adjusting Default Values'!F19,IF('Model Input'!$D$29&lt;1,'Adjusting Default Values'!D19,('Adjusting Default Values'!D19*'Model Input'!$D$440)))</f>
        <v>27.2</v>
      </c>
      <c r="P31" s="140">
        <v>2</v>
      </c>
      <c r="Q31" s="140">
        <f>W31</f>
        <v>28</v>
      </c>
      <c r="R31" s="396">
        <f>IF('Adjusting Default Values'!F20&gt;1,'Adjusting Default Values'!F20,IF('Model Input'!$D$29&lt;1,'Adjusting Default Values'!D20,('Adjusting Default Values'!D20*'Model Input'!$D$440)))</f>
        <v>22.1</v>
      </c>
      <c r="S31" s="140">
        <v>2</v>
      </c>
      <c r="T31" s="140">
        <f>W31</f>
        <v>28</v>
      </c>
      <c r="U31" s="396">
        <f>IF('Adjusting Default Values'!F26&gt;1,'Adjusting Default Values'!F26,IF('Model Input'!$D$29&lt;1,'Adjusting Default Values'!D26,('Adjusting Default Values'!D26*'Model Input'!$D$440)))</f>
        <v>59.06</v>
      </c>
      <c r="V31" s="140">
        <v>1</v>
      </c>
      <c r="W31" s="408">
        <f>IF('Adjusting Default Values'!F11&gt;1,'Adjusting Default Values'!F11,IF('Model Input'!D432=0,'Adjusting Default Values'!D11,('Adjusting Default Values'!D11*'Model Input'!D432)+'Adjusting Default Values'!D11))</f>
        <v>28</v>
      </c>
      <c r="X31" s="396">
        <f>IF('Adjusting Default Values'!F27&gt;1,'Adjusting Default Values'!F27,IF('Model Input'!$D$29&lt;1,'Adjusting Default Values'!D27,('Adjusting Default Values'!D27*'Model Input'!$D$440)))</f>
        <v>72.11</v>
      </c>
      <c r="Y31" s="140">
        <f>IF('Model Input'!H89&gt;0,1,0)</f>
        <v>0</v>
      </c>
      <c r="Z31" s="140" t="s">
        <v>244</v>
      </c>
      <c r="AA31" s="396">
        <v>150</v>
      </c>
    </row>
    <row r="32" spans="1:27" ht="12.75">
      <c r="A32" s="270" t="s">
        <v>245</v>
      </c>
      <c r="B32" s="386"/>
      <c r="C32" s="387"/>
      <c r="D32" s="387"/>
      <c r="E32" s="388" t="b">
        <f>IF(B30=2,(E30*2000)/F32)</f>
        <v>0</v>
      </c>
      <c r="F32" s="257">
        <v>700</v>
      </c>
      <c r="G32" s="255" t="s">
        <v>246</v>
      </c>
      <c r="I32" s="255"/>
      <c r="J32" s="140"/>
      <c r="K32" s="407"/>
      <c r="L32" s="140"/>
      <c r="M32" s="407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</row>
    <row r="33" spans="1:27" ht="12.75">
      <c r="A33" s="140" t="s">
        <v>429</v>
      </c>
      <c r="C33" s="258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</row>
    <row r="34" spans="1:27" ht="12.75">
      <c r="A34" s="140" t="s">
        <v>247</v>
      </c>
      <c r="C34" s="255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</row>
    <row r="35" spans="1:27" ht="12.75">
      <c r="A35" s="140" t="s">
        <v>248</v>
      </c>
      <c r="C35" s="255"/>
      <c r="D35" s="229">
        <v>1</v>
      </c>
      <c r="J35" s="140">
        <v>1</v>
      </c>
      <c r="K35" s="140"/>
      <c r="L35" s="140"/>
      <c r="M35" s="140">
        <v>1</v>
      </c>
      <c r="N35" s="140"/>
      <c r="O35" s="140"/>
      <c r="P35" s="140">
        <v>1</v>
      </c>
      <c r="Q35" s="140"/>
      <c r="R35" s="140"/>
      <c r="S35" s="140">
        <v>1</v>
      </c>
      <c r="T35" s="140"/>
      <c r="U35" s="140"/>
      <c r="V35" s="140">
        <v>1</v>
      </c>
      <c r="W35" s="140"/>
      <c r="X35" s="140"/>
      <c r="Y35" s="140">
        <v>2</v>
      </c>
      <c r="Z35" s="140"/>
      <c r="AA35" s="140"/>
    </row>
    <row r="36" spans="1:4" ht="12.75">
      <c r="A36" s="140" t="s">
        <v>95</v>
      </c>
      <c r="C36" s="255"/>
      <c r="D36" s="259">
        <v>20</v>
      </c>
    </row>
    <row r="37" spans="1:5" ht="12.75">
      <c r="A37" s="140" t="str">
        <f>E7</f>
        <v>near</v>
      </c>
      <c r="C37" s="255"/>
      <c r="D37" s="259">
        <v>2</v>
      </c>
      <c r="E37" s="307"/>
    </row>
    <row r="38" spans="1:43" ht="13.5" thickBot="1">
      <c r="A38" s="275" t="str">
        <f>E8</f>
        <v>far</v>
      </c>
      <c r="B38" s="248"/>
      <c r="C38" s="260"/>
      <c r="D38" s="261">
        <v>4</v>
      </c>
      <c r="E38" s="308"/>
      <c r="F38" s="248"/>
      <c r="G38" s="248"/>
      <c r="H38" s="248"/>
      <c r="I38" s="248"/>
      <c r="J38" s="248"/>
      <c r="K38" s="248"/>
      <c r="L38" s="248"/>
      <c r="M38" s="248"/>
      <c r="N38" s="248"/>
      <c r="O38" s="248"/>
      <c r="P38" s="248"/>
      <c r="Q38" s="248"/>
      <c r="R38" s="248"/>
      <c r="S38" s="248"/>
      <c r="T38" s="248"/>
      <c r="U38" s="248"/>
      <c r="V38" s="248"/>
      <c r="W38" s="248"/>
      <c r="X38" s="248"/>
      <c r="Y38" s="248"/>
      <c r="Z38" s="248"/>
      <c r="AA38" s="248"/>
      <c r="AB38" s="248"/>
      <c r="AC38" s="248"/>
      <c r="AD38" s="248"/>
      <c r="AE38" s="248"/>
      <c r="AF38" s="248"/>
      <c r="AG38" s="248"/>
      <c r="AH38" s="248"/>
      <c r="AI38" s="248"/>
      <c r="AJ38" s="248"/>
      <c r="AK38" s="248"/>
      <c r="AL38" s="248"/>
      <c r="AM38" s="248"/>
      <c r="AN38" s="248"/>
      <c r="AO38" s="248"/>
      <c r="AP38" s="248"/>
      <c r="AQ38" s="248"/>
    </row>
    <row r="39" spans="1:5" ht="12.75">
      <c r="A39" s="277" t="str">
        <f>'Model Input'!B51</f>
        <v>Appliances</v>
      </c>
      <c r="B39" s="140">
        <v>1</v>
      </c>
      <c r="C39" s="140">
        <v>1</v>
      </c>
      <c r="D39" s="389">
        <v>1</v>
      </c>
      <c r="E39" s="140">
        <f>'Model Input'!D51</f>
        <v>0</v>
      </c>
    </row>
    <row r="40" spans="1:30" ht="12.75">
      <c r="A40" s="270" t="s">
        <v>249</v>
      </c>
      <c r="B40" s="383">
        <f>SUM(E40:E42)</f>
        <v>0</v>
      </c>
      <c r="C40" s="384"/>
      <c r="D40" s="384"/>
      <c r="E40" s="385">
        <f>IF(B39=1,E39)</f>
        <v>0</v>
      </c>
      <c r="J40" s="140">
        <v>1</v>
      </c>
      <c r="K40" s="409">
        <f>W40</f>
        <v>12</v>
      </c>
      <c r="L40" s="410">
        <f>L31</f>
        <v>23.45</v>
      </c>
      <c r="M40" s="140">
        <v>1</v>
      </c>
      <c r="N40" s="140">
        <f>W40</f>
        <v>12</v>
      </c>
      <c r="O40" s="410">
        <f>O31</f>
        <v>27.2</v>
      </c>
      <c r="P40" s="140">
        <v>2</v>
      </c>
      <c r="Q40" s="140">
        <f>W40</f>
        <v>12</v>
      </c>
      <c r="R40" s="411">
        <f>R31</f>
        <v>22.1</v>
      </c>
      <c r="S40" s="140"/>
      <c r="T40" s="140"/>
      <c r="U40" s="140"/>
      <c r="V40" s="140">
        <v>1</v>
      </c>
      <c r="W40" s="409">
        <f>IF('Adjusting Default Values'!F12&gt;1,'Adjusting Default Values'!F12,IF('Model Input'!D432=0,'Adjusting Default Values'!D12,('Model Input'!D432*'Adjusting Default Values'!D12)+'Adjusting Default Values'!D12))</f>
        <v>12</v>
      </c>
      <c r="X40" s="410">
        <f>X31</f>
        <v>72.11</v>
      </c>
      <c r="Y40" s="140">
        <f>IF('Model Input'!H140&gt;0+AND(Y31&gt;0),0,1)</f>
        <v>1</v>
      </c>
      <c r="Z40" s="140" t="s">
        <v>244</v>
      </c>
      <c r="AA40" s="140">
        <f>AA31</f>
        <v>150</v>
      </c>
      <c r="AB40" s="140" t="s">
        <v>242</v>
      </c>
      <c r="AC40" s="140">
        <v>50</v>
      </c>
      <c r="AD40" s="396">
        <f>IF('Adjusting Default Values'!F29&gt;1,'Adjusting Default Values'!F29,IF('Model Input'!$D$29&lt;1,'Adjusting Default Values'!D29,('Adjusting Default Values'!D29*'Model Input'!$D$440)))</f>
        <v>200</v>
      </c>
    </row>
    <row r="41" spans="1:30" ht="12.75">
      <c r="A41" s="270" t="s">
        <v>245</v>
      </c>
      <c r="B41" s="140">
        <f>IF(B39=1,((E39*F41)/2000),IF(B39=2,E39,IF(B39=3,E39/2000,"-")))</f>
        <v>0</v>
      </c>
      <c r="C41" s="139"/>
      <c r="D41" s="139"/>
      <c r="E41" s="390" t="b">
        <f>IF(B39=2,(E39*2000)/F41)</f>
        <v>0</v>
      </c>
      <c r="F41" s="259">
        <v>177</v>
      </c>
      <c r="G41" s="229" t="s">
        <v>250</v>
      </c>
      <c r="J41" s="140"/>
      <c r="K41" s="140"/>
      <c r="L41" s="140"/>
      <c r="M41" s="140"/>
      <c r="N41" s="140"/>
      <c r="O41" s="396">
        <f>IF('Adjusting Default Values'!F21&gt;1,'Adjusting Default Values'!F21,IF('Model Input'!$D$29&lt;1,'Adjusting Default Values'!D21,('Adjusting Default Values'!D21*'Model Input'!$D$440)))</f>
        <v>21.45</v>
      </c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</row>
    <row r="42" spans="1:30" ht="12.75">
      <c r="A42" s="270" t="s">
        <v>185</v>
      </c>
      <c r="B42" s="386"/>
      <c r="C42" s="387"/>
      <c r="D42" s="387"/>
      <c r="E42" s="388" t="b">
        <f>IF(B39=3,E39/F41)</f>
        <v>0</v>
      </c>
      <c r="F42" s="229">
        <v>2000</v>
      </c>
      <c r="G42" s="229" t="s">
        <v>251</v>
      </c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</row>
    <row r="43" spans="1:30" ht="12.75">
      <c r="A43" s="140" t="s">
        <v>429</v>
      </c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</row>
    <row r="44" spans="1:30" ht="12.75">
      <c r="A44" s="270" t="s">
        <v>252</v>
      </c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</row>
    <row r="45" spans="1:30" ht="12.75">
      <c r="A45" s="270" t="s">
        <v>248</v>
      </c>
      <c r="D45" s="229">
        <v>1</v>
      </c>
      <c r="J45" s="140">
        <v>1</v>
      </c>
      <c r="K45" s="140"/>
      <c r="L45" s="140"/>
      <c r="M45" s="140">
        <v>1</v>
      </c>
      <c r="N45" s="140"/>
      <c r="O45" s="140"/>
      <c r="P45" s="140">
        <v>1</v>
      </c>
      <c r="Q45" s="140"/>
      <c r="R45" s="140"/>
      <c r="S45" s="140"/>
      <c r="T45" s="140"/>
      <c r="U45" s="140"/>
      <c r="V45" s="140">
        <v>1</v>
      </c>
      <c r="W45" s="140"/>
      <c r="X45" s="140"/>
      <c r="Y45" s="140">
        <v>2</v>
      </c>
      <c r="Z45" s="140"/>
      <c r="AA45" s="140"/>
      <c r="AB45" s="140">
        <v>1</v>
      </c>
      <c r="AC45" s="140"/>
      <c r="AD45" s="140"/>
    </row>
    <row r="46" spans="1:30" ht="12.75">
      <c r="A46" s="270" t="s">
        <v>95</v>
      </c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</row>
    <row r="47" spans="1:5" ht="12.75">
      <c r="A47" s="270" t="str">
        <f>E7</f>
        <v>near</v>
      </c>
      <c r="D47" s="262"/>
      <c r="E47" s="262"/>
    </row>
    <row r="48" spans="1:5" s="248" customFormat="1" ht="13.5" thickBot="1">
      <c r="A48" s="271" t="str">
        <f>E8</f>
        <v>far</v>
      </c>
      <c r="D48" s="263"/>
      <c r="E48" s="263"/>
    </row>
    <row r="49" spans="1:5" ht="12.75">
      <c r="A49" s="277" t="str">
        <f>'Model Input'!B53</f>
        <v>Tires</v>
      </c>
      <c r="B49" s="140">
        <v>3</v>
      </c>
      <c r="C49" s="140">
        <v>1</v>
      </c>
      <c r="D49" s="140">
        <v>1</v>
      </c>
      <c r="E49" s="140">
        <f>'Model Input'!D53</f>
        <v>0</v>
      </c>
    </row>
    <row r="50" spans="1:31" ht="12.75">
      <c r="A50" s="140" t="s">
        <v>253</v>
      </c>
      <c r="B50" s="383">
        <f>ROUNDUP(SUM(E50:E55),-0.5)</f>
        <v>0</v>
      </c>
      <c r="C50" s="140">
        <f>E49*F50</f>
        <v>0</v>
      </c>
      <c r="D50" s="140"/>
      <c r="E50" s="390" t="b">
        <f>IF(B49=1,E49)</f>
        <v>0</v>
      </c>
      <c r="F50" s="259">
        <v>21</v>
      </c>
      <c r="G50" s="229" t="s">
        <v>250</v>
      </c>
      <c r="H50" s="229" t="s">
        <v>394</v>
      </c>
      <c r="J50" s="140">
        <v>1</v>
      </c>
      <c r="K50" s="409">
        <f>W50</f>
        <v>240</v>
      </c>
      <c r="L50" s="410">
        <f>L31</f>
        <v>23.45</v>
      </c>
      <c r="M50" s="140">
        <v>1</v>
      </c>
      <c r="N50" s="140">
        <f>W50</f>
        <v>240</v>
      </c>
      <c r="O50" s="410">
        <f>O31</f>
        <v>27.2</v>
      </c>
      <c r="P50" s="140">
        <v>2</v>
      </c>
      <c r="Q50" s="140">
        <f>W50</f>
        <v>240</v>
      </c>
      <c r="R50" s="410">
        <f>R31</f>
        <v>22.1</v>
      </c>
      <c r="S50" s="140"/>
      <c r="T50" s="140"/>
      <c r="U50" s="140"/>
      <c r="V50" s="140">
        <v>1</v>
      </c>
      <c r="W50" s="409">
        <f>IF('Adjusting Default Values'!F13&gt;1,'Adjusting Default Values'!F13,IF('Model Input'!D432=0,'Adjusting Default Values'!D13,('Model Input'!D432*'Adjusting Default Values'!D13)+'Adjusting Default Values'!D13))</f>
        <v>240</v>
      </c>
      <c r="X50" s="410">
        <f>X31</f>
        <v>72.11</v>
      </c>
      <c r="Y50" s="140">
        <f>IF('Model Input'!H190&gt;0+AND(Y40=0),1,0)</f>
        <v>0</v>
      </c>
      <c r="Z50" s="140" t="s">
        <v>244</v>
      </c>
      <c r="AA50" s="140">
        <f>AA31</f>
        <v>150</v>
      </c>
      <c r="AB50" s="140"/>
      <c r="AC50" s="412">
        <v>345</v>
      </c>
      <c r="AD50" s="140">
        <v>200</v>
      </c>
      <c r="AE50" s="140"/>
    </row>
    <row r="51" spans="1:31" ht="12.75">
      <c r="A51" s="140" t="s">
        <v>254</v>
      </c>
      <c r="B51" s="166"/>
      <c r="C51" s="140">
        <f>E49*F51</f>
        <v>0</v>
      </c>
      <c r="D51" s="140"/>
      <c r="E51" s="390" t="b">
        <f>IF(B49=2,E49)</f>
        <v>0</v>
      </c>
      <c r="F51" s="259">
        <v>70</v>
      </c>
      <c r="G51" s="229" t="s">
        <v>250</v>
      </c>
      <c r="H51" s="229" t="s">
        <v>395</v>
      </c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</row>
    <row r="52" spans="1:31" ht="12.75">
      <c r="A52" s="140" t="s">
        <v>255</v>
      </c>
      <c r="B52" s="166"/>
      <c r="C52" s="140">
        <f>E49*F52</f>
        <v>0</v>
      </c>
      <c r="D52" s="140"/>
      <c r="E52" s="390">
        <f>IF(B49=3,E49)</f>
        <v>0</v>
      </c>
      <c r="F52" s="259">
        <v>45.5</v>
      </c>
      <c r="G52" s="229" t="s">
        <v>250</v>
      </c>
      <c r="H52" s="229" t="s">
        <v>396</v>
      </c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</row>
    <row r="53" spans="1:31" ht="12.75">
      <c r="A53" s="140" t="s">
        <v>185</v>
      </c>
      <c r="B53" s="166"/>
      <c r="C53" s="140">
        <f>IF($B$49=1,$E$49*$F$50,IF($B$49=2,$E$49*$F$51,IF($B$49=3,E49*F52,IF(B49=4,E49,IF(B49=5,E49*F54,IF(B49=6,E49*2000,0))))))</f>
        <v>0</v>
      </c>
      <c r="D53" s="140"/>
      <c r="E53" s="140" t="b">
        <f>IF(B49=4,E49/F52)</f>
        <v>0</v>
      </c>
      <c r="H53" s="229" t="s">
        <v>185</v>
      </c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</row>
    <row r="54" spans="1:31" ht="12.75">
      <c r="A54" s="140" t="s">
        <v>180</v>
      </c>
      <c r="B54" s="166"/>
      <c r="C54" s="140">
        <f>E49*F54</f>
        <v>0</v>
      </c>
      <c r="D54" s="140"/>
      <c r="E54" s="140" t="b">
        <f>IF(B49=5,(E49*F54)/F52)</f>
        <v>0</v>
      </c>
      <c r="F54" s="229">
        <v>300</v>
      </c>
      <c r="G54" s="229" t="s">
        <v>246</v>
      </c>
      <c r="H54" s="229" t="s">
        <v>180</v>
      </c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</row>
    <row r="55" spans="1:31" ht="12.75">
      <c r="A55" s="140" t="s">
        <v>245</v>
      </c>
      <c r="B55" s="386"/>
      <c r="C55" s="140">
        <f>C53/2000</f>
        <v>0</v>
      </c>
      <c r="D55" s="140"/>
      <c r="E55" s="140" t="b">
        <f>IF(B49=6,(E49*2000)/F52)</f>
        <v>0</v>
      </c>
      <c r="H55" s="229" t="s">
        <v>245</v>
      </c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</row>
    <row r="56" spans="1:31" ht="12.75">
      <c r="A56" s="140" t="s">
        <v>248</v>
      </c>
      <c r="B56" s="139"/>
      <c r="C56" s="140"/>
      <c r="D56" s="140">
        <v>1</v>
      </c>
      <c r="E56" s="140"/>
      <c r="J56" s="140">
        <v>1</v>
      </c>
      <c r="K56" s="140"/>
      <c r="L56" s="140"/>
      <c r="M56" s="140">
        <v>1</v>
      </c>
      <c r="N56" s="140"/>
      <c r="O56" s="140"/>
      <c r="P56" s="140">
        <v>1</v>
      </c>
      <c r="Q56" s="140"/>
      <c r="R56" s="140"/>
      <c r="S56" s="140"/>
      <c r="T56" s="140"/>
      <c r="U56" s="140"/>
      <c r="V56" s="140">
        <v>1</v>
      </c>
      <c r="W56" s="140"/>
      <c r="X56" s="140"/>
      <c r="Y56" s="140">
        <v>1</v>
      </c>
      <c r="Z56" s="140"/>
      <c r="AA56" s="140"/>
      <c r="AB56" s="140">
        <v>1</v>
      </c>
      <c r="AC56" s="140"/>
      <c r="AD56" s="140"/>
      <c r="AE56" s="140"/>
    </row>
    <row r="57" spans="1:4" ht="12.75">
      <c r="A57" s="140" t="s">
        <v>95</v>
      </c>
      <c r="B57" s="235"/>
      <c r="D57" s="262"/>
    </row>
    <row r="58" spans="1:4" ht="12.75">
      <c r="A58" s="140" t="s">
        <v>256</v>
      </c>
      <c r="D58" s="262"/>
    </row>
    <row r="59" ht="12.75">
      <c r="A59" s="140" t="s">
        <v>257</v>
      </c>
    </row>
    <row r="60" ht="12.75">
      <c r="A60" s="140" t="s">
        <v>429</v>
      </c>
    </row>
    <row r="61" ht="12.75">
      <c r="A61" s="140" t="str">
        <f>E7</f>
        <v>near</v>
      </c>
    </row>
    <row r="62" s="248" customFormat="1" ht="13.5" thickBot="1">
      <c r="A62" s="275" t="str">
        <f>E8</f>
        <v>far</v>
      </c>
    </row>
    <row r="63" spans="1:5" ht="12.75">
      <c r="A63" s="277" t="str">
        <f>'Model Input'!B49</f>
        <v>Brush or landscape</v>
      </c>
      <c r="B63" s="140">
        <v>1</v>
      </c>
      <c r="C63" s="140">
        <v>1</v>
      </c>
      <c r="D63" s="140">
        <v>1</v>
      </c>
      <c r="E63" s="140">
        <f>'Model Input'!D49</f>
        <v>0</v>
      </c>
    </row>
    <row r="64" spans="1:5" ht="12.75">
      <c r="A64" s="270" t="s">
        <v>180</v>
      </c>
      <c r="B64" s="391">
        <f>SUM(E64:E65)</f>
        <v>0</v>
      </c>
      <c r="C64" s="384"/>
      <c r="D64" s="384"/>
      <c r="E64" s="385">
        <f>IF(B63=1,E63)</f>
        <v>0</v>
      </c>
    </row>
    <row r="65" spans="1:7" ht="12.75">
      <c r="A65" s="270" t="s">
        <v>245</v>
      </c>
      <c r="B65" s="386"/>
      <c r="C65" s="387"/>
      <c r="D65" s="387"/>
      <c r="E65" s="388" t="b">
        <f>IF(B63=2,(E63*2000)/F65)</f>
        <v>0</v>
      </c>
      <c r="F65" s="259">
        <v>300</v>
      </c>
      <c r="G65" s="229" t="s">
        <v>246</v>
      </c>
    </row>
    <row r="66" spans="1:5" ht="12.75">
      <c r="A66" s="270" t="s">
        <v>258</v>
      </c>
      <c r="B66" s="140"/>
      <c r="C66" s="140"/>
      <c r="D66" s="140">
        <v>1</v>
      </c>
      <c r="E66" s="140"/>
    </row>
    <row r="67" spans="1:5" ht="12.75">
      <c r="A67" s="140" t="s">
        <v>429</v>
      </c>
      <c r="B67" s="140"/>
      <c r="C67" s="140"/>
      <c r="D67" s="140">
        <f>D36</f>
        <v>20</v>
      </c>
      <c r="E67" s="140"/>
    </row>
    <row r="68" spans="1:4" ht="12.75">
      <c r="A68" s="270" t="str">
        <f>E7</f>
        <v>near</v>
      </c>
      <c r="D68" s="262"/>
    </row>
    <row r="69" spans="1:4" s="248" customFormat="1" ht="13.5" thickBot="1">
      <c r="A69" s="271" t="str">
        <f>E8</f>
        <v>far</v>
      </c>
      <c r="D69" s="263"/>
    </row>
    <row r="70" spans="1:5" ht="12.75">
      <c r="A70" s="277" t="str">
        <f>'Model Input'!B43</f>
        <v>Household</v>
      </c>
      <c r="B70" s="140">
        <v>1</v>
      </c>
      <c r="C70" s="140">
        <v>1</v>
      </c>
      <c r="D70" s="140">
        <v>1</v>
      </c>
      <c r="E70" s="140">
        <f>'Model Input'!D43</f>
        <v>0</v>
      </c>
    </row>
    <row r="71" spans="1:5" ht="12.75">
      <c r="A71" s="270" t="s">
        <v>180</v>
      </c>
      <c r="B71" s="383">
        <f>SUM(E71:E72)</f>
        <v>0</v>
      </c>
      <c r="C71" s="384"/>
      <c r="D71" s="384"/>
      <c r="E71" s="385">
        <f>IF(B70=1,E70)</f>
        <v>0</v>
      </c>
    </row>
    <row r="72" spans="1:7" ht="12.75">
      <c r="A72" s="270" t="s">
        <v>245</v>
      </c>
      <c r="B72" s="386"/>
      <c r="C72" s="387"/>
      <c r="D72" s="387"/>
      <c r="E72" s="388" t="b">
        <f>IF(B70=2,(E70*2000)/F72)</f>
        <v>0</v>
      </c>
      <c r="F72" s="259">
        <v>225</v>
      </c>
      <c r="G72" s="229" t="s">
        <v>246</v>
      </c>
    </row>
    <row r="73" spans="1:5" ht="12.75">
      <c r="A73" s="140" t="s">
        <v>429</v>
      </c>
      <c r="B73" s="140"/>
      <c r="C73" s="140"/>
      <c r="D73" s="140">
        <v>1</v>
      </c>
      <c r="E73" s="140"/>
    </row>
    <row r="74" spans="1:5" ht="12.75">
      <c r="A74" s="270" t="s">
        <v>247</v>
      </c>
      <c r="B74" s="140"/>
      <c r="C74" s="140"/>
      <c r="D74" s="140">
        <f>D36</f>
        <v>20</v>
      </c>
      <c r="E74" s="140"/>
    </row>
    <row r="75" spans="1:4" ht="12.75">
      <c r="A75" s="270" t="str">
        <f>E7</f>
        <v>near</v>
      </c>
      <c r="D75" s="262"/>
    </row>
    <row r="76" spans="1:4" s="248" customFormat="1" ht="13.5" thickBot="1">
      <c r="A76" s="271" t="str">
        <f>E8</f>
        <v>far</v>
      </c>
      <c r="D76" s="263"/>
    </row>
    <row r="77" spans="1:5" ht="12.75">
      <c r="A77" s="277" t="str">
        <f>'Model Input'!B45</f>
        <v>C&amp;D--Building Materials</v>
      </c>
      <c r="B77" s="383">
        <v>2</v>
      </c>
      <c r="C77" s="384">
        <v>1</v>
      </c>
      <c r="D77" s="384">
        <v>1</v>
      </c>
      <c r="E77" s="385">
        <f>'Model Input'!D45</f>
        <v>0</v>
      </c>
    </row>
    <row r="78" spans="1:5" ht="12.75">
      <c r="A78" s="140" t="s">
        <v>180</v>
      </c>
      <c r="B78" s="166">
        <f>SUM(E78:E79)</f>
        <v>0</v>
      </c>
      <c r="C78" s="139"/>
      <c r="D78" s="139"/>
      <c r="E78" s="390" t="b">
        <f>IF(B77=1,E77)</f>
        <v>0</v>
      </c>
    </row>
    <row r="79" spans="1:7" ht="12.75">
      <c r="A79" s="140" t="s">
        <v>245</v>
      </c>
      <c r="B79" s="386"/>
      <c r="C79" s="387"/>
      <c r="D79" s="387"/>
      <c r="E79" s="388">
        <f>IF(B77=2,(E77*2000)/F79)</f>
        <v>0</v>
      </c>
      <c r="F79" s="259">
        <v>750</v>
      </c>
      <c r="G79" s="229" t="s">
        <v>246</v>
      </c>
    </row>
    <row r="80" spans="1:5" ht="12.75">
      <c r="A80" s="140" t="s">
        <v>259</v>
      </c>
      <c r="B80" s="140"/>
      <c r="C80" s="140"/>
      <c r="D80" s="140"/>
      <c r="E80" s="140"/>
    </row>
    <row r="81" spans="1:5" ht="12.75">
      <c r="A81" s="140" t="s">
        <v>260</v>
      </c>
      <c r="B81" s="140"/>
      <c r="C81" s="140"/>
      <c r="D81" s="140">
        <v>1</v>
      </c>
      <c r="E81" s="140"/>
    </row>
    <row r="82" spans="1:5" ht="12.75">
      <c r="A82" s="140" t="s">
        <v>429</v>
      </c>
      <c r="B82" s="140"/>
      <c r="C82" s="140"/>
      <c r="D82" s="140">
        <f>D36</f>
        <v>20</v>
      </c>
      <c r="E82" s="140"/>
    </row>
    <row r="83" spans="1:4" ht="12.75">
      <c r="A83" s="140" t="str">
        <f>E7</f>
        <v>near</v>
      </c>
      <c r="D83" s="262"/>
    </row>
    <row r="84" spans="1:5" s="248" customFormat="1" ht="13.5" thickBot="1">
      <c r="A84" s="275" t="str">
        <f>E8</f>
        <v>far</v>
      </c>
      <c r="B84" s="235"/>
      <c r="C84" s="235"/>
      <c r="D84" s="264"/>
      <c r="E84" s="235"/>
    </row>
    <row r="85" spans="1:5" s="235" customFormat="1" ht="12.75">
      <c r="A85" s="278" t="str">
        <f>'Model Input'!B47</f>
        <v>C&amp;D--Concrete</v>
      </c>
      <c r="B85" s="383">
        <v>1</v>
      </c>
      <c r="C85" s="384">
        <v>1</v>
      </c>
      <c r="D85" s="392">
        <v>1</v>
      </c>
      <c r="E85" s="385">
        <f>'Model Input'!D47</f>
        <v>0</v>
      </c>
    </row>
    <row r="86" spans="1:5" s="235" customFormat="1" ht="12.75">
      <c r="A86" s="140" t="s">
        <v>180</v>
      </c>
      <c r="B86" s="166">
        <f>SUM(E86:E87)</f>
        <v>0</v>
      </c>
      <c r="C86" s="139"/>
      <c r="D86" s="393"/>
      <c r="E86" s="390">
        <f>IF(B85=1,E85)</f>
        <v>0</v>
      </c>
    </row>
    <row r="87" spans="1:7" s="235" customFormat="1" ht="12.75">
      <c r="A87" s="140" t="s">
        <v>245</v>
      </c>
      <c r="B87" s="386"/>
      <c r="C87" s="387"/>
      <c r="D87" s="394"/>
      <c r="E87" s="388" t="b">
        <f>IF(B85=2,(E85*2000)/F87)</f>
        <v>0</v>
      </c>
      <c r="F87" s="257">
        <v>2000</v>
      </c>
      <c r="G87" s="235" t="s">
        <v>246</v>
      </c>
    </row>
    <row r="88" spans="1:5" s="235" customFormat="1" ht="12.75">
      <c r="A88" s="140" t="s">
        <v>259</v>
      </c>
      <c r="B88" s="139"/>
      <c r="C88" s="139"/>
      <c r="D88" s="393"/>
      <c r="E88" s="139"/>
    </row>
    <row r="89" spans="1:5" s="235" customFormat="1" ht="12.75">
      <c r="A89" s="140" t="s">
        <v>260</v>
      </c>
      <c r="B89" s="139"/>
      <c r="C89" s="139"/>
      <c r="D89" s="395">
        <v>1</v>
      </c>
      <c r="E89" s="139"/>
    </row>
    <row r="90" spans="1:5" s="235" customFormat="1" ht="12.75">
      <c r="A90" s="140" t="s">
        <v>429</v>
      </c>
      <c r="B90" s="139"/>
      <c r="C90" s="139"/>
      <c r="D90" s="395">
        <f>D36</f>
        <v>20</v>
      </c>
      <c r="E90" s="139"/>
    </row>
    <row r="91" spans="1:4" s="235" customFormat="1" ht="12.75">
      <c r="A91" s="140" t="str">
        <f>E7</f>
        <v>near</v>
      </c>
      <c r="D91" s="264"/>
    </row>
    <row r="92" spans="1:4" s="265" customFormat="1" ht="13.5" thickBot="1">
      <c r="A92" s="279" t="str">
        <f>E8</f>
        <v>far</v>
      </c>
      <c r="D92" s="266"/>
    </row>
    <row r="93" spans="1:2" ht="13.5" thickTop="1">
      <c r="A93" s="280" t="str">
        <f>'Model Input'!B55</f>
        <v>Hazardous waste</v>
      </c>
      <c r="B93" s="140">
        <v>1</v>
      </c>
    </row>
    <row r="94" ht="12.75">
      <c r="A94" s="140" t="s">
        <v>261</v>
      </c>
    </row>
    <row r="95" ht="12.75">
      <c r="A95" s="140" t="s">
        <v>262</v>
      </c>
    </row>
    <row r="96" s="248" customFormat="1" ht="13.5" thickBot="1">
      <c r="A96" s="275" t="s">
        <v>245</v>
      </c>
    </row>
    <row r="97" spans="1:3" ht="12.75">
      <c r="A97" s="281" t="str">
        <f>'Model Input'!B61</f>
        <v>Schedule C.  Estimate Site Cleanup Costs</v>
      </c>
      <c r="B97" s="140">
        <v>2</v>
      </c>
      <c r="C97" s="140">
        <v>1</v>
      </c>
    </row>
    <row r="98" spans="1:3" ht="12.75">
      <c r="A98" s="166" t="s">
        <v>263</v>
      </c>
      <c r="B98" s="140"/>
      <c r="C98" s="140"/>
    </row>
    <row r="99" ht="12.75">
      <c r="A99" s="166" t="s">
        <v>264</v>
      </c>
    </row>
    <row r="100" ht="12.75">
      <c r="A100" s="166" t="s">
        <v>309</v>
      </c>
    </row>
    <row r="101" ht="12.75">
      <c r="A101" s="166" t="s">
        <v>265</v>
      </c>
    </row>
    <row r="102" s="248" customFormat="1" ht="13.5" thickBot="1">
      <c r="A102" s="282" t="s">
        <v>351</v>
      </c>
    </row>
    <row r="103" ht="12.75">
      <c r="A103" s="140"/>
    </row>
    <row r="104" spans="1:11" ht="12.75">
      <c r="A104" s="280" t="s">
        <v>266</v>
      </c>
      <c r="B104" s="229" t="s">
        <v>267</v>
      </c>
      <c r="C104" s="229" t="s">
        <v>268</v>
      </c>
      <c r="D104" s="229" t="s">
        <v>269</v>
      </c>
      <c r="E104" s="229" t="s">
        <v>270</v>
      </c>
      <c r="F104" s="229" t="s">
        <v>271</v>
      </c>
      <c r="G104" s="229" t="s">
        <v>349</v>
      </c>
      <c r="H104" s="229" t="s">
        <v>350</v>
      </c>
      <c r="I104" s="229" t="s">
        <v>272</v>
      </c>
      <c r="J104" s="300" t="s">
        <v>273</v>
      </c>
      <c r="K104" s="300" t="s">
        <v>274</v>
      </c>
    </row>
    <row r="105" spans="1:12" ht="12.75">
      <c r="A105" s="140" t="s">
        <v>275</v>
      </c>
      <c r="B105" s="140">
        <f>IF(C30=1,((B31*F32)/2000),0)</f>
        <v>0</v>
      </c>
      <c r="C105" s="140">
        <f>IF(C39=1,B41,0)</f>
        <v>0</v>
      </c>
      <c r="D105" s="140">
        <f>IF(C49=3,C55,0)</f>
        <v>0</v>
      </c>
      <c r="E105" s="140">
        <f>IF(C63=2,((B64*F65)/2000),0)</f>
        <v>0</v>
      </c>
      <c r="F105" s="140">
        <f>IF(C70=1,((B71*F72)/2000),0)</f>
        <v>0</v>
      </c>
      <c r="G105" s="140">
        <f>IF(C77=3,((B78*F79)/2000),0)</f>
        <v>0</v>
      </c>
      <c r="H105" s="140">
        <f>IF(C85=3,((B86*F87)/2000),0)</f>
        <v>0</v>
      </c>
      <c r="I105" s="140">
        <f>SUM(B105:H105)</f>
        <v>0</v>
      </c>
      <c r="J105" s="396">
        <f>IF('Adjusting Default Values'!F40&gt;1,'Adjusting Default Values'!F40,IF('Model Input'!$D$29&lt;1,'Adjusting Default Values'!D40,('Adjusting Default Values'!D40*'Model Input'!$D$440)))</f>
        <v>37</v>
      </c>
      <c r="K105" s="140">
        <v>1</v>
      </c>
      <c r="L105" s="140"/>
    </row>
    <row r="106" spans="1:12" ht="12.75">
      <c r="A106" s="140" t="s">
        <v>276</v>
      </c>
      <c r="B106" s="140">
        <f>IF(C30=2,((B31*F32)/2000),0)</f>
        <v>0</v>
      </c>
      <c r="C106" s="140"/>
      <c r="D106" s="140"/>
      <c r="E106" s="140"/>
      <c r="F106" s="140">
        <f>IF(C70=2,((B71*F72)/2000),0)</f>
        <v>0</v>
      </c>
      <c r="G106" s="140"/>
      <c r="H106" s="140"/>
      <c r="I106" s="140">
        <f aca="true" t="shared" si="0" ref="I106:I112">SUM(B106:H106)</f>
        <v>0</v>
      </c>
      <c r="J106" s="396">
        <f>IF('Adjusting Default Values'!F41&gt;1,'Adjusting Default Values'!F41,IF('Model Input'!$D$29&lt;1,'Adjusting Default Values'!D41,('Adjusting Default Values'!D41*'Model Input'!$D$440)))</f>
        <v>40</v>
      </c>
      <c r="K106" s="140">
        <v>1</v>
      </c>
      <c r="L106" s="140"/>
    </row>
    <row r="107" spans="1:12" ht="12.75">
      <c r="A107" s="140" t="s">
        <v>277</v>
      </c>
      <c r="B107" s="140"/>
      <c r="C107" s="140"/>
      <c r="D107" s="140"/>
      <c r="E107" s="140"/>
      <c r="F107" s="140"/>
      <c r="G107" s="140">
        <f>IF(C77=1,((B78*F79)/2000),0)</f>
        <v>0</v>
      </c>
      <c r="H107" s="397">
        <f>IF(C85=1,((B86*F87)/2000),0)</f>
        <v>0</v>
      </c>
      <c r="I107" s="140">
        <f t="shared" si="0"/>
        <v>0</v>
      </c>
      <c r="J107" s="396">
        <f>IF('Adjusting Default Values'!F42&gt;1,'Adjusting Default Values'!F42,IF('Model Input'!$D$29&lt;1,'Adjusting Default Values'!D42,('Adjusting Default Values'!D42*'Model Input'!$D$440)))</f>
        <v>42</v>
      </c>
      <c r="K107" s="140">
        <v>1</v>
      </c>
      <c r="L107" s="140"/>
    </row>
    <row r="108" spans="1:12" ht="12.75">
      <c r="A108" s="140" t="s">
        <v>278</v>
      </c>
      <c r="B108" s="140"/>
      <c r="C108" s="140"/>
      <c r="D108" s="140"/>
      <c r="E108" s="140"/>
      <c r="F108" s="140"/>
      <c r="G108" s="140">
        <f>IF(C77=2,((B78*F79)/2000),0)</f>
        <v>0</v>
      </c>
      <c r="H108" s="140">
        <f>IF(C85=2,((B86*F87)/2000),0)</f>
        <v>0</v>
      </c>
      <c r="I108" s="140">
        <f t="shared" si="0"/>
        <v>0</v>
      </c>
      <c r="J108" s="396">
        <f>IF('Adjusting Default Values'!F43&gt;1,'Adjusting Default Values'!F43,IF('Model Input'!$D$29&lt;1,'Adjusting Default Values'!D43,('Adjusting Default Values'!D43*'Model Input'!$D$440)))</f>
        <v>28</v>
      </c>
      <c r="K108" s="140">
        <v>1</v>
      </c>
      <c r="L108" s="140"/>
    </row>
    <row r="109" spans="1:12" ht="12.75">
      <c r="A109" s="140" t="s">
        <v>279</v>
      </c>
      <c r="B109" s="140"/>
      <c r="C109" s="140"/>
      <c r="D109" s="140"/>
      <c r="E109" s="140">
        <f>IF(C63=1,((B64*F65)/2000),0)</f>
        <v>0</v>
      </c>
      <c r="F109" s="140"/>
      <c r="G109" s="140"/>
      <c r="H109" s="140"/>
      <c r="I109" s="140">
        <f t="shared" si="0"/>
        <v>0</v>
      </c>
      <c r="J109" s="396">
        <f>IF('Adjusting Default Values'!F44&gt;1,'Adjusting Default Values'!F44,IF('Model Input'!$D$29&lt;1,'Adjusting Default Values'!D44,('Adjusting Default Values'!D44*'Model Input'!$D$440)))</f>
        <v>20</v>
      </c>
      <c r="K109" s="140">
        <v>1</v>
      </c>
      <c r="L109" s="140"/>
    </row>
    <row r="110" spans="1:12" ht="12.75">
      <c r="A110" s="140" t="s">
        <v>280</v>
      </c>
      <c r="B110" s="140"/>
      <c r="C110" s="140">
        <f>IF(C39=2,B41,0)</f>
        <v>0</v>
      </c>
      <c r="D110" s="140"/>
      <c r="E110" s="140"/>
      <c r="F110" s="140"/>
      <c r="G110" s="140"/>
      <c r="H110" s="140"/>
      <c r="I110" s="140">
        <f t="shared" si="0"/>
        <v>0</v>
      </c>
      <c r="J110" s="396">
        <f>IF('Adjusting Default Values'!F45&gt;1,'Adjusting Default Values'!F45,IF('Model Input'!$D$29&lt;1,'Adjusting Default Values'!D45,('Adjusting Default Values'!D45*'Model Input'!$D$440)))</f>
        <v>22</v>
      </c>
      <c r="K110" s="140">
        <v>1</v>
      </c>
      <c r="L110" s="140"/>
    </row>
    <row r="111" spans="1:12" ht="12.75">
      <c r="A111" s="140" t="s">
        <v>281</v>
      </c>
      <c r="B111" s="140"/>
      <c r="C111" s="140"/>
      <c r="D111" s="140">
        <f>IF(C49=1,C55,0)</f>
        <v>0</v>
      </c>
      <c r="E111" s="140"/>
      <c r="F111" s="140"/>
      <c r="G111" s="140"/>
      <c r="H111" s="140"/>
      <c r="I111" s="140">
        <f t="shared" si="0"/>
        <v>0</v>
      </c>
      <c r="J111" s="396">
        <f>IF('Adjusting Default Values'!F46&gt;1,'Adjusting Default Values'!F46,IF('Model Input'!$D$29&lt;1,'Adjusting Default Values'!D46,('Adjusting Default Values'!D46*'Model Input'!$D$440)))</f>
        <v>26</v>
      </c>
      <c r="K111" s="140">
        <v>1</v>
      </c>
      <c r="L111" s="140"/>
    </row>
    <row r="112" spans="1:12" ht="12.75">
      <c r="A112" s="140" t="s">
        <v>282</v>
      </c>
      <c r="B112" s="140"/>
      <c r="C112" s="140"/>
      <c r="D112" s="140">
        <f>IF(C49=2,C55,0)</f>
        <v>0</v>
      </c>
      <c r="E112" s="140"/>
      <c r="F112" s="140"/>
      <c r="G112" s="140"/>
      <c r="H112" s="140"/>
      <c r="I112" s="140">
        <f t="shared" si="0"/>
        <v>0</v>
      </c>
      <c r="J112" s="396">
        <f>IF('Adjusting Default Values'!F47&gt;1,'Adjusting Default Values'!F47,IF('Model Input'!$D$29&lt;1,'Adjusting Default Values'!D47,('Adjusting Default Values'!D47*'Model Input'!$D$440)))</f>
        <v>31</v>
      </c>
      <c r="K112" s="140">
        <v>1</v>
      </c>
      <c r="L112" s="140"/>
    </row>
    <row r="113" spans="1:12" ht="12.75">
      <c r="A113" s="140"/>
      <c r="B113" s="140"/>
      <c r="C113" s="140"/>
      <c r="D113" s="140"/>
      <c r="E113" s="140"/>
      <c r="F113" s="140"/>
      <c r="G113" s="140"/>
      <c r="H113" s="140"/>
      <c r="I113" s="140">
        <f>SUM(I105:I112)</f>
        <v>0</v>
      </c>
      <c r="J113" s="140" t="s">
        <v>190</v>
      </c>
      <c r="K113" s="140"/>
      <c r="L113" s="140"/>
    </row>
    <row r="114" spans="1:12" ht="12.75">
      <c r="A114" s="283" t="str">
        <f>'Model Input'!B221</f>
        <v>Schedule D. Estimate Waste Transport Costs</v>
      </c>
      <c r="B114" s="140"/>
      <c r="C114" s="140"/>
      <c r="D114" s="140"/>
      <c r="E114" s="140"/>
      <c r="F114" s="140"/>
      <c r="G114" s="140"/>
      <c r="H114" s="140"/>
      <c r="I114" s="140"/>
      <c r="J114" s="140"/>
      <c r="K114" s="140"/>
      <c r="L114" s="140"/>
    </row>
    <row r="115" ht="12.75">
      <c r="A115" s="284"/>
    </row>
    <row r="116" ht="12.75">
      <c r="A116" s="284"/>
    </row>
    <row r="117" spans="1:2" ht="12.75">
      <c r="A117" s="284" t="s">
        <v>263</v>
      </c>
      <c r="B117" s="140">
        <v>2</v>
      </c>
    </row>
    <row r="118" ht="12.75">
      <c r="A118" s="284" t="s">
        <v>264</v>
      </c>
    </row>
    <row r="119" ht="25.5">
      <c r="A119" s="284" t="s">
        <v>283</v>
      </c>
    </row>
    <row r="120" ht="25.5">
      <c r="A120" s="284" t="s">
        <v>311</v>
      </c>
    </row>
    <row r="121" ht="12.75">
      <c r="A121" s="284" t="s">
        <v>284</v>
      </c>
    </row>
    <row r="122" ht="12.75">
      <c r="A122" s="284" t="s">
        <v>316</v>
      </c>
    </row>
    <row r="123" ht="12.75">
      <c r="A123" s="284" t="s">
        <v>352</v>
      </c>
    </row>
    <row r="124" s="248" customFormat="1" ht="13.5" thickBot="1">
      <c r="A124" s="273" t="s">
        <v>285</v>
      </c>
    </row>
    <row r="125" s="235" customFormat="1" ht="25.5">
      <c r="A125" s="285" t="str">
        <f>'Model Input'!B254</f>
        <v>Schedule E. Estimate Disposal Costs</v>
      </c>
    </row>
    <row r="126" s="235" customFormat="1" ht="38.25">
      <c r="A126" s="284" t="s">
        <v>310</v>
      </c>
    </row>
    <row r="127" s="235" customFormat="1" ht="38.25">
      <c r="A127" s="284" t="s">
        <v>313</v>
      </c>
    </row>
    <row r="128" s="235" customFormat="1" ht="36">
      <c r="A128" s="286" t="s">
        <v>314</v>
      </c>
    </row>
    <row r="129" spans="1:2" s="235" customFormat="1" ht="12.75">
      <c r="A129" s="287" t="s">
        <v>263</v>
      </c>
      <c r="B129" s="139">
        <v>2</v>
      </c>
    </row>
    <row r="130" s="235" customFormat="1" ht="12.75">
      <c r="A130" s="139" t="s">
        <v>264</v>
      </c>
    </row>
    <row r="131" s="235" customFormat="1" ht="25.5">
      <c r="A131" s="287" t="s">
        <v>286</v>
      </c>
    </row>
    <row r="132" s="235" customFormat="1" ht="25.5">
      <c r="A132" s="284" t="s">
        <v>315</v>
      </c>
    </row>
    <row r="133" s="235" customFormat="1" ht="25.5">
      <c r="A133" s="284" t="s">
        <v>287</v>
      </c>
    </row>
    <row r="134" s="235" customFormat="1" ht="12.75">
      <c r="A134" s="284" t="s">
        <v>316</v>
      </c>
    </row>
    <row r="135" s="235" customFormat="1" ht="12.75">
      <c r="A135" s="284" t="s">
        <v>284</v>
      </c>
    </row>
    <row r="136" s="235" customFormat="1" ht="25.5">
      <c r="A136" s="284" t="s">
        <v>312</v>
      </c>
    </row>
    <row r="137" s="235" customFormat="1" ht="13.5" thickBot="1">
      <c r="A137" s="273" t="s">
        <v>285</v>
      </c>
    </row>
    <row r="138" ht="12.75">
      <c r="A138" s="288" t="str">
        <f>'Model Input'!B294</f>
        <v>Site Restoration</v>
      </c>
    </row>
    <row r="139" spans="1:6" ht="12.75">
      <c r="A139" s="284" t="str">
        <f>'Model Input'!B296</f>
        <v>Grading</v>
      </c>
      <c r="B139" s="259">
        <f>IF('Adjusting Default Values'!F14&gt;1,'Adjusting Default Values'!F14,'Adjusting Default Values'!D14)</f>
        <v>3000</v>
      </c>
      <c r="C139" s="229" t="s">
        <v>288</v>
      </c>
      <c r="D139" s="256">
        <f>IF('Adjusting Default Values'!F28&gt;1,'Adjusting Default Values'!F28,IF('Model Input'!$D$29&lt;1,'Adjusting Default Values'!D28,('Adjusting Default Values'!D28*'Model Input'!$D$440)))</f>
        <v>46.65</v>
      </c>
      <c r="E139" s="396">
        <f>IF('Adjusting Default Values'!F22&gt;1,'Adjusting Default Values'!F22,IF('Model Input'!$D$29&lt;1,'Adjusting Default Values'!D22,('Adjusting Default Values'!D22*'Model Input'!$D$440)))</f>
        <v>32.4</v>
      </c>
      <c r="F139" s="140">
        <v>1</v>
      </c>
    </row>
    <row r="140" spans="1:6" ht="12.75">
      <c r="A140" s="284" t="str">
        <f>'Model Input'!B307</f>
        <v>Fencing</v>
      </c>
      <c r="B140" s="256">
        <f>IF('Adjusting Default Values'!F34&gt;1,'Adjusting Default Values'!F34,IF('Model Input'!$D$29&lt;1,'Adjusting Default Values'!D34,('Adjusting Default Values'!D34*'Model Input'!$D$440)))</f>
        <v>30</v>
      </c>
      <c r="C140" s="229" t="s">
        <v>289</v>
      </c>
      <c r="D140" s="256">
        <f>IF('Adjusting Default Values'!F33&gt;1,'Adjusting Default Values'!F33,IF('Model Input'!$D$29&lt;1,'Adjusting Default Values'!D33,('Adjusting Default Values'!D33*'Model Input'!$D$440)))</f>
        <v>250</v>
      </c>
      <c r="E140" s="140" t="s">
        <v>290</v>
      </c>
      <c r="F140" s="140">
        <v>1</v>
      </c>
    </row>
    <row r="141" spans="1:6" ht="12.75">
      <c r="A141" s="284" t="str">
        <f>'Model Input'!B311</f>
        <v>Concrete Traffic Barrier</v>
      </c>
      <c r="B141" s="256">
        <f>IF('Adjusting Default Values'!F35&gt;1,'Adjusting Default Values'!F35,IF('Model Input'!$D$29&lt;1,'Adjusting Default Values'!D35,('Adjusting Default Values'!D35*'Model Input'!$D$440)))</f>
        <v>28</v>
      </c>
      <c r="C141" s="229" t="s">
        <v>289</v>
      </c>
      <c r="E141" s="140"/>
      <c r="F141" s="140">
        <v>1</v>
      </c>
    </row>
    <row r="142" spans="1:6" ht="25.5">
      <c r="A142" s="288" t="str">
        <f>'Model Input'!B358</f>
        <v>Schedule H.  Assess Property Liabilities</v>
      </c>
      <c r="E142" s="140"/>
      <c r="F142" s="140"/>
    </row>
    <row r="143" spans="1:6" ht="12.75">
      <c r="A143" s="284" t="s">
        <v>263</v>
      </c>
      <c r="E143" s="140">
        <v>2</v>
      </c>
      <c r="F143" s="140"/>
    </row>
    <row r="144" ht="12.75">
      <c r="A144" s="284" t="s">
        <v>264</v>
      </c>
    </row>
    <row r="145" ht="12.75">
      <c r="A145" s="284" t="s">
        <v>291</v>
      </c>
    </row>
    <row r="146" ht="12.75">
      <c r="A146" s="284"/>
    </row>
    <row r="147" ht="12.75">
      <c r="A147" s="284"/>
    </row>
    <row r="148" ht="12.75">
      <c r="A148" s="140"/>
    </row>
    <row r="149" ht="12.75">
      <c r="A149" s="280" t="s">
        <v>292</v>
      </c>
    </row>
    <row r="150" ht="38.25">
      <c r="A150" s="284" t="s">
        <v>434</v>
      </c>
    </row>
    <row r="151" ht="38.25">
      <c r="A151" s="284" t="s">
        <v>435</v>
      </c>
    </row>
    <row r="152" ht="38.25">
      <c r="A152" s="284" t="s">
        <v>355</v>
      </c>
    </row>
    <row r="153" ht="38.25">
      <c r="A153" s="284" t="s">
        <v>356</v>
      </c>
    </row>
    <row r="154" ht="12.75">
      <c r="A154" s="284"/>
    </row>
    <row r="155" ht="38.25">
      <c r="A155" s="284" t="s">
        <v>357</v>
      </c>
    </row>
    <row r="156" ht="38.25">
      <c r="A156" s="284" t="s">
        <v>358</v>
      </c>
    </row>
    <row r="157" ht="11.25" customHeight="1">
      <c r="A157" s="140"/>
    </row>
    <row r="158" ht="12.75">
      <c r="A158" s="289" t="s">
        <v>149</v>
      </c>
    </row>
    <row r="159" spans="1:2" ht="15">
      <c r="A159" s="140" t="s">
        <v>353</v>
      </c>
      <c r="B159" s="398">
        <f>IF('Model Input'!H63&gt;0,'Model Input'!H63,'Model Input'!H89+'Model Input'!H140+'Model Input'!H190)</f>
        <v>0</v>
      </c>
    </row>
    <row r="160" spans="1:2" ht="15">
      <c r="A160" s="140" t="s">
        <v>354</v>
      </c>
      <c r="B160" s="398">
        <f>IF('Model Input'!H63&gt;0,'Do Not Alter'!A27,'Model Input'!H116+'Model Input'!H167+'Model Input'!H218)</f>
        <v>0</v>
      </c>
    </row>
    <row r="161" spans="1:2" ht="15">
      <c r="A161" s="140" t="s">
        <v>359</v>
      </c>
      <c r="B161" s="399">
        <f>IF('Model Input'!H223&gt;0,'Model Input'!H223,'Model Input'!H250)</f>
        <v>0</v>
      </c>
    </row>
    <row r="162" spans="1:2" ht="15">
      <c r="A162" s="140" t="s">
        <v>360</v>
      </c>
      <c r="B162" s="399">
        <f>IF('Model Input'!G257&gt;0,'Model Input'!G257,'Model Input'!G288)</f>
        <v>0</v>
      </c>
    </row>
    <row r="163" ht="12.75">
      <c r="A163" s="140"/>
    </row>
    <row r="164" ht="12.75">
      <c r="A164" s="140"/>
    </row>
    <row r="165" spans="1:3" ht="12.75">
      <c r="A165" s="140" t="s">
        <v>318</v>
      </c>
      <c r="B165" s="140">
        <v>3</v>
      </c>
      <c r="C165" s="140">
        <f>IF(B165=1,1,IF(B165=2,-1,IF(B165=3,-2,IF(B165=4,-3,IF(B165=5,0)))))</f>
        <v>-2</v>
      </c>
    </row>
    <row r="166" ht="12.75">
      <c r="A166" s="290" t="s">
        <v>319</v>
      </c>
    </row>
    <row r="167" spans="1:13" ht="12.75">
      <c r="A167" s="290" t="s">
        <v>322</v>
      </c>
      <c r="C167" s="330"/>
      <c r="D167" s="330"/>
      <c r="E167" s="330"/>
      <c r="F167" s="330"/>
      <c r="G167" s="330"/>
      <c r="H167" s="330"/>
      <c r="I167" s="330"/>
      <c r="J167" s="330"/>
      <c r="K167" s="330"/>
      <c r="L167" s="330"/>
      <c r="M167" s="330"/>
    </row>
    <row r="168" spans="1:13" ht="12.75">
      <c r="A168" s="290" t="s">
        <v>320</v>
      </c>
      <c r="C168" s="330"/>
      <c r="D168" s="330"/>
      <c r="E168" s="330"/>
      <c r="F168" s="330"/>
      <c r="G168" s="330"/>
      <c r="H168" s="330"/>
      <c r="I168" s="330"/>
      <c r="J168" s="330"/>
      <c r="K168" s="330"/>
      <c r="L168" s="330"/>
      <c r="M168" s="330"/>
    </row>
    <row r="169" spans="1:13" ht="12.75">
      <c r="A169" s="290" t="s">
        <v>321</v>
      </c>
      <c r="C169" s="330"/>
      <c r="D169" s="330"/>
      <c r="E169" s="330"/>
      <c r="F169" s="330"/>
      <c r="G169" s="330"/>
      <c r="H169" s="330"/>
      <c r="I169" s="330"/>
      <c r="J169" s="330"/>
      <c r="K169" s="330"/>
      <c r="L169" s="330"/>
      <c r="M169" s="330"/>
    </row>
    <row r="170" spans="1:13" ht="12.75">
      <c r="A170" s="140"/>
      <c r="C170" s="330"/>
      <c r="D170" s="330"/>
      <c r="E170" s="330"/>
      <c r="F170" s="330"/>
      <c r="G170" s="330"/>
      <c r="H170" s="330"/>
      <c r="I170" s="330"/>
      <c r="J170" s="330"/>
      <c r="K170" s="330"/>
      <c r="L170" s="330"/>
      <c r="M170" s="330"/>
    </row>
    <row r="171" spans="3:13" ht="12.75">
      <c r="C171" s="330"/>
      <c r="D171" s="330"/>
      <c r="E171" s="330"/>
      <c r="F171" s="330"/>
      <c r="G171" s="330"/>
      <c r="H171" s="330"/>
      <c r="I171" s="330"/>
      <c r="J171" s="330"/>
      <c r="K171" s="330"/>
      <c r="L171" s="330"/>
      <c r="M171" s="330"/>
    </row>
    <row r="172" spans="3:13" ht="12.75">
      <c r="C172" s="330"/>
      <c r="D172" s="330"/>
      <c r="E172" s="330"/>
      <c r="F172" s="330"/>
      <c r="G172" s="330"/>
      <c r="H172" s="330"/>
      <c r="I172" s="330"/>
      <c r="J172" s="330"/>
      <c r="K172" s="330"/>
      <c r="L172" s="330"/>
      <c r="M172" s="330"/>
    </row>
    <row r="173" spans="3:13" ht="12.75">
      <c r="C173" s="330"/>
      <c r="D173" s="330"/>
      <c r="E173" s="330"/>
      <c r="F173" s="330"/>
      <c r="G173" s="330"/>
      <c r="H173" s="330"/>
      <c r="I173" s="330"/>
      <c r="J173" s="330"/>
      <c r="K173" s="330"/>
      <c r="L173" s="330"/>
      <c r="M173" s="330"/>
    </row>
    <row r="174" spans="3:13" ht="12.75">
      <c r="C174" s="330"/>
      <c r="D174" s="330"/>
      <c r="E174" s="330"/>
      <c r="F174" s="330"/>
      <c r="G174" s="330"/>
      <c r="H174" s="330"/>
      <c r="I174" s="330"/>
      <c r="J174" s="330"/>
      <c r="K174" s="330"/>
      <c r="L174" s="330"/>
      <c r="M174" s="330"/>
    </row>
    <row r="175" spans="3:13" ht="12.75">
      <c r="C175" s="330"/>
      <c r="D175" s="330"/>
      <c r="E175" s="330"/>
      <c r="F175" s="330"/>
      <c r="G175" s="330"/>
      <c r="H175" s="330"/>
      <c r="I175" s="330"/>
      <c r="J175" s="330"/>
      <c r="K175" s="330"/>
      <c r="L175" s="330"/>
      <c r="M175" s="330"/>
    </row>
    <row r="176" spans="3:13" ht="12.75">
      <c r="C176" s="330"/>
      <c r="D176" s="330"/>
      <c r="E176" s="330"/>
      <c r="F176" s="330"/>
      <c r="G176" s="330"/>
      <c r="H176" s="330"/>
      <c r="I176" s="330"/>
      <c r="J176" s="330"/>
      <c r="K176" s="330"/>
      <c r="L176" s="330"/>
      <c r="M176" s="330"/>
    </row>
    <row r="177" spans="3:13" ht="12.75">
      <c r="C177" s="330"/>
      <c r="D177" s="330"/>
      <c r="E177" s="330"/>
      <c r="F177" s="330"/>
      <c r="G177" s="330"/>
      <c r="H177" s="330"/>
      <c r="I177" s="330"/>
      <c r="J177" s="330"/>
      <c r="K177" s="330"/>
      <c r="L177" s="330"/>
      <c r="M177" s="330"/>
    </row>
    <row r="178" spans="1:13" ht="48" customHeight="1">
      <c r="A178" s="267"/>
      <c r="C178" s="330"/>
      <c r="D178" s="330"/>
      <c r="E178" s="330"/>
      <c r="F178" s="330"/>
      <c r="G178" s="330"/>
      <c r="H178" s="330"/>
      <c r="I178" s="330"/>
      <c r="J178" s="330"/>
      <c r="K178" s="330"/>
      <c r="L178" s="330"/>
      <c r="M178" s="330"/>
    </row>
    <row r="179" spans="3:13" ht="12.75">
      <c r="C179" s="330"/>
      <c r="D179" s="330"/>
      <c r="E179" s="330"/>
      <c r="F179" s="330"/>
      <c r="G179" s="330"/>
      <c r="H179" s="330"/>
      <c r="I179" s="330"/>
      <c r="J179" s="330"/>
      <c r="K179" s="330"/>
      <c r="L179" s="330"/>
      <c r="M179" s="330"/>
    </row>
    <row r="180" spans="3:13" ht="12.75">
      <c r="C180" s="330"/>
      <c r="D180" s="330"/>
      <c r="E180" s="330"/>
      <c r="F180" s="330"/>
      <c r="G180" s="330"/>
      <c r="H180" s="330"/>
      <c r="I180" s="330"/>
      <c r="J180" s="330"/>
      <c r="K180" s="330"/>
      <c r="L180" s="330"/>
      <c r="M180" s="330"/>
    </row>
    <row r="181" spans="3:13" ht="12.75">
      <c r="C181" s="330"/>
      <c r="D181" s="330"/>
      <c r="E181" s="330"/>
      <c r="F181" s="330"/>
      <c r="G181" s="330"/>
      <c r="H181" s="330"/>
      <c r="I181" s="330"/>
      <c r="J181" s="330"/>
      <c r="K181" s="330"/>
      <c r="L181" s="330"/>
      <c r="M181" s="330"/>
    </row>
    <row r="182" spans="3:13" ht="12.75">
      <c r="C182" s="330"/>
      <c r="D182" s="330"/>
      <c r="E182" s="330"/>
      <c r="F182" s="330"/>
      <c r="G182" s="330"/>
      <c r="H182" s="330"/>
      <c r="I182" s="330"/>
      <c r="J182" s="330"/>
      <c r="K182" s="330"/>
      <c r="L182" s="330"/>
      <c r="M182" s="330"/>
    </row>
    <row r="183" spans="3:13" ht="12.75">
      <c r="C183" s="330"/>
      <c r="D183" s="330"/>
      <c r="E183" s="330"/>
      <c r="F183" s="330"/>
      <c r="G183" s="330"/>
      <c r="H183" s="330"/>
      <c r="I183" s="330"/>
      <c r="J183" s="330"/>
      <c r="K183" s="330"/>
      <c r="L183" s="330"/>
      <c r="M183" s="330"/>
    </row>
    <row r="184" spans="3:13" ht="12.75">
      <c r="C184" s="330"/>
      <c r="D184" s="330"/>
      <c r="E184" s="330"/>
      <c r="F184" s="330"/>
      <c r="G184" s="330"/>
      <c r="H184" s="330"/>
      <c r="I184" s="330"/>
      <c r="J184" s="330"/>
      <c r="K184" s="330"/>
      <c r="L184" s="330"/>
      <c r="M184" s="330"/>
    </row>
    <row r="185" spans="3:13" ht="12.75">
      <c r="C185" s="330"/>
      <c r="D185" s="330"/>
      <c r="E185" s="330"/>
      <c r="F185" s="330"/>
      <c r="G185" s="330"/>
      <c r="H185" s="330"/>
      <c r="I185" s="330"/>
      <c r="J185" s="330"/>
      <c r="K185" s="330"/>
      <c r="L185" s="330"/>
      <c r="M185" s="330"/>
    </row>
    <row r="186" spans="3:13" ht="12.75">
      <c r="C186" s="330"/>
      <c r="D186" s="330"/>
      <c r="E186" s="330"/>
      <c r="F186" s="330"/>
      <c r="G186" s="330"/>
      <c r="H186" s="330"/>
      <c r="I186" s="330"/>
      <c r="J186" s="330"/>
      <c r="K186" s="330"/>
      <c r="L186" s="330"/>
      <c r="M186" s="330"/>
    </row>
    <row r="187" spans="3:13" ht="12.75">
      <c r="C187" s="330"/>
      <c r="D187" s="330"/>
      <c r="E187" s="330"/>
      <c r="F187" s="330"/>
      <c r="G187" s="330"/>
      <c r="H187" s="330"/>
      <c r="I187" s="330"/>
      <c r="J187" s="330"/>
      <c r="K187" s="330"/>
      <c r="L187" s="330"/>
      <c r="M187" s="330"/>
    </row>
    <row r="206" spans="1:10" ht="15">
      <c r="A206" s="451" t="str">
        <f>CONCATENATE(B206,C206,D206,E206,F206,G206,H206,I206,J206)</f>
        <v>Unknown square feet of an abandonned/vacant lot in an urban setting.</v>
      </c>
      <c r="B206" s="415" t="str">
        <f>IF('Model Input'!D17&lt;1,A207,'Model Input'!D17)</f>
        <v>Unknown</v>
      </c>
      <c r="C206" s="238" t="s">
        <v>234</v>
      </c>
      <c r="D206" s="124" t="str">
        <f>IF('Do Not Alter'!B22=1,'Do Not Alter'!A22,'Do Not Alter'!A23)</f>
        <v>square feet</v>
      </c>
      <c r="E206" s="229" t="s">
        <v>418</v>
      </c>
      <c r="F206" s="124" t="str">
        <f>IF('Do Not Alter'!$B$16=1,'Do Not Alter'!$A$16,IF('Do Not Alter'!$B$16=2,'Do Not Alter'!$A$17,IF('Do Not Alter'!$B$16=3,'Do Not Alter'!$A$18,IF('Do Not Alter'!$B$16=4,'Do Not Alter'!$A$19,IF('Do Not Alter'!$B$16=5,'Do Not Alter'!$A$20,IF('Do Not Alter'!$B$16=6,'Do Not Alter'!$A$21,'Do Not Alter'!$E$3))))))</f>
        <v>an abandonned/vacant lot</v>
      </c>
      <c r="G206" s="124"/>
      <c r="H206" s="334" t="s">
        <v>419</v>
      </c>
      <c r="I206" s="101" t="str">
        <f>IF('Do Not Alter'!$B$14=1,'Do Not Alter'!$A$14,IF('Do Not Alter'!$B$14=2,'Do Not Alter'!$A$15,'Do Not Alter'!$E$3))</f>
        <v>an urban setting</v>
      </c>
      <c r="J206" s="229" t="s">
        <v>420</v>
      </c>
    </row>
    <row r="207" ht="12.75">
      <c r="A207" s="229" t="s">
        <v>439</v>
      </c>
    </row>
    <row r="208" ht="12.75">
      <c r="A208" s="140" t="s">
        <v>411</v>
      </c>
    </row>
    <row r="209" spans="1:6" ht="12.75">
      <c r="A209" s="140" t="s">
        <v>412</v>
      </c>
      <c r="F209" s="414">
        <f>('Model Input'!D438)</f>
        <v>0</v>
      </c>
    </row>
    <row r="210" spans="1:8" ht="12.75">
      <c r="A210" s="140" t="str">
        <f>CONCATENATE(F210,G210,H210)</f>
        <v>**These Default Values Adjusted for Inflation in Schedule K and are in the year 0 dollars.</v>
      </c>
      <c r="F210" s="140" t="s">
        <v>417</v>
      </c>
      <c r="G210" s="229" t="str">
        <f>TEXT(F209,"General")</f>
        <v>0</v>
      </c>
      <c r="H210" s="229" t="s">
        <v>416</v>
      </c>
    </row>
    <row r="211" ht="12.75">
      <c r="A211" s="140" t="s">
        <v>413</v>
      </c>
    </row>
    <row r="213" spans="1:2" ht="15.75">
      <c r="A213" s="204" t="str">
        <f>IF('Model Input'!D25&gt;0,'Model Input'!D25,"Unknown")</f>
        <v>Unknown</v>
      </c>
      <c r="B213" s="229" t="s">
        <v>443</v>
      </c>
    </row>
    <row r="214" spans="1:5" ht="12.75">
      <c r="A214">
        <f>IF('Model Input'!D23=0,'Do Not Alter'!E3,'Model Input'!D23)</f>
      </c>
      <c r="B214" s="454" t="s">
        <v>444</v>
      </c>
      <c r="C214">
        <f>IF('Model Input'!D27=0,'Do Not Alter'!E3,'Model Input'!D27)</f>
      </c>
      <c r="D214" s="454" t="s">
        <v>234</v>
      </c>
      <c r="E214">
        <f>IF('Model Input'!D29=0,'Do Not Alter'!E3,'Model Input'!D29)</f>
      </c>
    </row>
    <row r="232" spans="1:2" ht="15">
      <c r="A232" s="140"/>
      <c r="B232" s="400" t="s">
        <v>248</v>
      </c>
    </row>
    <row r="233" spans="1:2" ht="15.75">
      <c r="A233" s="401" t="s">
        <v>375</v>
      </c>
      <c r="B233" s="400" t="s">
        <v>374</v>
      </c>
    </row>
    <row r="234" spans="1:2" ht="42.75">
      <c r="A234" s="402" t="s">
        <v>376</v>
      </c>
      <c r="B234" s="366">
        <v>28</v>
      </c>
    </row>
    <row r="235" spans="1:2" ht="14.25">
      <c r="A235" s="403" t="s">
        <v>377</v>
      </c>
      <c r="B235" s="367">
        <v>12</v>
      </c>
    </row>
    <row r="236" spans="1:2" ht="14.25">
      <c r="A236" s="403" t="s">
        <v>378</v>
      </c>
      <c r="B236" s="367">
        <v>240</v>
      </c>
    </row>
    <row r="237" spans="1:2" ht="14.25">
      <c r="A237" s="328" t="s">
        <v>373</v>
      </c>
      <c r="B237" s="368">
        <v>3000</v>
      </c>
    </row>
    <row r="238" spans="1:2" ht="15">
      <c r="A238" s="140"/>
      <c r="B238" s="406" t="s">
        <v>248</v>
      </c>
    </row>
    <row r="239" spans="1:2" ht="15.75">
      <c r="A239" s="401" t="s">
        <v>379</v>
      </c>
      <c r="B239" s="406" t="s">
        <v>374</v>
      </c>
    </row>
    <row r="240" spans="1:2" ht="14.25">
      <c r="A240" s="328" t="s">
        <v>34</v>
      </c>
      <c r="B240" s="369">
        <v>23.45</v>
      </c>
    </row>
    <row r="241" spans="1:2" ht="14.25">
      <c r="A241" s="328" t="s">
        <v>35</v>
      </c>
      <c r="B241" s="369">
        <v>27.2</v>
      </c>
    </row>
    <row r="242" spans="1:2" ht="14.25">
      <c r="A242" s="328" t="s">
        <v>317</v>
      </c>
      <c r="B242" s="369">
        <v>22.1</v>
      </c>
    </row>
    <row r="243" spans="1:2" ht="14.25">
      <c r="A243" s="328" t="s">
        <v>36</v>
      </c>
      <c r="B243" s="369">
        <v>21.45</v>
      </c>
    </row>
    <row r="244" spans="1:2" ht="14.25">
      <c r="A244" s="328" t="s">
        <v>381</v>
      </c>
      <c r="B244" s="369">
        <v>32.4</v>
      </c>
    </row>
    <row r="245" spans="1:2" ht="15">
      <c r="A245" s="404"/>
      <c r="B245" s="406" t="s">
        <v>248</v>
      </c>
    </row>
    <row r="246" spans="1:2" ht="15.75">
      <c r="A246" s="401" t="s">
        <v>104</v>
      </c>
      <c r="B246" s="406" t="s">
        <v>374</v>
      </c>
    </row>
    <row r="247" spans="1:2" ht="14.25">
      <c r="A247" s="328" t="s">
        <v>384</v>
      </c>
      <c r="B247" s="369">
        <v>59.06</v>
      </c>
    </row>
    <row r="248" spans="1:2" ht="14.25">
      <c r="A248" s="328" t="s">
        <v>382</v>
      </c>
      <c r="B248" s="369">
        <v>72.11</v>
      </c>
    </row>
    <row r="249" spans="1:2" ht="14.25">
      <c r="A249" s="328" t="s">
        <v>383</v>
      </c>
      <c r="B249" s="369">
        <v>46.65</v>
      </c>
    </row>
    <row r="250" spans="1:2" ht="14.25">
      <c r="A250" s="405" t="s">
        <v>380</v>
      </c>
      <c r="B250" s="370">
        <v>200</v>
      </c>
    </row>
    <row r="251" spans="1:2" ht="15">
      <c r="A251" s="404"/>
      <c r="B251" s="406" t="s">
        <v>248</v>
      </c>
    </row>
    <row r="252" spans="1:2" ht="15.75">
      <c r="A252" s="401" t="s">
        <v>107</v>
      </c>
      <c r="B252" s="406" t="s">
        <v>374</v>
      </c>
    </row>
    <row r="253" spans="1:2" ht="14.25">
      <c r="A253" s="328" t="s">
        <v>369</v>
      </c>
      <c r="B253" s="369">
        <v>250</v>
      </c>
    </row>
    <row r="254" spans="1:2" ht="14.25">
      <c r="A254" s="328" t="s">
        <v>370</v>
      </c>
      <c r="B254" s="369">
        <v>30</v>
      </c>
    </row>
    <row r="255" spans="1:2" ht="14.25">
      <c r="A255" s="328" t="s">
        <v>371</v>
      </c>
      <c r="B255" s="369">
        <v>28</v>
      </c>
    </row>
    <row r="256" spans="1:2" ht="14.25">
      <c r="A256" s="328" t="s">
        <v>372</v>
      </c>
      <c r="B256" s="369">
        <v>48</v>
      </c>
    </row>
    <row r="257" spans="1:2" ht="15">
      <c r="A257" s="404"/>
      <c r="B257" s="406" t="s">
        <v>248</v>
      </c>
    </row>
    <row r="258" spans="1:2" ht="15.75">
      <c r="A258" s="401" t="s">
        <v>389</v>
      </c>
      <c r="B258" s="406" t="s">
        <v>374</v>
      </c>
    </row>
    <row r="259" spans="1:2" ht="14.25">
      <c r="A259" s="328" t="s">
        <v>275</v>
      </c>
      <c r="B259" s="369">
        <v>37</v>
      </c>
    </row>
    <row r="260" spans="1:2" ht="14.25">
      <c r="A260" s="328" t="s">
        <v>276</v>
      </c>
      <c r="B260" s="369">
        <v>40</v>
      </c>
    </row>
    <row r="261" spans="1:2" ht="14.25">
      <c r="A261" s="328" t="s">
        <v>277</v>
      </c>
      <c r="B261" s="369">
        <v>42</v>
      </c>
    </row>
    <row r="262" spans="1:2" ht="14.25">
      <c r="A262" s="328" t="s">
        <v>278</v>
      </c>
      <c r="B262" s="369">
        <v>28</v>
      </c>
    </row>
    <row r="263" spans="1:2" ht="14.25">
      <c r="A263" s="328" t="s">
        <v>279</v>
      </c>
      <c r="B263" s="369">
        <v>20</v>
      </c>
    </row>
    <row r="264" spans="1:2" ht="14.25">
      <c r="A264" s="328" t="s">
        <v>280</v>
      </c>
      <c r="B264" s="369">
        <v>22</v>
      </c>
    </row>
    <row r="265" spans="1:2" ht="14.25">
      <c r="A265" s="328" t="s">
        <v>281</v>
      </c>
      <c r="B265" s="369">
        <v>26</v>
      </c>
    </row>
    <row r="266" spans="1:2" ht="14.25">
      <c r="A266" s="328" t="s">
        <v>282</v>
      </c>
      <c r="B266" s="369">
        <v>31</v>
      </c>
    </row>
    <row r="285" spans="1:7" ht="12.75">
      <c r="A285">
        <v>10</v>
      </c>
      <c r="B285">
        <v>1.02</v>
      </c>
      <c r="C285">
        <v>10</v>
      </c>
      <c r="D285">
        <v>102</v>
      </c>
      <c r="E285">
        <f aca="true" t="shared" si="1" ref="E285:E348">D285/100</f>
        <v>1.02</v>
      </c>
      <c r="F285">
        <f aca="true" t="shared" si="2" ref="F285:F348">A285-C285</f>
        <v>0</v>
      </c>
      <c r="G285">
        <f aca="true" t="shared" si="3" ref="G285:G348">B285-E285</f>
        <v>0</v>
      </c>
    </row>
    <row r="286" spans="1:7" ht="12.75">
      <c r="A286">
        <v>11</v>
      </c>
      <c r="B286">
        <v>1.02</v>
      </c>
      <c r="C286">
        <v>11</v>
      </c>
      <c r="D286">
        <v>102</v>
      </c>
      <c r="E286">
        <f t="shared" si="1"/>
        <v>1.02</v>
      </c>
      <c r="F286">
        <f t="shared" si="2"/>
        <v>0</v>
      </c>
      <c r="G286">
        <f t="shared" si="3"/>
        <v>0</v>
      </c>
    </row>
    <row r="287" spans="1:7" ht="12.75">
      <c r="A287">
        <v>12</v>
      </c>
      <c r="B287">
        <v>1</v>
      </c>
      <c r="C287">
        <v>12</v>
      </c>
      <c r="D287">
        <v>100</v>
      </c>
      <c r="E287">
        <f t="shared" si="1"/>
        <v>1</v>
      </c>
      <c r="F287">
        <f t="shared" si="2"/>
        <v>0</v>
      </c>
      <c r="G287">
        <f t="shared" si="3"/>
        <v>0</v>
      </c>
    </row>
    <row r="288" spans="1:7" ht="12.75">
      <c r="A288">
        <v>13</v>
      </c>
      <c r="B288">
        <v>1</v>
      </c>
      <c r="C288">
        <v>13</v>
      </c>
      <c r="D288">
        <v>100</v>
      </c>
      <c r="E288">
        <f t="shared" si="1"/>
        <v>1</v>
      </c>
      <c r="F288">
        <f t="shared" si="2"/>
        <v>0</v>
      </c>
      <c r="G288">
        <f t="shared" si="3"/>
        <v>0</v>
      </c>
    </row>
    <row r="289" spans="1:7" ht="12.75">
      <c r="A289">
        <v>14</v>
      </c>
      <c r="B289">
        <v>1.05</v>
      </c>
      <c r="C289">
        <v>14</v>
      </c>
      <c r="D289">
        <v>105</v>
      </c>
      <c r="E289">
        <f t="shared" si="1"/>
        <v>1.05</v>
      </c>
      <c r="F289">
        <f t="shared" si="2"/>
        <v>0</v>
      </c>
      <c r="G289">
        <f t="shared" si="3"/>
        <v>0</v>
      </c>
    </row>
    <row r="290" spans="1:7" ht="12.75">
      <c r="A290">
        <v>15</v>
      </c>
      <c r="B290">
        <v>1.07</v>
      </c>
      <c r="C290">
        <v>15</v>
      </c>
      <c r="D290">
        <v>107</v>
      </c>
      <c r="E290">
        <f t="shared" si="1"/>
        <v>1.07</v>
      </c>
      <c r="F290">
        <f t="shared" si="2"/>
        <v>0</v>
      </c>
      <c r="G290">
        <f t="shared" si="3"/>
        <v>0</v>
      </c>
    </row>
    <row r="291" spans="1:7" ht="12.75">
      <c r="A291">
        <v>16</v>
      </c>
      <c r="B291">
        <v>1.07</v>
      </c>
      <c r="C291">
        <v>16</v>
      </c>
      <c r="D291">
        <v>107</v>
      </c>
      <c r="E291">
        <f t="shared" si="1"/>
        <v>1.07</v>
      </c>
      <c r="F291">
        <f t="shared" si="2"/>
        <v>0</v>
      </c>
      <c r="G291">
        <f t="shared" si="3"/>
        <v>0</v>
      </c>
    </row>
    <row r="292" spans="1:7" ht="12.75">
      <c r="A292">
        <v>17</v>
      </c>
      <c r="B292">
        <v>1.09</v>
      </c>
      <c r="C292">
        <v>17</v>
      </c>
      <c r="D292">
        <v>109</v>
      </c>
      <c r="E292">
        <f t="shared" si="1"/>
        <v>1.09</v>
      </c>
      <c r="F292">
        <f t="shared" si="2"/>
        <v>0</v>
      </c>
      <c r="G292">
        <f t="shared" si="3"/>
        <v>0</v>
      </c>
    </row>
    <row r="293" spans="1:7" ht="12.75">
      <c r="A293">
        <v>18</v>
      </c>
      <c r="B293">
        <v>1.09</v>
      </c>
      <c r="C293">
        <v>18</v>
      </c>
      <c r="D293">
        <v>109</v>
      </c>
      <c r="E293">
        <f t="shared" si="1"/>
        <v>1.09</v>
      </c>
      <c r="F293">
        <f t="shared" si="2"/>
        <v>0</v>
      </c>
      <c r="G293">
        <f t="shared" si="3"/>
        <v>0</v>
      </c>
    </row>
    <row r="294" spans="1:7" ht="12.75">
      <c r="A294">
        <v>19</v>
      </c>
      <c r="B294">
        <v>1.09</v>
      </c>
      <c r="C294">
        <v>19</v>
      </c>
      <c r="D294">
        <v>109</v>
      </c>
      <c r="E294">
        <f t="shared" si="1"/>
        <v>1.09</v>
      </c>
      <c r="F294">
        <f t="shared" si="2"/>
        <v>0</v>
      </c>
      <c r="G294">
        <f t="shared" si="3"/>
        <v>0</v>
      </c>
    </row>
    <row r="295" spans="1:7" ht="12.75">
      <c r="A295">
        <v>20</v>
      </c>
      <c r="B295">
        <v>1.17</v>
      </c>
      <c r="C295">
        <v>20</v>
      </c>
      <c r="D295">
        <v>117</v>
      </c>
      <c r="E295">
        <f t="shared" si="1"/>
        <v>1.17</v>
      </c>
      <c r="F295">
        <f t="shared" si="2"/>
        <v>0</v>
      </c>
      <c r="G295">
        <f t="shared" si="3"/>
        <v>0</v>
      </c>
    </row>
    <row r="296" spans="1:7" ht="12.75">
      <c r="A296">
        <v>21</v>
      </c>
      <c r="B296">
        <v>1.17</v>
      </c>
      <c r="C296">
        <v>21</v>
      </c>
      <c r="D296">
        <v>117</v>
      </c>
      <c r="E296">
        <f t="shared" si="1"/>
        <v>1.17</v>
      </c>
      <c r="F296">
        <f t="shared" si="2"/>
        <v>0</v>
      </c>
      <c r="G296">
        <f t="shared" si="3"/>
        <v>0</v>
      </c>
    </row>
    <row r="297" spans="1:7" ht="12.75">
      <c r="A297">
        <v>22</v>
      </c>
      <c r="B297">
        <v>1.17</v>
      </c>
      <c r="C297">
        <v>22</v>
      </c>
      <c r="D297">
        <v>117</v>
      </c>
      <c r="E297">
        <f t="shared" si="1"/>
        <v>1.17</v>
      </c>
      <c r="F297">
        <f t="shared" si="2"/>
        <v>0</v>
      </c>
      <c r="G297">
        <f t="shared" si="3"/>
        <v>0</v>
      </c>
    </row>
    <row r="298" spans="1:7" ht="12.75">
      <c r="A298">
        <v>23</v>
      </c>
      <c r="B298">
        <v>1.09</v>
      </c>
      <c r="C298">
        <v>23</v>
      </c>
      <c r="D298">
        <v>109</v>
      </c>
      <c r="E298">
        <f t="shared" si="1"/>
        <v>1.09</v>
      </c>
      <c r="F298">
        <f t="shared" si="2"/>
        <v>0</v>
      </c>
      <c r="G298">
        <f t="shared" si="3"/>
        <v>0</v>
      </c>
    </row>
    <row r="299" spans="1:7" ht="12.75">
      <c r="A299">
        <v>24</v>
      </c>
      <c r="B299">
        <v>1.17</v>
      </c>
      <c r="C299">
        <v>24</v>
      </c>
      <c r="D299">
        <v>117</v>
      </c>
      <c r="E299">
        <f t="shared" si="1"/>
        <v>1.17</v>
      </c>
      <c r="F299">
        <f t="shared" si="2"/>
        <v>0</v>
      </c>
      <c r="G299">
        <f t="shared" si="3"/>
        <v>0</v>
      </c>
    </row>
    <row r="300" spans="1:7" ht="12.75">
      <c r="A300">
        <v>25</v>
      </c>
      <c r="B300">
        <v>1.06</v>
      </c>
      <c r="C300">
        <v>25</v>
      </c>
      <c r="D300">
        <v>106</v>
      </c>
      <c r="E300">
        <f t="shared" si="1"/>
        <v>1.06</v>
      </c>
      <c r="F300">
        <f t="shared" si="2"/>
        <v>0</v>
      </c>
      <c r="G300">
        <f t="shared" si="3"/>
        <v>0</v>
      </c>
    </row>
    <row r="301" spans="1:7" ht="12.75">
      <c r="A301">
        <v>26</v>
      </c>
      <c r="B301">
        <v>1.07</v>
      </c>
      <c r="C301">
        <v>26</v>
      </c>
      <c r="D301">
        <v>107</v>
      </c>
      <c r="E301">
        <f t="shared" si="1"/>
        <v>1.07</v>
      </c>
      <c r="F301">
        <f t="shared" si="2"/>
        <v>0</v>
      </c>
      <c r="G301">
        <f t="shared" si="3"/>
        <v>0</v>
      </c>
    </row>
    <row r="302" spans="1:7" ht="12.75">
      <c r="A302">
        <v>27</v>
      </c>
      <c r="B302">
        <v>1.09</v>
      </c>
      <c r="C302">
        <v>27</v>
      </c>
      <c r="D302">
        <v>109</v>
      </c>
      <c r="E302">
        <f t="shared" si="1"/>
        <v>1.09</v>
      </c>
      <c r="F302">
        <f t="shared" si="2"/>
        <v>0</v>
      </c>
      <c r="G302">
        <f t="shared" si="3"/>
        <v>0</v>
      </c>
    </row>
    <row r="303" spans="1:7" ht="12.75">
      <c r="A303">
        <v>28</v>
      </c>
      <c r="B303">
        <v>1.05</v>
      </c>
      <c r="C303">
        <v>28</v>
      </c>
      <c r="D303">
        <v>105</v>
      </c>
      <c r="E303">
        <f t="shared" si="1"/>
        <v>1.05</v>
      </c>
      <c r="F303">
        <f t="shared" si="2"/>
        <v>0</v>
      </c>
      <c r="G303">
        <f t="shared" si="3"/>
        <v>0</v>
      </c>
    </row>
    <row r="304" spans="1:7" ht="12.75">
      <c r="A304">
        <v>29</v>
      </c>
      <c r="B304">
        <v>1.05</v>
      </c>
      <c r="C304">
        <v>29</v>
      </c>
      <c r="D304">
        <v>105</v>
      </c>
      <c r="E304">
        <f t="shared" si="1"/>
        <v>1.05</v>
      </c>
      <c r="F304">
        <f t="shared" si="2"/>
        <v>0</v>
      </c>
      <c r="G304">
        <f t="shared" si="3"/>
        <v>0</v>
      </c>
    </row>
    <row r="305" spans="1:7" ht="12.75">
      <c r="A305">
        <v>30</v>
      </c>
      <c r="B305">
        <v>0.95</v>
      </c>
      <c r="C305">
        <v>30</v>
      </c>
      <c r="D305">
        <v>95</v>
      </c>
      <c r="E305">
        <f t="shared" si="1"/>
        <v>0.95</v>
      </c>
      <c r="F305">
        <f t="shared" si="2"/>
        <v>0</v>
      </c>
      <c r="G305">
        <f t="shared" si="3"/>
        <v>0</v>
      </c>
    </row>
    <row r="306" spans="1:7" ht="12.75">
      <c r="A306">
        <v>31</v>
      </c>
      <c r="B306">
        <v>0.95</v>
      </c>
      <c r="C306">
        <v>31</v>
      </c>
      <c r="D306">
        <v>95</v>
      </c>
      <c r="E306">
        <f t="shared" si="1"/>
        <v>0.95</v>
      </c>
      <c r="F306">
        <f t="shared" si="2"/>
        <v>0</v>
      </c>
      <c r="G306">
        <f t="shared" si="3"/>
        <v>0</v>
      </c>
    </row>
    <row r="307" spans="1:7" ht="12.75">
      <c r="A307">
        <v>32</v>
      </c>
      <c r="B307">
        <v>0.94</v>
      </c>
      <c r="C307">
        <v>32</v>
      </c>
      <c r="D307">
        <v>94</v>
      </c>
      <c r="E307">
        <f t="shared" si="1"/>
        <v>0.94</v>
      </c>
      <c r="F307">
        <f t="shared" si="2"/>
        <v>0</v>
      </c>
      <c r="G307">
        <f t="shared" si="3"/>
        <v>0</v>
      </c>
    </row>
    <row r="308" spans="1:7" ht="12.75">
      <c r="A308">
        <v>33</v>
      </c>
      <c r="B308">
        <v>0.94</v>
      </c>
      <c r="C308">
        <v>33</v>
      </c>
      <c r="D308">
        <v>94</v>
      </c>
      <c r="E308">
        <f t="shared" si="1"/>
        <v>0.94</v>
      </c>
      <c r="F308">
        <f t="shared" si="2"/>
        <v>0</v>
      </c>
      <c r="G308">
        <f t="shared" si="3"/>
        <v>0</v>
      </c>
    </row>
    <row r="309" spans="1:7" ht="12.75">
      <c r="A309">
        <v>34</v>
      </c>
      <c r="B309">
        <v>0.81</v>
      </c>
      <c r="C309">
        <v>34</v>
      </c>
      <c r="D309">
        <v>81</v>
      </c>
      <c r="E309">
        <f t="shared" si="1"/>
        <v>0.81</v>
      </c>
      <c r="F309">
        <f t="shared" si="2"/>
        <v>0</v>
      </c>
      <c r="G309">
        <f t="shared" si="3"/>
        <v>0</v>
      </c>
    </row>
    <row r="310" spans="1:7" ht="12.75">
      <c r="A310">
        <v>35</v>
      </c>
      <c r="B310">
        <v>0.83</v>
      </c>
      <c r="C310">
        <v>35</v>
      </c>
      <c r="D310">
        <v>83</v>
      </c>
      <c r="E310">
        <f t="shared" si="1"/>
        <v>0.83</v>
      </c>
      <c r="F310">
        <f t="shared" si="2"/>
        <v>0</v>
      </c>
      <c r="G310">
        <f t="shared" si="3"/>
        <v>0</v>
      </c>
    </row>
    <row r="311" spans="1:7" ht="12.75">
      <c r="A311">
        <v>36</v>
      </c>
      <c r="B311">
        <v>0.79</v>
      </c>
      <c r="C311">
        <v>36</v>
      </c>
      <c r="D311">
        <v>79</v>
      </c>
      <c r="E311">
        <f t="shared" si="1"/>
        <v>0.79</v>
      </c>
      <c r="F311">
        <f t="shared" si="2"/>
        <v>0</v>
      </c>
      <c r="G311">
        <f t="shared" si="3"/>
        <v>0</v>
      </c>
    </row>
    <row r="312" spans="1:7" ht="12.75">
      <c r="A312">
        <v>37</v>
      </c>
      <c r="B312">
        <v>0.79</v>
      </c>
      <c r="C312">
        <v>37</v>
      </c>
      <c r="D312">
        <v>79</v>
      </c>
      <c r="E312">
        <f t="shared" si="1"/>
        <v>0.79</v>
      </c>
      <c r="F312">
        <f t="shared" si="2"/>
        <v>0</v>
      </c>
      <c r="G312">
        <f t="shared" si="3"/>
        <v>0</v>
      </c>
    </row>
    <row r="313" spans="1:7" ht="12.75">
      <c r="A313">
        <v>38</v>
      </c>
      <c r="B313">
        <v>0.92</v>
      </c>
      <c r="C313">
        <v>38</v>
      </c>
      <c r="D313">
        <v>92</v>
      </c>
      <c r="E313">
        <f t="shared" si="1"/>
        <v>0.92</v>
      </c>
      <c r="F313">
        <f t="shared" si="2"/>
        <v>0</v>
      </c>
      <c r="G313">
        <f t="shared" si="3"/>
        <v>0</v>
      </c>
    </row>
    <row r="314" spans="1:7" ht="12.75">
      <c r="A314">
        <v>39</v>
      </c>
      <c r="B314">
        <v>0.81</v>
      </c>
      <c r="C314">
        <v>39</v>
      </c>
      <c r="D314">
        <v>81</v>
      </c>
      <c r="E314">
        <f t="shared" si="1"/>
        <v>0.81</v>
      </c>
      <c r="F314">
        <f t="shared" si="2"/>
        <v>0</v>
      </c>
      <c r="G314">
        <f t="shared" si="3"/>
        <v>0</v>
      </c>
    </row>
    <row r="315" spans="1:7" ht="12.75">
      <c r="A315">
        <v>40</v>
      </c>
      <c r="B315">
        <v>0.9</v>
      </c>
      <c r="C315">
        <v>40</v>
      </c>
      <c r="D315">
        <v>90</v>
      </c>
      <c r="E315">
        <f t="shared" si="1"/>
        <v>0.9</v>
      </c>
      <c r="F315">
        <f t="shared" si="2"/>
        <v>0</v>
      </c>
      <c r="G315">
        <f t="shared" si="3"/>
        <v>0</v>
      </c>
    </row>
    <row r="316" spans="1:7" ht="12.75">
      <c r="A316">
        <v>41</v>
      </c>
      <c r="B316">
        <v>0.9</v>
      </c>
      <c r="C316">
        <v>41</v>
      </c>
      <c r="D316">
        <v>90</v>
      </c>
      <c r="E316">
        <f t="shared" si="1"/>
        <v>0.9</v>
      </c>
      <c r="F316">
        <f t="shared" si="2"/>
        <v>0</v>
      </c>
      <c r="G316">
        <f t="shared" si="3"/>
        <v>0</v>
      </c>
    </row>
    <row r="317" spans="1:7" ht="12.75">
      <c r="A317">
        <v>42</v>
      </c>
      <c r="B317">
        <v>0.9</v>
      </c>
      <c r="C317">
        <v>42</v>
      </c>
      <c r="D317">
        <v>90</v>
      </c>
      <c r="E317">
        <f t="shared" si="1"/>
        <v>0.9</v>
      </c>
      <c r="F317">
        <f t="shared" si="2"/>
        <v>0</v>
      </c>
      <c r="G317">
        <f t="shared" si="3"/>
        <v>0</v>
      </c>
    </row>
    <row r="318" spans="1:7" ht="12.75">
      <c r="A318">
        <v>43</v>
      </c>
      <c r="B318">
        <v>0.8</v>
      </c>
      <c r="C318">
        <v>43</v>
      </c>
      <c r="D318">
        <v>80</v>
      </c>
      <c r="E318">
        <f t="shared" si="1"/>
        <v>0.8</v>
      </c>
      <c r="F318">
        <f t="shared" si="2"/>
        <v>0</v>
      </c>
      <c r="G318">
        <f t="shared" si="3"/>
        <v>0</v>
      </c>
    </row>
    <row r="319" spans="1:7" ht="12.75">
      <c r="A319">
        <v>44</v>
      </c>
      <c r="B319">
        <v>0.92</v>
      </c>
      <c r="C319">
        <v>44</v>
      </c>
      <c r="D319">
        <v>92</v>
      </c>
      <c r="E319">
        <f t="shared" si="1"/>
        <v>0.92</v>
      </c>
      <c r="F319">
        <f t="shared" si="2"/>
        <v>0</v>
      </c>
      <c r="G319">
        <f t="shared" si="3"/>
        <v>0</v>
      </c>
    </row>
    <row r="320" spans="1:7" ht="12.75">
      <c r="A320">
        <v>45</v>
      </c>
      <c r="B320">
        <v>0.79</v>
      </c>
      <c r="C320">
        <v>45</v>
      </c>
      <c r="D320">
        <v>79</v>
      </c>
      <c r="E320">
        <f t="shared" si="1"/>
        <v>0.79</v>
      </c>
      <c r="F320">
        <f t="shared" si="2"/>
        <v>0</v>
      </c>
      <c r="G320">
        <f t="shared" si="3"/>
        <v>0</v>
      </c>
    </row>
    <row r="321" spans="1:7" ht="12.75">
      <c r="A321">
        <v>46</v>
      </c>
      <c r="B321">
        <v>0.84</v>
      </c>
      <c r="C321">
        <v>46</v>
      </c>
      <c r="D321">
        <v>84</v>
      </c>
      <c r="E321">
        <f t="shared" si="1"/>
        <v>0.84</v>
      </c>
      <c r="F321">
        <f t="shared" si="2"/>
        <v>0</v>
      </c>
      <c r="G321">
        <f t="shared" si="3"/>
        <v>0</v>
      </c>
    </row>
    <row r="322" spans="1:7" ht="12.75">
      <c r="A322">
        <v>47</v>
      </c>
      <c r="B322">
        <v>0.81</v>
      </c>
      <c r="C322">
        <v>47</v>
      </c>
      <c r="D322">
        <v>81</v>
      </c>
      <c r="E322">
        <f t="shared" si="1"/>
        <v>0.81</v>
      </c>
      <c r="F322">
        <f t="shared" si="2"/>
        <v>0</v>
      </c>
      <c r="G322">
        <f t="shared" si="3"/>
        <v>0</v>
      </c>
    </row>
    <row r="323" spans="1:7" ht="12.75">
      <c r="A323">
        <v>48</v>
      </c>
      <c r="B323">
        <v>0.84</v>
      </c>
      <c r="C323">
        <v>48</v>
      </c>
      <c r="D323">
        <v>84</v>
      </c>
      <c r="E323">
        <f t="shared" si="1"/>
        <v>0.84</v>
      </c>
      <c r="F323">
        <f t="shared" si="2"/>
        <v>0</v>
      </c>
      <c r="G323">
        <f t="shared" si="3"/>
        <v>0</v>
      </c>
    </row>
    <row r="324" spans="1:7" ht="12.75">
      <c r="A324">
        <v>49</v>
      </c>
      <c r="B324">
        <v>0.79</v>
      </c>
      <c r="C324">
        <v>49</v>
      </c>
      <c r="D324">
        <v>79</v>
      </c>
      <c r="E324">
        <f t="shared" si="1"/>
        <v>0.79</v>
      </c>
      <c r="F324">
        <f t="shared" si="2"/>
        <v>0</v>
      </c>
      <c r="G324">
        <f t="shared" si="3"/>
        <v>0</v>
      </c>
    </row>
    <row r="325" spans="1:7" ht="12.75">
      <c r="A325">
        <v>50</v>
      </c>
      <c r="B325">
        <v>0.73</v>
      </c>
      <c r="C325">
        <v>50</v>
      </c>
      <c r="D325">
        <v>73</v>
      </c>
      <c r="E325">
        <f t="shared" si="1"/>
        <v>0.73</v>
      </c>
      <c r="F325">
        <f t="shared" si="2"/>
        <v>0</v>
      </c>
      <c r="G325">
        <f t="shared" si="3"/>
        <v>0</v>
      </c>
    </row>
    <row r="326" spans="1:7" ht="12.75">
      <c r="A326">
        <v>51</v>
      </c>
      <c r="B326">
        <v>0.74</v>
      </c>
      <c r="C326">
        <v>51</v>
      </c>
      <c r="D326">
        <v>74</v>
      </c>
      <c r="E326">
        <f t="shared" si="1"/>
        <v>0.74</v>
      </c>
      <c r="F326">
        <f t="shared" si="2"/>
        <v>0</v>
      </c>
      <c r="G326">
        <f t="shared" si="3"/>
        <v>0</v>
      </c>
    </row>
    <row r="327" spans="1:7" ht="12.75">
      <c r="A327">
        <v>52</v>
      </c>
      <c r="B327">
        <v>0.7</v>
      </c>
      <c r="C327">
        <v>52</v>
      </c>
      <c r="D327">
        <v>70</v>
      </c>
      <c r="E327">
        <f t="shared" si="1"/>
        <v>0.7</v>
      </c>
      <c r="F327">
        <f t="shared" si="2"/>
        <v>0</v>
      </c>
      <c r="G327">
        <f t="shared" si="3"/>
        <v>0</v>
      </c>
    </row>
    <row r="328" spans="1:7" ht="12.75">
      <c r="A328">
        <v>53</v>
      </c>
      <c r="B328">
        <v>0.74</v>
      </c>
      <c r="C328">
        <v>53</v>
      </c>
      <c r="D328">
        <v>74</v>
      </c>
      <c r="E328">
        <f t="shared" si="1"/>
        <v>0.74</v>
      </c>
      <c r="F328">
        <f t="shared" si="2"/>
        <v>0</v>
      </c>
      <c r="G328">
        <f t="shared" si="3"/>
        <v>0</v>
      </c>
    </row>
    <row r="329" spans="1:7" ht="12.75">
      <c r="A329">
        <v>54</v>
      </c>
      <c r="B329">
        <v>0.85</v>
      </c>
      <c r="C329">
        <v>54</v>
      </c>
      <c r="D329">
        <v>85</v>
      </c>
      <c r="E329">
        <f t="shared" si="1"/>
        <v>0.85</v>
      </c>
      <c r="F329">
        <f t="shared" si="2"/>
        <v>0</v>
      </c>
      <c r="G329">
        <f t="shared" si="3"/>
        <v>0</v>
      </c>
    </row>
    <row r="330" spans="1:7" ht="12.75">
      <c r="A330">
        <v>56</v>
      </c>
      <c r="B330">
        <v>0.83</v>
      </c>
      <c r="C330">
        <v>56</v>
      </c>
      <c r="D330">
        <v>83</v>
      </c>
      <c r="E330">
        <f t="shared" si="1"/>
        <v>0.83</v>
      </c>
      <c r="F330">
        <f t="shared" si="2"/>
        <v>0</v>
      </c>
      <c r="G330">
        <f t="shared" si="3"/>
        <v>0</v>
      </c>
    </row>
    <row r="331" spans="1:7" ht="12.75">
      <c r="A331">
        <v>57</v>
      </c>
      <c r="B331">
        <v>0.84</v>
      </c>
      <c r="C331">
        <v>57</v>
      </c>
      <c r="D331">
        <v>84</v>
      </c>
      <c r="E331">
        <f t="shared" si="1"/>
        <v>0.84</v>
      </c>
      <c r="F331">
        <f t="shared" si="2"/>
        <v>0</v>
      </c>
      <c r="G331">
        <f t="shared" si="3"/>
        <v>0</v>
      </c>
    </row>
    <row r="332" spans="1:7" ht="12.75">
      <c r="A332">
        <v>58</v>
      </c>
      <c r="B332">
        <v>0.76</v>
      </c>
      <c r="C332">
        <v>58</v>
      </c>
      <c r="D332">
        <v>76</v>
      </c>
      <c r="E332">
        <f t="shared" si="1"/>
        <v>0.76</v>
      </c>
      <c r="F332">
        <f t="shared" si="2"/>
        <v>0</v>
      </c>
      <c r="G332">
        <f t="shared" si="3"/>
        <v>0</v>
      </c>
    </row>
    <row r="333" spans="1:7" ht="12.75">
      <c r="A333">
        <v>59</v>
      </c>
      <c r="B333">
        <v>0.75</v>
      </c>
      <c r="C333">
        <v>59</v>
      </c>
      <c r="D333">
        <v>75</v>
      </c>
      <c r="E333">
        <f t="shared" si="1"/>
        <v>0.75</v>
      </c>
      <c r="F333">
        <f t="shared" si="2"/>
        <v>0</v>
      </c>
      <c r="G333">
        <f t="shared" si="3"/>
        <v>0</v>
      </c>
    </row>
    <row r="334" spans="1:7" ht="12.75">
      <c r="A334">
        <v>60</v>
      </c>
      <c r="B334">
        <v>1.04</v>
      </c>
      <c r="C334">
        <v>60</v>
      </c>
      <c r="D334">
        <v>104</v>
      </c>
      <c r="E334">
        <f t="shared" si="1"/>
        <v>1.04</v>
      </c>
      <c r="F334">
        <f t="shared" si="2"/>
        <v>0</v>
      </c>
      <c r="G334">
        <f t="shared" si="3"/>
        <v>0</v>
      </c>
    </row>
    <row r="335" spans="1:7" ht="12.75">
      <c r="A335">
        <v>61</v>
      </c>
      <c r="B335">
        <v>1.04</v>
      </c>
      <c r="C335">
        <v>61</v>
      </c>
      <c r="D335">
        <v>104</v>
      </c>
      <c r="E335">
        <f t="shared" si="1"/>
        <v>1.04</v>
      </c>
      <c r="F335">
        <f t="shared" si="2"/>
        <v>0</v>
      </c>
      <c r="G335">
        <f t="shared" si="3"/>
        <v>0</v>
      </c>
    </row>
    <row r="336" spans="1:7" ht="12.75">
      <c r="A336">
        <v>62</v>
      </c>
      <c r="B336">
        <v>1.04</v>
      </c>
      <c r="C336">
        <v>62</v>
      </c>
      <c r="D336">
        <v>104</v>
      </c>
      <c r="E336">
        <f t="shared" si="1"/>
        <v>1.04</v>
      </c>
      <c r="F336">
        <f t="shared" si="2"/>
        <v>0</v>
      </c>
      <c r="G336">
        <f t="shared" si="3"/>
        <v>0</v>
      </c>
    </row>
    <row r="337" spans="1:7" ht="12.75">
      <c r="A337">
        <v>63</v>
      </c>
      <c r="B337">
        <v>1.03</v>
      </c>
      <c r="C337">
        <v>63</v>
      </c>
      <c r="D337">
        <v>103</v>
      </c>
      <c r="E337">
        <f t="shared" si="1"/>
        <v>1.03</v>
      </c>
      <c r="F337">
        <f t="shared" si="2"/>
        <v>0</v>
      </c>
      <c r="G337">
        <f t="shared" si="3"/>
        <v>0</v>
      </c>
    </row>
    <row r="338" spans="1:7" ht="12.75">
      <c r="A338">
        <v>64</v>
      </c>
      <c r="B338">
        <v>1.04</v>
      </c>
      <c r="C338">
        <v>64</v>
      </c>
      <c r="D338">
        <v>104</v>
      </c>
      <c r="E338">
        <f t="shared" si="1"/>
        <v>1.04</v>
      </c>
      <c r="F338">
        <f t="shared" si="2"/>
        <v>0</v>
      </c>
      <c r="G338">
        <f t="shared" si="3"/>
        <v>0</v>
      </c>
    </row>
    <row r="339" spans="1:7" ht="12.75">
      <c r="A339">
        <v>65</v>
      </c>
      <c r="B339">
        <v>1.04</v>
      </c>
      <c r="C339">
        <v>65</v>
      </c>
      <c r="D339">
        <v>104</v>
      </c>
      <c r="E339">
        <f t="shared" si="1"/>
        <v>1.04</v>
      </c>
      <c r="F339">
        <f t="shared" si="2"/>
        <v>0</v>
      </c>
      <c r="G339">
        <f t="shared" si="3"/>
        <v>0</v>
      </c>
    </row>
    <row r="340" spans="1:7" ht="12.75">
      <c r="A340">
        <v>66</v>
      </c>
      <c r="B340">
        <v>1.03</v>
      </c>
      <c r="C340">
        <v>66</v>
      </c>
      <c r="D340">
        <v>103</v>
      </c>
      <c r="E340">
        <f t="shared" si="1"/>
        <v>1.03</v>
      </c>
      <c r="F340">
        <f t="shared" si="2"/>
        <v>0</v>
      </c>
      <c r="G340">
        <f t="shared" si="3"/>
        <v>0</v>
      </c>
    </row>
    <row r="341" spans="1:7" ht="12.75">
      <c r="A341">
        <v>67</v>
      </c>
      <c r="B341">
        <v>1.04</v>
      </c>
      <c r="C341">
        <v>67</v>
      </c>
      <c r="D341">
        <v>104</v>
      </c>
      <c r="E341">
        <f t="shared" si="1"/>
        <v>1.04</v>
      </c>
      <c r="F341">
        <f t="shared" si="2"/>
        <v>0</v>
      </c>
      <c r="G341">
        <f t="shared" si="3"/>
        <v>0</v>
      </c>
    </row>
    <row r="342" spans="1:7" ht="12.75">
      <c r="A342">
        <v>68</v>
      </c>
      <c r="B342">
        <v>1.03</v>
      </c>
      <c r="C342">
        <v>68</v>
      </c>
      <c r="D342">
        <v>103</v>
      </c>
      <c r="E342">
        <f t="shared" si="1"/>
        <v>1.03</v>
      </c>
      <c r="F342">
        <f t="shared" si="2"/>
        <v>0</v>
      </c>
      <c r="G342">
        <f t="shared" si="3"/>
        <v>0</v>
      </c>
    </row>
    <row r="343" spans="1:7" ht="12.75">
      <c r="A343">
        <v>69</v>
      </c>
      <c r="B343">
        <v>1.05</v>
      </c>
      <c r="C343">
        <v>69</v>
      </c>
      <c r="D343">
        <v>105</v>
      </c>
      <c r="E343">
        <f t="shared" si="1"/>
        <v>1.05</v>
      </c>
      <c r="F343">
        <f t="shared" si="2"/>
        <v>0</v>
      </c>
      <c r="G343">
        <f t="shared" si="3"/>
        <v>0</v>
      </c>
    </row>
    <row r="344" spans="1:7" ht="12.75">
      <c r="A344">
        <v>70</v>
      </c>
      <c r="B344">
        <v>1.12</v>
      </c>
      <c r="C344">
        <v>70</v>
      </c>
      <c r="D344">
        <v>112</v>
      </c>
      <c r="E344">
        <f t="shared" si="1"/>
        <v>1.12</v>
      </c>
      <c r="F344">
        <f t="shared" si="2"/>
        <v>0</v>
      </c>
      <c r="G344">
        <f t="shared" si="3"/>
        <v>0</v>
      </c>
    </row>
    <row r="345" spans="1:7" ht="12.75">
      <c r="A345">
        <v>71</v>
      </c>
      <c r="B345">
        <v>1.12</v>
      </c>
      <c r="C345">
        <v>71</v>
      </c>
      <c r="D345">
        <v>112</v>
      </c>
      <c r="E345">
        <f t="shared" si="1"/>
        <v>1.12</v>
      </c>
      <c r="F345">
        <f t="shared" si="2"/>
        <v>0</v>
      </c>
      <c r="G345">
        <f t="shared" si="3"/>
        <v>0</v>
      </c>
    </row>
    <row r="346" spans="1:7" ht="12.75">
      <c r="A346">
        <v>72</v>
      </c>
      <c r="B346">
        <v>1.08</v>
      </c>
      <c r="C346">
        <v>72</v>
      </c>
      <c r="D346">
        <v>108</v>
      </c>
      <c r="E346">
        <f t="shared" si="1"/>
        <v>1.08</v>
      </c>
      <c r="F346">
        <f t="shared" si="2"/>
        <v>0</v>
      </c>
      <c r="G346">
        <f t="shared" si="3"/>
        <v>0</v>
      </c>
    </row>
    <row r="347" spans="1:7" ht="12.75">
      <c r="A347">
        <v>73</v>
      </c>
      <c r="B347">
        <v>1.11</v>
      </c>
      <c r="C347">
        <v>73</v>
      </c>
      <c r="D347">
        <v>111</v>
      </c>
      <c r="E347">
        <f t="shared" si="1"/>
        <v>1.11</v>
      </c>
      <c r="F347">
        <f t="shared" si="2"/>
        <v>0</v>
      </c>
      <c r="G347">
        <f t="shared" si="3"/>
        <v>0</v>
      </c>
    </row>
    <row r="348" spans="1:7" ht="12.75">
      <c r="A348">
        <v>74</v>
      </c>
      <c r="B348">
        <v>1.12</v>
      </c>
      <c r="C348">
        <v>74</v>
      </c>
      <c r="D348">
        <v>112</v>
      </c>
      <c r="E348">
        <f t="shared" si="1"/>
        <v>1.12</v>
      </c>
      <c r="F348">
        <f t="shared" si="2"/>
        <v>0</v>
      </c>
      <c r="G348">
        <f t="shared" si="3"/>
        <v>0</v>
      </c>
    </row>
    <row r="349" spans="1:7" ht="12.75">
      <c r="A349">
        <v>75</v>
      </c>
      <c r="B349">
        <v>1.12</v>
      </c>
      <c r="C349">
        <v>75</v>
      </c>
      <c r="D349">
        <v>112</v>
      </c>
      <c r="E349">
        <f aca="true" t="shared" si="4" ref="E349:E412">D349/100</f>
        <v>1.12</v>
      </c>
      <c r="F349">
        <f aca="true" t="shared" si="5" ref="F349:F412">A349-C349</f>
        <v>0</v>
      </c>
      <c r="G349">
        <f aca="true" t="shared" si="6" ref="G349:G412">B349-E349</f>
        <v>0</v>
      </c>
    </row>
    <row r="350" spans="1:7" ht="12.75">
      <c r="A350">
        <v>76</v>
      </c>
      <c r="B350">
        <v>1.09</v>
      </c>
      <c r="C350">
        <v>76</v>
      </c>
      <c r="D350">
        <v>109</v>
      </c>
      <c r="E350">
        <f t="shared" si="4"/>
        <v>1.09</v>
      </c>
      <c r="F350">
        <f t="shared" si="5"/>
        <v>0</v>
      </c>
      <c r="G350">
        <f t="shared" si="6"/>
        <v>0</v>
      </c>
    </row>
    <row r="351" spans="1:7" ht="12.75">
      <c r="A351">
        <v>77</v>
      </c>
      <c r="B351">
        <v>1.09</v>
      </c>
      <c r="C351">
        <v>77</v>
      </c>
      <c r="D351">
        <v>109</v>
      </c>
      <c r="E351">
        <f t="shared" si="4"/>
        <v>1.09</v>
      </c>
      <c r="F351">
        <f t="shared" si="5"/>
        <v>0</v>
      </c>
      <c r="G351">
        <f t="shared" si="6"/>
        <v>0</v>
      </c>
    </row>
    <row r="352" spans="1:7" ht="12.75">
      <c r="A352">
        <v>78</v>
      </c>
      <c r="B352">
        <v>1.09</v>
      </c>
      <c r="C352">
        <v>78</v>
      </c>
      <c r="D352">
        <v>109</v>
      </c>
      <c r="E352">
        <f t="shared" si="4"/>
        <v>1.09</v>
      </c>
      <c r="F352">
        <f t="shared" si="5"/>
        <v>0</v>
      </c>
      <c r="G352">
        <f t="shared" si="6"/>
        <v>0</v>
      </c>
    </row>
    <row r="353" spans="1:7" ht="12.75">
      <c r="A353">
        <v>79</v>
      </c>
      <c r="B353">
        <v>1.07</v>
      </c>
      <c r="C353">
        <v>79</v>
      </c>
      <c r="D353">
        <v>107</v>
      </c>
      <c r="E353">
        <f t="shared" si="4"/>
        <v>1.07</v>
      </c>
      <c r="F353">
        <f t="shared" si="5"/>
        <v>0</v>
      </c>
      <c r="G353">
        <f t="shared" si="6"/>
        <v>0</v>
      </c>
    </row>
    <row r="354" spans="1:7" ht="12.75">
      <c r="A354">
        <v>80</v>
      </c>
      <c r="B354">
        <v>1.06</v>
      </c>
      <c r="C354">
        <v>80</v>
      </c>
      <c r="D354">
        <v>106</v>
      </c>
      <c r="E354">
        <f t="shared" si="4"/>
        <v>1.06</v>
      </c>
      <c r="F354">
        <f t="shared" si="5"/>
        <v>0</v>
      </c>
      <c r="G354">
        <f t="shared" si="6"/>
        <v>0</v>
      </c>
    </row>
    <row r="355" spans="1:7" ht="12.75">
      <c r="A355">
        <v>81</v>
      </c>
      <c r="B355">
        <v>1.08</v>
      </c>
      <c r="C355">
        <v>81</v>
      </c>
      <c r="D355">
        <v>108</v>
      </c>
      <c r="E355">
        <f t="shared" si="4"/>
        <v>1.08</v>
      </c>
      <c r="F355">
        <f t="shared" si="5"/>
        <v>0</v>
      </c>
      <c r="G355">
        <f t="shared" si="6"/>
        <v>0</v>
      </c>
    </row>
    <row r="356" spans="1:7" ht="12.75">
      <c r="A356">
        <v>82</v>
      </c>
      <c r="B356">
        <v>1.07</v>
      </c>
      <c r="C356">
        <v>82</v>
      </c>
      <c r="D356">
        <v>107</v>
      </c>
      <c r="E356">
        <f t="shared" si="4"/>
        <v>1.07</v>
      </c>
      <c r="F356">
        <f t="shared" si="5"/>
        <v>0</v>
      </c>
      <c r="G356">
        <f t="shared" si="6"/>
        <v>0</v>
      </c>
    </row>
    <row r="357" spans="1:7" ht="12.75">
      <c r="A357">
        <v>83</v>
      </c>
      <c r="B357">
        <v>1.06</v>
      </c>
      <c r="C357">
        <v>83</v>
      </c>
      <c r="D357">
        <v>106</v>
      </c>
      <c r="E357">
        <f t="shared" si="4"/>
        <v>1.06</v>
      </c>
      <c r="F357">
        <f t="shared" si="5"/>
        <v>0</v>
      </c>
      <c r="G357">
        <f t="shared" si="6"/>
        <v>0</v>
      </c>
    </row>
    <row r="358" spans="1:7" ht="12.75">
      <c r="A358">
        <v>84</v>
      </c>
      <c r="B358">
        <v>1.07</v>
      </c>
      <c r="C358">
        <v>84</v>
      </c>
      <c r="D358">
        <v>107</v>
      </c>
      <c r="E358">
        <f t="shared" si="4"/>
        <v>1.07</v>
      </c>
      <c r="F358">
        <f t="shared" si="5"/>
        <v>0</v>
      </c>
      <c r="G358">
        <f t="shared" si="6"/>
        <v>0</v>
      </c>
    </row>
    <row r="359" spans="1:7" ht="12.75">
      <c r="A359">
        <v>85</v>
      </c>
      <c r="B359">
        <v>1.11</v>
      </c>
      <c r="C359">
        <v>85</v>
      </c>
      <c r="D359">
        <v>111</v>
      </c>
      <c r="E359">
        <f t="shared" si="4"/>
        <v>1.11</v>
      </c>
      <c r="F359">
        <f t="shared" si="5"/>
        <v>0</v>
      </c>
      <c r="G359">
        <f t="shared" si="6"/>
        <v>0</v>
      </c>
    </row>
    <row r="360" spans="1:7" ht="12.75">
      <c r="A360">
        <v>86</v>
      </c>
      <c r="B360">
        <v>1.11</v>
      </c>
      <c r="C360">
        <v>86</v>
      </c>
      <c r="D360">
        <v>111</v>
      </c>
      <c r="E360">
        <f t="shared" si="4"/>
        <v>1.11</v>
      </c>
      <c r="F360">
        <f t="shared" si="5"/>
        <v>0</v>
      </c>
      <c r="G360">
        <f t="shared" si="6"/>
        <v>0</v>
      </c>
    </row>
    <row r="361" spans="1:7" ht="12.75">
      <c r="A361">
        <v>87</v>
      </c>
      <c r="B361">
        <v>1.09</v>
      </c>
      <c r="C361">
        <v>87</v>
      </c>
      <c r="D361">
        <v>109</v>
      </c>
      <c r="E361">
        <f t="shared" si="4"/>
        <v>1.09</v>
      </c>
      <c r="F361">
        <f t="shared" si="5"/>
        <v>0</v>
      </c>
      <c r="G361">
        <f t="shared" si="6"/>
        <v>0</v>
      </c>
    </row>
    <row r="362" spans="1:7" ht="12.75">
      <c r="A362">
        <v>88</v>
      </c>
      <c r="B362">
        <v>1.1</v>
      </c>
      <c r="C362">
        <v>88</v>
      </c>
      <c r="D362">
        <v>110</v>
      </c>
      <c r="E362">
        <f t="shared" si="4"/>
        <v>1.1</v>
      </c>
      <c r="F362">
        <f t="shared" si="5"/>
        <v>0</v>
      </c>
      <c r="G362">
        <f t="shared" si="6"/>
        <v>0</v>
      </c>
    </row>
    <row r="363" spans="1:7" ht="12.75">
      <c r="A363">
        <v>89</v>
      </c>
      <c r="B363">
        <v>1.1</v>
      </c>
      <c r="C363">
        <v>89</v>
      </c>
      <c r="D363">
        <v>110</v>
      </c>
      <c r="E363">
        <f t="shared" si="4"/>
        <v>1.1</v>
      </c>
      <c r="F363">
        <f t="shared" si="5"/>
        <v>0</v>
      </c>
      <c r="G363">
        <f t="shared" si="6"/>
        <v>0</v>
      </c>
    </row>
    <row r="364" spans="1:7" ht="12.75">
      <c r="A364">
        <v>100</v>
      </c>
      <c r="B364">
        <v>1.34</v>
      </c>
      <c r="C364">
        <v>100</v>
      </c>
      <c r="D364">
        <v>134</v>
      </c>
      <c r="E364">
        <f t="shared" si="4"/>
        <v>1.34</v>
      </c>
      <c r="F364">
        <f t="shared" si="5"/>
        <v>0</v>
      </c>
      <c r="G364">
        <f t="shared" si="6"/>
        <v>0</v>
      </c>
    </row>
    <row r="365" spans="1:7" ht="12.75">
      <c r="A365">
        <v>101</v>
      </c>
      <c r="B365">
        <v>1.34</v>
      </c>
      <c r="C365">
        <v>101</v>
      </c>
      <c r="D365">
        <v>134</v>
      </c>
      <c r="E365">
        <f t="shared" si="4"/>
        <v>1.34</v>
      </c>
      <c r="F365">
        <f t="shared" si="5"/>
        <v>0</v>
      </c>
      <c r="G365">
        <f t="shared" si="6"/>
        <v>0</v>
      </c>
    </row>
    <row r="366" spans="1:7" ht="12.75">
      <c r="A366">
        <v>102</v>
      </c>
      <c r="B366">
        <v>1.34</v>
      </c>
      <c r="C366">
        <v>102</v>
      </c>
      <c r="D366">
        <v>134</v>
      </c>
      <c r="E366">
        <f t="shared" si="4"/>
        <v>1.34</v>
      </c>
      <c r="F366">
        <f t="shared" si="5"/>
        <v>0</v>
      </c>
      <c r="G366">
        <f t="shared" si="6"/>
        <v>0</v>
      </c>
    </row>
    <row r="367" spans="1:7" ht="12.75">
      <c r="A367">
        <v>103</v>
      </c>
      <c r="B367">
        <v>1.24</v>
      </c>
      <c r="C367">
        <v>103</v>
      </c>
      <c r="D367">
        <v>124</v>
      </c>
      <c r="E367">
        <f t="shared" si="4"/>
        <v>1.24</v>
      </c>
      <c r="F367">
        <f t="shared" si="5"/>
        <v>0</v>
      </c>
      <c r="G367">
        <f t="shared" si="6"/>
        <v>0</v>
      </c>
    </row>
    <row r="368" spans="1:7" ht="12.75">
      <c r="A368">
        <v>104</v>
      </c>
      <c r="B368">
        <v>1.23</v>
      </c>
      <c r="C368">
        <v>104</v>
      </c>
      <c r="D368">
        <v>123</v>
      </c>
      <c r="E368">
        <f t="shared" si="4"/>
        <v>1.23</v>
      </c>
      <c r="F368">
        <f t="shared" si="5"/>
        <v>0</v>
      </c>
      <c r="G368">
        <f t="shared" si="6"/>
        <v>0</v>
      </c>
    </row>
    <row r="369" spans="1:7" ht="12.75">
      <c r="A369">
        <v>105</v>
      </c>
      <c r="B369">
        <v>1.17</v>
      </c>
      <c r="C369">
        <v>105</v>
      </c>
      <c r="D369">
        <v>117</v>
      </c>
      <c r="E369">
        <f t="shared" si="4"/>
        <v>1.17</v>
      </c>
      <c r="F369">
        <f t="shared" si="5"/>
        <v>0</v>
      </c>
      <c r="G369">
        <f t="shared" si="6"/>
        <v>0</v>
      </c>
    </row>
    <row r="370" spans="1:7" ht="12.75">
      <c r="A370">
        <v>106</v>
      </c>
      <c r="B370">
        <v>1.16</v>
      </c>
      <c r="C370">
        <v>106</v>
      </c>
      <c r="D370">
        <v>116</v>
      </c>
      <c r="E370">
        <f t="shared" si="4"/>
        <v>1.16</v>
      </c>
      <c r="F370">
        <f t="shared" si="5"/>
        <v>0</v>
      </c>
      <c r="G370">
        <f t="shared" si="6"/>
        <v>0</v>
      </c>
    </row>
    <row r="371" spans="1:7" ht="12.75">
      <c r="A371">
        <v>107</v>
      </c>
      <c r="B371">
        <v>1.22</v>
      </c>
      <c r="C371">
        <v>107</v>
      </c>
      <c r="D371">
        <v>122</v>
      </c>
      <c r="E371">
        <f t="shared" si="4"/>
        <v>1.22</v>
      </c>
      <c r="F371">
        <f t="shared" si="5"/>
        <v>0</v>
      </c>
      <c r="G371">
        <f t="shared" si="6"/>
        <v>0</v>
      </c>
    </row>
    <row r="372" spans="1:7" ht="12.75">
      <c r="A372">
        <v>108</v>
      </c>
      <c r="B372">
        <v>1.18</v>
      </c>
      <c r="C372">
        <v>108</v>
      </c>
      <c r="D372">
        <v>118</v>
      </c>
      <c r="E372">
        <f t="shared" si="4"/>
        <v>1.18</v>
      </c>
      <c r="F372">
        <f t="shared" si="5"/>
        <v>0</v>
      </c>
      <c r="G372">
        <f t="shared" si="6"/>
        <v>0</v>
      </c>
    </row>
    <row r="373" spans="1:7" ht="12.75">
      <c r="A373">
        <v>109</v>
      </c>
      <c r="B373">
        <v>1.11</v>
      </c>
      <c r="C373">
        <v>109</v>
      </c>
      <c r="D373">
        <v>111</v>
      </c>
      <c r="E373">
        <f t="shared" si="4"/>
        <v>1.11</v>
      </c>
      <c r="F373">
        <f t="shared" si="5"/>
        <v>0</v>
      </c>
      <c r="G373">
        <f t="shared" si="6"/>
        <v>0</v>
      </c>
    </row>
    <row r="374" spans="1:7" ht="12.75">
      <c r="A374">
        <v>110</v>
      </c>
      <c r="B374">
        <v>1.24</v>
      </c>
      <c r="C374">
        <v>110</v>
      </c>
      <c r="D374">
        <v>124</v>
      </c>
      <c r="E374">
        <f t="shared" si="4"/>
        <v>1.24</v>
      </c>
      <c r="F374">
        <f t="shared" si="5"/>
        <v>0</v>
      </c>
      <c r="G374">
        <f t="shared" si="6"/>
        <v>0</v>
      </c>
    </row>
    <row r="375" spans="1:7" ht="12.75">
      <c r="A375">
        <v>111</v>
      </c>
      <c r="B375">
        <v>1.25</v>
      </c>
      <c r="C375">
        <v>111</v>
      </c>
      <c r="D375">
        <v>125</v>
      </c>
      <c r="E375">
        <f t="shared" si="4"/>
        <v>1.25</v>
      </c>
      <c r="F375">
        <f t="shared" si="5"/>
        <v>0</v>
      </c>
      <c r="G375">
        <f t="shared" si="6"/>
        <v>0</v>
      </c>
    </row>
    <row r="376" spans="1:7" ht="12.75">
      <c r="A376">
        <v>112</v>
      </c>
      <c r="B376">
        <v>1.24</v>
      </c>
      <c r="C376">
        <v>112</v>
      </c>
      <c r="D376">
        <v>124</v>
      </c>
      <c r="E376">
        <f t="shared" si="4"/>
        <v>1.24</v>
      </c>
      <c r="F376">
        <f t="shared" si="5"/>
        <v>0</v>
      </c>
      <c r="G376">
        <f t="shared" si="6"/>
        <v>0</v>
      </c>
    </row>
    <row r="377" spans="1:7" ht="12.75">
      <c r="A377">
        <v>113</v>
      </c>
      <c r="B377">
        <v>1.25</v>
      </c>
      <c r="C377">
        <v>113</v>
      </c>
      <c r="D377">
        <v>125</v>
      </c>
      <c r="E377">
        <f t="shared" si="4"/>
        <v>1.25</v>
      </c>
      <c r="F377">
        <f t="shared" si="5"/>
        <v>0</v>
      </c>
      <c r="G377">
        <f t="shared" si="6"/>
        <v>0</v>
      </c>
    </row>
    <row r="378" spans="1:7" ht="12.75">
      <c r="A378">
        <v>114</v>
      </c>
      <c r="B378">
        <v>1.24</v>
      </c>
      <c r="C378">
        <v>114</v>
      </c>
      <c r="D378">
        <v>124</v>
      </c>
      <c r="E378">
        <f t="shared" si="4"/>
        <v>1.24</v>
      </c>
      <c r="F378">
        <f t="shared" si="5"/>
        <v>0</v>
      </c>
      <c r="G378">
        <f t="shared" si="6"/>
        <v>0</v>
      </c>
    </row>
    <row r="379" spans="1:7" ht="12.75">
      <c r="A379">
        <v>115</v>
      </c>
      <c r="B379">
        <v>1.22</v>
      </c>
      <c r="C379">
        <v>115</v>
      </c>
      <c r="D379">
        <v>122</v>
      </c>
      <c r="E379">
        <f t="shared" si="4"/>
        <v>1.22</v>
      </c>
      <c r="F379">
        <f t="shared" si="5"/>
        <v>0</v>
      </c>
      <c r="G379">
        <f t="shared" si="6"/>
        <v>0</v>
      </c>
    </row>
    <row r="380" spans="1:7" ht="12.75">
      <c r="A380">
        <v>116</v>
      </c>
      <c r="B380">
        <v>1.25</v>
      </c>
      <c r="C380">
        <v>116</v>
      </c>
      <c r="D380">
        <v>125</v>
      </c>
      <c r="E380">
        <f t="shared" si="4"/>
        <v>1.25</v>
      </c>
      <c r="F380">
        <f t="shared" si="5"/>
        <v>0</v>
      </c>
      <c r="G380">
        <f t="shared" si="6"/>
        <v>0</v>
      </c>
    </row>
    <row r="381" spans="1:7" ht="12.75">
      <c r="A381">
        <v>117</v>
      </c>
      <c r="B381">
        <v>1.22</v>
      </c>
      <c r="C381">
        <v>117</v>
      </c>
      <c r="D381">
        <v>122</v>
      </c>
      <c r="E381">
        <f t="shared" si="4"/>
        <v>1.22</v>
      </c>
      <c r="F381">
        <f t="shared" si="5"/>
        <v>0</v>
      </c>
      <c r="G381">
        <f t="shared" si="6"/>
        <v>0</v>
      </c>
    </row>
    <row r="382" spans="1:7" ht="12.75">
      <c r="A382">
        <v>118</v>
      </c>
      <c r="B382">
        <v>1.28</v>
      </c>
      <c r="C382">
        <v>118</v>
      </c>
      <c r="D382">
        <v>128</v>
      </c>
      <c r="E382">
        <f t="shared" si="4"/>
        <v>1.28</v>
      </c>
      <c r="F382">
        <f t="shared" si="5"/>
        <v>0</v>
      </c>
      <c r="G382">
        <f t="shared" si="6"/>
        <v>0</v>
      </c>
    </row>
    <row r="383" spans="1:7" ht="12.75">
      <c r="A383">
        <v>119</v>
      </c>
      <c r="B383">
        <v>1.23</v>
      </c>
      <c r="C383">
        <v>119</v>
      </c>
      <c r="D383">
        <v>123</v>
      </c>
      <c r="E383">
        <f t="shared" si="4"/>
        <v>1.23</v>
      </c>
      <c r="F383">
        <f t="shared" si="5"/>
        <v>0</v>
      </c>
      <c r="G383">
        <f t="shared" si="6"/>
        <v>0</v>
      </c>
    </row>
    <row r="384" spans="1:7" ht="12.75">
      <c r="A384">
        <v>120</v>
      </c>
      <c r="B384">
        <v>0.97</v>
      </c>
      <c r="C384">
        <v>120</v>
      </c>
      <c r="D384">
        <v>97</v>
      </c>
      <c r="E384">
        <f t="shared" si="4"/>
        <v>0.97</v>
      </c>
      <c r="F384">
        <f t="shared" si="5"/>
        <v>0</v>
      </c>
      <c r="G384">
        <f t="shared" si="6"/>
        <v>0</v>
      </c>
    </row>
    <row r="385" spans="1:7" ht="12.75">
      <c r="A385">
        <v>121</v>
      </c>
      <c r="B385">
        <v>0.97</v>
      </c>
      <c r="C385">
        <v>121</v>
      </c>
      <c r="D385">
        <v>97</v>
      </c>
      <c r="E385">
        <f t="shared" si="4"/>
        <v>0.97</v>
      </c>
      <c r="F385">
        <f t="shared" si="5"/>
        <v>0</v>
      </c>
      <c r="G385">
        <f t="shared" si="6"/>
        <v>0</v>
      </c>
    </row>
    <row r="386" spans="1:7" ht="12.75">
      <c r="A386">
        <v>122</v>
      </c>
      <c r="B386">
        <v>0.97</v>
      </c>
      <c r="C386">
        <v>122</v>
      </c>
      <c r="D386">
        <v>97</v>
      </c>
      <c r="E386">
        <f t="shared" si="4"/>
        <v>0.97</v>
      </c>
      <c r="F386">
        <f t="shared" si="5"/>
        <v>0</v>
      </c>
      <c r="G386">
        <f t="shared" si="6"/>
        <v>0</v>
      </c>
    </row>
    <row r="387" spans="1:7" ht="12.75">
      <c r="A387">
        <v>123</v>
      </c>
      <c r="B387">
        <v>0.98</v>
      </c>
      <c r="C387">
        <v>123</v>
      </c>
      <c r="D387">
        <v>98</v>
      </c>
      <c r="E387">
        <f t="shared" si="4"/>
        <v>0.98</v>
      </c>
      <c r="F387">
        <f t="shared" si="5"/>
        <v>0</v>
      </c>
      <c r="G387">
        <f t="shared" si="6"/>
        <v>0</v>
      </c>
    </row>
    <row r="388" spans="1:7" ht="12.75">
      <c r="A388">
        <v>124</v>
      </c>
      <c r="B388">
        <v>1.08</v>
      </c>
      <c r="C388">
        <v>124</v>
      </c>
      <c r="D388">
        <v>108</v>
      </c>
      <c r="E388">
        <f t="shared" si="4"/>
        <v>1.08</v>
      </c>
      <c r="F388">
        <f t="shared" si="5"/>
        <v>0</v>
      </c>
      <c r="G388">
        <f t="shared" si="6"/>
        <v>0</v>
      </c>
    </row>
    <row r="389" spans="1:7" ht="12.75">
      <c r="A389">
        <v>125</v>
      </c>
      <c r="B389">
        <v>1.1</v>
      </c>
      <c r="C389">
        <v>125</v>
      </c>
      <c r="D389">
        <v>110</v>
      </c>
      <c r="E389">
        <f t="shared" si="4"/>
        <v>1.1</v>
      </c>
      <c r="F389">
        <f t="shared" si="5"/>
        <v>0</v>
      </c>
      <c r="G389">
        <f t="shared" si="6"/>
        <v>0</v>
      </c>
    </row>
    <row r="390" spans="1:7" ht="12.75">
      <c r="A390">
        <v>126</v>
      </c>
      <c r="B390">
        <v>1.1</v>
      </c>
      <c r="C390">
        <v>126</v>
      </c>
      <c r="D390">
        <v>110</v>
      </c>
      <c r="E390">
        <f t="shared" si="4"/>
        <v>1.1</v>
      </c>
      <c r="F390">
        <f t="shared" si="5"/>
        <v>0</v>
      </c>
      <c r="G390">
        <f t="shared" si="6"/>
        <v>0</v>
      </c>
    </row>
    <row r="391" spans="1:7" ht="12.75">
      <c r="A391">
        <v>127</v>
      </c>
      <c r="B391">
        <v>1.07</v>
      </c>
      <c r="C391">
        <v>127</v>
      </c>
      <c r="D391">
        <v>107</v>
      </c>
      <c r="E391">
        <f t="shared" si="4"/>
        <v>1.07</v>
      </c>
      <c r="F391">
        <f t="shared" si="5"/>
        <v>0</v>
      </c>
      <c r="G391">
        <f t="shared" si="6"/>
        <v>0</v>
      </c>
    </row>
    <row r="392" spans="1:7" ht="12.75">
      <c r="A392">
        <v>128</v>
      </c>
      <c r="B392">
        <v>0.91</v>
      </c>
      <c r="C392">
        <v>128</v>
      </c>
      <c r="D392">
        <v>91</v>
      </c>
      <c r="E392">
        <f t="shared" si="4"/>
        <v>0.91</v>
      </c>
      <c r="F392">
        <f t="shared" si="5"/>
        <v>0</v>
      </c>
      <c r="G392">
        <f t="shared" si="6"/>
        <v>0</v>
      </c>
    </row>
    <row r="393" spans="1:7" ht="12.75">
      <c r="A393">
        <v>129</v>
      </c>
      <c r="B393">
        <v>0.92</v>
      </c>
      <c r="C393">
        <v>129</v>
      </c>
      <c r="D393">
        <v>92</v>
      </c>
      <c r="E393">
        <f t="shared" si="4"/>
        <v>0.92</v>
      </c>
      <c r="F393">
        <f t="shared" si="5"/>
        <v>0</v>
      </c>
      <c r="G393">
        <f t="shared" si="6"/>
        <v>0</v>
      </c>
    </row>
    <row r="394" spans="1:7" ht="12.75">
      <c r="A394">
        <v>130</v>
      </c>
      <c r="B394">
        <v>0.98</v>
      </c>
      <c r="C394">
        <v>130</v>
      </c>
      <c r="D394">
        <v>98</v>
      </c>
      <c r="E394">
        <f t="shared" si="4"/>
        <v>0.98</v>
      </c>
      <c r="F394">
        <f t="shared" si="5"/>
        <v>0</v>
      </c>
      <c r="G394">
        <f t="shared" si="6"/>
        <v>0</v>
      </c>
    </row>
    <row r="395" spans="1:7" ht="12.75">
      <c r="A395">
        <v>131</v>
      </c>
      <c r="B395">
        <v>0.98</v>
      </c>
      <c r="C395">
        <v>131</v>
      </c>
      <c r="D395">
        <v>98</v>
      </c>
      <c r="E395">
        <f t="shared" si="4"/>
        <v>0.98</v>
      </c>
      <c r="F395">
        <f t="shared" si="5"/>
        <v>0</v>
      </c>
      <c r="G395">
        <f t="shared" si="6"/>
        <v>0</v>
      </c>
    </row>
    <row r="396" spans="1:7" ht="12.75">
      <c r="A396">
        <v>132</v>
      </c>
      <c r="B396">
        <v>0.98</v>
      </c>
      <c r="C396">
        <v>132</v>
      </c>
      <c r="D396">
        <v>98</v>
      </c>
      <c r="E396">
        <f t="shared" si="4"/>
        <v>0.98</v>
      </c>
      <c r="F396">
        <f t="shared" si="5"/>
        <v>0</v>
      </c>
      <c r="G396">
        <f t="shared" si="6"/>
        <v>0</v>
      </c>
    </row>
    <row r="397" spans="1:7" ht="12.75">
      <c r="A397">
        <v>133</v>
      </c>
      <c r="B397">
        <v>0.94</v>
      </c>
      <c r="C397">
        <v>133</v>
      </c>
      <c r="D397">
        <v>94</v>
      </c>
      <c r="E397">
        <f t="shared" si="4"/>
        <v>0.94</v>
      </c>
      <c r="F397">
        <f t="shared" si="5"/>
        <v>0</v>
      </c>
      <c r="G397">
        <f t="shared" si="6"/>
        <v>0</v>
      </c>
    </row>
    <row r="398" spans="1:7" ht="12.75">
      <c r="A398">
        <v>134</v>
      </c>
      <c r="B398">
        <v>0.94</v>
      </c>
      <c r="C398">
        <v>134</v>
      </c>
      <c r="D398">
        <v>94</v>
      </c>
      <c r="E398">
        <f t="shared" si="4"/>
        <v>0.94</v>
      </c>
      <c r="F398">
        <f t="shared" si="5"/>
        <v>0</v>
      </c>
      <c r="G398">
        <f t="shared" si="6"/>
        <v>0</v>
      </c>
    </row>
    <row r="399" spans="1:7" ht="12.75">
      <c r="A399">
        <v>135</v>
      </c>
      <c r="B399">
        <v>0.94</v>
      </c>
      <c r="C399">
        <v>135</v>
      </c>
      <c r="D399">
        <v>94</v>
      </c>
      <c r="E399">
        <f t="shared" si="4"/>
        <v>0.94</v>
      </c>
      <c r="F399">
        <f t="shared" si="5"/>
        <v>0</v>
      </c>
      <c r="G399">
        <f t="shared" si="6"/>
        <v>0</v>
      </c>
    </row>
    <row r="400" spans="1:7" ht="12.75">
      <c r="A400">
        <v>136</v>
      </c>
      <c r="B400">
        <v>0.95</v>
      </c>
      <c r="C400">
        <v>136</v>
      </c>
      <c r="D400">
        <v>95</v>
      </c>
      <c r="E400">
        <f t="shared" si="4"/>
        <v>0.95</v>
      </c>
      <c r="F400">
        <f t="shared" si="5"/>
        <v>0</v>
      </c>
      <c r="G400">
        <f t="shared" si="6"/>
        <v>0</v>
      </c>
    </row>
    <row r="401" spans="1:7" ht="12.75">
      <c r="A401">
        <v>137</v>
      </c>
      <c r="B401">
        <v>0.94</v>
      </c>
      <c r="C401">
        <v>137</v>
      </c>
      <c r="D401">
        <v>94</v>
      </c>
      <c r="E401">
        <f t="shared" si="4"/>
        <v>0.94</v>
      </c>
      <c r="F401">
        <f t="shared" si="5"/>
        <v>0</v>
      </c>
      <c r="G401">
        <f t="shared" si="6"/>
        <v>0</v>
      </c>
    </row>
    <row r="402" spans="1:7" ht="12.75">
      <c r="A402">
        <v>138</v>
      </c>
      <c r="B402">
        <v>0.94</v>
      </c>
      <c r="C402">
        <v>138</v>
      </c>
      <c r="D402">
        <v>94</v>
      </c>
      <c r="E402">
        <f t="shared" si="4"/>
        <v>0.94</v>
      </c>
      <c r="F402">
        <f t="shared" si="5"/>
        <v>0</v>
      </c>
      <c r="G402">
        <f t="shared" si="6"/>
        <v>0</v>
      </c>
    </row>
    <row r="403" spans="1:7" ht="12.75">
      <c r="A403">
        <v>139</v>
      </c>
      <c r="B403">
        <v>0.94</v>
      </c>
      <c r="C403">
        <v>139</v>
      </c>
      <c r="D403">
        <v>94</v>
      </c>
      <c r="E403">
        <f t="shared" si="4"/>
        <v>0.94</v>
      </c>
      <c r="F403">
        <f t="shared" si="5"/>
        <v>0</v>
      </c>
      <c r="G403">
        <f t="shared" si="6"/>
        <v>0</v>
      </c>
    </row>
    <row r="404" spans="1:7" ht="12.75">
      <c r="A404">
        <v>140</v>
      </c>
      <c r="B404">
        <v>1.02</v>
      </c>
      <c r="C404">
        <v>140</v>
      </c>
      <c r="D404">
        <v>102</v>
      </c>
      <c r="E404">
        <f t="shared" si="4"/>
        <v>1.02</v>
      </c>
      <c r="F404">
        <f t="shared" si="5"/>
        <v>0</v>
      </c>
      <c r="G404">
        <f t="shared" si="6"/>
        <v>0</v>
      </c>
    </row>
    <row r="405" spans="1:7" ht="12.75">
      <c r="A405">
        <v>141</v>
      </c>
      <c r="B405">
        <v>1.02</v>
      </c>
      <c r="C405">
        <v>141</v>
      </c>
      <c r="D405">
        <v>102</v>
      </c>
      <c r="E405">
        <f t="shared" si="4"/>
        <v>1.02</v>
      </c>
      <c r="F405">
        <f t="shared" si="5"/>
        <v>0</v>
      </c>
      <c r="G405">
        <f t="shared" si="6"/>
        <v>0</v>
      </c>
    </row>
    <row r="406" spans="1:7" ht="12.75">
      <c r="A406">
        <v>142</v>
      </c>
      <c r="B406">
        <v>1.02</v>
      </c>
      <c r="C406">
        <v>142</v>
      </c>
      <c r="D406">
        <v>102</v>
      </c>
      <c r="E406">
        <f t="shared" si="4"/>
        <v>1.02</v>
      </c>
      <c r="F406">
        <f t="shared" si="5"/>
        <v>0</v>
      </c>
      <c r="G406">
        <f t="shared" si="6"/>
        <v>0</v>
      </c>
    </row>
    <row r="407" spans="1:7" ht="12.75">
      <c r="A407">
        <v>143</v>
      </c>
      <c r="B407">
        <v>1.01</v>
      </c>
      <c r="C407">
        <v>143</v>
      </c>
      <c r="D407">
        <v>101</v>
      </c>
      <c r="E407">
        <f t="shared" si="4"/>
        <v>1.01</v>
      </c>
      <c r="F407">
        <f t="shared" si="5"/>
        <v>0</v>
      </c>
      <c r="G407">
        <f t="shared" si="6"/>
        <v>0</v>
      </c>
    </row>
    <row r="408" spans="1:7" ht="12.75">
      <c r="A408">
        <v>144</v>
      </c>
      <c r="B408">
        <v>1.01</v>
      </c>
      <c r="C408">
        <v>144</v>
      </c>
      <c r="D408">
        <v>101</v>
      </c>
      <c r="E408">
        <f t="shared" si="4"/>
        <v>1.01</v>
      </c>
      <c r="F408">
        <f t="shared" si="5"/>
        <v>0</v>
      </c>
      <c r="G408">
        <f t="shared" si="6"/>
        <v>0</v>
      </c>
    </row>
    <row r="409" spans="1:7" ht="12.75">
      <c r="A409">
        <v>145</v>
      </c>
      <c r="B409">
        <v>1.01</v>
      </c>
      <c r="C409">
        <v>145</v>
      </c>
      <c r="D409">
        <v>101</v>
      </c>
      <c r="E409">
        <f t="shared" si="4"/>
        <v>1.01</v>
      </c>
      <c r="F409">
        <f t="shared" si="5"/>
        <v>0</v>
      </c>
      <c r="G409">
        <f t="shared" si="6"/>
        <v>0</v>
      </c>
    </row>
    <row r="410" spans="1:7" ht="12.75">
      <c r="A410">
        <v>146</v>
      </c>
      <c r="B410">
        <v>1.01</v>
      </c>
      <c r="C410">
        <v>146</v>
      </c>
      <c r="D410">
        <v>101</v>
      </c>
      <c r="E410">
        <f t="shared" si="4"/>
        <v>1.01</v>
      </c>
      <c r="F410">
        <f t="shared" si="5"/>
        <v>0</v>
      </c>
      <c r="G410">
        <f t="shared" si="6"/>
        <v>0</v>
      </c>
    </row>
    <row r="411" spans="1:7" ht="12.75">
      <c r="A411">
        <v>147</v>
      </c>
      <c r="B411">
        <v>0.91</v>
      </c>
      <c r="C411">
        <v>147</v>
      </c>
      <c r="D411">
        <v>91</v>
      </c>
      <c r="E411">
        <f t="shared" si="4"/>
        <v>0.91</v>
      </c>
      <c r="F411">
        <f t="shared" si="5"/>
        <v>0</v>
      </c>
      <c r="G411">
        <f t="shared" si="6"/>
        <v>0</v>
      </c>
    </row>
    <row r="412" spans="1:7" ht="12.75">
      <c r="A412">
        <v>148</v>
      </c>
      <c r="B412">
        <v>0.93</v>
      </c>
      <c r="C412">
        <v>148</v>
      </c>
      <c r="D412">
        <v>93</v>
      </c>
      <c r="E412">
        <f t="shared" si="4"/>
        <v>0.93</v>
      </c>
      <c r="F412">
        <f t="shared" si="5"/>
        <v>0</v>
      </c>
      <c r="G412">
        <f t="shared" si="6"/>
        <v>0</v>
      </c>
    </row>
    <row r="413" spans="1:7" ht="12.75">
      <c r="A413">
        <v>149</v>
      </c>
      <c r="B413">
        <v>0.93</v>
      </c>
      <c r="C413">
        <v>149</v>
      </c>
      <c r="D413">
        <v>93</v>
      </c>
      <c r="E413">
        <f aca="true" t="shared" si="7" ref="E413:E476">D413/100</f>
        <v>0.93</v>
      </c>
      <c r="F413">
        <f aca="true" t="shared" si="8" ref="F413:F476">A413-C413</f>
        <v>0</v>
      </c>
      <c r="G413">
        <f aca="true" t="shared" si="9" ref="G413:G476">B413-E413</f>
        <v>0</v>
      </c>
    </row>
    <row r="414" spans="1:7" ht="12.75">
      <c r="A414">
        <v>150</v>
      </c>
      <c r="B414">
        <v>1.03</v>
      </c>
      <c r="C414">
        <v>150</v>
      </c>
      <c r="D414">
        <v>103</v>
      </c>
      <c r="E414">
        <f t="shared" si="7"/>
        <v>1.03</v>
      </c>
      <c r="F414">
        <f t="shared" si="8"/>
        <v>0</v>
      </c>
      <c r="G414">
        <f t="shared" si="9"/>
        <v>0</v>
      </c>
    </row>
    <row r="415" spans="1:7" ht="12.75">
      <c r="A415">
        <v>151</v>
      </c>
      <c r="B415">
        <v>1.03</v>
      </c>
      <c r="C415">
        <v>151</v>
      </c>
      <c r="D415">
        <v>103</v>
      </c>
      <c r="E415">
        <f t="shared" si="7"/>
        <v>1.03</v>
      </c>
      <c r="F415">
        <f t="shared" si="8"/>
        <v>0</v>
      </c>
      <c r="G415">
        <f t="shared" si="9"/>
        <v>0</v>
      </c>
    </row>
    <row r="416" spans="1:7" ht="12.75">
      <c r="A416">
        <v>152</v>
      </c>
      <c r="B416">
        <v>1.03</v>
      </c>
      <c r="C416">
        <v>152</v>
      </c>
      <c r="D416">
        <v>103</v>
      </c>
      <c r="E416">
        <f t="shared" si="7"/>
        <v>1.03</v>
      </c>
      <c r="F416">
        <f t="shared" si="8"/>
        <v>0</v>
      </c>
      <c r="G416">
        <f t="shared" si="9"/>
        <v>0</v>
      </c>
    </row>
    <row r="417" spans="1:7" ht="12.75">
      <c r="A417">
        <v>153</v>
      </c>
      <c r="B417">
        <v>1</v>
      </c>
      <c r="C417">
        <v>153</v>
      </c>
      <c r="D417">
        <v>100</v>
      </c>
      <c r="E417">
        <f t="shared" si="7"/>
        <v>1</v>
      </c>
      <c r="F417">
        <f t="shared" si="8"/>
        <v>0</v>
      </c>
      <c r="G417">
        <f t="shared" si="9"/>
        <v>0</v>
      </c>
    </row>
    <row r="418" spans="1:7" ht="12.75">
      <c r="A418">
        <v>154</v>
      </c>
      <c r="B418">
        <v>0.99</v>
      </c>
      <c r="C418">
        <v>154</v>
      </c>
      <c r="D418">
        <v>99</v>
      </c>
      <c r="E418">
        <f t="shared" si="7"/>
        <v>0.99</v>
      </c>
      <c r="F418">
        <f t="shared" si="8"/>
        <v>0</v>
      </c>
      <c r="G418">
        <f t="shared" si="9"/>
        <v>0</v>
      </c>
    </row>
    <row r="419" spans="1:7" ht="12.75">
      <c r="A419">
        <v>155</v>
      </c>
      <c r="B419">
        <v>0.96</v>
      </c>
      <c r="C419">
        <v>155</v>
      </c>
      <c r="D419">
        <v>96</v>
      </c>
      <c r="E419">
        <f t="shared" si="7"/>
        <v>0.96</v>
      </c>
      <c r="F419">
        <f t="shared" si="8"/>
        <v>0</v>
      </c>
      <c r="G419">
        <f t="shared" si="9"/>
        <v>0</v>
      </c>
    </row>
    <row r="420" spans="1:7" ht="12.75">
      <c r="A420">
        <v>156</v>
      </c>
      <c r="B420">
        <v>1</v>
      </c>
      <c r="C420">
        <v>156</v>
      </c>
      <c r="D420">
        <v>100</v>
      </c>
      <c r="E420">
        <f t="shared" si="7"/>
        <v>1</v>
      </c>
      <c r="F420">
        <f t="shared" si="8"/>
        <v>0</v>
      </c>
      <c r="G420">
        <f t="shared" si="9"/>
        <v>0</v>
      </c>
    </row>
    <row r="421" spans="1:7" ht="12.75">
      <c r="A421">
        <v>157</v>
      </c>
      <c r="B421">
        <v>0.98</v>
      </c>
      <c r="C421">
        <v>157</v>
      </c>
      <c r="D421">
        <v>98</v>
      </c>
      <c r="E421">
        <f t="shared" si="7"/>
        <v>0.98</v>
      </c>
      <c r="F421">
        <f t="shared" si="8"/>
        <v>0</v>
      </c>
      <c r="G421">
        <f t="shared" si="9"/>
        <v>0</v>
      </c>
    </row>
    <row r="422" spans="1:7" ht="12.75">
      <c r="A422">
        <v>158</v>
      </c>
      <c r="B422">
        <v>0.97</v>
      </c>
      <c r="C422">
        <v>158</v>
      </c>
      <c r="D422">
        <v>97</v>
      </c>
      <c r="E422">
        <f t="shared" si="7"/>
        <v>0.97</v>
      </c>
      <c r="F422">
        <f t="shared" si="8"/>
        <v>0</v>
      </c>
      <c r="G422">
        <f t="shared" si="9"/>
        <v>0</v>
      </c>
    </row>
    <row r="423" spans="1:7" ht="12.75">
      <c r="A423">
        <v>159</v>
      </c>
      <c r="B423">
        <v>0.97</v>
      </c>
      <c r="C423">
        <v>159</v>
      </c>
      <c r="D423">
        <v>97</v>
      </c>
      <c r="E423">
        <f t="shared" si="7"/>
        <v>0.97</v>
      </c>
      <c r="F423">
        <f t="shared" si="8"/>
        <v>0</v>
      </c>
      <c r="G423">
        <f t="shared" si="9"/>
        <v>0</v>
      </c>
    </row>
    <row r="424" spans="1:7" ht="12.75">
      <c r="A424">
        <v>160</v>
      </c>
      <c r="B424">
        <v>0.97</v>
      </c>
      <c r="C424">
        <v>160</v>
      </c>
      <c r="D424">
        <v>97</v>
      </c>
      <c r="E424">
        <f t="shared" si="7"/>
        <v>0.97</v>
      </c>
      <c r="F424">
        <f t="shared" si="8"/>
        <v>0</v>
      </c>
      <c r="G424">
        <f t="shared" si="9"/>
        <v>0</v>
      </c>
    </row>
    <row r="425" spans="1:7" ht="12.75">
      <c r="A425">
        <v>161</v>
      </c>
      <c r="B425">
        <v>0.97</v>
      </c>
      <c r="C425">
        <v>161</v>
      </c>
      <c r="D425">
        <v>97</v>
      </c>
      <c r="E425">
        <f t="shared" si="7"/>
        <v>0.97</v>
      </c>
      <c r="F425">
        <f t="shared" si="8"/>
        <v>0</v>
      </c>
      <c r="G425">
        <f t="shared" si="9"/>
        <v>0</v>
      </c>
    </row>
    <row r="426" spans="1:7" ht="12.75">
      <c r="A426">
        <v>162</v>
      </c>
      <c r="B426">
        <v>0.99</v>
      </c>
      <c r="C426">
        <v>162</v>
      </c>
      <c r="D426">
        <v>99</v>
      </c>
      <c r="E426">
        <f t="shared" si="7"/>
        <v>0.99</v>
      </c>
      <c r="F426">
        <f t="shared" si="8"/>
        <v>0</v>
      </c>
      <c r="G426">
        <f t="shared" si="9"/>
        <v>0</v>
      </c>
    </row>
    <row r="427" spans="1:7" ht="12.75">
      <c r="A427">
        <v>163</v>
      </c>
      <c r="B427">
        <v>0.94</v>
      </c>
      <c r="C427">
        <v>163</v>
      </c>
      <c r="D427">
        <v>94</v>
      </c>
      <c r="E427">
        <f t="shared" si="7"/>
        <v>0.94</v>
      </c>
      <c r="F427">
        <f t="shared" si="8"/>
        <v>0</v>
      </c>
      <c r="G427">
        <f t="shared" si="9"/>
        <v>0</v>
      </c>
    </row>
    <row r="428" spans="1:7" ht="12.75">
      <c r="A428">
        <v>164</v>
      </c>
      <c r="B428">
        <v>0.96</v>
      </c>
      <c r="C428">
        <v>164</v>
      </c>
      <c r="D428">
        <v>96</v>
      </c>
      <c r="E428">
        <f t="shared" si="7"/>
        <v>0.96</v>
      </c>
      <c r="F428">
        <f t="shared" si="8"/>
        <v>0</v>
      </c>
      <c r="G428">
        <f t="shared" si="9"/>
        <v>0</v>
      </c>
    </row>
    <row r="429" spans="1:7" ht="12.75">
      <c r="A429">
        <v>165</v>
      </c>
      <c r="B429">
        <v>0.96</v>
      </c>
      <c r="C429">
        <v>165</v>
      </c>
      <c r="D429">
        <v>96</v>
      </c>
      <c r="E429">
        <f t="shared" si="7"/>
        <v>0.96</v>
      </c>
      <c r="F429">
        <f t="shared" si="8"/>
        <v>0</v>
      </c>
      <c r="G429">
        <f t="shared" si="9"/>
        <v>0</v>
      </c>
    </row>
    <row r="430" spans="1:7" ht="12.75">
      <c r="A430">
        <v>166</v>
      </c>
      <c r="B430">
        <v>0.96</v>
      </c>
      <c r="C430">
        <v>166</v>
      </c>
      <c r="D430">
        <v>96</v>
      </c>
      <c r="E430">
        <f t="shared" si="7"/>
        <v>0.96</v>
      </c>
      <c r="F430">
        <f t="shared" si="8"/>
        <v>0</v>
      </c>
      <c r="G430">
        <f t="shared" si="9"/>
        <v>0</v>
      </c>
    </row>
    <row r="431" spans="1:7" ht="12.75">
      <c r="A431">
        <v>167</v>
      </c>
      <c r="B431">
        <v>0.96</v>
      </c>
      <c r="C431">
        <v>167</v>
      </c>
      <c r="D431">
        <v>96</v>
      </c>
      <c r="E431">
        <f t="shared" si="7"/>
        <v>0.96</v>
      </c>
      <c r="F431">
        <f t="shared" si="8"/>
        <v>0</v>
      </c>
      <c r="G431">
        <f t="shared" si="9"/>
        <v>0</v>
      </c>
    </row>
    <row r="432" spans="1:7" ht="12.75">
      <c r="A432">
        <v>168</v>
      </c>
      <c r="B432">
        <v>0.97</v>
      </c>
      <c r="C432">
        <v>168</v>
      </c>
      <c r="D432">
        <v>97</v>
      </c>
      <c r="E432">
        <f t="shared" si="7"/>
        <v>0.97</v>
      </c>
      <c r="F432">
        <f t="shared" si="8"/>
        <v>0</v>
      </c>
      <c r="G432">
        <f t="shared" si="9"/>
        <v>0</v>
      </c>
    </row>
    <row r="433" spans="1:7" ht="12.75">
      <c r="A433">
        <v>169</v>
      </c>
      <c r="B433">
        <v>0.95</v>
      </c>
      <c r="C433">
        <v>169</v>
      </c>
      <c r="D433">
        <v>95</v>
      </c>
      <c r="E433">
        <f t="shared" si="7"/>
        <v>0.95</v>
      </c>
      <c r="F433">
        <f t="shared" si="8"/>
        <v>0</v>
      </c>
      <c r="G433">
        <f t="shared" si="9"/>
        <v>0</v>
      </c>
    </row>
    <row r="434" spans="1:7" ht="12.75">
      <c r="A434">
        <v>170</v>
      </c>
      <c r="B434">
        <v>0.96</v>
      </c>
      <c r="C434">
        <v>170</v>
      </c>
      <c r="D434">
        <v>96</v>
      </c>
      <c r="E434">
        <f t="shared" si="7"/>
        <v>0.96</v>
      </c>
      <c r="F434">
        <f t="shared" si="8"/>
        <v>0</v>
      </c>
      <c r="G434">
        <f t="shared" si="9"/>
        <v>0</v>
      </c>
    </row>
    <row r="435" spans="1:7" ht="12.75">
      <c r="A435">
        <v>171</v>
      </c>
      <c r="B435">
        <v>0.96</v>
      </c>
      <c r="C435">
        <v>171</v>
      </c>
      <c r="D435">
        <v>96</v>
      </c>
      <c r="E435">
        <f t="shared" si="7"/>
        <v>0.96</v>
      </c>
      <c r="F435">
        <f t="shared" si="8"/>
        <v>0</v>
      </c>
      <c r="G435">
        <f t="shared" si="9"/>
        <v>0</v>
      </c>
    </row>
    <row r="436" spans="1:7" ht="12.75">
      <c r="A436">
        <v>172</v>
      </c>
      <c r="B436">
        <v>0.94</v>
      </c>
      <c r="C436">
        <v>172</v>
      </c>
      <c r="D436">
        <v>94</v>
      </c>
      <c r="E436">
        <f t="shared" si="7"/>
        <v>0.94</v>
      </c>
      <c r="F436">
        <f t="shared" si="8"/>
        <v>0</v>
      </c>
      <c r="G436">
        <f t="shared" si="9"/>
        <v>0</v>
      </c>
    </row>
    <row r="437" spans="1:7" ht="12.75">
      <c r="A437">
        <v>173</v>
      </c>
      <c r="B437">
        <v>0.96</v>
      </c>
      <c r="C437">
        <v>173</v>
      </c>
      <c r="D437">
        <v>96</v>
      </c>
      <c r="E437">
        <f t="shared" si="7"/>
        <v>0.96</v>
      </c>
      <c r="F437">
        <f t="shared" si="8"/>
        <v>0</v>
      </c>
      <c r="G437">
        <f t="shared" si="9"/>
        <v>0</v>
      </c>
    </row>
    <row r="438" spans="1:7" ht="12.75">
      <c r="A438">
        <v>174</v>
      </c>
      <c r="B438">
        <v>0.96</v>
      </c>
      <c r="C438">
        <v>174</v>
      </c>
      <c r="D438">
        <v>96</v>
      </c>
      <c r="E438">
        <f t="shared" si="7"/>
        <v>0.96</v>
      </c>
      <c r="F438">
        <f t="shared" si="8"/>
        <v>0</v>
      </c>
      <c r="G438">
        <f t="shared" si="9"/>
        <v>0</v>
      </c>
    </row>
    <row r="439" spans="1:7" ht="12.75">
      <c r="A439">
        <v>175</v>
      </c>
      <c r="B439">
        <v>0.94</v>
      </c>
      <c r="C439">
        <v>175</v>
      </c>
      <c r="D439">
        <v>94</v>
      </c>
      <c r="E439">
        <f t="shared" si="7"/>
        <v>0.94</v>
      </c>
      <c r="F439">
        <f t="shared" si="8"/>
        <v>0</v>
      </c>
      <c r="G439">
        <f t="shared" si="9"/>
        <v>0</v>
      </c>
    </row>
    <row r="440" spans="1:7" ht="12.75">
      <c r="A440">
        <v>176</v>
      </c>
      <c r="B440">
        <v>0.94</v>
      </c>
      <c r="C440">
        <v>176</v>
      </c>
      <c r="D440">
        <v>94</v>
      </c>
      <c r="E440">
        <f t="shared" si="7"/>
        <v>0.94</v>
      </c>
      <c r="F440">
        <f t="shared" si="8"/>
        <v>0</v>
      </c>
      <c r="G440">
        <f t="shared" si="9"/>
        <v>0</v>
      </c>
    </row>
    <row r="441" spans="1:7" ht="12.75">
      <c r="A441">
        <v>177</v>
      </c>
      <c r="B441">
        <v>0.92</v>
      </c>
      <c r="C441">
        <v>177</v>
      </c>
      <c r="D441">
        <v>92</v>
      </c>
      <c r="E441">
        <f t="shared" si="7"/>
        <v>0.92</v>
      </c>
      <c r="F441">
        <f t="shared" si="8"/>
        <v>0</v>
      </c>
      <c r="G441">
        <f t="shared" si="9"/>
        <v>0</v>
      </c>
    </row>
    <row r="442" spans="1:7" ht="12.75">
      <c r="A442">
        <v>178</v>
      </c>
      <c r="B442">
        <v>0.95</v>
      </c>
      <c r="C442">
        <v>178</v>
      </c>
      <c r="D442">
        <v>95</v>
      </c>
      <c r="E442">
        <f t="shared" si="7"/>
        <v>0.95</v>
      </c>
      <c r="F442">
        <f t="shared" si="8"/>
        <v>0</v>
      </c>
      <c r="G442">
        <f t="shared" si="9"/>
        <v>0</v>
      </c>
    </row>
    <row r="443" spans="1:7" ht="12.75">
      <c r="A443">
        <v>179</v>
      </c>
      <c r="B443">
        <v>0.95</v>
      </c>
      <c r="C443">
        <v>179</v>
      </c>
      <c r="D443">
        <v>95</v>
      </c>
      <c r="E443">
        <f t="shared" si="7"/>
        <v>0.95</v>
      </c>
      <c r="F443">
        <f t="shared" si="8"/>
        <v>0</v>
      </c>
      <c r="G443">
        <f t="shared" si="9"/>
        <v>0</v>
      </c>
    </row>
    <row r="444" spans="1:7" ht="12.75">
      <c r="A444">
        <v>180</v>
      </c>
      <c r="B444">
        <v>1.01</v>
      </c>
      <c r="C444">
        <v>180</v>
      </c>
      <c r="D444">
        <v>101</v>
      </c>
      <c r="E444">
        <f t="shared" si="7"/>
        <v>1.01</v>
      </c>
      <c r="F444">
        <f t="shared" si="8"/>
        <v>0</v>
      </c>
      <c r="G444">
        <f t="shared" si="9"/>
        <v>0</v>
      </c>
    </row>
    <row r="445" spans="1:7" ht="12.75">
      <c r="A445">
        <v>181</v>
      </c>
      <c r="B445">
        <v>1.01</v>
      </c>
      <c r="C445">
        <v>181</v>
      </c>
      <c r="D445">
        <v>101</v>
      </c>
      <c r="E445">
        <f t="shared" si="7"/>
        <v>1.01</v>
      </c>
      <c r="F445">
        <f t="shared" si="8"/>
        <v>0</v>
      </c>
      <c r="G445">
        <f t="shared" si="9"/>
        <v>0</v>
      </c>
    </row>
    <row r="446" spans="1:7" ht="12.75">
      <c r="A446">
        <v>182</v>
      </c>
      <c r="B446">
        <v>0.96</v>
      </c>
      <c r="C446">
        <v>182</v>
      </c>
      <c r="D446">
        <v>96</v>
      </c>
      <c r="E446">
        <f t="shared" si="7"/>
        <v>0.96</v>
      </c>
      <c r="F446">
        <f t="shared" si="8"/>
        <v>0</v>
      </c>
      <c r="G446">
        <f t="shared" si="9"/>
        <v>0</v>
      </c>
    </row>
    <row r="447" spans="1:7" ht="12.75">
      <c r="A447">
        <v>183</v>
      </c>
      <c r="B447">
        <v>0.95</v>
      </c>
      <c r="C447">
        <v>183</v>
      </c>
      <c r="D447">
        <v>95</v>
      </c>
      <c r="E447">
        <f t="shared" si="7"/>
        <v>0.95</v>
      </c>
      <c r="F447">
        <f t="shared" si="8"/>
        <v>0</v>
      </c>
      <c r="G447">
        <f t="shared" si="9"/>
        <v>0</v>
      </c>
    </row>
    <row r="448" spans="1:7" ht="12.75">
      <c r="A448">
        <v>184</v>
      </c>
      <c r="B448">
        <v>0.99</v>
      </c>
      <c r="C448">
        <v>184</v>
      </c>
      <c r="D448">
        <v>99</v>
      </c>
      <c r="E448">
        <f t="shared" si="7"/>
        <v>0.99</v>
      </c>
      <c r="F448">
        <f t="shared" si="8"/>
        <v>0</v>
      </c>
      <c r="G448">
        <f t="shared" si="9"/>
        <v>0</v>
      </c>
    </row>
    <row r="449" spans="1:7" ht="12.75">
      <c r="A449">
        <v>185</v>
      </c>
      <c r="B449">
        <v>0.99</v>
      </c>
      <c r="C449">
        <v>185</v>
      </c>
      <c r="D449">
        <v>99</v>
      </c>
      <c r="E449">
        <f t="shared" si="7"/>
        <v>0.99</v>
      </c>
      <c r="F449">
        <f t="shared" si="8"/>
        <v>0</v>
      </c>
      <c r="G449">
        <f t="shared" si="9"/>
        <v>0</v>
      </c>
    </row>
    <row r="450" spans="1:7" ht="12.75">
      <c r="A450">
        <v>186</v>
      </c>
      <c r="B450">
        <v>0.96</v>
      </c>
      <c r="C450">
        <v>186</v>
      </c>
      <c r="D450">
        <v>96</v>
      </c>
      <c r="E450">
        <f t="shared" si="7"/>
        <v>0.96</v>
      </c>
      <c r="F450">
        <f t="shared" si="8"/>
        <v>0</v>
      </c>
      <c r="G450">
        <f t="shared" si="9"/>
        <v>0</v>
      </c>
    </row>
    <row r="451" spans="1:7" ht="12.75">
      <c r="A451">
        <v>187</v>
      </c>
      <c r="B451">
        <v>0.96</v>
      </c>
      <c r="C451">
        <v>187</v>
      </c>
      <c r="D451">
        <v>96</v>
      </c>
      <c r="E451">
        <f t="shared" si="7"/>
        <v>0.96</v>
      </c>
      <c r="F451">
        <f t="shared" si="8"/>
        <v>0</v>
      </c>
      <c r="G451">
        <f t="shared" si="9"/>
        <v>0</v>
      </c>
    </row>
    <row r="452" spans="1:7" ht="12.75">
      <c r="A452">
        <v>188</v>
      </c>
      <c r="B452">
        <v>0.97</v>
      </c>
      <c r="C452">
        <v>188</v>
      </c>
      <c r="D452">
        <v>97</v>
      </c>
      <c r="E452">
        <f t="shared" si="7"/>
        <v>0.97</v>
      </c>
      <c r="F452">
        <f t="shared" si="8"/>
        <v>0</v>
      </c>
      <c r="G452">
        <f t="shared" si="9"/>
        <v>0</v>
      </c>
    </row>
    <row r="453" spans="1:7" ht="12.75">
      <c r="A453">
        <v>189</v>
      </c>
      <c r="B453">
        <v>1.04</v>
      </c>
      <c r="C453">
        <v>189</v>
      </c>
      <c r="D453">
        <v>104</v>
      </c>
      <c r="E453">
        <f t="shared" si="7"/>
        <v>1.04</v>
      </c>
      <c r="F453">
        <f t="shared" si="8"/>
        <v>0</v>
      </c>
      <c r="G453">
        <f t="shared" si="9"/>
        <v>0</v>
      </c>
    </row>
    <row r="454" spans="1:7" ht="12.75">
      <c r="A454">
        <v>190</v>
      </c>
      <c r="B454">
        <v>1.12</v>
      </c>
      <c r="C454">
        <v>190</v>
      </c>
      <c r="D454">
        <v>112</v>
      </c>
      <c r="E454">
        <f t="shared" si="7"/>
        <v>1.12</v>
      </c>
      <c r="F454">
        <f t="shared" si="8"/>
        <v>0</v>
      </c>
      <c r="G454">
        <f t="shared" si="9"/>
        <v>0</v>
      </c>
    </row>
    <row r="455" spans="1:7" ht="12.75">
      <c r="A455">
        <v>191</v>
      </c>
      <c r="B455">
        <v>1.12</v>
      </c>
      <c r="C455">
        <v>191</v>
      </c>
      <c r="D455">
        <v>112</v>
      </c>
      <c r="E455">
        <f t="shared" si="7"/>
        <v>1.12</v>
      </c>
      <c r="F455">
        <f t="shared" si="8"/>
        <v>0</v>
      </c>
      <c r="G455">
        <f t="shared" si="9"/>
        <v>0</v>
      </c>
    </row>
    <row r="456" spans="1:7" ht="12.75">
      <c r="A456">
        <v>193</v>
      </c>
      <c r="B456">
        <v>1.03</v>
      </c>
      <c r="C456">
        <v>193</v>
      </c>
      <c r="D456">
        <v>103</v>
      </c>
      <c r="E456">
        <f t="shared" si="7"/>
        <v>1.03</v>
      </c>
      <c r="F456">
        <f t="shared" si="8"/>
        <v>0</v>
      </c>
      <c r="G456">
        <f t="shared" si="9"/>
        <v>0</v>
      </c>
    </row>
    <row r="457" spans="1:7" ht="12.75">
      <c r="A457">
        <v>194</v>
      </c>
      <c r="B457">
        <v>1.05</v>
      </c>
      <c r="C457">
        <v>194</v>
      </c>
      <c r="D457">
        <v>105</v>
      </c>
      <c r="E457">
        <f t="shared" si="7"/>
        <v>1.05</v>
      </c>
      <c r="F457">
        <f t="shared" si="8"/>
        <v>0</v>
      </c>
      <c r="G457">
        <f t="shared" si="9"/>
        <v>0</v>
      </c>
    </row>
    <row r="458" spans="1:7" ht="12.75">
      <c r="A458">
        <v>195</v>
      </c>
      <c r="B458">
        <v>0.98</v>
      </c>
      <c r="C458">
        <v>195</v>
      </c>
      <c r="D458">
        <v>98</v>
      </c>
      <c r="E458">
        <f t="shared" si="7"/>
        <v>0.98</v>
      </c>
      <c r="F458">
        <f t="shared" si="8"/>
        <v>0</v>
      </c>
      <c r="G458">
        <f t="shared" si="9"/>
        <v>0</v>
      </c>
    </row>
    <row r="459" spans="1:7" ht="12.75">
      <c r="A459">
        <v>196</v>
      </c>
      <c r="B459">
        <v>0.98</v>
      </c>
      <c r="C459">
        <v>196</v>
      </c>
      <c r="D459">
        <v>98</v>
      </c>
      <c r="E459">
        <f t="shared" si="7"/>
        <v>0.98</v>
      </c>
      <c r="F459">
        <f t="shared" si="8"/>
        <v>0</v>
      </c>
      <c r="G459">
        <f t="shared" si="9"/>
        <v>0</v>
      </c>
    </row>
    <row r="460" spans="1:7" ht="12.75">
      <c r="A460">
        <v>197</v>
      </c>
      <c r="B460">
        <v>0.98</v>
      </c>
      <c r="C460">
        <v>197</v>
      </c>
      <c r="D460">
        <v>98</v>
      </c>
      <c r="E460">
        <f t="shared" si="7"/>
        <v>0.98</v>
      </c>
      <c r="F460">
        <f t="shared" si="8"/>
        <v>0</v>
      </c>
      <c r="G460">
        <f t="shared" si="9"/>
        <v>0</v>
      </c>
    </row>
    <row r="461" spans="1:7" ht="12.75">
      <c r="A461">
        <v>198</v>
      </c>
      <c r="B461">
        <v>0.98</v>
      </c>
      <c r="C461">
        <v>198</v>
      </c>
      <c r="D461">
        <v>98</v>
      </c>
      <c r="E461">
        <f t="shared" si="7"/>
        <v>0.98</v>
      </c>
      <c r="F461">
        <f t="shared" si="8"/>
        <v>0</v>
      </c>
      <c r="G461">
        <f t="shared" si="9"/>
        <v>0</v>
      </c>
    </row>
    <row r="462" spans="1:7" ht="12.75">
      <c r="A462">
        <v>199</v>
      </c>
      <c r="B462">
        <v>0.98</v>
      </c>
      <c r="C462">
        <v>199</v>
      </c>
      <c r="D462">
        <v>98</v>
      </c>
      <c r="E462">
        <f t="shared" si="7"/>
        <v>0.98</v>
      </c>
      <c r="F462">
        <f t="shared" si="8"/>
        <v>0</v>
      </c>
      <c r="G462">
        <f t="shared" si="9"/>
        <v>0</v>
      </c>
    </row>
    <row r="463" spans="1:7" ht="12.75">
      <c r="A463">
        <v>200</v>
      </c>
      <c r="B463">
        <v>0.96</v>
      </c>
      <c r="C463">
        <v>200</v>
      </c>
      <c r="D463">
        <v>96</v>
      </c>
      <c r="E463">
        <f t="shared" si="7"/>
        <v>0.96</v>
      </c>
      <c r="F463">
        <f t="shared" si="8"/>
        <v>0</v>
      </c>
      <c r="G463">
        <f t="shared" si="9"/>
        <v>0</v>
      </c>
    </row>
    <row r="464" spans="1:7" ht="12.75">
      <c r="A464">
        <v>201</v>
      </c>
      <c r="B464">
        <v>0.96</v>
      </c>
      <c r="C464">
        <v>201</v>
      </c>
      <c r="D464">
        <v>96</v>
      </c>
      <c r="E464">
        <f t="shared" si="7"/>
        <v>0.96</v>
      </c>
      <c r="F464">
        <f t="shared" si="8"/>
        <v>0</v>
      </c>
      <c r="G464">
        <f t="shared" si="9"/>
        <v>0</v>
      </c>
    </row>
    <row r="465" spans="1:7" ht="12.75">
      <c r="A465">
        <v>202</v>
      </c>
      <c r="B465">
        <v>0.96</v>
      </c>
      <c r="C465">
        <v>202</v>
      </c>
      <c r="D465">
        <v>96</v>
      </c>
      <c r="E465">
        <f t="shared" si="7"/>
        <v>0.96</v>
      </c>
      <c r="F465">
        <f t="shared" si="8"/>
        <v>0</v>
      </c>
      <c r="G465">
        <f t="shared" si="9"/>
        <v>0</v>
      </c>
    </row>
    <row r="466" spans="1:7" ht="12.75">
      <c r="A466">
        <v>203</v>
      </c>
      <c r="B466">
        <v>0.96</v>
      </c>
      <c r="C466">
        <v>203</v>
      </c>
      <c r="D466">
        <v>96</v>
      </c>
      <c r="E466">
        <f t="shared" si="7"/>
        <v>0.96</v>
      </c>
      <c r="F466">
        <f t="shared" si="8"/>
        <v>0</v>
      </c>
      <c r="G466">
        <f t="shared" si="9"/>
        <v>0</v>
      </c>
    </row>
    <row r="467" spans="1:7" ht="12.75">
      <c r="A467">
        <v>204</v>
      </c>
      <c r="B467">
        <v>0.96</v>
      </c>
      <c r="C467">
        <v>204</v>
      </c>
      <c r="D467">
        <v>96</v>
      </c>
      <c r="E467">
        <f t="shared" si="7"/>
        <v>0.96</v>
      </c>
      <c r="F467">
        <f t="shared" si="8"/>
        <v>0</v>
      </c>
      <c r="G467">
        <f t="shared" si="9"/>
        <v>0</v>
      </c>
    </row>
    <row r="468" spans="1:7" ht="12.75">
      <c r="A468">
        <v>205</v>
      </c>
      <c r="B468">
        <v>0.96</v>
      </c>
      <c r="C468">
        <v>205</v>
      </c>
      <c r="D468">
        <v>96</v>
      </c>
      <c r="E468">
        <f t="shared" si="7"/>
        <v>0.96</v>
      </c>
      <c r="F468">
        <f t="shared" si="8"/>
        <v>0</v>
      </c>
      <c r="G468">
        <f t="shared" si="9"/>
        <v>0</v>
      </c>
    </row>
    <row r="469" spans="1:7" ht="12.75">
      <c r="A469">
        <v>206</v>
      </c>
      <c r="B469">
        <v>0.88</v>
      </c>
      <c r="C469">
        <v>206</v>
      </c>
      <c r="D469">
        <v>88</v>
      </c>
      <c r="E469">
        <f t="shared" si="7"/>
        <v>0.88</v>
      </c>
      <c r="F469">
        <f t="shared" si="8"/>
        <v>0</v>
      </c>
      <c r="G469">
        <f t="shared" si="9"/>
        <v>0</v>
      </c>
    </row>
    <row r="470" spans="1:7" ht="12.75">
      <c r="A470">
        <v>207</v>
      </c>
      <c r="B470">
        <v>0.9</v>
      </c>
      <c r="C470">
        <v>207</v>
      </c>
      <c r="D470">
        <v>90</v>
      </c>
      <c r="E470">
        <f t="shared" si="7"/>
        <v>0.9</v>
      </c>
      <c r="F470">
        <f t="shared" si="8"/>
        <v>0</v>
      </c>
      <c r="G470">
        <f t="shared" si="9"/>
        <v>0</v>
      </c>
    </row>
    <row r="471" spans="1:7" ht="12.75">
      <c r="A471">
        <v>208</v>
      </c>
      <c r="B471">
        <v>0.9</v>
      </c>
      <c r="C471">
        <v>208</v>
      </c>
      <c r="D471">
        <v>90</v>
      </c>
      <c r="E471">
        <f t="shared" si="7"/>
        <v>0.9</v>
      </c>
      <c r="F471">
        <f t="shared" si="8"/>
        <v>0</v>
      </c>
      <c r="G471">
        <f t="shared" si="9"/>
        <v>0</v>
      </c>
    </row>
    <row r="472" spans="1:7" ht="12.75">
      <c r="A472">
        <v>209</v>
      </c>
      <c r="B472">
        <v>0.89</v>
      </c>
      <c r="C472">
        <v>209</v>
      </c>
      <c r="D472">
        <v>89</v>
      </c>
      <c r="E472">
        <f t="shared" si="7"/>
        <v>0.89</v>
      </c>
      <c r="F472">
        <f t="shared" si="8"/>
        <v>0</v>
      </c>
      <c r="G472">
        <f t="shared" si="9"/>
        <v>0</v>
      </c>
    </row>
    <row r="473" spans="1:7" ht="12.75">
      <c r="A473">
        <v>210</v>
      </c>
      <c r="B473">
        <v>0.92</v>
      </c>
      <c r="C473">
        <v>210</v>
      </c>
      <c r="D473">
        <v>92</v>
      </c>
      <c r="E473">
        <f t="shared" si="7"/>
        <v>0.92</v>
      </c>
      <c r="F473">
        <f t="shared" si="8"/>
        <v>0</v>
      </c>
      <c r="G473">
        <f t="shared" si="9"/>
        <v>0</v>
      </c>
    </row>
    <row r="474" spans="1:7" ht="12.75">
      <c r="A474">
        <v>211</v>
      </c>
      <c r="B474">
        <v>0.92</v>
      </c>
      <c r="C474">
        <v>211</v>
      </c>
      <c r="D474">
        <v>92</v>
      </c>
      <c r="E474">
        <f t="shared" si="7"/>
        <v>0.92</v>
      </c>
      <c r="F474">
        <f t="shared" si="8"/>
        <v>0</v>
      </c>
      <c r="G474">
        <f t="shared" si="9"/>
        <v>0</v>
      </c>
    </row>
    <row r="475" spans="1:7" ht="12.75">
      <c r="A475">
        <v>212</v>
      </c>
      <c r="B475">
        <v>0.92</v>
      </c>
      <c r="C475">
        <v>212</v>
      </c>
      <c r="D475">
        <v>92</v>
      </c>
      <c r="E475">
        <f t="shared" si="7"/>
        <v>0.92</v>
      </c>
      <c r="F475">
        <f t="shared" si="8"/>
        <v>0</v>
      </c>
      <c r="G475">
        <f t="shared" si="9"/>
        <v>0</v>
      </c>
    </row>
    <row r="476" spans="1:7" ht="12.75">
      <c r="A476">
        <v>214</v>
      </c>
      <c r="B476">
        <v>0.9</v>
      </c>
      <c r="C476">
        <v>214</v>
      </c>
      <c r="D476">
        <v>90</v>
      </c>
      <c r="E476">
        <f t="shared" si="7"/>
        <v>0.9</v>
      </c>
      <c r="F476">
        <f t="shared" si="8"/>
        <v>0</v>
      </c>
      <c r="G476">
        <f t="shared" si="9"/>
        <v>0</v>
      </c>
    </row>
    <row r="477" spans="1:7" ht="12.75">
      <c r="A477">
        <v>215</v>
      </c>
      <c r="B477">
        <v>0.87</v>
      </c>
      <c r="C477">
        <v>215</v>
      </c>
      <c r="D477">
        <v>87</v>
      </c>
      <c r="E477">
        <f aca="true" t="shared" si="10" ref="E477:E540">D477/100</f>
        <v>0.87</v>
      </c>
      <c r="F477">
        <f aca="true" t="shared" si="11" ref="F477:F540">A477-C477</f>
        <v>0</v>
      </c>
      <c r="G477">
        <f aca="true" t="shared" si="12" ref="G477:G540">B477-E477</f>
        <v>0</v>
      </c>
    </row>
    <row r="478" spans="1:7" ht="12.75">
      <c r="A478">
        <v>216</v>
      </c>
      <c r="B478">
        <v>0.7</v>
      </c>
      <c r="C478">
        <v>216</v>
      </c>
      <c r="D478">
        <v>70</v>
      </c>
      <c r="E478">
        <f t="shared" si="10"/>
        <v>0.7</v>
      </c>
      <c r="F478">
        <f t="shared" si="11"/>
        <v>0</v>
      </c>
      <c r="G478">
        <f t="shared" si="12"/>
        <v>0</v>
      </c>
    </row>
    <row r="479" spans="1:7" ht="12.75">
      <c r="A479">
        <v>217</v>
      </c>
      <c r="B479">
        <v>0.88</v>
      </c>
      <c r="C479">
        <v>217</v>
      </c>
      <c r="D479">
        <v>88</v>
      </c>
      <c r="E479">
        <f t="shared" si="10"/>
        <v>0.88</v>
      </c>
      <c r="F479">
        <f t="shared" si="11"/>
        <v>0</v>
      </c>
      <c r="G479">
        <f t="shared" si="12"/>
        <v>0</v>
      </c>
    </row>
    <row r="480" spans="1:7" ht="12.75">
      <c r="A480">
        <v>218</v>
      </c>
      <c r="B480">
        <v>0.79</v>
      </c>
      <c r="C480">
        <v>218</v>
      </c>
      <c r="D480">
        <v>79</v>
      </c>
      <c r="E480">
        <f t="shared" si="10"/>
        <v>0.79</v>
      </c>
      <c r="F480">
        <f t="shared" si="11"/>
        <v>0</v>
      </c>
      <c r="G480">
        <f t="shared" si="12"/>
        <v>0</v>
      </c>
    </row>
    <row r="481" spans="1:7" ht="12.75">
      <c r="A481">
        <v>219</v>
      </c>
      <c r="B481">
        <v>0.85</v>
      </c>
      <c r="C481">
        <v>219</v>
      </c>
      <c r="D481">
        <v>85</v>
      </c>
      <c r="E481">
        <f t="shared" si="10"/>
        <v>0.85</v>
      </c>
      <c r="F481">
        <f t="shared" si="11"/>
        <v>0</v>
      </c>
      <c r="G481">
        <f t="shared" si="12"/>
        <v>0</v>
      </c>
    </row>
    <row r="482" spans="1:7" ht="12.75">
      <c r="A482">
        <v>220</v>
      </c>
      <c r="B482">
        <v>0.89</v>
      </c>
      <c r="C482">
        <v>220</v>
      </c>
      <c r="D482">
        <v>89</v>
      </c>
      <c r="E482">
        <f t="shared" si="10"/>
        <v>0.89</v>
      </c>
      <c r="F482">
        <f t="shared" si="11"/>
        <v>0</v>
      </c>
      <c r="G482">
        <f t="shared" si="12"/>
        <v>0</v>
      </c>
    </row>
    <row r="483" spans="1:7" ht="12.75">
      <c r="A483">
        <v>221</v>
      </c>
      <c r="B483">
        <v>0.89</v>
      </c>
      <c r="C483">
        <v>221</v>
      </c>
      <c r="D483">
        <v>89</v>
      </c>
      <c r="E483">
        <f t="shared" si="10"/>
        <v>0.89</v>
      </c>
      <c r="F483">
        <f t="shared" si="11"/>
        <v>0</v>
      </c>
      <c r="G483">
        <f t="shared" si="12"/>
        <v>0</v>
      </c>
    </row>
    <row r="484" spans="1:7" ht="12.75">
      <c r="A484">
        <v>222</v>
      </c>
      <c r="B484">
        <v>0.9</v>
      </c>
      <c r="C484">
        <v>222</v>
      </c>
      <c r="D484">
        <v>90</v>
      </c>
      <c r="E484">
        <f t="shared" si="10"/>
        <v>0.9</v>
      </c>
      <c r="F484">
        <f t="shared" si="11"/>
        <v>0</v>
      </c>
      <c r="G484">
        <f t="shared" si="12"/>
        <v>0</v>
      </c>
    </row>
    <row r="485" spans="1:7" ht="12.75">
      <c r="A485">
        <v>223</v>
      </c>
      <c r="B485">
        <v>0.91</v>
      </c>
      <c r="C485">
        <v>223</v>
      </c>
      <c r="D485">
        <v>91</v>
      </c>
      <c r="E485">
        <f t="shared" si="10"/>
        <v>0.91</v>
      </c>
      <c r="F485">
        <f t="shared" si="11"/>
        <v>0</v>
      </c>
      <c r="G485">
        <f t="shared" si="12"/>
        <v>0</v>
      </c>
    </row>
    <row r="486" spans="1:7" ht="12.75">
      <c r="A486">
        <v>224</v>
      </c>
      <c r="B486">
        <v>0.85</v>
      </c>
      <c r="C486">
        <v>224</v>
      </c>
      <c r="D486">
        <v>85</v>
      </c>
      <c r="E486">
        <f t="shared" si="10"/>
        <v>0.85</v>
      </c>
      <c r="F486">
        <f t="shared" si="11"/>
        <v>0</v>
      </c>
      <c r="G486">
        <f t="shared" si="12"/>
        <v>0</v>
      </c>
    </row>
    <row r="487" spans="1:7" ht="12.75">
      <c r="A487">
        <v>225</v>
      </c>
      <c r="B487">
        <v>0.85</v>
      </c>
      <c r="C487">
        <v>225</v>
      </c>
      <c r="D487">
        <v>85</v>
      </c>
      <c r="E487">
        <f t="shared" si="10"/>
        <v>0.85</v>
      </c>
      <c r="F487">
        <f t="shared" si="11"/>
        <v>0</v>
      </c>
      <c r="G487">
        <f t="shared" si="12"/>
        <v>0</v>
      </c>
    </row>
    <row r="488" spans="1:7" ht="12.75">
      <c r="A488">
        <v>226</v>
      </c>
      <c r="B488">
        <v>0.8</v>
      </c>
      <c r="C488">
        <v>226</v>
      </c>
      <c r="D488">
        <v>80</v>
      </c>
      <c r="E488">
        <f t="shared" si="10"/>
        <v>0.8</v>
      </c>
      <c r="F488">
        <f t="shared" si="11"/>
        <v>0</v>
      </c>
      <c r="G488">
        <f t="shared" si="12"/>
        <v>0</v>
      </c>
    </row>
    <row r="489" spans="1:7" ht="12.75">
      <c r="A489">
        <v>227</v>
      </c>
      <c r="B489">
        <v>0.81</v>
      </c>
      <c r="C489">
        <v>227</v>
      </c>
      <c r="D489">
        <v>81</v>
      </c>
      <c r="E489">
        <f t="shared" si="10"/>
        <v>0.81</v>
      </c>
      <c r="F489">
        <f t="shared" si="11"/>
        <v>0</v>
      </c>
      <c r="G489">
        <f t="shared" si="12"/>
        <v>0</v>
      </c>
    </row>
    <row r="490" spans="1:7" ht="12.75">
      <c r="A490">
        <v>228</v>
      </c>
      <c r="B490">
        <v>0.76</v>
      </c>
      <c r="C490">
        <v>228</v>
      </c>
      <c r="D490">
        <v>76</v>
      </c>
      <c r="E490">
        <f t="shared" si="10"/>
        <v>0.76</v>
      </c>
      <c r="F490">
        <f t="shared" si="11"/>
        <v>0</v>
      </c>
      <c r="G490">
        <f t="shared" si="12"/>
        <v>0</v>
      </c>
    </row>
    <row r="491" spans="1:7" ht="12.75">
      <c r="A491">
        <v>229</v>
      </c>
      <c r="B491">
        <v>0.83</v>
      </c>
      <c r="C491">
        <v>229</v>
      </c>
      <c r="D491">
        <v>83</v>
      </c>
      <c r="E491">
        <f t="shared" si="10"/>
        <v>0.83</v>
      </c>
      <c r="F491">
        <f t="shared" si="11"/>
        <v>0</v>
      </c>
      <c r="G491">
        <f t="shared" si="12"/>
        <v>0</v>
      </c>
    </row>
    <row r="492" spans="1:7" ht="12.75">
      <c r="A492">
        <v>230</v>
      </c>
      <c r="B492">
        <v>0.85</v>
      </c>
      <c r="C492">
        <v>230</v>
      </c>
      <c r="D492">
        <v>85</v>
      </c>
      <c r="E492">
        <f t="shared" si="10"/>
        <v>0.85</v>
      </c>
      <c r="F492">
        <f t="shared" si="11"/>
        <v>0</v>
      </c>
      <c r="G492">
        <f t="shared" si="12"/>
        <v>0</v>
      </c>
    </row>
    <row r="493" spans="1:7" ht="12.75">
      <c r="A493">
        <v>231</v>
      </c>
      <c r="B493">
        <v>0.85</v>
      </c>
      <c r="C493">
        <v>231</v>
      </c>
      <c r="D493">
        <v>85</v>
      </c>
      <c r="E493">
        <f t="shared" si="10"/>
        <v>0.85</v>
      </c>
      <c r="F493">
        <f t="shared" si="11"/>
        <v>0</v>
      </c>
      <c r="G493">
        <f t="shared" si="12"/>
        <v>0</v>
      </c>
    </row>
    <row r="494" spans="1:7" ht="12.75">
      <c r="A494">
        <v>232</v>
      </c>
      <c r="B494">
        <v>0.85</v>
      </c>
      <c r="C494">
        <v>232</v>
      </c>
      <c r="D494">
        <v>85</v>
      </c>
      <c r="E494">
        <f t="shared" si="10"/>
        <v>0.85</v>
      </c>
      <c r="F494">
        <f t="shared" si="11"/>
        <v>0</v>
      </c>
      <c r="G494">
        <f t="shared" si="12"/>
        <v>0</v>
      </c>
    </row>
    <row r="495" spans="1:7" ht="12.75">
      <c r="A495">
        <v>233</v>
      </c>
      <c r="B495">
        <v>0.82</v>
      </c>
      <c r="C495">
        <v>233</v>
      </c>
      <c r="D495">
        <v>82</v>
      </c>
      <c r="E495">
        <f t="shared" si="10"/>
        <v>0.82</v>
      </c>
      <c r="F495">
        <f t="shared" si="11"/>
        <v>0</v>
      </c>
      <c r="G495">
        <f t="shared" si="12"/>
        <v>0</v>
      </c>
    </row>
    <row r="496" spans="1:7" ht="12.75">
      <c r="A496">
        <v>234</v>
      </c>
      <c r="B496">
        <v>0.82</v>
      </c>
      <c r="C496">
        <v>234</v>
      </c>
      <c r="D496">
        <v>82</v>
      </c>
      <c r="E496">
        <f t="shared" si="10"/>
        <v>0.82</v>
      </c>
      <c r="F496">
        <f t="shared" si="11"/>
        <v>0</v>
      </c>
      <c r="G496">
        <f t="shared" si="12"/>
        <v>0</v>
      </c>
    </row>
    <row r="497" spans="1:7" ht="12.75">
      <c r="A497">
        <v>235</v>
      </c>
      <c r="B497">
        <v>0.82</v>
      </c>
      <c r="C497">
        <v>235</v>
      </c>
      <c r="D497">
        <v>82</v>
      </c>
      <c r="E497">
        <f t="shared" si="10"/>
        <v>0.82</v>
      </c>
      <c r="F497">
        <f t="shared" si="11"/>
        <v>0</v>
      </c>
      <c r="G497">
        <f t="shared" si="12"/>
        <v>0</v>
      </c>
    </row>
    <row r="498" spans="1:7" ht="12.75">
      <c r="A498">
        <v>236</v>
      </c>
      <c r="B498">
        <v>0.82</v>
      </c>
      <c r="C498">
        <v>236</v>
      </c>
      <c r="D498">
        <v>82</v>
      </c>
      <c r="E498">
        <f t="shared" si="10"/>
        <v>0.82</v>
      </c>
      <c r="F498">
        <f t="shared" si="11"/>
        <v>0</v>
      </c>
      <c r="G498">
        <f t="shared" si="12"/>
        <v>0</v>
      </c>
    </row>
    <row r="499" spans="1:7" ht="12.75">
      <c r="A499">
        <v>237</v>
      </c>
      <c r="B499">
        <v>0.82</v>
      </c>
      <c r="C499">
        <v>237</v>
      </c>
      <c r="D499">
        <v>82</v>
      </c>
      <c r="E499">
        <f t="shared" si="10"/>
        <v>0.82</v>
      </c>
      <c r="F499">
        <f t="shared" si="11"/>
        <v>0</v>
      </c>
      <c r="G499">
        <f t="shared" si="12"/>
        <v>0</v>
      </c>
    </row>
    <row r="500" spans="1:7" ht="12.75">
      <c r="A500">
        <v>238</v>
      </c>
      <c r="B500">
        <v>0.85</v>
      </c>
      <c r="C500">
        <v>238</v>
      </c>
      <c r="D500">
        <v>85</v>
      </c>
      <c r="E500">
        <f t="shared" si="10"/>
        <v>0.85</v>
      </c>
      <c r="F500">
        <f t="shared" si="11"/>
        <v>0</v>
      </c>
      <c r="G500">
        <f t="shared" si="12"/>
        <v>0</v>
      </c>
    </row>
    <row r="501" spans="1:7" ht="12.75">
      <c r="A501">
        <v>239</v>
      </c>
      <c r="B501">
        <v>0.75</v>
      </c>
      <c r="C501">
        <v>239</v>
      </c>
      <c r="D501">
        <v>75</v>
      </c>
      <c r="E501">
        <f t="shared" si="10"/>
        <v>0.75</v>
      </c>
      <c r="F501">
        <f t="shared" si="11"/>
        <v>0</v>
      </c>
      <c r="G501">
        <f t="shared" si="12"/>
        <v>0</v>
      </c>
    </row>
    <row r="502" spans="1:7" ht="12.75">
      <c r="A502">
        <v>240</v>
      </c>
      <c r="B502">
        <v>0.77</v>
      </c>
      <c r="C502">
        <v>240</v>
      </c>
      <c r="D502">
        <v>77</v>
      </c>
      <c r="E502">
        <f t="shared" si="10"/>
        <v>0.77</v>
      </c>
      <c r="F502">
        <f t="shared" si="11"/>
        <v>0</v>
      </c>
      <c r="G502">
        <f t="shared" si="12"/>
        <v>0</v>
      </c>
    </row>
    <row r="503" spans="1:7" ht="12.75">
      <c r="A503">
        <v>241</v>
      </c>
      <c r="B503">
        <v>0.77</v>
      </c>
      <c r="C503">
        <v>241</v>
      </c>
      <c r="D503">
        <v>77</v>
      </c>
      <c r="E503">
        <f t="shared" si="10"/>
        <v>0.77</v>
      </c>
      <c r="F503">
        <f t="shared" si="11"/>
        <v>0</v>
      </c>
      <c r="G503">
        <f t="shared" si="12"/>
        <v>0</v>
      </c>
    </row>
    <row r="504" spans="1:7" ht="12.75">
      <c r="A504">
        <v>242</v>
      </c>
      <c r="B504">
        <v>0.75</v>
      </c>
      <c r="C504">
        <v>242</v>
      </c>
      <c r="D504">
        <v>75</v>
      </c>
      <c r="E504">
        <f t="shared" si="10"/>
        <v>0.75</v>
      </c>
      <c r="F504">
        <f t="shared" si="11"/>
        <v>0</v>
      </c>
      <c r="G504">
        <f t="shared" si="12"/>
        <v>0</v>
      </c>
    </row>
    <row r="505" spans="1:7" ht="12.75">
      <c r="A505">
        <v>243</v>
      </c>
      <c r="B505">
        <v>0.71</v>
      </c>
      <c r="C505">
        <v>243</v>
      </c>
      <c r="D505">
        <v>71</v>
      </c>
      <c r="E505">
        <f t="shared" si="10"/>
        <v>0.71</v>
      </c>
      <c r="F505">
        <f t="shared" si="11"/>
        <v>0</v>
      </c>
      <c r="G505">
        <f t="shared" si="12"/>
        <v>0</v>
      </c>
    </row>
    <row r="506" spans="1:7" ht="12.75">
      <c r="A506">
        <v>244</v>
      </c>
      <c r="B506">
        <v>0.72</v>
      </c>
      <c r="C506">
        <v>244</v>
      </c>
      <c r="D506">
        <v>72</v>
      </c>
      <c r="E506">
        <f t="shared" si="10"/>
        <v>0.72</v>
      </c>
      <c r="F506">
        <f t="shared" si="11"/>
        <v>0</v>
      </c>
      <c r="G506">
        <f t="shared" si="12"/>
        <v>0</v>
      </c>
    </row>
    <row r="507" spans="1:7" ht="12.75">
      <c r="A507">
        <v>245</v>
      </c>
      <c r="B507">
        <v>0.78</v>
      </c>
      <c r="C507">
        <v>245</v>
      </c>
      <c r="D507">
        <v>78</v>
      </c>
      <c r="E507">
        <f t="shared" si="10"/>
        <v>0.78</v>
      </c>
      <c r="F507">
        <f t="shared" si="11"/>
        <v>0</v>
      </c>
      <c r="G507">
        <f t="shared" si="12"/>
        <v>0</v>
      </c>
    </row>
    <row r="508" spans="1:7" ht="12.75">
      <c r="A508">
        <v>246</v>
      </c>
      <c r="B508">
        <v>0.71</v>
      </c>
      <c r="C508">
        <v>246</v>
      </c>
      <c r="D508">
        <v>71</v>
      </c>
      <c r="E508">
        <f t="shared" si="10"/>
        <v>0.71</v>
      </c>
      <c r="F508">
        <f t="shared" si="11"/>
        <v>0</v>
      </c>
      <c r="G508">
        <f t="shared" si="12"/>
        <v>0</v>
      </c>
    </row>
    <row r="509" spans="1:7" ht="12.75">
      <c r="A509">
        <v>247</v>
      </c>
      <c r="B509">
        <v>0.86</v>
      </c>
      <c r="C509">
        <v>247</v>
      </c>
      <c r="D509">
        <v>86</v>
      </c>
      <c r="E509">
        <f t="shared" si="10"/>
        <v>0.86</v>
      </c>
      <c r="F509">
        <f t="shared" si="11"/>
        <v>0</v>
      </c>
      <c r="G509">
        <f t="shared" si="12"/>
        <v>0</v>
      </c>
    </row>
    <row r="510" spans="1:7" ht="12.75">
      <c r="A510">
        <v>248</v>
      </c>
      <c r="B510">
        <v>0.86</v>
      </c>
      <c r="C510">
        <v>248</v>
      </c>
      <c r="D510">
        <v>86</v>
      </c>
      <c r="E510">
        <f t="shared" si="10"/>
        <v>0.86</v>
      </c>
      <c r="F510">
        <f t="shared" si="11"/>
        <v>0</v>
      </c>
      <c r="G510">
        <f t="shared" si="12"/>
        <v>0</v>
      </c>
    </row>
    <row r="511" spans="1:7" ht="12.75">
      <c r="A511">
        <v>249</v>
      </c>
      <c r="B511">
        <v>0.9</v>
      </c>
      <c r="C511">
        <v>249</v>
      </c>
      <c r="D511">
        <v>90</v>
      </c>
      <c r="E511">
        <f t="shared" si="10"/>
        <v>0.9</v>
      </c>
      <c r="F511">
        <f t="shared" si="11"/>
        <v>0</v>
      </c>
      <c r="G511">
        <f t="shared" si="12"/>
        <v>0</v>
      </c>
    </row>
    <row r="512" spans="1:7" ht="12.75">
      <c r="A512">
        <v>250</v>
      </c>
      <c r="B512">
        <v>0.93</v>
      </c>
      <c r="C512">
        <v>250</v>
      </c>
      <c r="D512">
        <v>93</v>
      </c>
      <c r="E512">
        <f t="shared" si="10"/>
        <v>0.93</v>
      </c>
      <c r="F512">
        <f t="shared" si="11"/>
        <v>0</v>
      </c>
      <c r="G512">
        <f t="shared" si="12"/>
        <v>0</v>
      </c>
    </row>
    <row r="513" spans="1:7" ht="12.75">
      <c r="A513">
        <v>251</v>
      </c>
      <c r="B513">
        <v>0.93</v>
      </c>
      <c r="C513">
        <v>251</v>
      </c>
      <c r="D513">
        <v>93</v>
      </c>
      <c r="E513">
        <f t="shared" si="10"/>
        <v>0.93</v>
      </c>
      <c r="F513">
        <f t="shared" si="11"/>
        <v>0</v>
      </c>
      <c r="G513">
        <f t="shared" si="12"/>
        <v>0</v>
      </c>
    </row>
    <row r="514" spans="1:7" ht="12.75">
      <c r="A514">
        <v>252</v>
      </c>
      <c r="B514">
        <v>0.93</v>
      </c>
      <c r="C514">
        <v>252</v>
      </c>
      <c r="D514">
        <v>93</v>
      </c>
      <c r="E514">
        <f t="shared" si="10"/>
        <v>0.93</v>
      </c>
      <c r="F514">
        <f t="shared" si="11"/>
        <v>0</v>
      </c>
      <c r="G514">
        <f t="shared" si="12"/>
        <v>0</v>
      </c>
    </row>
    <row r="515" spans="1:7" ht="12.75">
      <c r="A515">
        <v>253</v>
      </c>
      <c r="B515">
        <v>0.93</v>
      </c>
      <c r="C515">
        <v>253</v>
      </c>
      <c r="D515">
        <v>93</v>
      </c>
      <c r="E515">
        <f t="shared" si="10"/>
        <v>0.93</v>
      </c>
      <c r="F515">
        <f t="shared" si="11"/>
        <v>0</v>
      </c>
      <c r="G515">
        <f t="shared" si="12"/>
        <v>0</v>
      </c>
    </row>
    <row r="516" spans="1:7" ht="12.75">
      <c r="A516">
        <v>254</v>
      </c>
      <c r="B516">
        <v>0.78</v>
      </c>
      <c r="C516">
        <v>254</v>
      </c>
      <c r="D516">
        <v>78</v>
      </c>
      <c r="E516">
        <f t="shared" si="10"/>
        <v>0.78</v>
      </c>
      <c r="F516">
        <f t="shared" si="11"/>
        <v>0</v>
      </c>
      <c r="G516">
        <f t="shared" si="12"/>
        <v>0</v>
      </c>
    </row>
    <row r="517" spans="1:7" ht="12.75">
      <c r="A517">
        <v>255</v>
      </c>
      <c r="B517">
        <v>0.96</v>
      </c>
      <c r="C517">
        <v>255</v>
      </c>
      <c r="D517">
        <v>96</v>
      </c>
      <c r="E517">
        <f t="shared" si="10"/>
        <v>0.96</v>
      </c>
      <c r="F517">
        <f t="shared" si="11"/>
        <v>0</v>
      </c>
      <c r="G517">
        <f t="shared" si="12"/>
        <v>0</v>
      </c>
    </row>
    <row r="518" spans="1:7" ht="12.75">
      <c r="A518">
        <v>256</v>
      </c>
      <c r="B518">
        <v>0.96</v>
      </c>
      <c r="C518">
        <v>256</v>
      </c>
      <c r="D518">
        <v>96</v>
      </c>
      <c r="E518">
        <f t="shared" si="10"/>
        <v>0.96</v>
      </c>
      <c r="F518">
        <f t="shared" si="11"/>
        <v>0</v>
      </c>
      <c r="G518">
        <f t="shared" si="12"/>
        <v>0</v>
      </c>
    </row>
    <row r="519" spans="1:7" ht="12.75">
      <c r="A519">
        <v>257</v>
      </c>
      <c r="B519">
        <v>0.96</v>
      </c>
      <c r="C519">
        <v>257</v>
      </c>
      <c r="D519">
        <v>96</v>
      </c>
      <c r="E519">
        <f t="shared" si="10"/>
        <v>0.96</v>
      </c>
      <c r="F519">
        <f t="shared" si="11"/>
        <v>0</v>
      </c>
      <c r="G519">
        <f t="shared" si="12"/>
        <v>0</v>
      </c>
    </row>
    <row r="520" spans="1:7" ht="12.75">
      <c r="A520">
        <v>258</v>
      </c>
      <c r="B520">
        <v>0.91</v>
      </c>
      <c r="C520">
        <v>258</v>
      </c>
      <c r="D520">
        <v>91</v>
      </c>
      <c r="E520">
        <f t="shared" si="10"/>
        <v>0.91</v>
      </c>
      <c r="F520">
        <f t="shared" si="11"/>
        <v>0</v>
      </c>
      <c r="G520">
        <f t="shared" si="12"/>
        <v>0</v>
      </c>
    </row>
    <row r="521" spans="1:7" ht="12.75">
      <c r="A521">
        <v>259</v>
      </c>
      <c r="B521">
        <v>0.91</v>
      </c>
      <c r="C521">
        <v>259</v>
      </c>
      <c r="D521">
        <v>91</v>
      </c>
      <c r="E521">
        <f t="shared" si="10"/>
        <v>0.91</v>
      </c>
      <c r="F521">
        <f t="shared" si="11"/>
        <v>0</v>
      </c>
      <c r="G521">
        <f t="shared" si="12"/>
        <v>0</v>
      </c>
    </row>
    <row r="522" spans="1:7" ht="12.75">
      <c r="A522">
        <v>260</v>
      </c>
      <c r="B522">
        <v>0.94</v>
      </c>
      <c r="C522">
        <v>260</v>
      </c>
      <c r="D522">
        <v>94</v>
      </c>
      <c r="E522">
        <f t="shared" si="10"/>
        <v>0.94</v>
      </c>
      <c r="F522">
        <f t="shared" si="11"/>
        <v>0</v>
      </c>
      <c r="G522">
        <f t="shared" si="12"/>
        <v>0</v>
      </c>
    </row>
    <row r="523" spans="1:7" ht="12.75">
      <c r="A523">
        <v>261</v>
      </c>
      <c r="B523">
        <v>0.94</v>
      </c>
      <c r="C523">
        <v>261</v>
      </c>
      <c r="D523">
        <v>94</v>
      </c>
      <c r="E523">
        <f t="shared" si="10"/>
        <v>0.94</v>
      </c>
      <c r="F523">
        <f t="shared" si="11"/>
        <v>0</v>
      </c>
      <c r="G523">
        <f t="shared" si="12"/>
        <v>0</v>
      </c>
    </row>
    <row r="524" spans="1:7" ht="12.75">
      <c r="A524">
        <v>262</v>
      </c>
      <c r="B524">
        <v>0.93</v>
      </c>
      <c r="C524">
        <v>262</v>
      </c>
      <c r="D524">
        <v>93</v>
      </c>
      <c r="E524">
        <f t="shared" si="10"/>
        <v>0.93</v>
      </c>
      <c r="F524">
        <f t="shared" si="11"/>
        <v>0</v>
      </c>
      <c r="G524">
        <f t="shared" si="12"/>
        <v>0</v>
      </c>
    </row>
    <row r="525" spans="1:7" ht="12.75">
      <c r="A525">
        <v>263</v>
      </c>
      <c r="B525">
        <v>0.93</v>
      </c>
      <c r="C525">
        <v>263</v>
      </c>
      <c r="D525">
        <v>93</v>
      </c>
      <c r="E525">
        <f t="shared" si="10"/>
        <v>0.93</v>
      </c>
      <c r="F525">
        <f t="shared" si="11"/>
        <v>0</v>
      </c>
      <c r="G525">
        <f t="shared" si="12"/>
        <v>0</v>
      </c>
    </row>
    <row r="526" spans="1:7" ht="12.75">
      <c r="A526">
        <v>264</v>
      </c>
      <c r="B526">
        <v>0.93</v>
      </c>
      <c r="C526">
        <v>264</v>
      </c>
      <c r="D526">
        <v>93</v>
      </c>
      <c r="E526">
        <f t="shared" si="10"/>
        <v>0.93</v>
      </c>
      <c r="F526">
        <f t="shared" si="11"/>
        <v>0</v>
      </c>
      <c r="G526">
        <f t="shared" si="12"/>
        <v>0</v>
      </c>
    </row>
    <row r="527" spans="1:7" ht="12.75">
      <c r="A527">
        <v>265</v>
      </c>
      <c r="B527">
        <v>0.93</v>
      </c>
      <c r="C527">
        <v>265</v>
      </c>
      <c r="D527">
        <v>93</v>
      </c>
      <c r="E527">
        <f t="shared" si="10"/>
        <v>0.93</v>
      </c>
      <c r="F527">
        <f t="shared" si="11"/>
        <v>0</v>
      </c>
      <c r="G527">
        <f t="shared" si="12"/>
        <v>0</v>
      </c>
    </row>
    <row r="528" spans="1:7" ht="12.75">
      <c r="A528">
        <v>266</v>
      </c>
      <c r="B528">
        <v>0.93</v>
      </c>
      <c r="C528">
        <v>266</v>
      </c>
      <c r="D528">
        <v>93</v>
      </c>
      <c r="E528">
        <f t="shared" si="10"/>
        <v>0.93</v>
      </c>
      <c r="F528">
        <f t="shared" si="11"/>
        <v>0</v>
      </c>
      <c r="G528">
        <f t="shared" si="12"/>
        <v>0</v>
      </c>
    </row>
    <row r="529" spans="1:7" ht="12.75">
      <c r="A529">
        <v>267</v>
      </c>
      <c r="B529">
        <v>0.91</v>
      </c>
      <c r="C529">
        <v>267</v>
      </c>
      <c r="D529">
        <v>91</v>
      </c>
      <c r="E529">
        <f t="shared" si="10"/>
        <v>0.91</v>
      </c>
      <c r="F529">
        <f t="shared" si="11"/>
        <v>0</v>
      </c>
      <c r="G529">
        <f t="shared" si="12"/>
        <v>0</v>
      </c>
    </row>
    <row r="530" spans="1:7" ht="12.75">
      <c r="A530">
        <v>268</v>
      </c>
      <c r="B530">
        <v>0.91</v>
      </c>
      <c r="C530">
        <v>268</v>
      </c>
      <c r="D530">
        <v>91</v>
      </c>
      <c r="E530">
        <f t="shared" si="10"/>
        <v>0.91</v>
      </c>
      <c r="F530">
        <f t="shared" si="11"/>
        <v>0</v>
      </c>
      <c r="G530">
        <f t="shared" si="12"/>
        <v>0</v>
      </c>
    </row>
    <row r="531" spans="1:7" ht="12.75">
      <c r="A531">
        <v>270</v>
      </c>
      <c r="B531">
        <v>0.78</v>
      </c>
      <c r="C531">
        <v>270</v>
      </c>
      <c r="D531">
        <v>78</v>
      </c>
      <c r="E531">
        <f t="shared" si="10"/>
        <v>0.78</v>
      </c>
      <c r="F531">
        <f t="shared" si="11"/>
        <v>0</v>
      </c>
      <c r="G531">
        <f t="shared" si="12"/>
        <v>0</v>
      </c>
    </row>
    <row r="532" spans="1:7" ht="12.75">
      <c r="A532">
        <v>271</v>
      </c>
      <c r="B532">
        <v>0.78</v>
      </c>
      <c r="C532">
        <v>271</v>
      </c>
      <c r="D532">
        <v>78</v>
      </c>
      <c r="E532">
        <f t="shared" si="10"/>
        <v>0.78</v>
      </c>
      <c r="F532">
        <f t="shared" si="11"/>
        <v>0</v>
      </c>
      <c r="G532">
        <f t="shared" si="12"/>
        <v>0</v>
      </c>
    </row>
    <row r="533" spans="1:7" ht="12.75">
      <c r="A533">
        <v>272</v>
      </c>
      <c r="B533">
        <v>0.78</v>
      </c>
      <c r="C533">
        <v>272</v>
      </c>
      <c r="D533">
        <v>78</v>
      </c>
      <c r="E533">
        <f t="shared" si="10"/>
        <v>0.78</v>
      </c>
      <c r="F533">
        <f t="shared" si="11"/>
        <v>0</v>
      </c>
      <c r="G533">
        <f t="shared" si="12"/>
        <v>0</v>
      </c>
    </row>
    <row r="534" spans="1:7" ht="12.75">
      <c r="A534">
        <v>273</v>
      </c>
      <c r="B534">
        <v>0.78</v>
      </c>
      <c r="C534">
        <v>273</v>
      </c>
      <c r="D534">
        <v>78</v>
      </c>
      <c r="E534">
        <f t="shared" si="10"/>
        <v>0.78</v>
      </c>
      <c r="F534">
        <f t="shared" si="11"/>
        <v>0</v>
      </c>
      <c r="G534">
        <f t="shared" si="12"/>
        <v>0</v>
      </c>
    </row>
    <row r="535" spans="1:7" ht="12.75">
      <c r="A535">
        <v>274</v>
      </c>
      <c r="B535">
        <v>0.78</v>
      </c>
      <c r="C535">
        <v>274</v>
      </c>
      <c r="D535">
        <v>78</v>
      </c>
      <c r="E535">
        <f t="shared" si="10"/>
        <v>0.78</v>
      </c>
      <c r="F535">
        <f t="shared" si="11"/>
        <v>0</v>
      </c>
      <c r="G535">
        <f t="shared" si="12"/>
        <v>0</v>
      </c>
    </row>
    <row r="536" spans="1:7" ht="12.75">
      <c r="A536">
        <v>275</v>
      </c>
      <c r="B536">
        <v>0.78</v>
      </c>
      <c r="C536">
        <v>275</v>
      </c>
      <c r="D536">
        <v>78</v>
      </c>
      <c r="E536">
        <f t="shared" si="10"/>
        <v>0.78</v>
      </c>
      <c r="F536">
        <f t="shared" si="11"/>
        <v>0</v>
      </c>
      <c r="G536">
        <f t="shared" si="12"/>
        <v>0</v>
      </c>
    </row>
    <row r="537" spans="1:7" ht="12.75">
      <c r="A537">
        <v>276</v>
      </c>
      <c r="B537">
        <v>0.78</v>
      </c>
      <c r="C537">
        <v>276</v>
      </c>
      <c r="D537">
        <v>78</v>
      </c>
      <c r="E537">
        <f t="shared" si="10"/>
        <v>0.78</v>
      </c>
      <c r="F537">
        <f t="shared" si="11"/>
        <v>0</v>
      </c>
      <c r="G537">
        <f t="shared" si="12"/>
        <v>0</v>
      </c>
    </row>
    <row r="538" spans="1:7" ht="12.75">
      <c r="A538">
        <v>277</v>
      </c>
      <c r="B538">
        <v>0.78</v>
      </c>
      <c r="C538">
        <v>277</v>
      </c>
      <c r="D538">
        <v>78</v>
      </c>
      <c r="E538">
        <f t="shared" si="10"/>
        <v>0.78</v>
      </c>
      <c r="F538">
        <f t="shared" si="11"/>
        <v>0</v>
      </c>
      <c r="G538">
        <f t="shared" si="12"/>
        <v>0</v>
      </c>
    </row>
    <row r="539" spans="1:7" ht="12.75">
      <c r="A539">
        <v>278</v>
      </c>
      <c r="B539">
        <v>0.7</v>
      </c>
      <c r="C539">
        <v>278</v>
      </c>
      <c r="D539">
        <v>70</v>
      </c>
      <c r="E539">
        <f t="shared" si="10"/>
        <v>0.7</v>
      </c>
      <c r="F539">
        <f t="shared" si="11"/>
        <v>0</v>
      </c>
      <c r="G539">
        <f t="shared" si="12"/>
        <v>0</v>
      </c>
    </row>
    <row r="540" spans="1:7" ht="12.75">
      <c r="A540">
        <v>279</v>
      </c>
      <c r="B540">
        <v>0.72</v>
      </c>
      <c r="C540">
        <v>279</v>
      </c>
      <c r="D540">
        <v>72</v>
      </c>
      <c r="E540">
        <f t="shared" si="10"/>
        <v>0.72</v>
      </c>
      <c r="F540">
        <f t="shared" si="11"/>
        <v>0</v>
      </c>
      <c r="G540">
        <f t="shared" si="12"/>
        <v>0</v>
      </c>
    </row>
    <row r="541" spans="1:7" ht="12.75">
      <c r="A541">
        <v>280</v>
      </c>
      <c r="B541">
        <v>0.77</v>
      </c>
      <c r="C541">
        <v>280</v>
      </c>
      <c r="D541">
        <v>77</v>
      </c>
      <c r="E541">
        <f aca="true" t="shared" si="13" ref="E541:E604">D541/100</f>
        <v>0.77</v>
      </c>
      <c r="F541">
        <f aca="true" t="shared" si="14" ref="F541:F604">A541-C541</f>
        <v>0</v>
      </c>
      <c r="G541">
        <f aca="true" t="shared" si="15" ref="G541:G604">B541-E541</f>
        <v>0</v>
      </c>
    </row>
    <row r="542" spans="1:7" ht="12.75">
      <c r="A542">
        <v>281</v>
      </c>
      <c r="B542">
        <v>0.77</v>
      </c>
      <c r="C542">
        <v>281</v>
      </c>
      <c r="D542">
        <v>77</v>
      </c>
      <c r="E542">
        <f t="shared" si="13"/>
        <v>0.77</v>
      </c>
      <c r="F542">
        <f t="shared" si="14"/>
        <v>0</v>
      </c>
      <c r="G542">
        <f t="shared" si="15"/>
        <v>0</v>
      </c>
    </row>
    <row r="543" spans="1:7" ht="12.75">
      <c r="A543">
        <v>282</v>
      </c>
      <c r="B543">
        <v>0.77</v>
      </c>
      <c r="C543">
        <v>282</v>
      </c>
      <c r="D543">
        <v>77</v>
      </c>
      <c r="E543">
        <f t="shared" si="13"/>
        <v>0.77</v>
      </c>
      <c r="F543">
        <f t="shared" si="14"/>
        <v>0</v>
      </c>
      <c r="G543">
        <f t="shared" si="15"/>
        <v>0</v>
      </c>
    </row>
    <row r="544" spans="1:7" ht="12.75">
      <c r="A544">
        <v>283</v>
      </c>
      <c r="B544">
        <v>0.77</v>
      </c>
      <c r="C544">
        <v>283</v>
      </c>
      <c r="D544">
        <v>77</v>
      </c>
      <c r="E544">
        <f t="shared" si="13"/>
        <v>0.77</v>
      </c>
      <c r="F544">
        <f t="shared" si="14"/>
        <v>0</v>
      </c>
      <c r="G544">
        <f t="shared" si="15"/>
        <v>0</v>
      </c>
    </row>
    <row r="545" spans="1:7" ht="12.75">
      <c r="A545">
        <v>284</v>
      </c>
      <c r="B545">
        <v>0.77</v>
      </c>
      <c r="C545">
        <v>284</v>
      </c>
      <c r="D545">
        <v>77</v>
      </c>
      <c r="E545">
        <f t="shared" si="13"/>
        <v>0.77</v>
      </c>
      <c r="F545">
        <f t="shared" si="14"/>
        <v>0</v>
      </c>
      <c r="G545">
        <f t="shared" si="15"/>
        <v>0</v>
      </c>
    </row>
    <row r="546" spans="1:7" ht="12.75">
      <c r="A546">
        <v>285</v>
      </c>
      <c r="B546">
        <v>0.69</v>
      </c>
      <c r="C546">
        <v>285</v>
      </c>
      <c r="D546">
        <v>69</v>
      </c>
      <c r="E546">
        <f t="shared" si="13"/>
        <v>0.69</v>
      </c>
      <c r="F546">
        <f t="shared" si="14"/>
        <v>0</v>
      </c>
      <c r="G546">
        <f t="shared" si="15"/>
        <v>0</v>
      </c>
    </row>
    <row r="547" spans="1:7" ht="12.75">
      <c r="A547">
        <v>286</v>
      </c>
      <c r="B547">
        <v>0.69</v>
      </c>
      <c r="C547">
        <v>286</v>
      </c>
      <c r="D547">
        <v>69</v>
      </c>
      <c r="E547">
        <f t="shared" si="13"/>
        <v>0.69</v>
      </c>
      <c r="F547">
        <f t="shared" si="14"/>
        <v>0</v>
      </c>
      <c r="G547">
        <f t="shared" si="15"/>
        <v>0</v>
      </c>
    </row>
    <row r="548" spans="1:7" ht="12.75">
      <c r="A548">
        <v>287</v>
      </c>
      <c r="B548">
        <v>0.77</v>
      </c>
      <c r="C548">
        <v>287</v>
      </c>
      <c r="D548">
        <v>77</v>
      </c>
      <c r="E548">
        <f t="shared" si="13"/>
        <v>0.77</v>
      </c>
      <c r="F548">
        <f t="shared" si="14"/>
        <v>0</v>
      </c>
      <c r="G548">
        <f t="shared" si="15"/>
        <v>0</v>
      </c>
    </row>
    <row r="549" spans="1:7" ht="12.75">
      <c r="A549">
        <v>288</v>
      </c>
      <c r="B549">
        <v>0.77</v>
      </c>
      <c r="C549">
        <v>288</v>
      </c>
      <c r="D549">
        <v>77</v>
      </c>
      <c r="E549">
        <f t="shared" si="13"/>
        <v>0.77</v>
      </c>
      <c r="F549">
        <f t="shared" si="14"/>
        <v>0</v>
      </c>
      <c r="G549">
        <f t="shared" si="15"/>
        <v>0</v>
      </c>
    </row>
    <row r="550" spans="1:7" ht="12.75">
      <c r="A550">
        <v>289</v>
      </c>
      <c r="B550">
        <v>0.69</v>
      </c>
      <c r="C550">
        <v>289</v>
      </c>
      <c r="D550">
        <v>69</v>
      </c>
      <c r="E550">
        <f t="shared" si="13"/>
        <v>0.69</v>
      </c>
      <c r="F550">
        <f t="shared" si="14"/>
        <v>0</v>
      </c>
      <c r="G550">
        <f t="shared" si="15"/>
        <v>0</v>
      </c>
    </row>
    <row r="551" spans="1:7" ht="12.75">
      <c r="A551">
        <v>290</v>
      </c>
      <c r="B551">
        <v>0.76</v>
      </c>
      <c r="C551">
        <v>290</v>
      </c>
      <c r="D551">
        <v>76</v>
      </c>
      <c r="E551">
        <f t="shared" si="13"/>
        <v>0.76</v>
      </c>
      <c r="F551">
        <f t="shared" si="14"/>
        <v>0</v>
      </c>
      <c r="G551">
        <f t="shared" si="15"/>
        <v>0</v>
      </c>
    </row>
    <row r="552" spans="1:7" ht="12.75">
      <c r="A552">
        <v>291</v>
      </c>
      <c r="B552">
        <v>0.76</v>
      </c>
      <c r="C552">
        <v>291</v>
      </c>
      <c r="D552">
        <v>76</v>
      </c>
      <c r="E552">
        <f t="shared" si="13"/>
        <v>0.76</v>
      </c>
      <c r="F552">
        <f t="shared" si="14"/>
        <v>0</v>
      </c>
      <c r="G552">
        <f t="shared" si="15"/>
        <v>0</v>
      </c>
    </row>
    <row r="553" spans="1:7" ht="12.75">
      <c r="A553">
        <v>292</v>
      </c>
      <c r="B553">
        <v>0.76</v>
      </c>
      <c r="C553">
        <v>292</v>
      </c>
      <c r="D553">
        <v>76</v>
      </c>
      <c r="E553">
        <f t="shared" si="13"/>
        <v>0.76</v>
      </c>
      <c r="F553">
        <f t="shared" si="14"/>
        <v>0</v>
      </c>
      <c r="G553">
        <f t="shared" si="15"/>
        <v>0</v>
      </c>
    </row>
    <row r="554" spans="1:7" ht="12.75">
      <c r="A554">
        <v>293</v>
      </c>
      <c r="B554">
        <v>0.75</v>
      </c>
      <c r="C554">
        <v>293</v>
      </c>
      <c r="D554">
        <v>75</v>
      </c>
      <c r="E554">
        <f t="shared" si="13"/>
        <v>0.75</v>
      </c>
      <c r="F554">
        <f t="shared" si="14"/>
        <v>0</v>
      </c>
      <c r="G554">
        <f t="shared" si="15"/>
        <v>0</v>
      </c>
    </row>
    <row r="555" spans="1:7" ht="12.75">
      <c r="A555">
        <v>294</v>
      </c>
      <c r="B555">
        <v>0.77</v>
      </c>
      <c r="C555">
        <v>294</v>
      </c>
      <c r="D555">
        <v>77</v>
      </c>
      <c r="E555">
        <f t="shared" si="13"/>
        <v>0.77</v>
      </c>
      <c r="F555">
        <f t="shared" si="14"/>
        <v>0</v>
      </c>
      <c r="G555">
        <f t="shared" si="15"/>
        <v>0</v>
      </c>
    </row>
    <row r="556" spans="1:7" ht="12.75">
      <c r="A556">
        <v>295</v>
      </c>
      <c r="B556">
        <v>0.74</v>
      </c>
      <c r="C556">
        <v>295</v>
      </c>
      <c r="D556">
        <v>74</v>
      </c>
      <c r="E556">
        <f t="shared" si="13"/>
        <v>0.74</v>
      </c>
      <c r="F556">
        <f t="shared" si="14"/>
        <v>0</v>
      </c>
      <c r="G556">
        <f t="shared" si="15"/>
        <v>0</v>
      </c>
    </row>
    <row r="557" spans="1:7" ht="12.75">
      <c r="A557">
        <v>296</v>
      </c>
      <c r="B557">
        <v>0.75</v>
      </c>
      <c r="C557">
        <v>296</v>
      </c>
      <c r="D557">
        <v>75</v>
      </c>
      <c r="E557">
        <f t="shared" si="13"/>
        <v>0.75</v>
      </c>
      <c r="F557">
        <f t="shared" si="14"/>
        <v>0</v>
      </c>
      <c r="G557">
        <f t="shared" si="15"/>
        <v>0</v>
      </c>
    </row>
    <row r="558" spans="1:7" ht="12.75">
      <c r="A558">
        <v>297</v>
      </c>
      <c r="B558">
        <v>0.68</v>
      </c>
      <c r="C558">
        <v>297</v>
      </c>
      <c r="D558">
        <v>68</v>
      </c>
      <c r="E558">
        <f t="shared" si="13"/>
        <v>0.68</v>
      </c>
      <c r="F558">
        <f t="shared" si="14"/>
        <v>0</v>
      </c>
      <c r="G558">
        <f t="shared" si="15"/>
        <v>0</v>
      </c>
    </row>
    <row r="559" spans="1:7" ht="12.75">
      <c r="A559">
        <v>298</v>
      </c>
      <c r="B559">
        <v>0.69</v>
      </c>
      <c r="C559">
        <v>298</v>
      </c>
      <c r="D559">
        <v>69</v>
      </c>
      <c r="E559">
        <f t="shared" si="13"/>
        <v>0.69</v>
      </c>
      <c r="F559">
        <f t="shared" si="14"/>
        <v>0</v>
      </c>
      <c r="G559">
        <f t="shared" si="15"/>
        <v>0</v>
      </c>
    </row>
    <row r="560" spans="1:7" ht="12.75">
      <c r="A560">
        <v>299</v>
      </c>
      <c r="B560">
        <v>0.71</v>
      </c>
      <c r="C560">
        <v>299</v>
      </c>
      <c r="D560">
        <v>71</v>
      </c>
      <c r="E560">
        <f t="shared" si="13"/>
        <v>0.71</v>
      </c>
      <c r="F560">
        <f t="shared" si="14"/>
        <v>0</v>
      </c>
      <c r="G560">
        <f t="shared" si="15"/>
        <v>0</v>
      </c>
    </row>
    <row r="561" spans="1:7" ht="12.75">
      <c r="A561">
        <v>300</v>
      </c>
      <c r="B561">
        <v>0.88</v>
      </c>
      <c r="C561">
        <v>300</v>
      </c>
      <c r="D561">
        <v>88</v>
      </c>
      <c r="E561">
        <f t="shared" si="13"/>
        <v>0.88</v>
      </c>
      <c r="F561">
        <f t="shared" si="14"/>
        <v>0</v>
      </c>
      <c r="G561">
        <f t="shared" si="15"/>
        <v>0</v>
      </c>
    </row>
    <row r="562" spans="1:7" ht="12.75">
      <c r="A562">
        <v>301</v>
      </c>
      <c r="B562">
        <v>0.88</v>
      </c>
      <c r="C562">
        <v>301</v>
      </c>
      <c r="D562">
        <v>88</v>
      </c>
      <c r="E562">
        <f t="shared" si="13"/>
        <v>0.88</v>
      </c>
      <c r="F562">
        <f t="shared" si="14"/>
        <v>0</v>
      </c>
      <c r="G562">
        <f t="shared" si="15"/>
        <v>0</v>
      </c>
    </row>
    <row r="563" spans="1:7" ht="12.75">
      <c r="A563">
        <v>302</v>
      </c>
      <c r="B563">
        <v>0.88</v>
      </c>
      <c r="C563">
        <v>302</v>
      </c>
      <c r="D563">
        <v>88</v>
      </c>
      <c r="E563">
        <f t="shared" si="13"/>
        <v>0.88</v>
      </c>
      <c r="F563">
        <f t="shared" si="14"/>
        <v>0</v>
      </c>
      <c r="G563">
        <f t="shared" si="15"/>
        <v>0</v>
      </c>
    </row>
    <row r="564" spans="1:7" ht="12.75">
      <c r="A564">
        <v>303</v>
      </c>
      <c r="B564">
        <v>0.88</v>
      </c>
      <c r="C564">
        <v>303</v>
      </c>
      <c r="D564">
        <v>88</v>
      </c>
      <c r="E564">
        <f t="shared" si="13"/>
        <v>0.88</v>
      </c>
      <c r="F564">
        <f t="shared" si="14"/>
        <v>0</v>
      </c>
      <c r="G564">
        <f t="shared" si="15"/>
        <v>0</v>
      </c>
    </row>
    <row r="565" spans="1:7" ht="12.75">
      <c r="A565">
        <v>304</v>
      </c>
      <c r="B565">
        <v>0.68</v>
      </c>
      <c r="C565">
        <v>304</v>
      </c>
      <c r="D565">
        <v>68</v>
      </c>
      <c r="E565">
        <f t="shared" si="13"/>
        <v>0.68</v>
      </c>
      <c r="F565">
        <f t="shared" si="14"/>
        <v>0</v>
      </c>
      <c r="G565">
        <f t="shared" si="15"/>
        <v>0</v>
      </c>
    </row>
    <row r="566" spans="1:7" ht="12.75">
      <c r="A566">
        <v>305</v>
      </c>
      <c r="B566">
        <v>0.75</v>
      </c>
      <c r="C566">
        <v>305</v>
      </c>
      <c r="D566">
        <v>75</v>
      </c>
      <c r="E566">
        <f t="shared" si="13"/>
        <v>0.75</v>
      </c>
      <c r="F566">
        <f t="shared" si="14"/>
        <v>0</v>
      </c>
      <c r="G566">
        <f t="shared" si="15"/>
        <v>0</v>
      </c>
    </row>
    <row r="567" spans="1:7" ht="12.75">
      <c r="A567">
        <v>306</v>
      </c>
      <c r="B567">
        <v>0.8</v>
      </c>
      <c r="C567">
        <v>306</v>
      </c>
      <c r="D567">
        <v>80</v>
      </c>
      <c r="E567">
        <f t="shared" si="13"/>
        <v>0.8</v>
      </c>
      <c r="F567">
        <f t="shared" si="14"/>
        <v>0</v>
      </c>
      <c r="G567">
        <f t="shared" si="15"/>
        <v>0</v>
      </c>
    </row>
    <row r="568" spans="1:7" ht="12.75">
      <c r="A568">
        <v>307</v>
      </c>
      <c r="B568">
        <v>0.67</v>
      </c>
      <c r="C568">
        <v>307</v>
      </c>
      <c r="D568">
        <v>67</v>
      </c>
      <c r="E568">
        <f t="shared" si="13"/>
        <v>0.67</v>
      </c>
      <c r="F568">
        <f t="shared" si="14"/>
        <v>0</v>
      </c>
      <c r="G568">
        <f t="shared" si="15"/>
        <v>0</v>
      </c>
    </row>
    <row r="569" spans="1:7" ht="12.75">
      <c r="A569">
        <v>308</v>
      </c>
      <c r="B569">
        <v>0.8</v>
      </c>
      <c r="C569">
        <v>308</v>
      </c>
      <c r="D569">
        <v>80</v>
      </c>
      <c r="E569">
        <f t="shared" si="13"/>
        <v>0.8</v>
      </c>
      <c r="F569">
        <f t="shared" si="14"/>
        <v>0</v>
      </c>
      <c r="G569">
        <f t="shared" si="15"/>
        <v>0</v>
      </c>
    </row>
    <row r="570" spans="1:7" ht="12.75">
      <c r="A570">
        <v>309</v>
      </c>
      <c r="B570">
        <v>0.8</v>
      </c>
      <c r="C570">
        <v>309</v>
      </c>
      <c r="D570">
        <v>80</v>
      </c>
      <c r="E570">
        <f t="shared" si="13"/>
        <v>0.8</v>
      </c>
      <c r="F570">
        <f t="shared" si="14"/>
        <v>0</v>
      </c>
      <c r="G570">
        <f t="shared" si="15"/>
        <v>0</v>
      </c>
    </row>
    <row r="571" spans="1:7" ht="12.75">
      <c r="A571">
        <v>310</v>
      </c>
      <c r="B571">
        <v>0.82</v>
      </c>
      <c r="C571">
        <v>310</v>
      </c>
      <c r="D571">
        <v>82</v>
      </c>
      <c r="E571">
        <f t="shared" si="13"/>
        <v>0.82</v>
      </c>
      <c r="F571">
        <f t="shared" si="14"/>
        <v>0</v>
      </c>
      <c r="G571">
        <f t="shared" si="15"/>
        <v>0</v>
      </c>
    </row>
    <row r="572" spans="1:7" ht="12.75">
      <c r="A572">
        <v>311</v>
      </c>
      <c r="B572">
        <v>0.82</v>
      </c>
      <c r="C572">
        <v>311</v>
      </c>
      <c r="D572">
        <v>82</v>
      </c>
      <c r="E572">
        <f t="shared" si="13"/>
        <v>0.82</v>
      </c>
      <c r="F572">
        <f t="shared" si="14"/>
        <v>0</v>
      </c>
      <c r="G572">
        <f t="shared" si="15"/>
        <v>0</v>
      </c>
    </row>
    <row r="573" spans="1:7" ht="12.75">
      <c r="A573">
        <v>312</v>
      </c>
      <c r="B573">
        <v>0.82</v>
      </c>
      <c r="C573">
        <v>312</v>
      </c>
      <c r="D573">
        <v>82</v>
      </c>
      <c r="E573">
        <f t="shared" si="13"/>
        <v>0.82</v>
      </c>
      <c r="F573">
        <f t="shared" si="14"/>
        <v>0</v>
      </c>
      <c r="G573">
        <f t="shared" si="15"/>
        <v>0</v>
      </c>
    </row>
    <row r="574" spans="1:7" ht="12.75">
      <c r="A574">
        <v>313</v>
      </c>
      <c r="B574">
        <v>0.82</v>
      </c>
      <c r="C574">
        <v>313</v>
      </c>
      <c r="D574">
        <v>82</v>
      </c>
      <c r="E574">
        <f t="shared" si="13"/>
        <v>0.82</v>
      </c>
      <c r="F574">
        <f t="shared" si="14"/>
        <v>0</v>
      </c>
      <c r="G574">
        <f t="shared" si="15"/>
        <v>0</v>
      </c>
    </row>
    <row r="575" spans="1:7" ht="12.75">
      <c r="A575">
        <v>314</v>
      </c>
      <c r="B575">
        <v>0.82</v>
      </c>
      <c r="C575">
        <v>314</v>
      </c>
      <c r="D575">
        <v>82</v>
      </c>
      <c r="E575">
        <f t="shared" si="13"/>
        <v>0.82</v>
      </c>
      <c r="F575">
        <f t="shared" si="14"/>
        <v>0</v>
      </c>
      <c r="G575">
        <f t="shared" si="15"/>
        <v>0</v>
      </c>
    </row>
    <row r="576" spans="1:7" ht="12.75">
      <c r="A576">
        <v>315</v>
      </c>
      <c r="B576">
        <v>0.76</v>
      </c>
      <c r="C576">
        <v>315</v>
      </c>
      <c r="D576">
        <v>76</v>
      </c>
      <c r="E576">
        <f t="shared" si="13"/>
        <v>0.76</v>
      </c>
      <c r="F576">
        <f t="shared" si="14"/>
        <v>0</v>
      </c>
      <c r="G576">
        <f t="shared" si="15"/>
        <v>0</v>
      </c>
    </row>
    <row r="577" spans="1:7" ht="12.75">
      <c r="A577">
        <v>316</v>
      </c>
      <c r="B577">
        <v>0.77</v>
      </c>
      <c r="C577">
        <v>316</v>
      </c>
      <c r="D577">
        <v>77</v>
      </c>
      <c r="E577">
        <f t="shared" si="13"/>
        <v>0.77</v>
      </c>
      <c r="F577">
        <f t="shared" si="14"/>
        <v>0</v>
      </c>
      <c r="G577">
        <f t="shared" si="15"/>
        <v>0</v>
      </c>
    </row>
    <row r="578" spans="1:7" ht="12.75">
      <c r="A578">
        <v>317</v>
      </c>
      <c r="B578">
        <v>0.8</v>
      </c>
      <c r="C578">
        <v>317</v>
      </c>
      <c r="D578">
        <v>80</v>
      </c>
      <c r="E578">
        <f t="shared" si="13"/>
        <v>0.8</v>
      </c>
      <c r="F578">
        <f t="shared" si="14"/>
        <v>0</v>
      </c>
      <c r="G578">
        <f t="shared" si="15"/>
        <v>0</v>
      </c>
    </row>
    <row r="579" spans="1:7" ht="12.75">
      <c r="A579">
        <v>318</v>
      </c>
      <c r="B579">
        <v>0.79</v>
      </c>
      <c r="C579">
        <v>318</v>
      </c>
      <c r="D579">
        <v>79</v>
      </c>
      <c r="E579">
        <f t="shared" si="13"/>
        <v>0.79</v>
      </c>
      <c r="F579">
        <f t="shared" si="14"/>
        <v>0</v>
      </c>
      <c r="G579">
        <f t="shared" si="15"/>
        <v>0</v>
      </c>
    </row>
    <row r="580" spans="1:7" ht="12.75">
      <c r="A580">
        <v>319</v>
      </c>
      <c r="B580">
        <v>0.79</v>
      </c>
      <c r="C580">
        <v>319</v>
      </c>
      <c r="D580">
        <v>79</v>
      </c>
      <c r="E580">
        <f t="shared" si="13"/>
        <v>0.79</v>
      </c>
      <c r="F580">
        <f t="shared" si="14"/>
        <v>0</v>
      </c>
      <c r="G580">
        <f t="shared" si="15"/>
        <v>0</v>
      </c>
    </row>
    <row r="581" spans="1:7" ht="12.75">
      <c r="A581">
        <v>320</v>
      </c>
      <c r="B581">
        <v>0.84</v>
      </c>
      <c r="C581">
        <v>320</v>
      </c>
      <c r="D581">
        <v>84</v>
      </c>
      <c r="E581">
        <f t="shared" si="13"/>
        <v>0.84</v>
      </c>
      <c r="F581">
        <f t="shared" si="14"/>
        <v>0</v>
      </c>
      <c r="G581">
        <f t="shared" si="15"/>
        <v>0</v>
      </c>
    </row>
    <row r="582" spans="1:7" ht="12.75">
      <c r="A582">
        <v>321</v>
      </c>
      <c r="B582">
        <v>0.88</v>
      </c>
      <c r="C582">
        <v>321</v>
      </c>
      <c r="D582">
        <v>88</v>
      </c>
      <c r="E582">
        <f t="shared" si="13"/>
        <v>0.88</v>
      </c>
      <c r="F582">
        <f t="shared" si="14"/>
        <v>0</v>
      </c>
      <c r="G582">
        <f t="shared" si="15"/>
        <v>0</v>
      </c>
    </row>
    <row r="583" spans="1:7" ht="12.75">
      <c r="A583">
        <v>322</v>
      </c>
      <c r="B583">
        <v>0.84</v>
      </c>
      <c r="C583">
        <v>322</v>
      </c>
      <c r="D583">
        <v>84</v>
      </c>
      <c r="E583">
        <f t="shared" si="13"/>
        <v>0.84</v>
      </c>
      <c r="F583">
        <f t="shared" si="14"/>
        <v>0</v>
      </c>
      <c r="G583">
        <f t="shared" si="15"/>
        <v>0</v>
      </c>
    </row>
    <row r="584" spans="1:7" ht="12.75">
      <c r="A584">
        <v>323</v>
      </c>
      <c r="B584">
        <v>0.8</v>
      </c>
      <c r="C584">
        <v>323</v>
      </c>
      <c r="D584">
        <v>80</v>
      </c>
      <c r="E584">
        <f t="shared" si="13"/>
        <v>0.8</v>
      </c>
      <c r="F584">
        <f t="shared" si="14"/>
        <v>0</v>
      </c>
      <c r="G584">
        <f t="shared" si="15"/>
        <v>0</v>
      </c>
    </row>
    <row r="585" spans="1:7" ht="12.75">
      <c r="A585">
        <v>324</v>
      </c>
      <c r="B585">
        <v>0.74</v>
      </c>
      <c r="C585">
        <v>324</v>
      </c>
      <c r="D585">
        <v>74</v>
      </c>
      <c r="E585">
        <f t="shared" si="13"/>
        <v>0.74</v>
      </c>
      <c r="F585">
        <f t="shared" si="14"/>
        <v>0</v>
      </c>
      <c r="G585">
        <f t="shared" si="15"/>
        <v>0</v>
      </c>
    </row>
    <row r="586" spans="1:7" ht="12.75">
      <c r="A586">
        <v>325</v>
      </c>
      <c r="B586">
        <v>0.84</v>
      </c>
      <c r="C586">
        <v>325</v>
      </c>
      <c r="D586">
        <v>84</v>
      </c>
      <c r="E586">
        <f t="shared" si="13"/>
        <v>0.84</v>
      </c>
      <c r="F586">
        <f t="shared" si="14"/>
        <v>0</v>
      </c>
      <c r="G586">
        <f t="shared" si="15"/>
        <v>0</v>
      </c>
    </row>
    <row r="587" spans="1:7" ht="12.75">
      <c r="A587">
        <v>326</v>
      </c>
      <c r="B587">
        <v>0.83</v>
      </c>
      <c r="C587">
        <v>326</v>
      </c>
      <c r="D587">
        <v>83</v>
      </c>
      <c r="E587">
        <f t="shared" si="13"/>
        <v>0.83</v>
      </c>
      <c r="F587">
        <f t="shared" si="14"/>
        <v>0</v>
      </c>
      <c r="G587">
        <f t="shared" si="15"/>
        <v>0</v>
      </c>
    </row>
    <row r="588" spans="1:7" ht="12.75">
      <c r="A588">
        <v>327</v>
      </c>
      <c r="B588">
        <v>0.86</v>
      </c>
      <c r="C588">
        <v>327</v>
      </c>
      <c r="D588">
        <v>86</v>
      </c>
      <c r="E588">
        <f t="shared" si="13"/>
        <v>0.86</v>
      </c>
      <c r="F588">
        <f t="shared" si="14"/>
        <v>0</v>
      </c>
      <c r="G588">
        <f t="shared" si="15"/>
        <v>0</v>
      </c>
    </row>
    <row r="589" spans="1:7" ht="12.75">
      <c r="A589">
        <v>328</v>
      </c>
      <c r="B589">
        <v>0.86</v>
      </c>
      <c r="C589">
        <v>328</v>
      </c>
      <c r="D589">
        <v>86</v>
      </c>
      <c r="E589">
        <f t="shared" si="13"/>
        <v>0.86</v>
      </c>
      <c r="F589">
        <f t="shared" si="14"/>
        <v>0</v>
      </c>
      <c r="G589">
        <f t="shared" si="15"/>
        <v>0</v>
      </c>
    </row>
    <row r="590" spans="1:7" ht="12.75">
      <c r="A590">
        <v>329</v>
      </c>
      <c r="B590">
        <v>0.88</v>
      </c>
      <c r="C590">
        <v>329</v>
      </c>
      <c r="D590">
        <v>88</v>
      </c>
      <c r="E590">
        <f t="shared" si="13"/>
        <v>0.88</v>
      </c>
      <c r="F590">
        <f t="shared" si="14"/>
        <v>0</v>
      </c>
      <c r="G590">
        <f t="shared" si="15"/>
        <v>0</v>
      </c>
    </row>
    <row r="591" spans="1:7" ht="12.75">
      <c r="A591">
        <v>330</v>
      </c>
      <c r="B591">
        <v>0.87</v>
      </c>
      <c r="C591">
        <v>330</v>
      </c>
      <c r="D591">
        <v>87</v>
      </c>
      <c r="E591">
        <f t="shared" si="13"/>
        <v>0.87</v>
      </c>
      <c r="F591">
        <f t="shared" si="14"/>
        <v>0</v>
      </c>
      <c r="G591">
        <f t="shared" si="15"/>
        <v>0</v>
      </c>
    </row>
    <row r="592" spans="1:7" ht="12.75">
      <c r="A592">
        <v>331</v>
      </c>
      <c r="B592">
        <v>0.87</v>
      </c>
      <c r="C592">
        <v>331</v>
      </c>
      <c r="D592">
        <v>87</v>
      </c>
      <c r="E592">
        <f t="shared" si="13"/>
        <v>0.87</v>
      </c>
      <c r="F592">
        <f t="shared" si="14"/>
        <v>0</v>
      </c>
      <c r="G592">
        <f t="shared" si="15"/>
        <v>0</v>
      </c>
    </row>
    <row r="593" spans="1:7" ht="12.75">
      <c r="A593">
        <v>332</v>
      </c>
      <c r="B593">
        <v>0.87</v>
      </c>
      <c r="C593">
        <v>332</v>
      </c>
      <c r="D593">
        <v>87</v>
      </c>
      <c r="E593">
        <f t="shared" si="13"/>
        <v>0.87</v>
      </c>
      <c r="F593">
        <f t="shared" si="14"/>
        <v>0</v>
      </c>
      <c r="G593">
        <f t="shared" si="15"/>
        <v>0</v>
      </c>
    </row>
    <row r="594" spans="1:7" ht="12.75">
      <c r="A594">
        <v>333</v>
      </c>
      <c r="B594">
        <v>0.87</v>
      </c>
      <c r="C594">
        <v>333</v>
      </c>
      <c r="D594">
        <v>87</v>
      </c>
      <c r="E594">
        <f t="shared" si="13"/>
        <v>0.87</v>
      </c>
      <c r="F594">
        <f t="shared" si="14"/>
        <v>0</v>
      </c>
      <c r="G594">
        <f t="shared" si="15"/>
        <v>0</v>
      </c>
    </row>
    <row r="595" spans="1:7" ht="12.75">
      <c r="A595">
        <v>334</v>
      </c>
      <c r="B595">
        <v>0.83</v>
      </c>
      <c r="C595">
        <v>334</v>
      </c>
      <c r="D595">
        <v>83</v>
      </c>
      <c r="E595">
        <f t="shared" si="13"/>
        <v>0.83</v>
      </c>
      <c r="F595">
        <f t="shared" si="14"/>
        <v>0</v>
      </c>
      <c r="G595">
        <f t="shared" si="15"/>
        <v>0</v>
      </c>
    </row>
    <row r="596" spans="1:7" ht="12.75">
      <c r="A596">
        <v>335</v>
      </c>
      <c r="B596">
        <v>0.84</v>
      </c>
      <c r="C596">
        <v>335</v>
      </c>
      <c r="D596">
        <v>84</v>
      </c>
      <c r="E596">
        <f t="shared" si="13"/>
        <v>0.84</v>
      </c>
      <c r="F596">
        <f t="shared" si="14"/>
        <v>0</v>
      </c>
      <c r="G596">
        <f t="shared" si="15"/>
        <v>0</v>
      </c>
    </row>
    <row r="597" spans="1:7" ht="12.75">
      <c r="A597">
        <v>336</v>
      </c>
      <c r="B597">
        <v>0.84</v>
      </c>
      <c r="C597">
        <v>336</v>
      </c>
      <c r="D597">
        <v>84</v>
      </c>
      <c r="E597">
        <f t="shared" si="13"/>
        <v>0.84</v>
      </c>
      <c r="F597">
        <f t="shared" si="14"/>
        <v>0</v>
      </c>
      <c r="G597">
        <f t="shared" si="15"/>
        <v>0</v>
      </c>
    </row>
    <row r="598" spans="1:7" ht="12.75">
      <c r="A598">
        <v>337</v>
      </c>
      <c r="B598">
        <v>0.85</v>
      </c>
      <c r="C598">
        <v>337</v>
      </c>
      <c r="D598">
        <v>85</v>
      </c>
      <c r="E598">
        <f t="shared" si="13"/>
        <v>0.85</v>
      </c>
      <c r="F598">
        <f t="shared" si="14"/>
        <v>0</v>
      </c>
      <c r="G598">
        <f t="shared" si="15"/>
        <v>0</v>
      </c>
    </row>
    <row r="599" spans="1:7" ht="12.75">
      <c r="A599">
        <v>338</v>
      </c>
      <c r="B599">
        <v>0.83</v>
      </c>
      <c r="C599">
        <v>338</v>
      </c>
      <c r="D599">
        <v>83</v>
      </c>
      <c r="E599">
        <f t="shared" si="13"/>
        <v>0.83</v>
      </c>
      <c r="F599">
        <f t="shared" si="14"/>
        <v>0</v>
      </c>
      <c r="G599">
        <f t="shared" si="15"/>
        <v>0</v>
      </c>
    </row>
    <row r="600" spans="1:7" ht="12.75">
      <c r="A600">
        <v>339</v>
      </c>
      <c r="B600">
        <v>0.82</v>
      </c>
      <c r="C600">
        <v>339</v>
      </c>
      <c r="D600">
        <v>82</v>
      </c>
      <c r="E600">
        <f t="shared" si="13"/>
        <v>0.82</v>
      </c>
      <c r="F600">
        <f t="shared" si="14"/>
        <v>0</v>
      </c>
      <c r="G600">
        <f t="shared" si="15"/>
        <v>0</v>
      </c>
    </row>
    <row r="601" spans="1:7" ht="12.75">
      <c r="A601">
        <v>340</v>
      </c>
      <c r="B601">
        <v>0.87</v>
      </c>
      <c r="C601">
        <v>340</v>
      </c>
      <c r="D601">
        <v>87</v>
      </c>
      <c r="E601">
        <f t="shared" si="13"/>
        <v>0.87</v>
      </c>
      <c r="F601">
        <f t="shared" si="14"/>
        <v>0</v>
      </c>
      <c r="G601">
        <f t="shared" si="15"/>
        <v>0</v>
      </c>
    </row>
    <row r="602" spans="1:7" ht="12.75">
      <c r="A602">
        <v>342</v>
      </c>
      <c r="B602">
        <v>0.83</v>
      </c>
      <c r="C602">
        <v>342</v>
      </c>
      <c r="D602">
        <v>83</v>
      </c>
      <c r="E602">
        <f t="shared" si="13"/>
        <v>0.83</v>
      </c>
      <c r="F602">
        <f t="shared" si="14"/>
        <v>0</v>
      </c>
      <c r="G602">
        <f t="shared" si="15"/>
        <v>0</v>
      </c>
    </row>
    <row r="603" spans="1:7" ht="12.75">
      <c r="A603">
        <v>346</v>
      </c>
      <c r="B603">
        <v>0.84</v>
      </c>
      <c r="C603">
        <v>346</v>
      </c>
      <c r="D603">
        <v>84</v>
      </c>
      <c r="E603">
        <f t="shared" si="13"/>
        <v>0.84</v>
      </c>
      <c r="F603">
        <f t="shared" si="14"/>
        <v>0</v>
      </c>
      <c r="G603">
        <f t="shared" si="15"/>
        <v>0</v>
      </c>
    </row>
    <row r="604" spans="1:7" ht="12.75">
      <c r="A604">
        <v>347</v>
      </c>
      <c r="B604">
        <v>0.86</v>
      </c>
      <c r="C604">
        <v>347</v>
      </c>
      <c r="D604">
        <v>86</v>
      </c>
      <c r="E604">
        <f t="shared" si="13"/>
        <v>0.86</v>
      </c>
      <c r="F604">
        <f t="shared" si="14"/>
        <v>0</v>
      </c>
      <c r="G604">
        <f t="shared" si="15"/>
        <v>0</v>
      </c>
    </row>
    <row r="605" spans="1:7" ht="12.75">
      <c r="A605">
        <v>349</v>
      </c>
      <c r="B605">
        <v>0.83</v>
      </c>
      <c r="C605">
        <v>349</v>
      </c>
      <c r="D605">
        <v>83</v>
      </c>
      <c r="E605">
        <f aca="true" t="shared" si="16" ref="E605:E668">D605/100</f>
        <v>0.83</v>
      </c>
      <c r="F605">
        <f aca="true" t="shared" si="17" ref="F605:F668">A605-C605</f>
        <v>0</v>
      </c>
      <c r="G605">
        <f aca="true" t="shared" si="18" ref="G605:G668">B605-E605</f>
        <v>0</v>
      </c>
    </row>
    <row r="606" spans="1:7" ht="12.75">
      <c r="A606">
        <v>350</v>
      </c>
      <c r="B606">
        <v>0.87</v>
      </c>
      <c r="C606">
        <v>350</v>
      </c>
      <c r="D606">
        <v>87</v>
      </c>
      <c r="E606">
        <f t="shared" si="16"/>
        <v>0.87</v>
      </c>
      <c r="F606">
        <f t="shared" si="17"/>
        <v>0</v>
      </c>
      <c r="G606">
        <f t="shared" si="18"/>
        <v>0</v>
      </c>
    </row>
    <row r="607" spans="1:7" ht="12.75">
      <c r="A607">
        <v>351</v>
      </c>
      <c r="B607">
        <v>0.87</v>
      </c>
      <c r="C607">
        <v>351</v>
      </c>
      <c r="D607">
        <v>87</v>
      </c>
      <c r="E607">
        <f t="shared" si="16"/>
        <v>0.87</v>
      </c>
      <c r="F607">
        <f t="shared" si="17"/>
        <v>0</v>
      </c>
      <c r="G607">
        <f t="shared" si="18"/>
        <v>0</v>
      </c>
    </row>
    <row r="608" spans="1:7" ht="12.75">
      <c r="A608">
        <v>352</v>
      </c>
      <c r="B608">
        <v>0.87</v>
      </c>
      <c r="C608">
        <v>352</v>
      </c>
      <c r="D608">
        <v>87</v>
      </c>
      <c r="E608">
        <f t="shared" si="16"/>
        <v>0.87</v>
      </c>
      <c r="F608">
        <f t="shared" si="17"/>
        <v>0</v>
      </c>
      <c r="G608">
        <f t="shared" si="18"/>
        <v>0</v>
      </c>
    </row>
    <row r="609" spans="1:7" ht="12.75">
      <c r="A609">
        <v>354</v>
      </c>
      <c r="B609">
        <v>0.8</v>
      </c>
      <c r="C609">
        <v>354</v>
      </c>
      <c r="D609">
        <v>80</v>
      </c>
      <c r="E609">
        <f t="shared" si="16"/>
        <v>0.8</v>
      </c>
      <c r="F609">
        <f t="shared" si="17"/>
        <v>0</v>
      </c>
      <c r="G609">
        <f t="shared" si="18"/>
        <v>0</v>
      </c>
    </row>
    <row r="610" spans="1:7" ht="12.75">
      <c r="A610">
        <v>355</v>
      </c>
      <c r="B610">
        <v>0.76</v>
      </c>
      <c r="C610">
        <v>355</v>
      </c>
      <c r="D610">
        <v>76</v>
      </c>
      <c r="E610">
        <f t="shared" si="16"/>
        <v>0.76</v>
      </c>
      <c r="F610">
        <f t="shared" si="17"/>
        <v>0</v>
      </c>
      <c r="G610">
        <f t="shared" si="18"/>
        <v>0</v>
      </c>
    </row>
    <row r="611" spans="1:7" ht="12.75">
      <c r="A611">
        <v>356</v>
      </c>
      <c r="B611">
        <v>0.83</v>
      </c>
      <c r="C611">
        <v>356</v>
      </c>
      <c r="D611">
        <v>83</v>
      </c>
      <c r="E611">
        <f t="shared" si="16"/>
        <v>0.83</v>
      </c>
      <c r="F611">
        <f t="shared" si="17"/>
        <v>0</v>
      </c>
      <c r="G611">
        <f t="shared" si="18"/>
        <v>0</v>
      </c>
    </row>
    <row r="612" spans="1:7" ht="12.75">
      <c r="A612">
        <v>357</v>
      </c>
      <c r="B612">
        <v>0.83</v>
      </c>
      <c r="C612">
        <v>357</v>
      </c>
      <c r="D612">
        <v>83</v>
      </c>
      <c r="E612">
        <f t="shared" si="16"/>
        <v>0.83</v>
      </c>
      <c r="F612">
        <f t="shared" si="17"/>
        <v>0</v>
      </c>
      <c r="G612">
        <f t="shared" si="18"/>
        <v>0</v>
      </c>
    </row>
    <row r="613" spans="1:7" ht="12.75">
      <c r="A613">
        <v>358</v>
      </c>
      <c r="B613">
        <v>0.83</v>
      </c>
      <c r="C613">
        <v>358</v>
      </c>
      <c r="D613">
        <v>83</v>
      </c>
      <c r="E613">
        <f t="shared" si="16"/>
        <v>0.83</v>
      </c>
      <c r="F613">
        <f t="shared" si="17"/>
        <v>0</v>
      </c>
      <c r="G613">
        <f t="shared" si="18"/>
        <v>0</v>
      </c>
    </row>
    <row r="614" spans="1:7" ht="12.75">
      <c r="A614">
        <v>359</v>
      </c>
      <c r="B614">
        <v>0.82</v>
      </c>
      <c r="C614">
        <v>359</v>
      </c>
      <c r="D614">
        <v>82</v>
      </c>
      <c r="E614">
        <f t="shared" si="16"/>
        <v>0.82</v>
      </c>
      <c r="F614">
        <f t="shared" si="17"/>
        <v>0</v>
      </c>
      <c r="G614">
        <f t="shared" si="18"/>
        <v>0</v>
      </c>
    </row>
    <row r="615" spans="1:7" ht="12.75">
      <c r="A615">
        <v>360</v>
      </c>
      <c r="B615">
        <v>0.8</v>
      </c>
      <c r="C615">
        <v>360</v>
      </c>
      <c r="D615">
        <v>80</v>
      </c>
      <c r="E615">
        <f t="shared" si="16"/>
        <v>0.8</v>
      </c>
      <c r="F615">
        <f t="shared" si="17"/>
        <v>0</v>
      </c>
      <c r="G615">
        <f t="shared" si="18"/>
        <v>0</v>
      </c>
    </row>
    <row r="616" spans="1:7" ht="12.75">
      <c r="A616">
        <v>361</v>
      </c>
      <c r="B616">
        <v>0.8</v>
      </c>
      <c r="C616">
        <v>361</v>
      </c>
      <c r="D616">
        <v>80</v>
      </c>
      <c r="E616">
        <f t="shared" si="16"/>
        <v>0.8</v>
      </c>
      <c r="F616">
        <f t="shared" si="17"/>
        <v>0</v>
      </c>
      <c r="G616">
        <f t="shared" si="18"/>
        <v>0</v>
      </c>
    </row>
    <row r="617" spans="1:7" ht="12.75">
      <c r="A617">
        <v>362</v>
      </c>
      <c r="B617">
        <v>0.75</v>
      </c>
      <c r="C617">
        <v>362</v>
      </c>
      <c r="D617">
        <v>75</v>
      </c>
      <c r="E617">
        <f t="shared" si="16"/>
        <v>0.75</v>
      </c>
      <c r="F617">
        <f t="shared" si="17"/>
        <v>0</v>
      </c>
      <c r="G617">
        <f t="shared" si="18"/>
        <v>0</v>
      </c>
    </row>
    <row r="618" spans="1:7" ht="12.75">
      <c r="A618">
        <v>363</v>
      </c>
      <c r="B618">
        <v>0.79</v>
      </c>
      <c r="C618">
        <v>363</v>
      </c>
      <c r="D618">
        <v>79</v>
      </c>
      <c r="E618">
        <f t="shared" si="16"/>
        <v>0.79</v>
      </c>
      <c r="F618">
        <f t="shared" si="17"/>
        <v>0</v>
      </c>
      <c r="G618">
        <f t="shared" si="18"/>
        <v>0</v>
      </c>
    </row>
    <row r="619" spans="1:7" ht="12.75">
      <c r="A619">
        <v>364</v>
      </c>
      <c r="B619">
        <v>0.79</v>
      </c>
      <c r="C619">
        <v>364</v>
      </c>
      <c r="D619">
        <v>79</v>
      </c>
      <c r="E619">
        <f t="shared" si="16"/>
        <v>0.79</v>
      </c>
      <c r="F619">
        <f t="shared" si="17"/>
        <v>0</v>
      </c>
      <c r="G619">
        <f t="shared" si="18"/>
        <v>0</v>
      </c>
    </row>
    <row r="620" spans="1:7" ht="12.75">
      <c r="A620">
        <v>365</v>
      </c>
      <c r="B620">
        <v>0.83</v>
      </c>
      <c r="C620">
        <v>365</v>
      </c>
      <c r="D620">
        <v>83</v>
      </c>
      <c r="E620">
        <f t="shared" si="16"/>
        <v>0.83</v>
      </c>
      <c r="F620">
        <f t="shared" si="17"/>
        <v>0</v>
      </c>
      <c r="G620">
        <f t="shared" si="18"/>
        <v>0</v>
      </c>
    </row>
    <row r="621" spans="1:7" ht="12.75">
      <c r="A621">
        <v>366</v>
      </c>
      <c r="B621">
        <v>0.83</v>
      </c>
      <c r="C621">
        <v>366</v>
      </c>
      <c r="D621">
        <v>83</v>
      </c>
      <c r="E621">
        <f t="shared" si="16"/>
        <v>0.83</v>
      </c>
      <c r="F621">
        <f t="shared" si="17"/>
        <v>0</v>
      </c>
      <c r="G621">
        <f t="shared" si="18"/>
        <v>0</v>
      </c>
    </row>
    <row r="622" spans="1:7" ht="12.75">
      <c r="A622">
        <v>367</v>
      </c>
      <c r="B622">
        <v>0.79</v>
      </c>
      <c r="C622">
        <v>367</v>
      </c>
      <c r="D622">
        <v>79</v>
      </c>
      <c r="E622">
        <f t="shared" si="16"/>
        <v>0.79</v>
      </c>
      <c r="F622">
        <f t="shared" si="17"/>
        <v>0</v>
      </c>
      <c r="G622">
        <f t="shared" si="18"/>
        <v>0</v>
      </c>
    </row>
    <row r="623" spans="1:7" ht="12.75">
      <c r="A623">
        <v>368</v>
      </c>
      <c r="B623">
        <v>0.79</v>
      </c>
      <c r="C623">
        <v>368</v>
      </c>
      <c r="D623">
        <v>79</v>
      </c>
      <c r="E623">
        <f t="shared" si="16"/>
        <v>0.79</v>
      </c>
      <c r="F623">
        <f t="shared" si="17"/>
        <v>0</v>
      </c>
      <c r="G623">
        <f t="shared" si="18"/>
        <v>0</v>
      </c>
    </row>
    <row r="624" spans="1:7" ht="12.75">
      <c r="A624">
        <v>369</v>
      </c>
      <c r="B624">
        <v>0.79</v>
      </c>
      <c r="C624">
        <v>369</v>
      </c>
      <c r="D624">
        <v>79</v>
      </c>
      <c r="E624">
        <f t="shared" si="16"/>
        <v>0.79</v>
      </c>
      <c r="F624">
        <f t="shared" si="17"/>
        <v>0</v>
      </c>
      <c r="G624">
        <f t="shared" si="18"/>
        <v>0</v>
      </c>
    </row>
    <row r="625" spans="1:7" ht="12.75">
      <c r="A625">
        <v>370</v>
      </c>
      <c r="B625">
        <v>0.85</v>
      </c>
      <c r="C625">
        <v>370</v>
      </c>
      <c r="D625">
        <v>85</v>
      </c>
      <c r="E625">
        <f t="shared" si="16"/>
        <v>0.85</v>
      </c>
      <c r="F625">
        <f t="shared" si="17"/>
        <v>0</v>
      </c>
      <c r="G625">
        <f t="shared" si="18"/>
        <v>0</v>
      </c>
    </row>
    <row r="626" spans="1:7" ht="12.75">
      <c r="A626">
        <v>371</v>
      </c>
      <c r="B626">
        <v>0.85</v>
      </c>
      <c r="C626">
        <v>371</v>
      </c>
      <c r="D626">
        <v>85</v>
      </c>
      <c r="E626">
        <f t="shared" si="16"/>
        <v>0.85</v>
      </c>
      <c r="F626">
        <f t="shared" si="17"/>
        <v>0</v>
      </c>
      <c r="G626">
        <f t="shared" si="18"/>
        <v>0</v>
      </c>
    </row>
    <row r="627" spans="1:7" ht="12.75">
      <c r="A627">
        <v>372</v>
      </c>
      <c r="B627">
        <v>0.85</v>
      </c>
      <c r="C627">
        <v>372</v>
      </c>
      <c r="D627">
        <v>85</v>
      </c>
      <c r="E627">
        <f t="shared" si="16"/>
        <v>0.85</v>
      </c>
      <c r="F627">
        <f t="shared" si="17"/>
        <v>0</v>
      </c>
      <c r="G627">
        <f t="shared" si="18"/>
        <v>0</v>
      </c>
    </row>
    <row r="628" spans="1:7" ht="12.75">
      <c r="A628">
        <v>373</v>
      </c>
      <c r="B628">
        <v>0.83</v>
      </c>
      <c r="C628">
        <v>373</v>
      </c>
      <c r="D628">
        <v>83</v>
      </c>
      <c r="E628">
        <f t="shared" si="16"/>
        <v>0.83</v>
      </c>
      <c r="F628">
        <f t="shared" si="17"/>
        <v>0</v>
      </c>
      <c r="G628">
        <f t="shared" si="18"/>
        <v>0</v>
      </c>
    </row>
    <row r="629" spans="1:7" ht="12.75">
      <c r="A629">
        <v>374</v>
      </c>
      <c r="B629">
        <v>0.83</v>
      </c>
      <c r="C629">
        <v>374</v>
      </c>
      <c r="D629">
        <v>83</v>
      </c>
      <c r="E629">
        <f t="shared" si="16"/>
        <v>0.83</v>
      </c>
      <c r="F629">
        <f t="shared" si="17"/>
        <v>0</v>
      </c>
      <c r="G629">
        <f t="shared" si="18"/>
        <v>0</v>
      </c>
    </row>
    <row r="630" spans="1:7" ht="12.75">
      <c r="A630">
        <v>375</v>
      </c>
      <c r="B630">
        <v>0.86</v>
      </c>
      <c r="C630">
        <v>375</v>
      </c>
      <c r="D630">
        <v>86</v>
      </c>
      <c r="E630">
        <f t="shared" si="16"/>
        <v>0.86</v>
      </c>
      <c r="F630">
        <f t="shared" si="17"/>
        <v>0</v>
      </c>
      <c r="G630">
        <f t="shared" si="18"/>
        <v>0</v>
      </c>
    </row>
    <row r="631" spans="1:7" ht="12.75">
      <c r="A631">
        <v>376</v>
      </c>
      <c r="B631">
        <v>0.8</v>
      </c>
      <c r="C631">
        <v>376</v>
      </c>
      <c r="D631">
        <v>80</v>
      </c>
      <c r="E631">
        <f t="shared" si="16"/>
        <v>0.8</v>
      </c>
      <c r="F631">
        <f t="shared" si="17"/>
        <v>0</v>
      </c>
      <c r="G631">
        <f t="shared" si="18"/>
        <v>0</v>
      </c>
    </row>
    <row r="632" spans="1:7" ht="12.75">
      <c r="A632">
        <v>377</v>
      </c>
      <c r="B632">
        <v>0.8</v>
      </c>
      <c r="C632">
        <v>377</v>
      </c>
      <c r="D632">
        <v>80</v>
      </c>
      <c r="E632">
        <f t="shared" si="16"/>
        <v>0.8</v>
      </c>
      <c r="F632">
        <f t="shared" si="17"/>
        <v>0</v>
      </c>
      <c r="G632">
        <f t="shared" si="18"/>
        <v>0</v>
      </c>
    </row>
    <row r="633" spans="1:7" ht="12.75">
      <c r="A633">
        <v>378</v>
      </c>
      <c r="B633">
        <v>0.8</v>
      </c>
      <c r="C633">
        <v>378</v>
      </c>
      <c r="D633">
        <v>80</v>
      </c>
      <c r="E633">
        <f t="shared" si="16"/>
        <v>0.8</v>
      </c>
      <c r="F633">
        <f t="shared" si="17"/>
        <v>0</v>
      </c>
      <c r="G633">
        <f t="shared" si="18"/>
        <v>0</v>
      </c>
    </row>
    <row r="634" spans="1:7" ht="12.75">
      <c r="A634">
        <v>379</v>
      </c>
      <c r="B634">
        <v>0.8</v>
      </c>
      <c r="C634">
        <v>379</v>
      </c>
      <c r="D634">
        <v>80</v>
      </c>
      <c r="E634">
        <f t="shared" si="16"/>
        <v>0.8</v>
      </c>
      <c r="F634">
        <f t="shared" si="17"/>
        <v>0</v>
      </c>
      <c r="G634">
        <f t="shared" si="18"/>
        <v>0</v>
      </c>
    </row>
    <row r="635" spans="1:7" ht="12.75">
      <c r="A635">
        <v>380</v>
      </c>
      <c r="B635">
        <v>0.86</v>
      </c>
      <c r="C635">
        <v>380</v>
      </c>
      <c r="D635">
        <v>86</v>
      </c>
      <c r="E635">
        <f t="shared" si="16"/>
        <v>0.86</v>
      </c>
      <c r="F635">
        <f t="shared" si="17"/>
        <v>0</v>
      </c>
      <c r="G635">
        <f t="shared" si="18"/>
        <v>0</v>
      </c>
    </row>
    <row r="636" spans="1:7" ht="12.75">
      <c r="A636">
        <v>381</v>
      </c>
      <c r="B636">
        <v>0.86</v>
      </c>
      <c r="C636">
        <v>381</v>
      </c>
      <c r="D636">
        <v>86</v>
      </c>
      <c r="E636">
        <f t="shared" si="16"/>
        <v>0.86</v>
      </c>
      <c r="F636">
        <f t="shared" si="17"/>
        <v>0</v>
      </c>
      <c r="G636">
        <f t="shared" si="18"/>
        <v>0</v>
      </c>
    </row>
    <row r="637" spans="1:7" ht="12.75">
      <c r="A637">
        <v>382</v>
      </c>
      <c r="B637">
        <v>0.7</v>
      </c>
      <c r="C637">
        <v>382</v>
      </c>
      <c r="D637">
        <v>70</v>
      </c>
      <c r="E637">
        <f t="shared" si="16"/>
        <v>0.7</v>
      </c>
      <c r="F637">
        <f t="shared" si="17"/>
        <v>0</v>
      </c>
      <c r="G637">
        <f t="shared" si="18"/>
        <v>0</v>
      </c>
    </row>
    <row r="638" spans="1:7" ht="12.75">
      <c r="A638">
        <v>383</v>
      </c>
      <c r="B638">
        <v>0.76</v>
      </c>
      <c r="C638">
        <v>383</v>
      </c>
      <c r="D638">
        <v>76</v>
      </c>
      <c r="E638">
        <f t="shared" si="16"/>
        <v>0.76</v>
      </c>
      <c r="F638">
        <f t="shared" si="17"/>
        <v>0</v>
      </c>
      <c r="G638">
        <f t="shared" si="18"/>
        <v>0</v>
      </c>
    </row>
    <row r="639" spans="1:7" ht="12.75">
      <c r="A639">
        <v>384</v>
      </c>
      <c r="B639">
        <v>0.77</v>
      </c>
      <c r="C639">
        <v>384</v>
      </c>
      <c r="D639">
        <v>77</v>
      </c>
      <c r="E639">
        <f t="shared" si="16"/>
        <v>0.77</v>
      </c>
      <c r="F639">
        <f t="shared" si="17"/>
        <v>0</v>
      </c>
      <c r="G639">
        <f t="shared" si="18"/>
        <v>0</v>
      </c>
    </row>
    <row r="640" spans="1:7" ht="12.75">
      <c r="A640">
        <v>385</v>
      </c>
      <c r="B640">
        <v>0.69</v>
      </c>
      <c r="C640">
        <v>385</v>
      </c>
      <c r="D640">
        <v>69</v>
      </c>
      <c r="E640">
        <f t="shared" si="16"/>
        <v>0.69</v>
      </c>
      <c r="F640">
        <f t="shared" si="17"/>
        <v>0</v>
      </c>
      <c r="G640">
        <f t="shared" si="18"/>
        <v>0</v>
      </c>
    </row>
    <row r="641" spans="1:7" ht="12.75">
      <c r="A641">
        <v>386</v>
      </c>
      <c r="B641">
        <v>0.68</v>
      </c>
      <c r="C641">
        <v>386</v>
      </c>
      <c r="D641">
        <v>68</v>
      </c>
      <c r="E641">
        <f t="shared" si="16"/>
        <v>0.68</v>
      </c>
      <c r="F641">
        <f t="shared" si="17"/>
        <v>0</v>
      </c>
      <c r="G641">
        <f t="shared" si="18"/>
        <v>0</v>
      </c>
    </row>
    <row r="642" spans="1:7" ht="12.75">
      <c r="A642">
        <v>387</v>
      </c>
      <c r="B642">
        <v>0.79</v>
      </c>
      <c r="C642">
        <v>387</v>
      </c>
      <c r="D642">
        <v>79</v>
      </c>
      <c r="E642">
        <f t="shared" si="16"/>
        <v>0.79</v>
      </c>
      <c r="F642">
        <f t="shared" si="17"/>
        <v>0</v>
      </c>
      <c r="G642">
        <f t="shared" si="18"/>
        <v>0</v>
      </c>
    </row>
    <row r="643" spans="1:7" ht="12.75">
      <c r="A643">
        <v>388</v>
      </c>
      <c r="B643">
        <v>0.73</v>
      </c>
      <c r="C643">
        <v>388</v>
      </c>
      <c r="D643">
        <v>73</v>
      </c>
      <c r="E643">
        <f t="shared" si="16"/>
        <v>0.73</v>
      </c>
      <c r="F643">
        <f t="shared" si="17"/>
        <v>0</v>
      </c>
      <c r="G643">
        <f t="shared" si="18"/>
        <v>0</v>
      </c>
    </row>
    <row r="644" spans="1:7" ht="12.75">
      <c r="A644">
        <v>389</v>
      </c>
      <c r="B644">
        <v>0.7</v>
      </c>
      <c r="C644">
        <v>389</v>
      </c>
      <c r="D644">
        <v>70</v>
      </c>
      <c r="E644">
        <f t="shared" si="16"/>
        <v>0.7</v>
      </c>
      <c r="F644">
        <f t="shared" si="17"/>
        <v>0</v>
      </c>
      <c r="G644">
        <f t="shared" si="18"/>
        <v>0</v>
      </c>
    </row>
    <row r="645" spans="1:7" ht="12.75">
      <c r="A645">
        <v>390</v>
      </c>
      <c r="B645">
        <v>0.79</v>
      </c>
      <c r="C645">
        <v>390</v>
      </c>
      <c r="D645">
        <v>79</v>
      </c>
      <c r="E645">
        <f t="shared" si="16"/>
        <v>0.79</v>
      </c>
      <c r="F645">
        <f t="shared" si="17"/>
        <v>0</v>
      </c>
      <c r="G645">
        <f t="shared" si="18"/>
        <v>0</v>
      </c>
    </row>
    <row r="646" spans="1:7" ht="12.75">
      <c r="A646">
        <v>391</v>
      </c>
      <c r="B646">
        <v>0.79</v>
      </c>
      <c r="C646">
        <v>391</v>
      </c>
      <c r="D646">
        <v>79</v>
      </c>
      <c r="E646">
        <f t="shared" si="16"/>
        <v>0.79</v>
      </c>
      <c r="F646">
        <f t="shared" si="17"/>
        <v>0</v>
      </c>
      <c r="G646">
        <f t="shared" si="18"/>
        <v>0</v>
      </c>
    </row>
    <row r="647" spans="1:7" ht="12.75">
      <c r="A647">
        <v>392</v>
      </c>
      <c r="B647">
        <v>0.79</v>
      </c>
      <c r="C647">
        <v>392</v>
      </c>
      <c r="D647">
        <v>79</v>
      </c>
      <c r="E647">
        <f t="shared" si="16"/>
        <v>0.79</v>
      </c>
      <c r="F647">
        <f t="shared" si="17"/>
        <v>0</v>
      </c>
      <c r="G647">
        <f t="shared" si="18"/>
        <v>0</v>
      </c>
    </row>
    <row r="648" spans="1:7" ht="12.75">
      <c r="A648">
        <v>393</v>
      </c>
      <c r="B648">
        <v>0.77</v>
      </c>
      <c r="C648">
        <v>393</v>
      </c>
      <c r="D648">
        <v>77</v>
      </c>
      <c r="E648">
        <f t="shared" si="16"/>
        <v>0.77</v>
      </c>
      <c r="F648">
        <f t="shared" si="17"/>
        <v>0</v>
      </c>
      <c r="G648">
        <f t="shared" si="18"/>
        <v>0</v>
      </c>
    </row>
    <row r="649" spans="1:7" ht="12.75">
      <c r="A649">
        <v>394</v>
      </c>
      <c r="B649">
        <v>0.7</v>
      </c>
      <c r="C649">
        <v>394</v>
      </c>
      <c r="D649">
        <v>70</v>
      </c>
      <c r="E649">
        <f t="shared" si="16"/>
        <v>0.7</v>
      </c>
      <c r="F649">
        <f t="shared" si="17"/>
        <v>0</v>
      </c>
      <c r="G649">
        <f t="shared" si="18"/>
        <v>0</v>
      </c>
    </row>
    <row r="650" spans="1:7" ht="12.75">
      <c r="A650">
        <v>395</v>
      </c>
      <c r="B650">
        <v>0.81</v>
      </c>
      <c r="C650">
        <v>395</v>
      </c>
      <c r="D650">
        <v>81</v>
      </c>
      <c r="E650">
        <f t="shared" si="16"/>
        <v>0.81</v>
      </c>
      <c r="F650">
        <f t="shared" si="17"/>
        <v>0</v>
      </c>
      <c r="G650">
        <f t="shared" si="18"/>
        <v>0</v>
      </c>
    </row>
    <row r="651" spans="1:7" ht="12.75">
      <c r="A651">
        <v>396</v>
      </c>
      <c r="B651">
        <v>0.68</v>
      </c>
      <c r="C651">
        <v>396</v>
      </c>
      <c r="D651">
        <v>68</v>
      </c>
      <c r="E651">
        <f t="shared" si="16"/>
        <v>0.68</v>
      </c>
      <c r="F651">
        <f t="shared" si="17"/>
        <v>0</v>
      </c>
      <c r="G651">
        <f t="shared" si="18"/>
        <v>0</v>
      </c>
    </row>
    <row r="652" spans="1:7" ht="12.75">
      <c r="A652">
        <v>397</v>
      </c>
      <c r="B652">
        <v>0.73</v>
      </c>
      <c r="C652">
        <v>397</v>
      </c>
      <c r="D652">
        <v>73</v>
      </c>
      <c r="E652">
        <f t="shared" si="16"/>
        <v>0.73</v>
      </c>
      <c r="F652">
        <f t="shared" si="17"/>
        <v>0</v>
      </c>
      <c r="G652">
        <f t="shared" si="18"/>
        <v>0</v>
      </c>
    </row>
    <row r="653" spans="1:7" ht="12.75">
      <c r="A653">
        <v>399</v>
      </c>
      <c r="B653">
        <v>0.88</v>
      </c>
      <c r="C653">
        <v>399</v>
      </c>
      <c r="D653">
        <v>88</v>
      </c>
      <c r="E653">
        <f t="shared" si="16"/>
        <v>0.88</v>
      </c>
      <c r="F653">
        <f t="shared" si="17"/>
        <v>0</v>
      </c>
      <c r="G653">
        <f t="shared" si="18"/>
        <v>0</v>
      </c>
    </row>
    <row r="654" spans="1:7" ht="12.75">
      <c r="A654">
        <v>400</v>
      </c>
      <c r="B654">
        <v>0.91</v>
      </c>
      <c r="C654">
        <v>400</v>
      </c>
      <c r="D654">
        <v>91</v>
      </c>
      <c r="E654">
        <f t="shared" si="16"/>
        <v>0.91</v>
      </c>
      <c r="F654">
        <f t="shared" si="17"/>
        <v>0</v>
      </c>
      <c r="G654">
        <f t="shared" si="18"/>
        <v>0</v>
      </c>
    </row>
    <row r="655" spans="1:7" ht="12.75">
      <c r="A655">
        <v>401</v>
      </c>
      <c r="B655">
        <v>0.91</v>
      </c>
      <c r="C655">
        <v>401</v>
      </c>
      <c r="D655">
        <v>91</v>
      </c>
      <c r="E655">
        <f t="shared" si="16"/>
        <v>0.91</v>
      </c>
      <c r="F655">
        <f t="shared" si="17"/>
        <v>0</v>
      </c>
      <c r="G655">
        <f t="shared" si="18"/>
        <v>0</v>
      </c>
    </row>
    <row r="656" spans="1:7" ht="12.75">
      <c r="A656">
        <v>402</v>
      </c>
      <c r="B656">
        <v>0.91</v>
      </c>
      <c r="C656">
        <v>402</v>
      </c>
      <c r="D656">
        <v>91</v>
      </c>
      <c r="E656">
        <f t="shared" si="16"/>
        <v>0.91</v>
      </c>
      <c r="F656">
        <f t="shared" si="17"/>
        <v>0</v>
      </c>
      <c r="G656">
        <f t="shared" si="18"/>
        <v>0</v>
      </c>
    </row>
    <row r="657" spans="1:7" ht="12.75">
      <c r="A657">
        <v>403</v>
      </c>
      <c r="B657">
        <v>0.85</v>
      </c>
      <c r="C657">
        <v>403</v>
      </c>
      <c r="D657">
        <v>85</v>
      </c>
      <c r="E657">
        <f t="shared" si="16"/>
        <v>0.85</v>
      </c>
      <c r="F657">
        <f t="shared" si="17"/>
        <v>0</v>
      </c>
      <c r="G657">
        <f t="shared" si="18"/>
        <v>0</v>
      </c>
    </row>
    <row r="658" spans="1:7" ht="12.75">
      <c r="A658">
        <v>404</v>
      </c>
      <c r="B658">
        <v>0.85</v>
      </c>
      <c r="C658">
        <v>404</v>
      </c>
      <c r="D658">
        <v>85</v>
      </c>
      <c r="E658">
        <f t="shared" si="16"/>
        <v>0.85</v>
      </c>
      <c r="F658">
        <f t="shared" si="17"/>
        <v>0</v>
      </c>
      <c r="G658">
        <f t="shared" si="18"/>
        <v>0</v>
      </c>
    </row>
    <row r="659" spans="1:7" ht="12.75">
      <c r="A659">
        <v>405</v>
      </c>
      <c r="B659">
        <v>0.85</v>
      </c>
      <c r="C659">
        <v>405</v>
      </c>
      <c r="D659">
        <v>85</v>
      </c>
      <c r="E659">
        <f t="shared" si="16"/>
        <v>0.85</v>
      </c>
      <c r="F659">
        <f t="shared" si="17"/>
        <v>0</v>
      </c>
      <c r="G659">
        <f t="shared" si="18"/>
        <v>0</v>
      </c>
    </row>
    <row r="660" spans="1:7" ht="12.75">
      <c r="A660">
        <v>406</v>
      </c>
      <c r="B660">
        <v>0.88</v>
      </c>
      <c r="C660">
        <v>406</v>
      </c>
      <c r="D660">
        <v>88</v>
      </c>
      <c r="E660">
        <f t="shared" si="16"/>
        <v>0.88</v>
      </c>
      <c r="F660">
        <f t="shared" si="17"/>
        <v>0</v>
      </c>
      <c r="G660">
        <f t="shared" si="18"/>
        <v>0</v>
      </c>
    </row>
    <row r="661" spans="1:7" ht="12.75">
      <c r="A661">
        <v>407</v>
      </c>
      <c r="B661">
        <v>0.74</v>
      </c>
      <c r="C661">
        <v>407</v>
      </c>
      <c r="D661">
        <v>74</v>
      </c>
      <c r="E661">
        <f t="shared" si="16"/>
        <v>0.74</v>
      </c>
      <c r="F661">
        <f t="shared" si="17"/>
        <v>0</v>
      </c>
      <c r="G661">
        <f t="shared" si="18"/>
        <v>0</v>
      </c>
    </row>
    <row r="662" spans="1:7" ht="12.75">
      <c r="A662">
        <v>408</v>
      </c>
      <c r="B662">
        <v>0.74</v>
      </c>
      <c r="C662">
        <v>408</v>
      </c>
      <c r="D662">
        <v>74</v>
      </c>
      <c r="E662">
        <f t="shared" si="16"/>
        <v>0.74</v>
      </c>
      <c r="F662">
        <f t="shared" si="17"/>
        <v>0</v>
      </c>
      <c r="G662">
        <f t="shared" si="18"/>
        <v>0</v>
      </c>
    </row>
    <row r="663" spans="1:7" ht="12.75">
      <c r="A663">
        <v>409</v>
      </c>
      <c r="B663">
        <v>0.74</v>
      </c>
      <c r="C663">
        <v>409</v>
      </c>
      <c r="D663">
        <v>74</v>
      </c>
      <c r="E663">
        <f t="shared" si="16"/>
        <v>0.74</v>
      </c>
      <c r="F663">
        <f t="shared" si="17"/>
        <v>0</v>
      </c>
      <c r="G663">
        <f t="shared" si="18"/>
        <v>0</v>
      </c>
    </row>
    <row r="664" spans="1:7" ht="12.75">
      <c r="A664">
        <v>410</v>
      </c>
      <c r="B664">
        <v>0.93</v>
      </c>
      <c r="C664">
        <v>410</v>
      </c>
      <c r="D664">
        <v>93</v>
      </c>
      <c r="E664">
        <f t="shared" si="16"/>
        <v>0.93</v>
      </c>
      <c r="F664">
        <f t="shared" si="17"/>
        <v>0</v>
      </c>
      <c r="G664">
        <f t="shared" si="18"/>
        <v>0</v>
      </c>
    </row>
    <row r="665" spans="1:7" ht="12.75">
      <c r="A665">
        <v>411</v>
      </c>
      <c r="B665">
        <v>0.96</v>
      </c>
      <c r="C665">
        <v>411</v>
      </c>
      <c r="D665">
        <v>96</v>
      </c>
      <c r="E665">
        <f t="shared" si="16"/>
        <v>0.96</v>
      </c>
      <c r="F665">
        <f t="shared" si="17"/>
        <v>0</v>
      </c>
      <c r="G665">
        <f t="shared" si="18"/>
        <v>0</v>
      </c>
    </row>
    <row r="666" spans="1:7" ht="12.75">
      <c r="A666">
        <v>412</v>
      </c>
      <c r="B666">
        <v>0.96</v>
      </c>
      <c r="C666">
        <v>412</v>
      </c>
      <c r="D666">
        <v>96</v>
      </c>
      <c r="E666">
        <f t="shared" si="16"/>
        <v>0.96</v>
      </c>
      <c r="F666">
        <f t="shared" si="17"/>
        <v>0</v>
      </c>
      <c r="G666">
        <f t="shared" si="18"/>
        <v>0</v>
      </c>
    </row>
    <row r="667" spans="1:7" ht="12.75">
      <c r="A667">
        <v>413</v>
      </c>
      <c r="B667">
        <v>0.75</v>
      </c>
      <c r="C667">
        <v>413</v>
      </c>
      <c r="D667">
        <v>75</v>
      </c>
      <c r="E667">
        <f t="shared" si="16"/>
        <v>0.75</v>
      </c>
      <c r="F667">
        <f t="shared" si="17"/>
        <v>0</v>
      </c>
      <c r="G667">
        <f t="shared" si="18"/>
        <v>0</v>
      </c>
    </row>
    <row r="668" spans="1:7" ht="12.75">
      <c r="A668">
        <v>414</v>
      </c>
      <c r="B668">
        <v>0.75</v>
      </c>
      <c r="C668">
        <v>414</v>
      </c>
      <c r="D668">
        <v>75</v>
      </c>
      <c r="E668">
        <f t="shared" si="16"/>
        <v>0.75</v>
      </c>
      <c r="F668">
        <f t="shared" si="17"/>
        <v>0</v>
      </c>
      <c r="G668">
        <f t="shared" si="18"/>
        <v>0</v>
      </c>
    </row>
    <row r="669" spans="1:7" ht="12.75">
      <c r="A669">
        <v>415</v>
      </c>
      <c r="B669">
        <v>0.84</v>
      </c>
      <c r="C669">
        <v>415</v>
      </c>
      <c r="D669">
        <v>84</v>
      </c>
      <c r="E669">
        <f aca="true" t="shared" si="19" ref="E669:E732">D669/100</f>
        <v>0.84</v>
      </c>
      <c r="F669">
        <f aca="true" t="shared" si="20" ref="F669:F732">A669-C669</f>
        <v>0</v>
      </c>
      <c r="G669">
        <f aca="true" t="shared" si="21" ref="G669:G732">B669-E669</f>
        <v>0</v>
      </c>
    </row>
    <row r="670" spans="1:7" ht="12.75">
      <c r="A670">
        <v>416</v>
      </c>
      <c r="B670">
        <v>0.84</v>
      </c>
      <c r="C670">
        <v>416</v>
      </c>
      <c r="D670">
        <v>84</v>
      </c>
      <c r="E670">
        <f t="shared" si="19"/>
        <v>0.84</v>
      </c>
      <c r="F670">
        <f t="shared" si="20"/>
        <v>0</v>
      </c>
      <c r="G670">
        <f t="shared" si="21"/>
        <v>0</v>
      </c>
    </row>
    <row r="671" spans="1:7" ht="12.75">
      <c r="A671">
        <v>417</v>
      </c>
      <c r="B671">
        <v>0.74</v>
      </c>
      <c r="C671">
        <v>417</v>
      </c>
      <c r="D671">
        <v>74</v>
      </c>
      <c r="E671">
        <f t="shared" si="19"/>
        <v>0.74</v>
      </c>
      <c r="F671">
        <f t="shared" si="20"/>
        <v>0</v>
      </c>
      <c r="G671">
        <f t="shared" si="21"/>
        <v>0</v>
      </c>
    </row>
    <row r="672" spans="1:7" ht="12.75">
      <c r="A672">
        <v>418</v>
      </c>
      <c r="B672">
        <v>0.74</v>
      </c>
      <c r="C672">
        <v>418</v>
      </c>
      <c r="D672">
        <v>74</v>
      </c>
      <c r="E672">
        <f t="shared" si="19"/>
        <v>0.74</v>
      </c>
      <c r="F672">
        <f t="shared" si="20"/>
        <v>0</v>
      </c>
      <c r="G672">
        <f t="shared" si="21"/>
        <v>0</v>
      </c>
    </row>
    <row r="673" spans="1:7" ht="12.75">
      <c r="A673">
        <v>420</v>
      </c>
      <c r="B673">
        <v>0.91</v>
      </c>
      <c r="C673">
        <v>420</v>
      </c>
      <c r="D673">
        <v>91</v>
      </c>
      <c r="E673">
        <f t="shared" si="19"/>
        <v>0.91</v>
      </c>
      <c r="F673">
        <f t="shared" si="20"/>
        <v>0</v>
      </c>
      <c r="G673">
        <f t="shared" si="21"/>
        <v>0</v>
      </c>
    </row>
    <row r="674" spans="1:7" ht="12.75">
      <c r="A674">
        <v>421</v>
      </c>
      <c r="B674">
        <v>0.9</v>
      </c>
      <c r="C674">
        <v>421</v>
      </c>
      <c r="D674">
        <v>90</v>
      </c>
      <c r="E674">
        <f t="shared" si="19"/>
        <v>0.9</v>
      </c>
      <c r="F674">
        <f t="shared" si="20"/>
        <v>0</v>
      </c>
      <c r="G674">
        <f t="shared" si="21"/>
        <v>0</v>
      </c>
    </row>
    <row r="675" spans="1:7" ht="12.75">
      <c r="A675">
        <v>422</v>
      </c>
      <c r="B675">
        <v>0.9</v>
      </c>
      <c r="C675">
        <v>422</v>
      </c>
      <c r="D675">
        <v>90</v>
      </c>
      <c r="E675">
        <f t="shared" si="19"/>
        <v>0.9</v>
      </c>
      <c r="F675">
        <f t="shared" si="20"/>
        <v>0</v>
      </c>
      <c r="G675">
        <f t="shared" si="21"/>
        <v>0</v>
      </c>
    </row>
    <row r="676" spans="1:7" ht="12.75">
      <c r="A676">
        <v>423</v>
      </c>
      <c r="B676">
        <v>0.9</v>
      </c>
      <c r="C676">
        <v>423</v>
      </c>
      <c r="D676">
        <v>90</v>
      </c>
      <c r="E676">
        <f t="shared" si="19"/>
        <v>0.9</v>
      </c>
      <c r="F676">
        <f t="shared" si="20"/>
        <v>0</v>
      </c>
      <c r="G676">
        <f t="shared" si="21"/>
        <v>0</v>
      </c>
    </row>
    <row r="677" spans="1:7" ht="12.75">
      <c r="A677">
        <v>424</v>
      </c>
      <c r="B677">
        <v>0.93</v>
      </c>
      <c r="C677">
        <v>424</v>
      </c>
      <c r="D677">
        <v>93</v>
      </c>
      <c r="E677">
        <f t="shared" si="19"/>
        <v>0.93</v>
      </c>
      <c r="F677">
        <f t="shared" si="20"/>
        <v>0</v>
      </c>
      <c r="G677">
        <f t="shared" si="21"/>
        <v>0</v>
      </c>
    </row>
    <row r="678" spans="1:7" ht="12.75">
      <c r="A678">
        <v>425</v>
      </c>
      <c r="B678">
        <v>0.73</v>
      </c>
      <c r="C678">
        <v>425</v>
      </c>
      <c r="D678">
        <v>73</v>
      </c>
      <c r="E678">
        <f t="shared" si="19"/>
        <v>0.73</v>
      </c>
      <c r="F678">
        <f t="shared" si="20"/>
        <v>0</v>
      </c>
      <c r="G678">
        <f t="shared" si="21"/>
        <v>0</v>
      </c>
    </row>
    <row r="679" spans="1:7" ht="12.75">
      <c r="A679">
        <v>426</v>
      </c>
      <c r="B679">
        <v>0.73</v>
      </c>
      <c r="C679">
        <v>426</v>
      </c>
      <c r="D679">
        <v>73</v>
      </c>
      <c r="E679">
        <f t="shared" si="19"/>
        <v>0.73</v>
      </c>
      <c r="F679">
        <f t="shared" si="20"/>
        <v>0</v>
      </c>
      <c r="G679">
        <f t="shared" si="21"/>
        <v>0</v>
      </c>
    </row>
    <row r="680" spans="1:7" ht="12.75">
      <c r="A680">
        <v>427</v>
      </c>
      <c r="B680">
        <v>0.89</v>
      </c>
      <c r="C680">
        <v>427</v>
      </c>
      <c r="D680">
        <v>89</v>
      </c>
      <c r="E680">
        <f t="shared" si="19"/>
        <v>0.89</v>
      </c>
      <c r="F680">
        <f t="shared" si="20"/>
        <v>0</v>
      </c>
      <c r="G680">
        <f t="shared" si="21"/>
        <v>0</v>
      </c>
    </row>
    <row r="681" spans="1:7" ht="12.75">
      <c r="A681">
        <v>430</v>
      </c>
      <c r="B681">
        <v>0.94</v>
      </c>
      <c r="C681">
        <v>430</v>
      </c>
      <c r="D681">
        <v>94</v>
      </c>
      <c r="E681">
        <f t="shared" si="19"/>
        <v>0.94</v>
      </c>
      <c r="F681">
        <f t="shared" si="20"/>
        <v>0</v>
      </c>
      <c r="G681">
        <f t="shared" si="21"/>
        <v>0</v>
      </c>
    </row>
    <row r="682" spans="1:7" ht="12.75">
      <c r="A682">
        <v>431</v>
      </c>
      <c r="B682">
        <v>0.94</v>
      </c>
      <c r="C682">
        <v>431</v>
      </c>
      <c r="D682">
        <v>94</v>
      </c>
      <c r="E682">
        <f t="shared" si="19"/>
        <v>0.94</v>
      </c>
      <c r="F682">
        <f t="shared" si="20"/>
        <v>0</v>
      </c>
      <c r="G682">
        <f t="shared" si="21"/>
        <v>0</v>
      </c>
    </row>
    <row r="683" spans="1:7" ht="12.75">
      <c r="A683">
        <v>432</v>
      </c>
      <c r="B683">
        <v>0.94</v>
      </c>
      <c r="C683">
        <v>432</v>
      </c>
      <c r="D683">
        <v>94</v>
      </c>
      <c r="E683">
        <f t="shared" si="19"/>
        <v>0.94</v>
      </c>
      <c r="F683">
        <f t="shared" si="20"/>
        <v>0</v>
      </c>
      <c r="G683">
        <f t="shared" si="21"/>
        <v>0</v>
      </c>
    </row>
    <row r="684" spans="1:7" ht="12.75">
      <c r="A684">
        <v>433</v>
      </c>
      <c r="B684">
        <v>0.92</v>
      </c>
      <c r="C684">
        <v>433</v>
      </c>
      <c r="D684">
        <v>92</v>
      </c>
      <c r="E684">
        <f t="shared" si="19"/>
        <v>0.92</v>
      </c>
      <c r="F684">
        <f t="shared" si="20"/>
        <v>0</v>
      </c>
      <c r="G684">
        <f t="shared" si="21"/>
        <v>0</v>
      </c>
    </row>
    <row r="685" spans="1:7" ht="12.75">
      <c r="A685">
        <v>434</v>
      </c>
      <c r="B685">
        <v>0.98</v>
      </c>
      <c r="C685">
        <v>434</v>
      </c>
      <c r="D685">
        <v>98</v>
      </c>
      <c r="E685">
        <f t="shared" si="19"/>
        <v>0.98</v>
      </c>
      <c r="F685">
        <f t="shared" si="20"/>
        <v>0</v>
      </c>
      <c r="G685">
        <f t="shared" si="21"/>
        <v>0</v>
      </c>
    </row>
    <row r="686" spans="1:7" ht="12.75">
      <c r="A686">
        <v>435</v>
      </c>
      <c r="B686">
        <v>0.98</v>
      </c>
      <c r="C686">
        <v>435</v>
      </c>
      <c r="D686">
        <v>98</v>
      </c>
      <c r="E686">
        <f t="shared" si="19"/>
        <v>0.98</v>
      </c>
      <c r="F686">
        <f t="shared" si="20"/>
        <v>0</v>
      </c>
      <c r="G686">
        <f t="shared" si="21"/>
        <v>0</v>
      </c>
    </row>
    <row r="687" spans="1:7" ht="12.75">
      <c r="A687">
        <v>436</v>
      </c>
      <c r="B687">
        <v>0.98</v>
      </c>
      <c r="C687">
        <v>436</v>
      </c>
      <c r="D687">
        <v>98</v>
      </c>
      <c r="E687">
        <f t="shared" si="19"/>
        <v>0.98</v>
      </c>
      <c r="F687">
        <f t="shared" si="20"/>
        <v>0</v>
      </c>
      <c r="G687">
        <f t="shared" si="21"/>
        <v>0</v>
      </c>
    </row>
    <row r="688" spans="1:7" ht="12.75">
      <c r="A688">
        <v>437</v>
      </c>
      <c r="B688">
        <v>0.91</v>
      </c>
      <c r="C688">
        <v>437</v>
      </c>
      <c r="D688">
        <v>91</v>
      </c>
      <c r="E688">
        <f t="shared" si="19"/>
        <v>0.91</v>
      </c>
      <c r="F688">
        <f t="shared" si="20"/>
        <v>0</v>
      </c>
      <c r="G688">
        <f t="shared" si="21"/>
        <v>0</v>
      </c>
    </row>
    <row r="689" spans="1:7" ht="12.75">
      <c r="A689">
        <v>438</v>
      </c>
      <c r="B689">
        <v>0.91</v>
      </c>
      <c r="C689">
        <v>438</v>
      </c>
      <c r="D689">
        <v>91</v>
      </c>
      <c r="E689">
        <f t="shared" si="19"/>
        <v>0.91</v>
      </c>
      <c r="F689">
        <f t="shared" si="20"/>
        <v>0</v>
      </c>
      <c r="G689">
        <f t="shared" si="21"/>
        <v>0</v>
      </c>
    </row>
    <row r="690" spans="1:7" ht="12.75">
      <c r="A690">
        <v>439</v>
      </c>
      <c r="B690">
        <v>0.96</v>
      </c>
      <c r="C690">
        <v>439</v>
      </c>
      <c r="D690">
        <v>96</v>
      </c>
      <c r="E690">
        <f t="shared" si="19"/>
        <v>0.96</v>
      </c>
      <c r="F690">
        <f t="shared" si="20"/>
        <v>0</v>
      </c>
      <c r="G690">
        <f t="shared" si="21"/>
        <v>0</v>
      </c>
    </row>
    <row r="691" spans="1:7" ht="12.75">
      <c r="A691">
        <v>440</v>
      </c>
      <c r="B691">
        <v>0.96</v>
      </c>
      <c r="C691">
        <v>440</v>
      </c>
      <c r="D691">
        <v>96</v>
      </c>
      <c r="E691">
        <f t="shared" si="19"/>
        <v>0.96</v>
      </c>
      <c r="F691">
        <f t="shared" si="20"/>
        <v>0</v>
      </c>
      <c r="G691">
        <f t="shared" si="21"/>
        <v>0</v>
      </c>
    </row>
    <row r="692" spans="1:7" ht="12.75">
      <c r="A692">
        <v>441</v>
      </c>
      <c r="B692">
        <v>1.02</v>
      </c>
      <c r="C692">
        <v>441</v>
      </c>
      <c r="D692">
        <v>102</v>
      </c>
      <c r="E692">
        <f t="shared" si="19"/>
        <v>1.02</v>
      </c>
      <c r="F692">
        <f t="shared" si="20"/>
        <v>0</v>
      </c>
      <c r="G692">
        <f t="shared" si="21"/>
        <v>0</v>
      </c>
    </row>
    <row r="693" spans="1:7" ht="12.75">
      <c r="A693">
        <v>442</v>
      </c>
      <c r="B693">
        <v>1</v>
      </c>
      <c r="C693">
        <v>442</v>
      </c>
      <c r="D693">
        <v>100</v>
      </c>
      <c r="E693">
        <f t="shared" si="19"/>
        <v>1</v>
      </c>
      <c r="F693">
        <f t="shared" si="20"/>
        <v>0</v>
      </c>
      <c r="G693">
        <f t="shared" si="21"/>
        <v>0</v>
      </c>
    </row>
    <row r="694" spans="1:7" ht="12.75">
      <c r="A694">
        <v>443</v>
      </c>
      <c r="B694">
        <v>1</v>
      </c>
      <c r="C694">
        <v>443</v>
      </c>
      <c r="D694">
        <v>100</v>
      </c>
      <c r="E694">
        <f t="shared" si="19"/>
        <v>1</v>
      </c>
      <c r="F694">
        <f t="shared" si="20"/>
        <v>0</v>
      </c>
      <c r="G694">
        <f t="shared" si="21"/>
        <v>0</v>
      </c>
    </row>
    <row r="695" spans="1:7" ht="12.75">
      <c r="A695">
        <v>444</v>
      </c>
      <c r="B695">
        <v>0.96</v>
      </c>
      <c r="C695">
        <v>444</v>
      </c>
      <c r="D695">
        <v>96</v>
      </c>
      <c r="E695">
        <f t="shared" si="19"/>
        <v>0.96</v>
      </c>
      <c r="F695">
        <f t="shared" si="20"/>
        <v>0</v>
      </c>
      <c r="G695">
        <f t="shared" si="21"/>
        <v>0</v>
      </c>
    </row>
    <row r="696" spans="1:7" ht="12.75">
      <c r="A696">
        <v>445</v>
      </c>
      <c r="B696">
        <v>0.96</v>
      </c>
      <c r="C696">
        <v>445</v>
      </c>
      <c r="D696">
        <v>96</v>
      </c>
      <c r="E696">
        <f t="shared" si="19"/>
        <v>0.96</v>
      </c>
      <c r="F696">
        <f t="shared" si="20"/>
        <v>0</v>
      </c>
      <c r="G696">
        <f t="shared" si="21"/>
        <v>0</v>
      </c>
    </row>
    <row r="697" spans="1:7" ht="12.75">
      <c r="A697">
        <v>446</v>
      </c>
      <c r="B697">
        <v>0.95</v>
      </c>
      <c r="C697">
        <v>446</v>
      </c>
      <c r="D697">
        <v>95</v>
      </c>
      <c r="E697">
        <f t="shared" si="19"/>
        <v>0.95</v>
      </c>
      <c r="F697">
        <f t="shared" si="20"/>
        <v>0</v>
      </c>
      <c r="G697">
        <f t="shared" si="21"/>
        <v>0</v>
      </c>
    </row>
    <row r="698" spans="1:7" ht="12.75">
      <c r="A698">
        <v>447</v>
      </c>
      <c r="B698">
        <v>0.95</v>
      </c>
      <c r="C698">
        <v>447</v>
      </c>
      <c r="D698">
        <v>95</v>
      </c>
      <c r="E698">
        <f t="shared" si="19"/>
        <v>0.95</v>
      </c>
      <c r="F698">
        <f t="shared" si="20"/>
        <v>0</v>
      </c>
      <c r="G698">
        <f t="shared" si="21"/>
        <v>0</v>
      </c>
    </row>
    <row r="699" spans="1:7" ht="12.75">
      <c r="A699">
        <v>448</v>
      </c>
      <c r="B699">
        <v>0.93</v>
      </c>
      <c r="C699">
        <v>448</v>
      </c>
      <c r="D699">
        <v>93</v>
      </c>
      <c r="E699">
        <f t="shared" si="19"/>
        <v>0.93</v>
      </c>
      <c r="F699">
        <f t="shared" si="20"/>
        <v>0</v>
      </c>
      <c r="G699">
        <f t="shared" si="21"/>
        <v>0</v>
      </c>
    </row>
    <row r="700" spans="1:7" ht="12.75">
      <c r="A700">
        <v>449</v>
      </c>
      <c r="B700">
        <v>0.93</v>
      </c>
      <c r="C700">
        <v>449</v>
      </c>
      <c r="D700">
        <v>93</v>
      </c>
      <c r="E700">
        <f t="shared" si="19"/>
        <v>0.93</v>
      </c>
      <c r="F700">
        <f t="shared" si="20"/>
        <v>0</v>
      </c>
      <c r="G700">
        <f t="shared" si="21"/>
        <v>0</v>
      </c>
    </row>
    <row r="701" spans="1:7" ht="12.75">
      <c r="A701">
        <v>450</v>
      </c>
      <c r="B701">
        <v>0.93</v>
      </c>
      <c r="C701">
        <v>450</v>
      </c>
      <c r="D701">
        <v>93</v>
      </c>
      <c r="E701">
        <f t="shared" si="19"/>
        <v>0.93</v>
      </c>
      <c r="F701">
        <f t="shared" si="20"/>
        <v>0</v>
      </c>
      <c r="G701">
        <f t="shared" si="21"/>
        <v>0</v>
      </c>
    </row>
    <row r="702" spans="1:7" ht="12.75">
      <c r="A702">
        <v>451</v>
      </c>
      <c r="B702">
        <v>0.93</v>
      </c>
      <c r="C702">
        <v>451</v>
      </c>
      <c r="D702">
        <v>93</v>
      </c>
      <c r="E702">
        <f t="shared" si="19"/>
        <v>0.93</v>
      </c>
      <c r="F702">
        <f t="shared" si="20"/>
        <v>0</v>
      </c>
      <c r="G702">
        <f t="shared" si="21"/>
        <v>0</v>
      </c>
    </row>
    <row r="703" spans="1:7" ht="12.75">
      <c r="A703">
        <v>452</v>
      </c>
      <c r="B703">
        <v>0.93</v>
      </c>
      <c r="C703">
        <v>452</v>
      </c>
      <c r="D703">
        <v>93</v>
      </c>
      <c r="E703">
        <f t="shared" si="19"/>
        <v>0.93</v>
      </c>
      <c r="F703">
        <f t="shared" si="20"/>
        <v>0</v>
      </c>
      <c r="G703">
        <f t="shared" si="21"/>
        <v>0</v>
      </c>
    </row>
    <row r="704" spans="1:7" ht="12.75">
      <c r="A704">
        <v>453</v>
      </c>
      <c r="B704">
        <v>0.92</v>
      </c>
      <c r="C704">
        <v>453</v>
      </c>
      <c r="D704">
        <v>92</v>
      </c>
      <c r="E704">
        <f t="shared" si="19"/>
        <v>0.92</v>
      </c>
      <c r="F704">
        <f t="shared" si="20"/>
        <v>0</v>
      </c>
      <c r="G704">
        <f t="shared" si="21"/>
        <v>0</v>
      </c>
    </row>
    <row r="705" spans="1:7" ht="12.75">
      <c r="A705">
        <v>454</v>
      </c>
      <c r="B705">
        <v>0.92</v>
      </c>
      <c r="C705">
        <v>454</v>
      </c>
      <c r="D705">
        <v>92</v>
      </c>
      <c r="E705">
        <f t="shared" si="19"/>
        <v>0.92</v>
      </c>
      <c r="F705">
        <f t="shared" si="20"/>
        <v>0</v>
      </c>
      <c r="G705">
        <f t="shared" si="21"/>
        <v>0</v>
      </c>
    </row>
    <row r="706" spans="1:7" ht="12.75">
      <c r="A706">
        <v>455</v>
      </c>
      <c r="B706">
        <v>0.92</v>
      </c>
      <c r="C706">
        <v>455</v>
      </c>
      <c r="D706">
        <v>92</v>
      </c>
      <c r="E706">
        <f t="shared" si="19"/>
        <v>0.92</v>
      </c>
      <c r="F706">
        <f t="shared" si="20"/>
        <v>0</v>
      </c>
      <c r="G706">
        <f t="shared" si="21"/>
        <v>0</v>
      </c>
    </row>
    <row r="707" spans="1:7" ht="12.75">
      <c r="A707">
        <v>456</v>
      </c>
      <c r="B707">
        <v>0.94</v>
      </c>
      <c r="C707">
        <v>456</v>
      </c>
      <c r="D707">
        <v>94</v>
      </c>
      <c r="E707">
        <f t="shared" si="19"/>
        <v>0.94</v>
      </c>
      <c r="F707">
        <f t="shared" si="20"/>
        <v>0</v>
      </c>
      <c r="G707">
        <f t="shared" si="21"/>
        <v>0</v>
      </c>
    </row>
    <row r="708" spans="1:7" ht="12.75">
      <c r="A708">
        <v>457</v>
      </c>
      <c r="B708">
        <v>0.88</v>
      </c>
      <c r="C708">
        <v>457</v>
      </c>
      <c r="D708">
        <v>88</v>
      </c>
      <c r="E708">
        <f t="shared" si="19"/>
        <v>0.88</v>
      </c>
      <c r="F708">
        <f t="shared" si="20"/>
        <v>0</v>
      </c>
      <c r="G708">
        <f t="shared" si="21"/>
        <v>0</v>
      </c>
    </row>
    <row r="709" spans="1:7" ht="12.75">
      <c r="A709">
        <v>458</v>
      </c>
      <c r="B709">
        <v>0.93</v>
      </c>
      <c r="C709">
        <v>458</v>
      </c>
      <c r="D709">
        <v>93</v>
      </c>
      <c r="E709">
        <f t="shared" si="19"/>
        <v>0.93</v>
      </c>
      <c r="F709">
        <f t="shared" si="20"/>
        <v>0</v>
      </c>
      <c r="G709">
        <f t="shared" si="21"/>
        <v>0</v>
      </c>
    </row>
    <row r="710" spans="1:7" ht="12.75">
      <c r="A710">
        <v>460</v>
      </c>
      <c r="B710">
        <v>0.92</v>
      </c>
      <c r="C710">
        <v>460</v>
      </c>
      <c r="D710">
        <v>92</v>
      </c>
      <c r="E710">
        <f t="shared" si="19"/>
        <v>0.92</v>
      </c>
      <c r="F710">
        <f t="shared" si="20"/>
        <v>0</v>
      </c>
      <c r="G710">
        <f t="shared" si="21"/>
        <v>0</v>
      </c>
    </row>
    <row r="711" spans="1:7" ht="12.75">
      <c r="A711">
        <v>461</v>
      </c>
      <c r="B711">
        <v>0.95</v>
      </c>
      <c r="C711">
        <v>461</v>
      </c>
      <c r="D711">
        <v>95</v>
      </c>
      <c r="E711">
        <f t="shared" si="19"/>
        <v>0.95</v>
      </c>
      <c r="F711">
        <f t="shared" si="20"/>
        <v>0</v>
      </c>
      <c r="G711">
        <f t="shared" si="21"/>
        <v>0</v>
      </c>
    </row>
    <row r="712" spans="1:7" ht="12.75">
      <c r="A712">
        <v>462</v>
      </c>
      <c r="B712">
        <v>0.95</v>
      </c>
      <c r="C712">
        <v>462</v>
      </c>
      <c r="D712">
        <v>95</v>
      </c>
      <c r="E712">
        <f t="shared" si="19"/>
        <v>0.95</v>
      </c>
      <c r="F712">
        <f t="shared" si="20"/>
        <v>0</v>
      </c>
      <c r="G712">
        <f t="shared" si="21"/>
        <v>0</v>
      </c>
    </row>
    <row r="713" spans="1:7" ht="12.75">
      <c r="A713">
        <v>463</v>
      </c>
      <c r="B713">
        <v>0.97</v>
      </c>
      <c r="C713">
        <v>463</v>
      </c>
      <c r="D713">
        <v>97</v>
      </c>
      <c r="E713">
        <f t="shared" si="19"/>
        <v>0.97</v>
      </c>
      <c r="F713">
        <f t="shared" si="20"/>
        <v>0</v>
      </c>
      <c r="G713">
        <f t="shared" si="21"/>
        <v>0</v>
      </c>
    </row>
    <row r="714" spans="1:7" ht="12.75">
      <c r="A714">
        <v>464</v>
      </c>
      <c r="B714">
        <v>0.97</v>
      </c>
      <c r="C714">
        <v>464</v>
      </c>
      <c r="D714">
        <v>97</v>
      </c>
      <c r="E714">
        <f t="shared" si="19"/>
        <v>0.97</v>
      </c>
      <c r="F714">
        <f t="shared" si="20"/>
        <v>0</v>
      </c>
      <c r="G714">
        <f t="shared" si="21"/>
        <v>0</v>
      </c>
    </row>
    <row r="715" spans="1:7" ht="12.75">
      <c r="A715">
        <v>465</v>
      </c>
      <c r="B715">
        <v>0.9</v>
      </c>
      <c r="C715">
        <v>465</v>
      </c>
      <c r="D715">
        <v>90</v>
      </c>
      <c r="E715">
        <f t="shared" si="19"/>
        <v>0.9</v>
      </c>
      <c r="F715">
        <f t="shared" si="20"/>
        <v>0</v>
      </c>
      <c r="G715">
        <f t="shared" si="21"/>
        <v>0</v>
      </c>
    </row>
    <row r="716" spans="1:7" ht="12.75">
      <c r="A716">
        <v>466</v>
      </c>
      <c r="B716">
        <v>0.9</v>
      </c>
      <c r="C716">
        <v>466</v>
      </c>
      <c r="D716">
        <v>90</v>
      </c>
      <c r="E716">
        <f t="shared" si="19"/>
        <v>0.9</v>
      </c>
      <c r="F716">
        <f t="shared" si="20"/>
        <v>0</v>
      </c>
      <c r="G716">
        <f t="shared" si="21"/>
        <v>0</v>
      </c>
    </row>
    <row r="717" spans="1:7" ht="12.75">
      <c r="A717">
        <v>467</v>
      </c>
      <c r="B717">
        <v>0.92</v>
      </c>
      <c r="C717">
        <v>467</v>
      </c>
      <c r="D717">
        <v>92</v>
      </c>
      <c r="E717">
        <f t="shared" si="19"/>
        <v>0.92</v>
      </c>
      <c r="F717">
        <f t="shared" si="20"/>
        <v>0</v>
      </c>
      <c r="G717">
        <f t="shared" si="21"/>
        <v>0</v>
      </c>
    </row>
    <row r="718" spans="1:7" ht="12.75">
      <c r="A718">
        <v>468</v>
      </c>
      <c r="B718">
        <v>0.92</v>
      </c>
      <c r="C718">
        <v>468</v>
      </c>
      <c r="D718">
        <v>92</v>
      </c>
      <c r="E718">
        <f t="shared" si="19"/>
        <v>0.92</v>
      </c>
      <c r="F718">
        <f t="shared" si="20"/>
        <v>0</v>
      </c>
      <c r="G718">
        <f t="shared" si="21"/>
        <v>0</v>
      </c>
    </row>
    <row r="719" spans="1:7" ht="12.75">
      <c r="A719">
        <v>469</v>
      </c>
      <c r="B719">
        <v>0.89</v>
      </c>
      <c r="C719">
        <v>469</v>
      </c>
      <c r="D719">
        <v>89</v>
      </c>
      <c r="E719">
        <f t="shared" si="19"/>
        <v>0.89</v>
      </c>
      <c r="F719">
        <f t="shared" si="20"/>
        <v>0</v>
      </c>
      <c r="G719">
        <f t="shared" si="21"/>
        <v>0</v>
      </c>
    </row>
    <row r="720" spans="1:7" ht="12.75">
      <c r="A720">
        <v>470</v>
      </c>
      <c r="B720">
        <v>0.88</v>
      </c>
      <c r="C720">
        <v>470</v>
      </c>
      <c r="D720">
        <v>88</v>
      </c>
      <c r="E720">
        <f t="shared" si="19"/>
        <v>0.88</v>
      </c>
      <c r="F720">
        <f t="shared" si="20"/>
        <v>0</v>
      </c>
      <c r="G720">
        <f t="shared" si="21"/>
        <v>0</v>
      </c>
    </row>
    <row r="721" spans="1:7" ht="12.75">
      <c r="A721">
        <v>471</v>
      </c>
      <c r="B721">
        <v>0.87</v>
      </c>
      <c r="C721">
        <v>471</v>
      </c>
      <c r="D721">
        <v>87</v>
      </c>
      <c r="E721">
        <f t="shared" si="19"/>
        <v>0.87</v>
      </c>
      <c r="F721">
        <f t="shared" si="20"/>
        <v>0</v>
      </c>
      <c r="G721">
        <f t="shared" si="21"/>
        <v>0</v>
      </c>
    </row>
    <row r="722" spans="1:7" ht="12.75">
      <c r="A722">
        <v>472</v>
      </c>
      <c r="B722">
        <v>0.92</v>
      </c>
      <c r="C722">
        <v>472</v>
      </c>
      <c r="D722">
        <v>92</v>
      </c>
      <c r="E722">
        <f t="shared" si="19"/>
        <v>0.92</v>
      </c>
      <c r="F722">
        <f t="shared" si="20"/>
        <v>0</v>
      </c>
      <c r="G722">
        <f t="shared" si="21"/>
        <v>0</v>
      </c>
    </row>
    <row r="723" spans="1:7" ht="12.75">
      <c r="A723">
        <v>473</v>
      </c>
      <c r="B723">
        <v>0.91</v>
      </c>
      <c r="C723">
        <v>473</v>
      </c>
      <c r="D723">
        <v>91</v>
      </c>
      <c r="E723">
        <f t="shared" si="19"/>
        <v>0.91</v>
      </c>
      <c r="F723">
        <f t="shared" si="20"/>
        <v>0</v>
      </c>
      <c r="G723">
        <f t="shared" si="21"/>
        <v>0</v>
      </c>
    </row>
    <row r="724" spans="1:7" ht="12.75">
      <c r="A724">
        <v>474</v>
      </c>
      <c r="B724">
        <v>0.92</v>
      </c>
      <c r="C724">
        <v>474</v>
      </c>
      <c r="D724">
        <v>92</v>
      </c>
      <c r="E724">
        <f t="shared" si="19"/>
        <v>0.92</v>
      </c>
      <c r="F724">
        <f t="shared" si="20"/>
        <v>0</v>
      </c>
      <c r="G724">
        <f t="shared" si="21"/>
        <v>0</v>
      </c>
    </row>
    <row r="725" spans="1:7" ht="12.75">
      <c r="A725">
        <v>475</v>
      </c>
      <c r="B725">
        <v>0.92</v>
      </c>
      <c r="C725">
        <v>475</v>
      </c>
      <c r="D725">
        <v>92</v>
      </c>
      <c r="E725">
        <f t="shared" si="19"/>
        <v>0.92</v>
      </c>
      <c r="F725">
        <f t="shared" si="20"/>
        <v>0</v>
      </c>
      <c r="G725">
        <f t="shared" si="21"/>
        <v>0</v>
      </c>
    </row>
    <row r="726" spans="1:7" ht="12.75">
      <c r="A726">
        <v>476</v>
      </c>
      <c r="B726">
        <v>0.94</v>
      </c>
      <c r="C726">
        <v>476</v>
      </c>
      <c r="D726">
        <v>94</v>
      </c>
      <c r="E726">
        <f t="shared" si="19"/>
        <v>0.94</v>
      </c>
      <c r="F726">
        <f t="shared" si="20"/>
        <v>0</v>
      </c>
      <c r="G726">
        <f t="shared" si="21"/>
        <v>0</v>
      </c>
    </row>
    <row r="727" spans="1:7" ht="12.75">
      <c r="A727">
        <v>477</v>
      </c>
      <c r="B727">
        <v>0.94</v>
      </c>
      <c r="C727">
        <v>477</v>
      </c>
      <c r="D727">
        <v>94</v>
      </c>
      <c r="E727">
        <f t="shared" si="19"/>
        <v>0.94</v>
      </c>
      <c r="F727">
        <f t="shared" si="20"/>
        <v>0</v>
      </c>
      <c r="G727">
        <f t="shared" si="21"/>
        <v>0</v>
      </c>
    </row>
    <row r="728" spans="1:7" ht="12.75">
      <c r="A728">
        <v>478</v>
      </c>
      <c r="B728">
        <v>0.93</v>
      </c>
      <c r="C728">
        <v>478</v>
      </c>
      <c r="D728">
        <v>93</v>
      </c>
      <c r="E728">
        <f t="shared" si="19"/>
        <v>0.93</v>
      </c>
      <c r="F728">
        <f t="shared" si="20"/>
        <v>0</v>
      </c>
      <c r="G728">
        <f t="shared" si="21"/>
        <v>0</v>
      </c>
    </row>
    <row r="729" spans="1:7" ht="12.75">
      <c r="A729">
        <v>479</v>
      </c>
      <c r="B729">
        <v>0.9</v>
      </c>
      <c r="C729">
        <v>479</v>
      </c>
      <c r="D729">
        <v>90</v>
      </c>
      <c r="E729">
        <f t="shared" si="19"/>
        <v>0.9</v>
      </c>
      <c r="F729">
        <f t="shared" si="20"/>
        <v>0</v>
      </c>
      <c r="G729">
        <f t="shared" si="21"/>
        <v>0</v>
      </c>
    </row>
    <row r="730" spans="1:7" ht="12.75">
      <c r="A730">
        <v>480</v>
      </c>
      <c r="B730">
        <v>0.98</v>
      </c>
      <c r="C730">
        <v>480</v>
      </c>
      <c r="D730">
        <v>98</v>
      </c>
      <c r="E730">
        <f t="shared" si="19"/>
        <v>0.98</v>
      </c>
      <c r="F730">
        <f t="shared" si="20"/>
        <v>0</v>
      </c>
      <c r="G730">
        <f t="shared" si="21"/>
        <v>0</v>
      </c>
    </row>
    <row r="731" spans="1:7" ht="12.75">
      <c r="A731">
        <v>481</v>
      </c>
      <c r="B731">
        <v>1.01</v>
      </c>
      <c r="C731">
        <v>481</v>
      </c>
      <c r="D731">
        <v>101</v>
      </c>
      <c r="E731">
        <f t="shared" si="19"/>
        <v>1.01</v>
      </c>
      <c r="F731">
        <f t="shared" si="20"/>
        <v>0</v>
      </c>
      <c r="G731">
        <f t="shared" si="21"/>
        <v>0</v>
      </c>
    </row>
    <row r="732" spans="1:7" ht="12.75">
      <c r="A732">
        <v>482</v>
      </c>
      <c r="B732">
        <v>1.04</v>
      </c>
      <c r="C732">
        <v>482</v>
      </c>
      <c r="D732">
        <v>104</v>
      </c>
      <c r="E732">
        <f t="shared" si="19"/>
        <v>1.04</v>
      </c>
      <c r="F732">
        <f t="shared" si="20"/>
        <v>0</v>
      </c>
      <c r="G732">
        <f t="shared" si="21"/>
        <v>0</v>
      </c>
    </row>
    <row r="733" spans="1:7" ht="12.75">
      <c r="A733">
        <v>483</v>
      </c>
      <c r="B733">
        <v>0.98</v>
      </c>
      <c r="C733">
        <v>483</v>
      </c>
      <c r="D733">
        <v>98</v>
      </c>
      <c r="E733">
        <f aca="true" t="shared" si="22" ref="E733:E796">D733/100</f>
        <v>0.98</v>
      </c>
      <c r="F733">
        <f aca="true" t="shared" si="23" ref="F733:F796">A733-C733</f>
        <v>0</v>
      </c>
      <c r="G733">
        <f aca="true" t="shared" si="24" ref="G733:G796">B733-E733</f>
        <v>0</v>
      </c>
    </row>
    <row r="734" spans="1:7" ht="12.75">
      <c r="A734">
        <v>484</v>
      </c>
      <c r="B734">
        <v>0.98</v>
      </c>
      <c r="C734">
        <v>484</v>
      </c>
      <c r="D734">
        <v>98</v>
      </c>
      <c r="E734">
        <f t="shared" si="22"/>
        <v>0.98</v>
      </c>
      <c r="F734">
        <f t="shared" si="23"/>
        <v>0</v>
      </c>
      <c r="G734">
        <f t="shared" si="24"/>
        <v>0</v>
      </c>
    </row>
    <row r="735" spans="1:7" ht="12.75">
      <c r="A735">
        <v>485</v>
      </c>
      <c r="B735">
        <v>0.98</v>
      </c>
      <c r="C735">
        <v>485</v>
      </c>
      <c r="D735">
        <v>98</v>
      </c>
      <c r="E735">
        <f t="shared" si="22"/>
        <v>0.98</v>
      </c>
      <c r="F735">
        <f t="shared" si="23"/>
        <v>0</v>
      </c>
      <c r="G735">
        <f t="shared" si="24"/>
        <v>0</v>
      </c>
    </row>
    <row r="736" spans="1:7" ht="12.75">
      <c r="A736">
        <v>486</v>
      </c>
      <c r="B736">
        <v>0.95</v>
      </c>
      <c r="C736">
        <v>486</v>
      </c>
      <c r="D736">
        <v>95</v>
      </c>
      <c r="E736">
        <f t="shared" si="22"/>
        <v>0.95</v>
      </c>
      <c r="F736">
        <f t="shared" si="23"/>
        <v>0</v>
      </c>
      <c r="G736">
        <f t="shared" si="24"/>
        <v>0</v>
      </c>
    </row>
    <row r="737" spans="1:7" ht="12.75">
      <c r="A737">
        <v>487</v>
      </c>
      <c r="B737">
        <v>0.95</v>
      </c>
      <c r="C737">
        <v>487</v>
      </c>
      <c r="D737">
        <v>95</v>
      </c>
      <c r="E737">
        <f t="shared" si="22"/>
        <v>0.95</v>
      </c>
      <c r="F737">
        <f t="shared" si="23"/>
        <v>0</v>
      </c>
      <c r="G737">
        <f t="shared" si="24"/>
        <v>0</v>
      </c>
    </row>
    <row r="738" spans="1:7" ht="12.75">
      <c r="A738">
        <v>488</v>
      </c>
      <c r="B738">
        <v>0.96</v>
      </c>
      <c r="C738">
        <v>488</v>
      </c>
      <c r="D738">
        <v>96</v>
      </c>
      <c r="E738">
        <f t="shared" si="22"/>
        <v>0.96</v>
      </c>
      <c r="F738">
        <f t="shared" si="23"/>
        <v>0</v>
      </c>
      <c r="G738">
        <f t="shared" si="24"/>
        <v>0</v>
      </c>
    </row>
    <row r="739" spans="1:7" ht="12.75">
      <c r="A739">
        <v>489</v>
      </c>
      <c r="B739">
        <v>0.96</v>
      </c>
      <c r="C739">
        <v>489</v>
      </c>
      <c r="D739">
        <v>96</v>
      </c>
      <c r="E739">
        <f t="shared" si="22"/>
        <v>0.96</v>
      </c>
      <c r="F739">
        <f t="shared" si="23"/>
        <v>0</v>
      </c>
      <c r="G739">
        <f t="shared" si="24"/>
        <v>0</v>
      </c>
    </row>
    <row r="740" spans="1:7" ht="12.75">
      <c r="A740">
        <v>490</v>
      </c>
      <c r="B740">
        <v>0.92</v>
      </c>
      <c r="C740">
        <v>490</v>
      </c>
      <c r="D740">
        <v>92</v>
      </c>
      <c r="E740">
        <f t="shared" si="22"/>
        <v>0.92</v>
      </c>
      <c r="F740">
        <f t="shared" si="23"/>
        <v>0</v>
      </c>
      <c r="G740">
        <f t="shared" si="24"/>
        <v>0</v>
      </c>
    </row>
    <row r="741" spans="1:7" ht="12.75">
      <c r="A741">
        <v>491</v>
      </c>
      <c r="B741">
        <v>0.91</v>
      </c>
      <c r="C741">
        <v>491</v>
      </c>
      <c r="D741">
        <v>91</v>
      </c>
      <c r="E741">
        <f t="shared" si="22"/>
        <v>0.91</v>
      </c>
      <c r="F741">
        <f t="shared" si="23"/>
        <v>0</v>
      </c>
      <c r="G741">
        <f t="shared" si="24"/>
        <v>0</v>
      </c>
    </row>
    <row r="742" spans="1:7" ht="12.75">
      <c r="A742">
        <v>492</v>
      </c>
      <c r="B742">
        <v>0.96</v>
      </c>
      <c r="C742">
        <v>492</v>
      </c>
      <c r="D742">
        <v>96</v>
      </c>
      <c r="E742">
        <f t="shared" si="22"/>
        <v>0.96</v>
      </c>
      <c r="F742">
        <f t="shared" si="23"/>
        <v>0</v>
      </c>
      <c r="G742">
        <f t="shared" si="24"/>
        <v>0</v>
      </c>
    </row>
    <row r="743" spans="1:7" ht="12.75">
      <c r="A743">
        <v>493</v>
      </c>
      <c r="B743">
        <v>0.87</v>
      </c>
      <c r="C743">
        <v>493</v>
      </c>
      <c r="D743">
        <v>87</v>
      </c>
      <c r="E743">
        <f t="shared" si="22"/>
        <v>0.87</v>
      </c>
      <c r="F743">
        <f t="shared" si="23"/>
        <v>0</v>
      </c>
      <c r="G743">
        <f t="shared" si="24"/>
        <v>0</v>
      </c>
    </row>
    <row r="744" spans="1:7" ht="12.75">
      <c r="A744">
        <v>494</v>
      </c>
      <c r="B744">
        <v>0.91</v>
      </c>
      <c r="C744">
        <v>494</v>
      </c>
      <c r="D744">
        <v>91</v>
      </c>
      <c r="E744">
        <f t="shared" si="22"/>
        <v>0.91</v>
      </c>
      <c r="F744">
        <f t="shared" si="23"/>
        <v>0</v>
      </c>
      <c r="G744">
        <f t="shared" si="24"/>
        <v>0</v>
      </c>
    </row>
    <row r="745" spans="1:7" ht="12.75">
      <c r="A745">
        <v>495</v>
      </c>
      <c r="B745">
        <v>0.87</v>
      </c>
      <c r="C745">
        <v>495</v>
      </c>
      <c r="D745">
        <v>87</v>
      </c>
      <c r="E745">
        <f t="shared" si="22"/>
        <v>0.87</v>
      </c>
      <c r="F745">
        <f t="shared" si="23"/>
        <v>0</v>
      </c>
      <c r="G745">
        <f t="shared" si="24"/>
        <v>0</v>
      </c>
    </row>
    <row r="746" spans="1:7" ht="12.75">
      <c r="A746">
        <v>496</v>
      </c>
      <c r="B746">
        <v>0.87</v>
      </c>
      <c r="C746">
        <v>496</v>
      </c>
      <c r="D746">
        <v>87</v>
      </c>
      <c r="E746">
        <f t="shared" si="22"/>
        <v>0.87</v>
      </c>
      <c r="F746">
        <f t="shared" si="23"/>
        <v>0</v>
      </c>
      <c r="G746">
        <f t="shared" si="24"/>
        <v>0</v>
      </c>
    </row>
    <row r="747" spans="1:7" ht="12.75">
      <c r="A747">
        <v>497</v>
      </c>
      <c r="B747">
        <v>0.91</v>
      </c>
      <c r="C747">
        <v>497</v>
      </c>
      <c r="D747">
        <v>91</v>
      </c>
      <c r="E747">
        <f t="shared" si="22"/>
        <v>0.91</v>
      </c>
      <c r="F747">
        <f t="shared" si="23"/>
        <v>0</v>
      </c>
      <c r="G747">
        <f t="shared" si="24"/>
        <v>0</v>
      </c>
    </row>
    <row r="748" spans="1:7" ht="12.75">
      <c r="A748">
        <v>498</v>
      </c>
      <c r="B748">
        <v>0.92</v>
      </c>
      <c r="C748">
        <v>498</v>
      </c>
      <c r="D748">
        <v>92</v>
      </c>
      <c r="E748">
        <f t="shared" si="22"/>
        <v>0.92</v>
      </c>
      <c r="F748">
        <f t="shared" si="23"/>
        <v>0</v>
      </c>
      <c r="G748">
        <f t="shared" si="24"/>
        <v>0</v>
      </c>
    </row>
    <row r="749" spans="1:7" ht="12.75">
      <c r="A749">
        <v>499</v>
      </c>
      <c r="B749">
        <v>0.92</v>
      </c>
      <c r="C749">
        <v>499</v>
      </c>
      <c r="D749">
        <v>92</v>
      </c>
      <c r="E749">
        <f t="shared" si="22"/>
        <v>0.92</v>
      </c>
      <c r="F749">
        <f t="shared" si="23"/>
        <v>0</v>
      </c>
      <c r="G749">
        <f t="shared" si="24"/>
        <v>0</v>
      </c>
    </row>
    <row r="750" spans="1:7" ht="12.75">
      <c r="A750">
        <v>500</v>
      </c>
      <c r="B750">
        <v>0.91</v>
      </c>
      <c r="C750">
        <v>500</v>
      </c>
      <c r="D750">
        <v>91</v>
      </c>
      <c r="E750">
        <f t="shared" si="22"/>
        <v>0.91</v>
      </c>
      <c r="F750">
        <f t="shared" si="23"/>
        <v>0</v>
      </c>
      <c r="G750">
        <f t="shared" si="24"/>
        <v>0</v>
      </c>
    </row>
    <row r="751" spans="1:7" ht="12.75">
      <c r="A751">
        <v>501</v>
      </c>
      <c r="B751">
        <v>0.91</v>
      </c>
      <c r="C751">
        <v>501</v>
      </c>
      <c r="D751">
        <v>91</v>
      </c>
      <c r="E751">
        <f t="shared" si="22"/>
        <v>0.91</v>
      </c>
      <c r="F751">
        <f t="shared" si="23"/>
        <v>0</v>
      </c>
      <c r="G751">
        <f t="shared" si="24"/>
        <v>0</v>
      </c>
    </row>
    <row r="752" spans="1:7" ht="12.75">
      <c r="A752">
        <v>502</v>
      </c>
      <c r="B752">
        <v>0.91</v>
      </c>
      <c r="C752">
        <v>502</v>
      </c>
      <c r="D752">
        <v>91</v>
      </c>
      <c r="E752">
        <f t="shared" si="22"/>
        <v>0.91</v>
      </c>
      <c r="F752">
        <f t="shared" si="23"/>
        <v>0</v>
      </c>
      <c r="G752">
        <f t="shared" si="24"/>
        <v>0</v>
      </c>
    </row>
    <row r="753" spans="1:7" ht="12.75">
      <c r="A753">
        <v>503</v>
      </c>
      <c r="B753">
        <v>0.91</v>
      </c>
      <c r="C753">
        <v>503</v>
      </c>
      <c r="D753">
        <v>91</v>
      </c>
      <c r="E753">
        <f t="shared" si="22"/>
        <v>0.91</v>
      </c>
      <c r="F753">
        <f t="shared" si="23"/>
        <v>0</v>
      </c>
      <c r="G753">
        <f t="shared" si="24"/>
        <v>0</v>
      </c>
    </row>
    <row r="754" spans="1:7" ht="12.75">
      <c r="A754">
        <v>504</v>
      </c>
      <c r="B754">
        <v>0.81</v>
      </c>
      <c r="C754">
        <v>504</v>
      </c>
      <c r="D754">
        <v>81</v>
      </c>
      <c r="E754">
        <f t="shared" si="22"/>
        <v>0.81</v>
      </c>
      <c r="F754">
        <f t="shared" si="23"/>
        <v>0</v>
      </c>
      <c r="G754">
        <f t="shared" si="24"/>
        <v>0</v>
      </c>
    </row>
    <row r="755" spans="1:7" ht="12.75">
      <c r="A755">
        <v>505</v>
      </c>
      <c r="B755">
        <v>0.79</v>
      </c>
      <c r="C755">
        <v>505</v>
      </c>
      <c r="D755">
        <v>79</v>
      </c>
      <c r="E755">
        <f t="shared" si="22"/>
        <v>0.79</v>
      </c>
      <c r="F755">
        <f t="shared" si="23"/>
        <v>0</v>
      </c>
      <c r="G755">
        <f t="shared" si="24"/>
        <v>0</v>
      </c>
    </row>
    <row r="756" spans="1:7" ht="12.75">
      <c r="A756">
        <v>506</v>
      </c>
      <c r="B756">
        <v>0.83</v>
      </c>
      <c r="C756">
        <v>506</v>
      </c>
      <c r="D756">
        <v>83</v>
      </c>
      <c r="E756">
        <f t="shared" si="22"/>
        <v>0.83</v>
      </c>
      <c r="F756">
        <f t="shared" si="23"/>
        <v>0</v>
      </c>
      <c r="G756">
        <f t="shared" si="24"/>
        <v>0</v>
      </c>
    </row>
    <row r="757" spans="1:7" ht="12.75">
      <c r="A757">
        <v>507</v>
      </c>
      <c r="B757">
        <v>0.83</v>
      </c>
      <c r="C757">
        <v>507</v>
      </c>
      <c r="D757">
        <v>83</v>
      </c>
      <c r="E757">
        <f t="shared" si="22"/>
        <v>0.83</v>
      </c>
      <c r="F757">
        <f t="shared" si="23"/>
        <v>0</v>
      </c>
      <c r="G757">
        <f t="shared" si="24"/>
        <v>0</v>
      </c>
    </row>
    <row r="758" spans="1:7" ht="12.75">
      <c r="A758">
        <v>508</v>
      </c>
      <c r="B758">
        <v>0.85</v>
      </c>
      <c r="C758">
        <v>508</v>
      </c>
      <c r="D758">
        <v>85</v>
      </c>
      <c r="E758">
        <f t="shared" si="22"/>
        <v>0.85</v>
      </c>
      <c r="F758">
        <f t="shared" si="23"/>
        <v>0</v>
      </c>
      <c r="G758">
        <f t="shared" si="24"/>
        <v>0</v>
      </c>
    </row>
    <row r="759" spans="1:7" ht="12.75">
      <c r="A759">
        <v>509</v>
      </c>
      <c r="B759">
        <v>0.91</v>
      </c>
      <c r="C759">
        <v>509</v>
      </c>
      <c r="D759">
        <v>91</v>
      </c>
      <c r="E759">
        <f t="shared" si="22"/>
        <v>0.91</v>
      </c>
      <c r="F759">
        <f t="shared" si="23"/>
        <v>0</v>
      </c>
      <c r="G759">
        <f t="shared" si="24"/>
        <v>0</v>
      </c>
    </row>
    <row r="760" spans="1:7" ht="12.75">
      <c r="A760">
        <v>510</v>
      </c>
      <c r="B760">
        <v>0.83</v>
      </c>
      <c r="C760">
        <v>510</v>
      </c>
      <c r="D760">
        <v>83</v>
      </c>
      <c r="E760">
        <f t="shared" si="22"/>
        <v>0.83</v>
      </c>
      <c r="F760">
        <f t="shared" si="23"/>
        <v>0</v>
      </c>
      <c r="G760">
        <f t="shared" si="24"/>
        <v>0</v>
      </c>
    </row>
    <row r="761" spans="1:7" ht="12.75">
      <c r="A761">
        <v>511</v>
      </c>
      <c r="B761">
        <v>0.83</v>
      </c>
      <c r="C761">
        <v>511</v>
      </c>
      <c r="D761">
        <v>83</v>
      </c>
      <c r="E761">
        <f t="shared" si="22"/>
        <v>0.83</v>
      </c>
      <c r="F761">
        <f t="shared" si="23"/>
        <v>0</v>
      </c>
      <c r="G761">
        <f t="shared" si="24"/>
        <v>0</v>
      </c>
    </row>
    <row r="762" spans="1:7" ht="12.75">
      <c r="A762">
        <v>512</v>
      </c>
      <c r="B762">
        <v>0.79</v>
      </c>
      <c r="C762">
        <v>512</v>
      </c>
      <c r="D762">
        <v>79</v>
      </c>
      <c r="E762">
        <f t="shared" si="22"/>
        <v>0.79</v>
      </c>
      <c r="F762">
        <f t="shared" si="23"/>
        <v>0</v>
      </c>
      <c r="G762">
        <f t="shared" si="24"/>
        <v>0</v>
      </c>
    </row>
    <row r="763" spans="1:7" ht="12.75">
      <c r="A763">
        <v>513</v>
      </c>
      <c r="B763">
        <v>0.8</v>
      </c>
      <c r="C763">
        <v>513</v>
      </c>
      <c r="D763">
        <v>80</v>
      </c>
      <c r="E763">
        <f t="shared" si="22"/>
        <v>0.8</v>
      </c>
      <c r="F763">
        <f t="shared" si="23"/>
        <v>0</v>
      </c>
      <c r="G763">
        <f t="shared" si="24"/>
        <v>0</v>
      </c>
    </row>
    <row r="764" spans="1:7" ht="12.75">
      <c r="A764">
        <v>514</v>
      </c>
      <c r="B764">
        <v>0.82</v>
      </c>
      <c r="C764">
        <v>514</v>
      </c>
      <c r="D764">
        <v>82</v>
      </c>
      <c r="E764">
        <f t="shared" si="22"/>
        <v>0.82</v>
      </c>
      <c r="F764">
        <f t="shared" si="23"/>
        <v>0</v>
      </c>
      <c r="G764">
        <f t="shared" si="24"/>
        <v>0</v>
      </c>
    </row>
    <row r="765" spans="1:7" ht="12.75">
      <c r="A765">
        <v>515</v>
      </c>
      <c r="B765">
        <v>0.87</v>
      </c>
      <c r="C765">
        <v>515</v>
      </c>
      <c r="D765">
        <v>87</v>
      </c>
      <c r="E765">
        <f t="shared" si="22"/>
        <v>0.87</v>
      </c>
      <c r="F765">
        <f t="shared" si="23"/>
        <v>0</v>
      </c>
      <c r="G765">
        <f t="shared" si="24"/>
        <v>0</v>
      </c>
    </row>
    <row r="766" spans="1:7" ht="12.75">
      <c r="A766">
        <v>516</v>
      </c>
      <c r="B766">
        <v>0.77</v>
      </c>
      <c r="C766">
        <v>516</v>
      </c>
      <c r="D766">
        <v>77</v>
      </c>
      <c r="E766">
        <f t="shared" si="22"/>
        <v>0.77</v>
      </c>
      <c r="F766">
        <f t="shared" si="23"/>
        <v>0</v>
      </c>
      <c r="G766">
        <f t="shared" si="24"/>
        <v>0</v>
      </c>
    </row>
    <row r="767" spans="1:7" ht="12.75">
      <c r="A767">
        <v>520</v>
      </c>
      <c r="B767">
        <v>0.86</v>
      </c>
      <c r="C767">
        <v>520</v>
      </c>
      <c r="D767">
        <v>86</v>
      </c>
      <c r="E767">
        <f t="shared" si="22"/>
        <v>0.86</v>
      </c>
      <c r="F767">
        <f t="shared" si="23"/>
        <v>0</v>
      </c>
      <c r="G767">
        <f t="shared" si="24"/>
        <v>0</v>
      </c>
    </row>
    <row r="768" spans="1:7" ht="12.75">
      <c r="A768">
        <v>521</v>
      </c>
      <c r="B768">
        <v>0.81</v>
      </c>
      <c r="C768">
        <v>521</v>
      </c>
      <c r="D768">
        <v>81</v>
      </c>
      <c r="E768">
        <f t="shared" si="22"/>
        <v>0.81</v>
      </c>
      <c r="F768">
        <f t="shared" si="23"/>
        <v>0</v>
      </c>
      <c r="G768">
        <f t="shared" si="24"/>
        <v>0</v>
      </c>
    </row>
    <row r="769" spans="1:7" ht="12.75">
      <c r="A769">
        <v>522</v>
      </c>
      <c r="B769">
        <v>0.9</v>
      </c>
      <c r="C769">
        <v>522</v>
      </c>
      <c r="D769">
        <v>90</v>
      </c>
      <c r="E769">
        <f t="shared" si="22"/>
        <v>0.9</v>
      </c>
      <c r="F769">
        <f t="shared" si="23"/>
        <v>0</v>
      </c>
      <c r="G769">
        <f t="shared" si="24"/>
        <v>0</v>
      </c>
    </row>
    <row r="770" spans="1:7" ht="12.75">
      <c r="A770">
        <v>523</v>
      </c>
      <c r="B770">
        <v>0.9</v>
      </c>
      <c r="C770">
        <v>523</v>
      </c>
      <c r="D770">
        <v>90</v>
      </c>
      <c r="E770">
        <f t="shared" si="22"/>
        <v>0.9</v>
      </c>
      <c r="F770">
        <f t="shared" si="23"/>
        <v>0</v>
      </c>
      <c r="G770">
        <f t="shared" si="24"/>
        <v>0</v>
      </c>
    </row>
    <row r="771" spans="1:7" ht="12.75">
      <c r="A771">
        <v>524</v>
      </c>
      <c r="B771">
        <v>0.9</v>
      </c>
      <c r="C771">
        <v>524</v>
      </c>
      <c r="D771">
        <v>90</v>
      </c>
      <c r="E771">
        <f t="shared" si="22"/>
        <v>0.9</v>
      </c>
      <c r="F771">
        <f t="shared" si="23"/>
        <v>0</v>
      </c>
      <c r="G771">
        <f t="shared" si="24"/>
        <v>0</v>
      </c>
    </row>
    <row r="772" spans="1:7" ht="12.75">
      <c r="A772">
        <v>525</v>
      </c>
      <c r="B772">
        <v>0.86</v>
      </c>
      <c r="C772">
        <v>525</v>
      </c>
      <c r="D772">
        <v>86</v>
      </c>
      <c r="E772">
        <f t="shared" si="22"/>
        <v>0.86</v>
      </c>
      <c r="F772">
        <f t="shared" si="23"/>
        <v>0</v>
      </c>
      <c r="G772">
        <f t="shared" si="24"/>
        <v>0</v>
      </c>
    </row>
    <row r="773" spans="1:7" ht="12.75">
      <c r="A773">
        <v>526</v>
      </c>
      <c r="B773">
        <v>0.79</v>
      </c>
      <c r="C773">
        <v>526</v>
      </c>
      <c r="D773">
        <v>79</v>
      </c>
      <c r="E773">
        <f t="shared" si="22"/>
        <v>0.79</v>
      </c>
      <c r="F773">
        <f t="shared" si="23"/>
        <v>0</v>
      </c>
      <c r="G773">
        <f t="shared" si="24"/>
        <v>0</v>
      </c>
    </row>
    <row r="774" spans="1:7" ht="12.75">
      <c r="A774">
        <v>527</v>
      </c>
      <c r="B774">
        <v>0.94</v>
      </c>
      <c r="C774">
        <v>527</v>
      </c>
      <c r="D774">
        <v>94</v>
      </c>
      <c r="E774">
        <f t="shared" si="22"/>
        <v>0.94</v>
      </c>
      <c r="F774">
        <f t="shared" si="23"/>
        <v>0</v>
      </c>
      <c r="G774">
        <f t="shared" si="24"/>
        <v>0</v>
      </c>
    </row>
    <row r="775" spans="1:7" ht="12.75">
      <c r="A775">
        <v>528</v>
      </c>
      <c r="B775">
        <v>0.94</v>
      </c>
      <c r="C775">
        <v>528</v>
      </c>
      <c r="D775">
        <v>94</v>
      </c>
      <c r="E775">
        <f t="shared" si="22"/>
        <v>0.94</v>
      </c>
      <c r="F775">
        <f t="shared" si="23"/>
        <v>0</v>
      </c>
      <c r="G775">
        <f t="shared" si="24"/>
        <v>0</v>
      </c>
    </row>
    <row r="776" spans="1:7" ht="12.75">
      <c r="A776">
        <v>530</v>
      </c>
      <c r="B776">
        <v>1.01</v>
      </c>
      <c r="C776">
        <v>530</v>
      </c>
      <c r="D776">
        <v>101</v>
      </c>
      <c r="E776">
        <f t="shared" si="22"/>
        <v>1.01</v>
      </c>
      <c r="F776">
        <f t="shared" si="23"/>
        <v>0</v>
      </c>
      <c r="G776">
        <f t="shared" si="24"/>
        <v>0</v>
      </c>
    </row>
    <row r="777" spans="1:7" ht="12.75">
      <c r="A777">
        <v>531</v>
      </c>
      <c r="B777">
        <v>1</v>
      </c>
      <c r="C777">
        <v>531</v>
      </c>
      <c r="D777">
        <v>100</v>
      </c>
      <c r="E777">
        <f t="shared" si="22"/>
        <v>1</v>
      </c>
      <c r="F777">
        <f t="shared" si="23"/>
        <v>0</v>
      </c>
      <c r="G777">
        <f t="shared" si="24"/>
        <v>0</v>
      </c>
    </row>
    <row r="778" spans="1:7" ht="12.75">
      <c r="A778">
        <v>532</v>
      </c>
      <c r="B778">
        <v>1.01</v>
      </c>
      <c r="C778">
        <v>532</v>
      </c>
      <c r="D778">
        <v>101</v>
      </c>
      <c r="E778">
        <f t="shared" si="22"/>
        <v>1.01</v>
      </c>
      <c r="F778">
        <f t="shared" si="23"/>
        <v>0</v>
      </c>
      <c r="G778">
        <f t="shared" si="24"/>
        <v>0</v>
      </c>
    </row>
    <row r="779" spans="1:7" ht="12.75">
      <c r="A779">
        <v>534</v>
      </c>
      <c r="B779">
        <v>0.99</v>
      </c>
      <c r="C779">
        <v>534</v>
      </c>
      <c r="D779">
        <v>99</v>
      </c>
      <c r="E779">
        <f t="shared" si="22"/>
        <v>0.99</v>
      </c>
      <c r="F779">
        <f t="shared" si="23"/>
        <v>0</v>
      </c>
      <c r="G779">
        <f t="shared" si="24"/>
        <v>0</v>
      </c>
    </row>
    <row r="780" spans="1:7" ht="12.75">
      <c r="A780">
        <v>535</v>
      </c>
      <c r="B780">
        <v>0.97</v>
      </c>
      <c r="C780">
        <v>535</v>
      </c>
      <c r="D780">
        <v>97</v>
      </c>
      <c r="E780">
        <f t="shared" si="22"/>
        <v>0.97</v>
      </c>
      <c r="F780">
        <f t="shared" si="23"/>
        <v>0</v>
      </c>
      <c r="G780">
        <f t="shared" si="24"/>
        <v>0</v>
      </c>
    </row>
    <row r="781" spans="1:7" ht="12.75">
      <c r="A781">
        <v>537</v>
      </c>
      <c r="B781">
        <v>0.99</v>
      </c>
      <c r="C781">
        <v>537</v>
      </c>
      <c r="D781">
        <v>99</v>
      </c>
      <c r="E781">
        <f t="shared" si="22"/>
        <v>0.99</v>
      </c>
      <c r="F781">
        <f t="shared" si="23"/>
        <v>0</v>
      </c>
      <c r="G781">
        <f t="shared" si="24"/>
        <v>0</v>
      </c>
    </row>
    <row r="782" spans="1:7" ht="12.75">
      <c r="A782">
        <v>538</v>
      </c>
      <c r="B782">
        <v>0.9</v>
      </c>
      <c r="C782">
        <v>538</v>
      </c>
      <c r="D782">
        <v>90</v>
      </c>
      <c r="E782">
        <f t="shared" si="22"/>
        <v>0.9</v>
      </c>
      <c r="F782">
        <f t="shared" si="23"/>
        <v>0</v>
      </c>
      <c r="G782">
        <f t="shared" si="24"/>
        <v>0</v>
      </c>
    </row>
    <row r="783" spans="1:7" ht="12.75">
      <c r="A783">
        <v>539</v>
      </c>
      <c r="B783">
        <v>0.93</v>
      </c>
      <c r="C783">
        <v>539</v>
      </c>
      <c r="D783">
        <v>93</v>
      </c>
      <c r="E783">
        <f t="shared" si="22"/>
        <v>0.93</v>
      </c>
      <c r="F783">
        <f t="shared" si="23"/>
        <v>0</v>
      </c>
      <c r="G783">
        <f t="shared" si="24"/>
        <v>0</v>
      </c>
    </row>
    <row r="784" spans="1:7" ht="12.75">
      <c r="A784">
        <v>540</v>
      </c>
      <c r="B784">
        <v>0.92</v>
      </c>
      <c r="C784">
        <v>540</v>
      </c>
      <c r="D784">
        <v>92</v>
      </c>
      <c r="E784">
        <f t="shared" si="22"/>
        <v>0.92</v>
      </c>
      <c r="F784">
        <f t="shared" si="23"/>
        <v>0</v>
      </c>
      <c r="G784">
        <f t="shared" si="24"/>
        <v>0</v>
      </c>
    </row>
    <row r="785" spans="1:7" ht="12.75">
      <c r="A785">
        <v>541</v>
      </c>
      <c r="B785">
        <v>0.97</v>
      </c>
      <c r="C785">
        <v>541</v>
      </c>
      <c r="D785">
        <v>97</v>
      </c>
      <c r="E785">
        <f t="shared" si="22"/>
        <v>0.97</v>
      </c>
      <c r="F785">
        <f t="shared" si="23"/>
        <v>0</v>
      </c>
      <c r="G785">
        <f t="shared" si="24"/>
        <v>0</v>
      </c>
    </row>
    <row r="786" spans="1:7" ht="12.75">
      <c r="A786">
        <v>542</v>
      </c>
      <c r="B786">
        <v>0.97</v>
      </c>
      <c r="C786">
        <v>542</v>
      </c>
      <c r="D786">
        <v>97</v>
      </c>
      <c r="E786">
        <f t="shared" si="22"/>
        <v>0.97</v>
      </c>
      <c r="F786">
        <f t="shared" si="23"/>
        <v>0</v>
      </c>
      <c r="G786">
        <f t="shared" si="24"/>
        <v>0</v>
      </c>
    </row>
    <row r="787" spans="1:7" ht="12.75">
      <c r="A787">
        <v>543</v>
      </c>
      <c r="B787">
        <v>0.97</v>
      </c>
      <c r="C787">
        <v>543</v>
      </c>
      <c r="D787">
        <v>97</v>
      </c>
      <c r="E787">
        <f t="shared" si="22"/>
        <v>0.97</v>
      </c>
      <c r="F787">
        <f t="shared" si="23"/>
        <v>0</v>
      </c>
      <c r="G787">
        <f t="shared" si="24"/>
        <v>0</v>
      </c>
    </row>
    <row r="788" spans="1:7" ht="12.75">
      <c r="A788">
        <v>544</v>
      </c>
      <c r="B788">
        <v>0.92</v>
      </c>
      <c r="C788">
        <v>544</v>
      </c>
      <c r="D788">
        <v>92</v>
      </c>
      <c r="E788">
        <f t="shared" si="22"/>
        <v>0.92</v>
      </c>
      <c r="F788">
        <f t="shared" si="23"/>
        <v>0</v>
      </c>
      <c r="G788">
        <f t="shared" si="24"/>
        <v>0</v>
      </c>
    </row>
    <row r="789" spans="1:7" ht="12.75">
      <c r="A789">
        <v>545</v>
      </c>
      <c r="B789">
        <v>0.92</v>
      </c>
      <c r="C789">
        <v>545</v>
      </c>
      <c r="D789">
        <v>92</v>
      </c>
      <c r="E789">
        <f t="shared" si="22"/>
        <v>0.92</v>
      </c>
      <c r="F789">
        <f t="shared" si="23"/>
        <v>0</v>
      </c>
      <c r="G789">
        <f t="shared" si="24"/>
        <v>0</v>
      </c>
    </row>
    <row r="790" spans="1:7" ht="12.75">
      <c r="A790">
        <v>546</v>
      </c>
      <c r="B790">
        <v>0.95</v>
      </c>
      <c r="C790">
        <v>546</v>
      </c>
      <c r="D790">
        <v>95</v>
      </c>
      <c r="E790">
        <f t="shared" si="22"/>
        <v>0.95</v>
      </c>
      <c r="F790">
        <f t="shared" si="23"/>
        <v>0</v>
      </c>
      <c r="G790">
        <f t="shared" si="24"/>
        <v>0</v>
      </c>
    </row>
    <row r="791" spans="1:7" ht="12.75">
      <c r="A791">
        <v>547</v>
      </c>
      <c r="B791">
        <v>0.96</v>
      </c>
      <c r="C791">
        <v>547</v>
      </c>
      <c r="D791">
        <v>96</v>
      </c>
      <c r="E791">
        <f t="shared" si="22"/>
        <v>0.96</v>
      </c>
      <c r="F791">
        <f t="shared" si="23"/>
        <v>0</v>
      </c>
      <c r="G791">
        <f t="shared" si="24"/>
        <v>0</v>
      </c>
    </row>
    <row r="792" spans="1:7" ht="12.75">
      <c r="A792">
        <v>548</v>
      </c>
      <c r="B792">
        <v>0.94</v>
      </c>
      <c r="C792">
        <v>548</v>
      </c>
      <c r="D792">
        <v>94</v>
      </c>
      <c r="E792">
        <f t="shared" si="22"/>
        <v>0.94</v>
      </c>
      <c r="F792">
        <f t="shared" si="23"/>
        <v>0</v>
      </c>
      <c r="G792">
        <f t="shared" si="24"/>
        <v>0</v>
      </c>
    </row>
    <row r="793" spans="1:7" ht="12.75">
      <c r="A793">
        <v>549</v>
      </c>
      <c r="B793">
        <v>0.91</v>
      </c>
      <c r="C793">
        <v>549</v>
      </c>
      <c r="D793">
        <v>91</v>
      </c>
      <c r="E793">
        <f t="shared" si="22"/>
        <v>0.91</v>
      </c>
      <c r="F793">
        <f t="shared" si="23"/>
        <v>0</v>
      </c>
      <c r="G793">
        <f t="shared" si="24"/>
        <v>0</v>
      </c>
    </row>
    <row r="794" spans="1:7" ht="12.75">
      <c r="A794">
        <v>550</v>
      </c>
      <c r="B794">
        <v>1.06</v>
      </c>
      <c r="C794">
        <v>550</v>
      </c>
      <c r="D794">
        <v>106</v>
      </c>
      <c r="E794">
        <f t="shared" si="22"/>
        <v>1.06</v>
      </c>
      <c r="F794">
        <f t="shared" si="23"/>
        <v>0</v>
      </c>
      <c r="G794">
        <f t="shared" si="24"/>
        <v>0</v>
      </c>
    </row>
    <row r="795" spans="1:7" ht="12.75">
      <c r="A795">
        <v>551</v>
      </c>
      <c r="B795">
        <v>1.06</v>
      </c>
      <c r="C795">
        <v>551</v>
      </c>
      <c r="D795">
        <v>106</v>
      </c>
      <c r="E795">
        <f t="shared" si="22"/>
        <v>1.06</v>
      </c>
      <c r="F795">
        <f t="shared" si="23"/>
        <v>0</v>
      </c>
      <c r="G795">
        <f t="shared" si="24"/>
        <v>0</v>
      </c>
    </row>
    <row r="796" spans="1:7" ht="12.75">
      <c r="A796">
        <v>553</v>
      </c>
      <c r="B796">
        <v>1.09</v>
      </c>
      <c r="C796">
        <v>553</v>
      </c>
      <c r="D796">
        <v>109</v>
      </c>
      <c r="E796">
        <f t="shared" si="22"/>
        <v>1.09</v>
      </c>
      <c r="F796">
        <f t="shared" si="23"/>
        <v>0</v>
      </c>
      <c r="G796">
        <f t="shared" si="24"/>
        <v>0</v>
      </c>
    </row>
    <row r="797" spans="1:7" ht="12.75">
      <c r="A797">
        <v>554</v>
      </c>
      <c r="B797">
        <v>1.09</v>
      </c>
      <c r="C797">
        <v>554</v>
      </c>
      <c r="D797">
        <v>109</v>
      </c>
      <c r="E797">
        <f aca="true" t="shared" si="25" ref="E797:E860">D797/100</f>
        <v>1.09</v>
      </c>
      <c r="F797">
        <f aca="true" t="shared" si="26" ref="F797:F860">A797-C797</f>
        <v>0</v>
      </c>
      <c r="G797">
        <f aca="true" t="shared" si="27" ref="G797:G860">B797-E797</f>
        <v>0</v>
      </c>
    </row>
    <row r="798" spans="1:7" ht="12.75">
      <c r="A798">
        <v>556</v>
      </c>
      <c r="B798">
        <v>1.04</v>
      </c>
      <c r="C798">
        <v>556</v>
      </c>
      <c r="D798">
        <v>104</v>
      </c>
      <c r="E798">
        <f t="shared" si="25"/>
        <v>1.04</v>
      </c>
      <c r="F798">
        <f t="shared" si="26"/>
        <v>0</v>
      </c>
      <c r="G798">
        <f t="shared" si="27"/>
        <v>0</v>
      </c>
    </row>
    <row r="799" spans="1:7" ht="12.75">
      <c r="A799">
        <v>557</v>
      </c>
      <c r="B799">
        <v>1.04</v>
      </c>
      <c r="C799">
        <v>557</v>
      </c>
      <c r="D799">
        <v>104</v>
      </c>
      <c r="E799">
        <f t="shared" si="25"/>
        <v>1.04</v>
      </c>
      <c r="F799">
        <f t="shared" si="26"/>
        <v>0</v>
      </c>
      <c r="G799">
        <f t="shared" si="27"/>
        <v>0</v>
      </c>
    </row>
    <row r="800" spans="1:7" ht="12.75">
      <c r="A800">
        <v>558</v>
      </c>
      <c r="B800">
        <v>1.04</v>
      </c>
      <c r="C800">
        <v>558</v>
      </c>
      <c r="D800">
        <v>104</v>
      </c>
      <c r="E800">
        <f t="shared" si="25"/>
        <v>1.04</v>
      </c>
      <c r="F800">
        <f t="shared" si="26"/>
        <v>0</v>
      </c>
      <c r="G800">
        <f t="shared" si="27"/>
        <v>0</v>
      </c>
    </row>
    <row r="801" spans="1:7" ht="12.75">
      <c r="A801">
        <v>559</v>
      </c>
      <c r="B801">
        <v>1.01</v>
      </c>
      <c r="C801">
        <v>559</v>
      </c>
      <c r="D801">
        <v>101</v>
      </c>
      <c r="E801">
        <f t="shared" si="25"/>
        <v>1.01</v>
      </c>
      <c r="F801">
        <f t="shared" si="26"/>
        <v>0</v>
      </c>
      <c r="G801">
        <f t="shared" si="27"/>
        <v>0</v>
      </c>
    </row>
    <row r="802" spans="1:7" ht="12.75">
      <c r="A802">
        <v>560</v>
      </c>
      <c r="B802">
        <v>0.99</v>
      </c>
      <c r="C802">
        <v>560</v>
      </c>
      <c r="D802">
        <v>99</v>
      </c>
      <c r="E802">
        <f t="shared" si="25"/>
        <v>0.99</v>
      </c>
      <c r="F802">
        <f t="shared" si="26"/>
        <v>0</v>
      </c>
      <c r="G802">
        <f t="shared" si="27"/>
        <v>0</v>
      </c>
    </row>
    <row r="803" spans="1:7" ht="12.75">
      <c r="A803">
        <v>561</v>
      </c>
      <c r="B803">
        <v>0.86</v>
      </c>
      <c r="C803">
        <v>561</v>
      </c>
      <c r="D803">
        <v>86</v>
      </c>
      <c r="E803">
        <f t="shared" si="25"/>
        <v>0.86</v>
      </c>
      <c r="F803">
        <f t="shared" si="26"/>
        <v>0</v>
      </c>
      <c r="G803">
        <f t="shared" si="27"/>
        <v>0</v>
      </c>
    </row>
    <row r="804" spans="1:7" ht="12.75">
      <c r="A804">
        <v>562</v>
      </c>
      <c r="B804">
        <v>0.86</v>
      </c>
      <c r="C804">
        <v>562</v>
      </c>
      <c r="D804">
        <v>86</v>
      </c>
      <c r="E804">
        <f t="shared" si="25"/>
        <v>0.86</v>
      </c>
      <c r="F804">
        <f t="shared" si="26"/>
        <v>0</v>
      </c>
      <c r="G804">
        <f t="shared" si="27"/>
        <v>0</v>
      </c>
    </row>
    <row r="805" spans="1:7" ht="12.75">
      <c r="A805">
        <v>563</v>
      </c>
      <c r="B805">
        <v>0.99</v>
      </c>
      <c r="C805">
        <v>563</v>
      </c>
      <c r="D805">
        <v>99</v>
      </c>
      <c r="E805">
        <f t="shared" si="25"/>
        <v>0.99</v>
      </c>
      <c r="F805">
        <f t="shared" si="26"/>
        <v>0</v>
      </c>
      <c r="G805">
        <f t="shared" si="27"/>
        <v>0</v>
      </c>
    </row>
    <row r="806" spans="1:7" ht="12.75">
      <c r="A806">
        <v>564</v>
      </c>
      <c r="B806">
        <v>0.98</v>
      </c>
      <c r="C806">
        <v>564</v>
      </c>
      <c r="D806">
        <v>98</v>
      </c>
      <c r="E806">
        <f t="shared" si="25"/>
        <v>0.98</v>
      </c>
      <c r="F806">
        <f t="shared" si="26"/>
        <v>0</v>
      </c>
      <c r="G806">
        <f t="shared" si="27"/>
        <v>0</v>
      </c>
    </row>
    <row r="807" spans="1:7" ht="12.75">
      <c r="A807">
        <v>565</v>
      </c>
      <c r="B807">
        <v>0.95</v>
      </c>
      <c r="C807">
        <v>565</v>
      </c>
      <c r="D807">
        <v>95</v>
      </c>
      <c r="E807">
        <f t="shared" si="25"/>
        <v>0.95</v>
      </c>
      <c r="F807">
        <f t="shared" si="26"/>
        <v>0</v>
      </c>
      <c r="G807">
        <f t="shared" si="27"/>
        <v>0</v>
      </c>
    </row>
    <row r="808" spans="1:7" ht="12.75">
      <c r="A808">
        <v>566</v>
      </c>
      <c r="B808">
        <v>0.98</v>
      </c>
      <c r="C808">
        <v>566</v>
      </c>
      <c r="D808">
        <v>98</v>
      </c>
      <c r="E808">
        <f t="shared" si="25"/>
        <v>0.98</v>
      </c>
      <c r="F808">
        <f t="shared" si="26"/>
        <v>0</v>
      </c>
      <c r="G808">
        <f t="shared" si="27"/>
        <v>0</v>
      </c>
    </row>
    <row r="809" spans="1:7" ht="12.75">
      <c r="A809">
        <v>567</v>
      </c>
      <c r="B809">
        <v>0.93</v>
      </c>
      <c r="C809">
        <v>567</v>
      </c>
      <c r="D809">
        <v>93</v>
      </c>
      <c r="E809">
        <f t="shared" si="25"/>
        <v>0.93</v>
      </c>
      <c r="F809">
        <f t="shared" si="26"/>
        <v>0</v>
      </c>
      <c r="G809">
        <f t="shared" si="27"/>
        <v>0</v>
      </c>
    </row>
    <row r="810" spans="1:7" ht="12.75">
      <c r="A810">
        <v>570</v>
      </c>
      <c r="B810">
        <v>0.81</v>
      </c>
      <c r="C810">
        <v>570</v>
      </c>
      <c r="D810">
        <v>81</v>
      </c>
      <c r="E810">
        <f t="shared" si="25"/>
        <v>0.81</v>
      </c>
      <c r="F810">
        <f t="shared" si="26"/>
        <v>0</v>
      </c>
      <c r="G810">
        <f t="shared" si="27"/>
        <v>0</v>
      </c>
    </row>
    <row r="811" spans="1:7" ht="12.75">
      <c r="A811">
        <v>571</v>
      </c>
      <c r="B811">
        <v>0.81</v>
      </c>
      <c r="C811">
        <v>571</v>
      </c>
      <c r="D811">
        <v>81</v>
      </c>
      <c r="E811">
        <f t="shared" si="25"/>
        <v>0.81</v>
      </c>
      <c r="F811">
        <f t="shared" si="26"/>
        <v>0</v>
      </c>
      <c r="G811">
        <f t="shared" si="27"/>
        <v>0</v>
      </c>
    </row>
    <row r="812" spans="1:7" ht="12.75">
      <c r="A812">
        <v>572</v>
      </c>
      <c r="B812">
        <v>0.8</v>
      </c>
      <c r="C812">
        <v>572</v>
      </c>
      <c r="D812">
        <v>80</v>
      </c>
      <c r="E812">
        <f t="shared" si="25"/>
        <v>0.8</v>
      </c>
      <c r="F812">
        <f t="shared" si="26"/>
        <v>0</v>
      </c>
      <c r="G812">
        <f t="shared" si="27"/>
        <v>0</v>
      </c>
    </row>
    <row r="813" spans="1:7" ht="12.75">
      <c r="A813">
        <v>573</v>
      </c>
      <c r="B813">
        <v>0.79</v>
      </c>
      <c r="C813">
        <v>573</v>
      </c>
      <c r="D813">
        <v>79</v>
      </c>
      <c r="E813">
        <f t="shared" si="25"/>
        <v>0.79</v>
      </c>
      <c r="F813">
        <f t="shared" si="26"/>
        <v>0</v>
      </c>
      <c r="G813">
        <f t="shared" si="27"/>
        <v>0</v>
      </c>
    </row>
    <row r="814" spans="1:7" ht="12.75">
      <c r="A814">
        <v>574</v>
      </c>
      <c r="B814">
        <v>0.8</v>
      </c>
      <c r="C814">
        <v>574</v>
      </c>
      <c r="D814">
        <v>80</v>
      </c>
      <c r="E814">
        <f t="shared" si="25"/>
        <v>0.8</v>
      </c>
      <c r="F814">
        <f t="shared" si="26"/>
        <v>0</v>
      </c>
      <c r="G814">
        <f t="shared" si="27"/>
        <v>0</v>
      </c>
    </row>
    <row r="815" spans="1:7" ht="12.75">
      <c r="A815">
        <v>575</v>
      </c>
      <c r="B815">
        <v>0.79</v>
      </c>
      <c r="C815">
        <v>575</v>
      </c>
      <c r="D815">
        <v>79</v>
      </c>
      <c r="E815">
        <f t="shared" si="25"/>
        <v>0.79</v>
      </c>
      <c r="F815">
        <f t="shared" si="26"/>
        <v>0</v>
      </c>
      <c r="G815">
        <f t="shared" si="27"/>
        <v>0</v>
      </c>
    </row>
    <row r="816" spans="1:7" ht="12.75">
      <c r="A816">
        <v>576</v>
      </c>
      <c r="B816">
        <v>0.79</v>
      </c>
      <c r="C816">
        <v>576</v>
      </c>
      <c r="D816">
        <v>79</v>
      </c>
      <c r="E816">
        <f t="shared" si="25"/>
        <v>0.79</v>
      </c>
      <c r="F816">
        <f t="shared" si="26"/>
        <v>0</v>
      </c>
      <c r="G816">
        <f t="shared" si="27"/>
        <v>0</v>
      </c>
    </row>
    <row r="817" spans="1:7" ht="12.75">
      <c r="A817">
        <v>577</v>
      </c>
      <c r="B817">
        <v>0.79</v>
      </c>
      <c r="C817">
        <v>577</v>
      </c>
      <c r="D817">
        <v>79</v>
      </c>
      <c r="E817">
        <f t="shared" si="25"/>
        <v>0.79</v>
      </c>
      <c r="F817">
        <f t="shared" si="26"/>
        <v>0</v>
      </c>
      <c r="G817">
        <f t="shared" si="27"/>
        <v>0</v>
      </c>
    </row>
    <row r="818" spans="1:7" ht="12.75">
      <c r="A818">
        <v>580</v>
      </c>
      <c r="B818">
        <v>0.83</v>
      </c>
      <c r="C818">
        <v>580</v>
      </c>
      <c r="D818">
        <v>83</v>
      </c>
      <c r="E818">
        <f t="shared" si="25"/>
        <v>0.83</v>
      </c>
      <c r="F818">
        <f t="shared" si="26"/>
        <v>0</v>
      </c>
      <c r="G818">
        <f t="shared" si="27"/>
        <v>0</v>
      </c>
    </row>
    <row r="819" spans="1:7" ht="12.75">
      <c r="A819">
        <v>581</v>
      </c>
      <c r="B819">
        <v>0.83</v>
      </c>
      <c r="C819">
        <v>581</v>
      </c>
      <c r="D819">
        <v>83</v>
      </c>
      <c r="E819">
        <f t="shared" si="25"/>
        <v>0.83</v>
      </c>
      <c r="F819">
        <f t="shared" si="26"/>
        <v>0</v>
      </c>
      <c r="G819">
        <f t="shared" si="27"/>
        <v>0</v>
      </c>
    </row>
    <row r="820" spans="1:7" ht="12.75">
      <c r="A820">
        <v>582</v>
      </c>
      <c r="B820">
        <v>0.83</v>
      </c>
      <c r="C820">
        <v>582</v>
      </c>
      <c r="D820">
        <v>83</v>
      </c>
      <c r="E820">
        <f t="shared" si="25"/>
        <v>0.83</v>
      </c>
      <c r="F820">
        <f t="shared" si="26"/>
        <v>0</v>
      </c>
      <c r="G820">
        <f t="shared" si="27"/>
        <v>0</v>
      </c>
    </row>
    <row r="821" spans="1:7" ht="12.75">
      <c r="A821">
        <v>583</v>
      </c>
      <c r="B821">
        <v>0.83</v>
      </c>
      <c r="C821">
        <v>583</v>
      </c>
      <c r="D821">
        <v>83</v>
      </c>
      <c r="E821">
        <f t="shared" si="25"/>
        <v>0.83</v>
      </c>
      <c r="F821">
        <f t="shared" si="26"/>
        <v>0</v>
      </c>
      <c r="G821">
        <f t="shared" si="27"/>
        <v>0</v>
      </c>
    </row>
    <row r="822" spans="1:7" ht="12.75">
      <c r="A822">
        <v>584</v>
      </c>
      <c r="B822">
        <v>0.83</v>
      </c>
      <c r="C822">
        <v>584</v>
      </c>
      <c r="D822">
        <v>83</v>
      </c>
      <c r="E822">
        <f t="shared" si="25"/>
        <v>0.83</v>
      </c>
      <c r="F822">
        <f t="shared" si="26"/>
        <v>0</v>
      </c>
      <c r="G822">
        <f t="shared" si="27"/>
        <v>0</v>
      </c>
    </row>
    <row r="823" spans="1:7" ht="12.75">
      <c r="A823">
        <v>585</v>
      </c>
      <c r="B823">
        <v>0.85</v>
      </c>
      <c r="C823">
        <v>585</v>
      </c>
      <c r="D823">
        <v>85</v>
      </c>
      <c r="E823">
        <f t="shared" si="25"/>
        <v>0.85</v>
      </c>
      <c r="F823">
        <f t="shared" si="26"/>
        <v>0</v>
      </c>
      <c r="G823">
        <f t="shared" si="27"/>
        <v>0</v>
      </c>
    </row>
    <row r="824" spans="1:7" ht="12.75">
      <c r="A824">
        <v>586</v>
      </c>
      <c r="B824">
        <v>0.83</v>
      </c>
      <c r="C824">
        <v>586</v>
      </c>
      <c r="D824">
        <v>83</v>
      </c>
      <c r="E824">
        <f t="shared" si="25"/>
        <v>0.83</v>
      </c>
      <c r="F824">
        <f t="shared" si="26"/>
        <v>0</v>
      </c>
      <c r="G824">
        <f t="shared" si="27"/>
        <v>0</v>
      </c>
    </row>
    <row r="825" spans="1:7" ht="12.75">
      <c r="A825">
        <v>587</v>
      </c>
      <c r="B825">
        <v>0.84</v>
      </c>
      <c r="C825">
        <v>587</v>
      </c>
      <c r="D825">
        <v>84</v>
      </c>
      <c r="E825">
        <f t="shared" si="25"/>
        <v>0.84</v>
      </c>
      <c r="F825">
        <f t="shared" si="26"/>
        <v>0</v>
      </c>
      <c r="G825">
        <f t="shared" si="27"/>
        <v>0</v>
      </c>
    </row>
    <row r="826" spans="1:7" ht="12.75">
      <c r="A826">
        <v>588</v>
      </c>
      <c r="B826">
        <v>0.83</v>
      </c>
      <c r="C826">
        <v>588</v>
      </c>
      <c r="D826">
        <v>83</v>
      </c>
      <c r="E826">
        <f t="shared" si="25"/>
        <v>0.83</v>
      </c>
      <c r="F826">
        <f t="shared" si="26"/>
        <v>0</v>
      </c>
      <c r="G826">
        <f t="shared" si="27"/>
        <v>0</v>
      </c>
    </row>
    <row r="827" spans="1:7" ht="12.75">
      <c r="A827">
        <v>590</v>
      </c>
      <c r="B827">
        <v>0.96</v>
      </c>
      <c r="C827">
        <v>590</v>
      </c>
      <c r="D827">
        <v>96</v>
      </c>
      <c r="E827">
        <f t="shared" si="25"/>
        <v>0.96</v>
      </c>
      <c r="F827">
        <f t="shared" si="26"/>
        <v>0</v>
      </c>
      <c r="G827">
        <f t="shared" si="27"/>
        <v>0</v>
      </c>
    </row>
    <row r="828" spans="1:7" ht="12.75">
      <c r="A828">
        <v>591</v>
      </c>
      <c r="B828">
        <v>0.96</v>
      </c>
      <c r="C828">
        <v>591</v>
      </c>
      <c r="D828">
        <v>96</v>
      </c>
      <c r="E828">
        <f t="shared" si="25"/>
        <v>0.96</v>
      </c>
      <c r="F828">
        <f t="shared" si="26"/>
        <v>0</v>
      </c>
      <c r="G828">
        <f t="shared" si="27"/>
        <v>0</v>
      </c>
    </row>
    <row r="829" spans="1:7" ht="12.75">
      <c r="A829">
        <v>592</v>
      </c>
      <c r="B829">
        <v>0.94</v>
      </c>
      <c r="C829">
        <v>592</v>
      </c>
      <c r="D829">
        <v>94</v>
      </c>
      <c r="E829">
        <f t="shared" si="25"/>
        <v>0.94</v>
      </c>
      <c r="F829">
        <f t="shared" si="26"/>
        <v>0</v>
      </c>
      <c r="G829">
        <f t="shared" si="27"/>
        <v>0</v>
      </c>
    </row>
    <row r="830" spans="1:7" ht="12.75">
      <c r="A830">
        <v>593</v>
      </c>
      <c r="B830">
        <v>0.95</v>
      </c>
      <c r="C830">
        <v>593</v>
      </c>
      <c r="D830">
        <v>95</v>
      </c>
      <c r="E830">
        <f t="shared" si="25"/>
        <v>0.95</v>
      </c>
      <c r="F830">
        <f t="shared" si="26"/>
        <v>0</v>
      </c>
      <c r="G830">
        <f t="shared" si="27"/>
        <v>0</v>
      </c>
    </row>
    <row r="831" spans="1:7" ht="12.75">
      <c r="A831">
        <v>594</v>
      </c>
      <c r="B831">
        <v>0.95</v>
      </c>
      <c r="C831">
        <v>594</v>
      </c>
      <c r="D831">
        <v>95</v>
      </c>
      <c r="E831">
        <f t="shared" si="25"/>
        <v>0.95</v>
      </c>
      <c r="F831">
        <f t="shared" si="26"/>
        <v>0</v>
      </c>
      <c r="G831">
        <f t="shared" si="27"/>
        <v>0</v>
      </c>
    </row>
    <row r="832" spans="1:7" ht="12.75">
      <c r="A832">
        <v>595</v>
      </c>
      <c r="B832">
        <v>0.94</v>
      </c>
      <c r="C832">
        <v>595</v>
      </c>
      <c r="D832">
        <v>94</v>
      </c>
      <c r="E832">
        <f t="shared" si="25"/>
        <v>0.94</v>
      </c>
      <c r="F832">
        <f t="shared" si="26"/>
        <v>0</v>
      </c>
      <c r="G832">
        <f t="shared" si="27"/>
        <v>0</v>
      </c>
    </row>
    <row r="833" spans="1:7" ht="12.75">
      <c r="A833">
        <v>596</v>
      </c>
      <c r="B833">
        <v>0.95</v>
      </c>
      <c r="C833">
        <v>596</v>
      </c>
      <c r="D833">
        <v>95</v>
      </c>
      <c r="E833">
        <f t="shared" si="25"/>
        <v>0.95</v>
      </c>
      <c r="F833">
        <f t="shared" si="26"/>
        <v>0</v>
      </c>
      <c r="G833">
        <f t="shared" si="27"/>
        <v>0</v>
      </c>
    </row>
    <row r="834" spans="1:7" ht="12.75">
      <c r="A834">
        <v>597</v>
      </c>
      <c r="B834">
        <v>0.93</v>
      </c>
      <c r="C834">
        <v>597</v>
      </c>
      <c r="D834">
        <v>93</v>
      </c>
      <c r="E834">
        <f t="shared" si="25"/>
        <v>0.93</v>
      </c>
      <c r="F834">
        <f t="shared" si="26"/>
        <v>0</v>
      </c>
      <c r="G834">
        <f t="shared" si="27"/>
        <v>0</v>
      </c>
    </row>
    <row r="835" spans="1:7" ht="12.75">
      <c r="A835">
        <v>598</v>
      </c>
      <c r="B835">
        <v>0.93</v>
      </c>
      <c r="C835">
        <v>598</v>
      </c>
      <c r="D835">
        <v>93</v>
      </c>
      <c r="E835">
        <f t="shared" si="25"/>
        <v>0.93</v>
      </c>
      <c r="F835">
        <f t="shared" si="26"/>
        <v>0</v>
      </c>
      <c r="G835">
        <f t="shared" si="27"/>
        <v>0</v>
      </c>
    </row>
    <row r="836" spans="1:7" ht="12.75">
      <c r="A836">
        <v>599</v>
      </c>
      <c r="B836">
        <v>0.92</v>
      </c>
      <c r="C836">
        <v>599</v>
      </c>
      <c r="D836">
        <v>92</v>
      </c>
      <c r="E836">
        <f t="shared" si="25"/>
        <v>0.92</v>
      </c>
      <c r="F836">
        <f t="shared" si="26"/>
        <v>0</v>
      </c>
      <c r="G836">
        <f t="shared" si="27"/>
        <v>0</v>
      </c>
    </row>
    <row r="837" spans="1:7" ht="12.75">
      <c r="A837">
        <v>600</v>
      </c>
      <c r="B837">
        <v>1.08</v>
      </c>
      <c r="C837">
        <v>600</v>
      </c>
      <c r="D837">
        <v>108</v>
      </c>
      <c r="E837">
        <f t="shared" si="25"/>
        <v>1.08</v>
      </c>
      <c r="F837">
        <f t="shared" si="26"/>
        <v>0</v>
      </c>
      <c r="G837">
        <f t="shared" si="27"/>
        <v>0</v>
      </c>
    </row>
    <row r="838" spans="1:7" ht="12.75">
      <c r="A838">
        <v>601</v>
      </c>
      <c r="B838">
        <v>1.08</v>
      </c>
      <c r="C838">
        <v>601</v>
      </c>
      <c r="D838">
        <v>108</v>
      </c>
      <c r="E838">
        <f t="shared" si="25"/>
        <v>1.08</v>
      </c>
      <c r="F838">
        <f t="shared" si="26"/>
        <v>0</v>
      </c>
      <c r="G838">
        <f t="shared" si="27"/>
        <v>0</v>
      </c>
    </row>
    <row r="839" spans="1:7" ht="12.75">
      <c r="A839">
        <v>602</v>
      </c>
      <c r="B839">
        <v>1.08</v>
      </c>
      <c r="C839">
        <v>602</v>
      </c>
      <c r="D839">
        <v>108</v>
      </c>
      <c r="E839">
        <f t="shared" si="25"/>
        <v>1.08</v>
      </c>
      <c r="F839">
        <f t="shared" si="26"/>
        <v>0</v>
      </c>
      <c r="G839">
        <f t="shared" si="27"/>
        <v>0</v>
      </c>
    </row>
    <row r="840" spans="1:7" ht="12.75">
      <c r="A840">
        <v>603</v>
      </c>
      <c r="B840">
        <v>1.08</v>
      </c>
      <c r="C840">
        <v>603</v>
      </c>
      <c r="D840">
        <v>108</v>
      </c>
      <c r="E840">
        <f t="shared" si="25"/>
        <v>1.08</v>
      </c>
      <c r="F840">
        <f t="shared" si="26"/>
        <v>0</v>
      </c>
      <c r="G840">
        <f t="shared" si="27"/>
        <v>0</v>
      </c>
    </row>
    <row r="841" spans="1:7" ht="12.75">
      <c r="A841">
        <v>604</v>
      </c>
      <c r="B841">
        <v>1.06</v>
      </c>
      <c r="C841">
        <v>604</v>
      </c>
      <c r="D841">
        <v>106</v>
      </c>
      <c r="E841">
        <f t="shared" si="25"/>
        <v>1.06</v>
      </c>
      <c r="F841">
        <f t="shared" si="26"/>
        <v>0</v>
      </c>
      <c r="G841">
        <f t="shared" si="27"/>
        <v>0</v>
      </c>
    </row>
    <row r="842" spans="1:7" ht="12.75">
      <c r="A842">
        <v>605</v>
      </c>
      <c r="B842">
        <v>1.08</v>
      </c>
      <c r="C842">
        <v>605</v>
      </c>
      <c r="D842">
        <v>108</v>
      </c>
      <c r="E842">
        <f t="shared" si="25"/>
        <v>1.08</v>
      </c>
      <c r="F842">
        <f t="shared" si="26"/>
        <v>0</v>
      </c>
      <c r="G842">
        <f t="shared" si="27"/>
        <v>0</v>
      </c>
    </row>
    <row r="843" spans="1:7" ht="12.75">
      <c r="A843">
        <v>606</v>
      </c>
      <c r="B843">
        <v>1.11</v>
      </c>
      <c r="C843">
        <v>606</v>
      </c>
      <c r="D843">
        <v>111</v>
      </c>
      <c r="E843">
        <f t="shared" si="25"/>
        <v>1.11</v>
      </c>
      <c r="F843">
        <f t="shared" si="26"/>
        <v>0</v>
      </c>
      <c r="G843">
        <f t="shared" si="27"/>
        <v>0</v>
      </c>
    </row>
    <row r="844" spans="1:7" ht="12.75">
      <c r="A844">
        <v>609</v>
      </c>
      <c r="B844">
        <v>1.01</v>
      </c>
      <c r="C844">
        <v>609</v>
      </c>
      <c r="D844">
        <v>101</v>
      </c>
      <c r="E844">
        <f t="shared" si="25"/>
        <v>1.01</v>
      </c>
      <c r="F844">
        <f t="shared" si="26"/>
        <v>0</v>
      </c>
      <c r="G844">
        <f t="shared" si="27"/>
        <v>0</v>
      </c>
    </row>
    <row r="845" spans="1:7" ht="12.75">
      <c r="A845">
        <v>610</v>
      </c>
      <c r="B845">
        <v>1.04</v>
      </c>
      <c r="C845">
        <v>610</v>
      </c>
      <c r="D845">
        <v>104</v>
      </c>
      <c r="E845">
        <f t="shared" si="25"/>
        <v>1.04</v>
      </c>
      <c r="F845">
        <f t="shared" si="26"/>
        <v>0</v>
      </c>
      <c r="G845">
        <f t="shared" si="27"/>
        <v>0</v>
      </c>
    </row>
    <row r="846" spans="1:7" ht="12.75">
      <c r="A846">
        <v>611</v>
      </c>
      <c r="B846">
        <v>1.04</v>
      </c>
      <c r="C846">
        <v>611</v>
      </c>
      <c r="D846">
        <v>104</v>
      </c>
      <c r="E846">
        <f t="shared" si="25"/>
        <v>1.04</v>
      </c>
      <c r="F846">
        <f t="shared" si="26"/>
        <v>0</v>
      </c>
      <c r="G846">
        <f t="shared" si="27"/>
        <v>0</v>
      </c>
    </row>
    <row r="847" spans="1:7" ht="12.75">
      <c r="A847">
        <v>612</v>
      </c>
      <c r="B847">
        <v>0.98</v>
      </c>
      <c r="C847">
        <v>612</v>
      </c>
      <c r="D847">
        <v>98</v>
      </c>
      <c r="E847">
        <f t="shared" si="25"/>
        <v>0.98</v>
      </c>
      <c r="F847">
        <f t="shared" si="26"/>
        <v>0</v>
      </c>
      <c r="G847">
        <f t="shared" si="27"/>
        <v>0</v>
      </c>
    </row>
    <row r="848" spans="1:7" ht="12.75">
      <c r="A848">
        <v>613</v>
      </c>
      <c r="B848">
        <v>0.99</v>
      </c>
      <c r="C848">
        <v>613</v>
      </c>
      <c r="D848">
        <v>99</v>
      </c>
      <c r="E848">
        <f t="shared" si="25"/>
        <v>0.99</v>
      </c>
      <c r="F848">
        <f t="shared" si="26"/>
        <v>0</v>
      </c>
      <c r="G848">
        <f t="shared" si="27"/>
        <v>0</v>
      </c>
    </row>
    <row r="849" spans="1:7" ht="12.75">
      <c r="A849">
        <v>614</v>
      </c>
      <c r="B849">
        <v>0.98</v>
      </c>
      <c r="C849">
        <v>614</v>
      </c>
      <c r="D849">
        <v>98</v>
      </c>
      <c r="E849">
        <f t="shared" si="25"/>
        <v>0.98</v>
      </c>
      <c r="F849">
        <f t="shared" si="26"/>
        <v>0</v>
      </c>
      <c r="G849">
        <f t="shared" si="27"/>
        <v>0</v>
      </c>
    </row>
    <row r="850" spans="1:7" ht="12.75">
      <c r="A850">
        <v>615</v>
      </c>
      <c r="B850">
        <v>1.01</v>
      </c>
      <c r="C850">
        <v>615</v>
      </c>
      <c r="D850">
        <v>101</v>
      </c>
      <c r="E850">
        <f t="shared" si="25"/>
        <v>1.01</v>
      </c>
      <c r="F850">
        <f t="shared" si="26"/>
        <v>0</v>
      </c>
      <c r="G850">
        <f t="shared" si="27"/>
        <v>0</v>
      </c>
    </row>
    <row r="851" spans="1:7" ht="12.75">
      <c r="A851">
        <v>616</v>
      </c>
      <c r="B851">
        <v>1.01</v>
      </c>
      <c r="C851">
        <v>616</v>
      </c>
      <c r="D851">
        <v>101</v>
      </c>
      <c r="E851">
        <f t="shared" si="25"/>
        <v>1.01</v>
      </c>
      <c r="F851">
        <f t="shared" si="26"/>
        <v>0</v>
      </c>
      <c r="G851">
        <f t="shared" si="27"/>
        <v>0</v>
      </c>
    </row>
    <row r="852" spans="1:7" ht="12.75">
      <c r="A852">
        <v>617</v>
      </c>
      <c r="B852">
        <v>0.99</v>
      </c>
      <c r="C852">
        <v>617</v>
      </c>
      <c r="D852">
        <v>99</v>
      </c>
      <c r="E852">
        <f t="shared" si="25"/>
        <v>0.99</v>
      </c>
      <c r="F852">
        <f t="shared" si="26"/>
        <v>0</v>
      </c>
      <c r="G852">
        <f t="shared" si="27"/>
        <v>0</v>
      </c>
    </row>
    <row r="853" spans="1:7" ht="12.75">
      <c r="A853">
        <v>618</v>
      </c>
      <c r="B853">
        <v>1</v>
      </c>
      <c r="C853">
        <v>618</v>
      </c>
      <c r="D853">
        <v>100</v>
      </c>
      <c r="E853">
        <f t="shared" si="25"/>
        <v>1</v>
      </c>
      <c r="F853">
        <f t="shared" si="26"/>
        <v>0</v>
      </c>
      <c r="G853">
        <f t="shared" si="27"/>
        <v>0</v>
      </c>
    </row>
    <row r="854" spans="1:7" ht="12.75">
      <c r="A854">
        <v>619</v>
      </c>
      <c r="B854">
        <v>1</v>
      </c>
      <c r="C854">
        <v>619</v>
      </c>
      <c r="D854">
        <v>100</v>
      </c>
      <c r="E854">
        <f t="shared" si="25"/>
        <v>1</v>
      </c>
      <c r="F854">
        <f t="shared" si="26"/>
        <v>0</v>
      </c>
      <c r="G854">
        <f t="shared" si="27"/>
        <v>0</v>
      </c>
    </row>
    <row r="855" spans="1:7" ht="12.75">
      <c r="A855">
        <v>620</v>
      </c>
      <c r="B855">
        <v>1</v>
      </c>
      <c r="C855">
        <v>620</v>
      </c>
      <c r="D855">
        <v>100</v>
      </c>
      <c r="E855">
        <f t="shared" si="25"/>
        <v>1</v>
      </c>
      <c r="F855">
        <f t="shared" si="26"/>
        <v>0</v>
      </c>
      <c r="G855">
        <f t="shared" si="27"/>
        <v>0</v>
      </c>
    </row>
    <row r="856" spans="1:7" ht="12.75">
      <c r="A856">
        <v>621</v>
      </c>
      <c r="B856">
        <v>1</v>
      </c>
      <c r="C856">
        <v>621</v>
      </c>
      <c r="D856">
        <v>100</v>
      </c>
      <c r="E856">
        <f t="shared" si="25"/>
        <v>1</v>
      </c>
      <c r="F856">
        <f t="shared" si="26"/>
        <v>0</v>
      </c>
      <c r="G856">
        <f t="shared" si="27"/>
        <v>0</v>
      </c>
    </row>
    <row r="857" spans="1:7" ht="12.75">
      <c r="A857">
        <v>622</v>
      </c>
      <c r="B857">
        <v>1</v>
      </c>
      <c r="C857">
        <v>622</v>
      </c>
      <c r="D857">
        <v>100</v>
      </c>
      <c r="E857">
        <f t="shared" si="25"/>
        <v>1</v>
      </c>
      <c r="F857">
        <f t="shared" si="26"/>
        <v>0</v>
      </c>
      <c r="G857">
        <f t="shared" si="27"/>
        <v>0</v>
      </c>
    </row>
    <row r="858" spans="1:7" ht="12.75">
      <c r="A858">
        <v>623</v>
      </c>
      <c r="B858">
        <v>0.96</v>
      </c>
      <c r="C858">
        <v>623</v>
      </c>
      <c r="D858">
        <v>96</v>
      </c>
      <c r="E858">
        <f t="shared" si="25"/>
        <v>0.96</v>
      </c>
      <c r="F858">
        <f t="shared" si="26"/>
        <v>0</v>
      </c>
      <c r="G858">
        <f t="shared" si="27"/>
        <v>0</v>
      </c>
    </row>
    <row r="859" spans="1:7" ht="12.75">
      <c r="A859">
        <v>624</v>
      </c>
      <c r="B859">
        <v>0.97</v>
      </c>
      <c r="C859">
        <v>624</v>
      </c>
      <c r="D859">
        <v>97</v>
      </c>
      <c r="E859">
        <f t="shared" si="25"/>
        <v>0.97</v>
      </c>
      <c r="F859">
        <f t="shared" si="26"/>
        <v>0</v>
      </c>
      <c r="G859">
        <f t="shared" si="27"/>
        <v>0</v>
      </c>
    </row>
    <row r="860" spans="1:7" ht="12.75">
      <c r="A860">
        <v>625</v>
      </c>
      <c r="B860">
        <v>0.98</v>
      </c>
      <c r="C860">
        <v>625</v>
      </c>
      <c r="D860">
        <v>98</v>
      </c>
      <c r="E860">
        <f t="shared" si="25"/>
        <v>0.98</v>
      </c>
      <c r="F860">
        <f t="shared" si="26"/>
        <v>0</v>
      </c>
      <c r="G860">
        <f t="shared" si="27"/>
        <v>0</v>
      </c>
    </row>
    <row r="861" spans="1:7" ht="12.75">
      <c r="A861">
        <v>626</v>
      </c>
      <c r="B861">
        <v>0.98</v>
      </c>
      <c r="C861">
        <v>626</v>
      </c>
      <c r="D861">
        <v>98</v>
      </c>
      <c r="E861">
        <f aca="true" t="shared" si="28" ref="E861:E924">D861/100</f>
        <v>0.98</v>
      </c>
      <c r="F861">
        <f aca="true" t="shared" si="29" ref="F861:F924">A861-C861</f>
        <v>0</v>
      </c>
      <c r="G861">
        <f aca="true" t="shared" si="30" ref="G861:G924">B861-E861</f>
        <v>0</v>
      </c>
    </row>
    <row r="862" spans="1:7" ht="12.75">
      <c r="A862">
        <v>627</v>
      </c>
      <c r="B862">
        <v>0.98</v>
      </c>
      <c r="C862">
        <v>627</v>
      </c>
      <c r="D862">
        <v>98</v>
      </c>
      <c r="E862">
        <f t="shared" si="28"/>
        <v>0.98</v>
      </c>
      <c r="F862">
        <f t="shared" si="29"/>
        <v>0</v>
      </c>
      <c r="G862">
        <f t="shared" si="30"/>
        <v>0</v>
      </c>
    </row>
    <row r="863" spans="1:7" ht="12.75">
      <c r="A863">
        <v>628</v>
      </c>
      <c r="B863">
        <v>0.99</v>
      </c>
      <c r="C863">
        <v>628</v>
      </c>
      <c r="D863">
        <v>99</v>
      </c>
      <c r="E863">
        <f t="shared" si="28"/>
        <v>0.99</v>
      </c>
      <c r="F863">
        <f t="shared" si="29"/>
        <v>0</v>
      </c>
      <c r="G863">
        <f t="shared" si="30"/>
        <v>0</v>
      </c>
    </row>
    <row r="864" spans="1:7" ht="12.75">
      <c r="A864">
        <v>629</v>
      </c>
      <c r="B864">
        <v>0.96</v>
      </c>
      <c r="C864">
        <v>629</v>
      </c>
      <c r="D864">
        <v>96</v>
      </c>
      <c r="E864">
        <f t="shared" si="28"/>
        <v>0.96</v>
      </c>
      <c r="F864">
        <f t="shared" si="29"/>
        <v>0</v>
      </c>
      <c r="G864">
        <f t="shared" si="30"/>
        <v>0</v>
      </c>
    </row>
    <row r="865" spans="1:7" ht="12.75">
      <c r="A865">
        <v>630</v>
      </c>
      <c r="B865">
        <v>1.03</v>
      </c>
      <c r="C865">
        <v>630</v>
      </c>
      <c r="D865">
        <v>103</v>
      </c>
      <c r="E865">
        <f t="shared" si="28"/>
        <v>1.03</v>
      </c>
      <c r="F865">
        <f t="shared" si="29"/>
        <v>0</v>
      </c>
      <c r="G865">
        <f t="shared" si="30"/>
        <v>0</v>
      </c>
    </row>
    <row r="866" spans="1:7" ht="12.75">
      <c r="A866">
        <v>631</v>
      </c>
      <c r="B866">
        <v>1.03</v>
      </c>
      <c r="C866">
        <v>631</v>
      </c>
      <c r="D866">
        <v>103</v>
      </c>
      <c r="E866">
        <f t="shared" si="28"/>
        <v>1.03</v>
      </c>
      <c r="F866">
        <f t="shared" si="29"/>
        <v>0</v>
      </c>
      <c r="G866">
        <f t="shared" si="30"/>
        <v>0</v>
      </c>
    </row>
    <row r="867" spans="1:7" ht="12.75">
      <c r="A867">
        <v>633</v>
      </c>
      <c r="B867">
        <v>0.95</v>
      </c>
      <c r="C867">
        <v>633</v>
      </c>
      <c r="D867">
        <v>95</v>
      </c>
      <c r="E867">
        <f t="shared" si="28"/>
        <v>0.95</v>
      </c>
      <c r="F867">
        <f t="shared" si="29"/>
        <v>0</v>
      </c>
      <c r="G867">
        <f t="shared" si="30"/>
        <v>0</v>
      </c>
    </row>
    <row r="868" spans="1:7" ht="12.75">
      <c r="A868">
        <v>634</v>
      </c>
      <c r="B868">
        <v>0.95</v>
      </c>
      <c r="C868">
        <v>634</v>
      </c>
      <c r="D868">
        <v>95</v>
      </c>
      <c r="E868">
        <f t="shared" si="28"/>
        <v>0.95</v>
      </c>
      <c r="F868">
        <f t="shared" si="29"/>
        <v>0</v>
      </c>
      <c r="G868">
        <f t="shared" si="30"/>
        <v>0</v>
      </c>
    </row>
    <row r="869" spans="1:7" ht="12.75">
      <c r="A869">
        <v>635</v>
      </c>
      <c r="B869">
        <v>0.9</v>
      </c>
      <c r="C869">
        <v>635</v>
      </c>
      <c r="D869">
        <v>90</v>
      </c>
      <c r="E869">
        <f t="shared" si="28"/>
        <v>0.9</v>
      </c>
      <c r="F869">
        <f t="shared" si="29"/>
        <v>0</v>
      </c>
      <c r="G869">
        <f t="shared" si="30"/>
        <v>0</v>
      </c>
    </row>
    <row r="870" spans="1:7" ht="12.75">
      <c r="A870">
        <v>636</v>
      </c>
      <c r="B870">
        <v>0.98</v>
      </c>
      <c r="C870">
        <v>636</v>
      </c>
      <c r="D870">
        <v>98</v>
      </c>
      <c r="E870">
        <f t="shared" si="28"/>
        <v>0.98</v>
      </c>
      <c r="F870">
        <f t="shared" si="29"/>
        <v>0</v>
      </c>
      <c r="G870">
        <f t="shared" si="30"/>
        <v>0</v>
      </c>
    </row>
    <row r="871" spans="1:7" ht="12.75">
      <c r="A871">
        <v>637</v>
      </c>
      <c r="B871">
        <v>0.97</v>
      </c>
      <c r="C871">
        <v>637</v>
      </c>
      <c r="D871">
        <v>97</v>
      </c>
      <c r="E871">
        <f t="shared" si="28"/>
        <v>0.97</v>
      </c>
      <c r="F871">
        <f t="shared" si="29"/>
        <v>0</v>
      </c>
      <c r="G871">
        <f t="shared" si="30"/>
        <v>0</v>
      </c>
    </row>
    <row r="872" spans="1:7" ht="12.75">
      <c r="A872">
        <v>638</v>
      </c>
      <c r="B872">
        <v>0.92</v>
      </c>
      <c r="C872">
        <v>638</v>
      </c>
      <c r="D872">
        <v>92</v>
      </c>
      <c r="E872">
        <f t="shared" si="28"/>
        <v>0.92</v>
      </c>
      <c r="F872">
        <f t="shared" si="29"/>
        <v>0</v>
      </c>
      <c r="G872">
        <f t="shared" si="30"/>
        <v>0</v>
      </c>
    </row>
    <row r="873" spans="1:7" ht="12.75">
      <c r="A873">
        <v>639</v>
      </c>
      <c r="B873">
        <v>0.92</v>
      </c>
      <c r="C873">
        <v>639</v>
      </c>
      <c r="D873">
        <v>92</v>
      </c>
      <c r="E873">
        <f t="shared" si="28"/>
        <v>0.92</v>
      </c>
      <c r="F873">
        <f t="shared" si="29"/>
        <v>0</v>
      </c>
      <c r="G873">
        <f t="shared" si="30"/>
        <v>0</v>
      </c>
    </row>
    <row r="874" spans="1:7" ht="12.75">
      <c r="A874">
        <v>640</v>
      </c>
      <c r="B874">
        <v>0.99</v>
      </c>
      <c r="C874">
        <v>640</v>
      </c>
      <c r="D874">
        <v>99</v>
      </c>
      <c r="E874">
        <f t="shared" si="28"/>
        <v>0.99</v>
      </c>
      <c r="F874">
        <f t="shared" si="29"/>
        <v>0</v>
      </c>
      <c r="G874">
        <f t="shared" si="30"/>
        <v>0</v>
      </c>
    </row>
    <row r="875" spans="1:7" ht="12.75">
      <c r="A875">
        <v>641</v>
      </c>
      <c r="B875">
        <v>0.99</v>
      </c>
      <c r="C875">
        <v>641</v>
      </c>
      <c r="D875">
        <v>99</v>
      </c>
      <c r="E875">
        <f t="shared" si="28"/>
        <v>0.99</v>
      </c>
      <c r="F875">
        <f t="shared" si="29"/>
        <v>0</v>
      </c>
      <c r="G875">
        <f t="shared" si="30"/>
        <v>0</v>
      </c>
    </row>
    <row r="876" spans="1:7" ht="12.75">
      <c r="A876">
        <v>644</v>
      </c>
      <c r="B876">
        <v>0.92</v>
      </c>
      <c r="C876">
        <v>644</v>
      </c>
      <c r="D876">
        <v>92</v>
      </c>
      <c r="E876">
        <f t="shared" si="28"/>
        <v>0.92</v>
      </c>
      <c r="F876">
        <f t="shared" si="29"/>
        <v>0</v>
      </c>
      <c r="G876">
        <f t="shared" si="30"/>
        <v>0</v>
      </c>
    </row>
    <row r="877" spans="1:7" ht="12.75">
      <c r="A877">
        <v>645</v>
      </c>
      <c r="B877">
        <v>0.92</v>
      </c>
      <c r="C877">
        <v>645</v>
      </c>
      <c r="D877">
        <v>92</v>
      </c>
      <c r="E877">
        <f t="shared" si="28"/>
        <v>0.92</v>
      </c>
      <c r="F877">
        <f t="shared" si="29"/>
        <v>0</v>
      </c>
      <c r="G877">
        <f t="shared" si="30"/>
        <v>0</v>
      </c>
    </row>
    <row r="878" spans="1:7" ht="12.75">
      <c r="A878">
        <v>646</v>
      </c>
      <c r="B878">
        <v>0.84</v>
      </c>
      <c r="C878">
        <v>646</v>
      </c>
      <c r="D878">
        <v>84</v>
      </c>
      <c r="E878">
        <f t="shared" si="28"/>
        <v>0.84</v>
      </c>
      <c r="F878">
        <f t="shared" si="29"/>
        <v>0</v>
      </c>
      <c r="G878">
        <f t="shared" si="30"/>
        <v>0</v>
      </c>
    </row>
    <row r="879" spans="1:7" ht="12.75">
      <c r="A879">
        <v>647</v>
      </c>
      <c r="B879">
        <v>0.93</v>
      </c>
      <c r="C879">
        <v>647</v>
      </c>
      <c r="D879">
        <v>93</v>
      </c>
      <c r="E879">
        <f t="shared" si="28"/>
        <v>0.93</v>
      </c>
      <c r="F879">
        <f t="shared" si="29"/>
        <v>0</v>
      </c>
      <c r="G879">
        <f t="shared" si="30"/>
        <v>0</v>
      </c>
    </row>
    <row r="880" spans="1:7" ht="12.75">
      <c r="A880">
        <v>648</v>
      </c>
      <c r="B880">
        <v>0.86</v>
      </c>
      <c r="C880">
        <v>648</v>
      </c>
      <c r="D880">
        <v>86</v>
      </c>
      <c r="E880">
        <f t="shared" si="28"/>
        <v>0.86</v>
      </c>
      <c r="F880">
        <f t="shared" si="29"/>
        <v>0</v>
      </c>
      <c r="G880">
        <f t="shared" si="30"/>
        <v>0</v>
      </c>
    </row>
    <row r="881" spans="1:7" ht="12.75">
      <c r="A881">
        <v>650</v>
      </c>
      <c r="B881">
        <v>0.91</v>
      </c>
      <c r="C881">
        <v>650</v>
      </c>
      <c r="D881">
        <v>91</v>
      </c>
      <c r="E881">
        <f t="shared" si="28"/>
        <v>0.91</v>
      </c>
      <c r="F881">
        <f t="shared" si="29"/>
        <v>0</v>
      </c>
      <c r="G881">
        <f t="shared" si="30"/>
        <v>0</v>
      </c>
    </row>
    <row r="882" spans="1:7" ht="12.75">
      <c r="A882">
        <v>651</v>
      </c>
      <c r="B882">
        <v>0.91</v>
      </c>
      <c r="C882">
        <v>651</v>
      </c>
      <c r="D882">
        <v>91</v>
      </c>
      <c r="E882">
        <f t="shared" si="28"/>
        <v>0.91</v>
      </c>
      <c r="F882">
        <f t="shared" si="29"/>
        <v>0</v>
      </c>
      <c r="G882">
        <f t="shared" si="30"/>
        <v>0</v>
      </c>
    </row>
    <row r="883" spans="1:7" ht="12.75">
      <c r="A883">
        <v>652</v>
      </c>
      <c r="B883">
        <v>0.89</v>
      </c>
      <c r="C883">
        <v>652</v>
      </c>
      <c r="D883">
        <v>89</v>
      </c>
      <c r="E883">
        <f t="shared" si="28"/>
        <v>0.89</v>
      </c>
      <c r="F883">
        <f t="shared" si="29"/>
        <v>0</v>
      </c>
      <c r="G883">
        <f t="shared" si="30"/>
        <v>0</v>
      </c>
    </row>
    <row r="884" spans="1:7" ht="12.75">
      <c r="A884">
        <v>653</v>
      </c>
      <c r="B884">
        <v>0.89</v>
      </c>
      <c r="C884">
        <v>653</v>
      </c>
      <c r="D884">
        <v>89</v>
      </c>
      <c r="E884">
        <f t="shared" si="28"/>
        <v>0.89</v>
      </c>
      <c r="F884">
        <f t="shared" si="29"/>
        <v>0</v>
      </c>
      <c r="G884">
        <f t="shared" si="30"/>
        <v>0</v>
      </c>
    </row>
    <row r="885" spans="1:7" ht="12.75">
      <c r="A885">
        <v>654</v>
      </c>
      <c r="B885">
        <v>0.83</v>
      </c>
      <c r="C885">
        <v>654</v>
      </c>
      <c r="D885">
        <v>83</v>
      </c>
      <c r="E885">
        <f t="shared" si="28"/>
        <v>0.83</v>
      </c>
      <c r="F885">
        <f t="shared" si="29"/>
        <v>0</v>
      </c>
      <c r="G885">
        <f t="shared" si="30"/>
        <v>0</v>
      </c>
    </row>
    <row r="886" spans="1:7" ht="12.75">
      <c r="A886">
        <v>655</v>
      </c>
      <c r="B886">
        <v>0.83</v>
      </c>
      <c r="C886">
        <v>655</v>
      </c>
      <c r="D886">
        <v>83</v>
      </c>
      <c r="E886">
        <f t="shared" si="28"/>
        <v>0.83</v>
      </c>
      <c r="F886">
        <f t="shared" si="29"/>
        <v>0</v>
      </c>
      <c r="G886">
        <f t="shared" si="30"/>
        <v>0</v>
      </c>
    </row>
    <row r="887" spans="1:7" ht="12.75">
      <c r="A887">
        <v>656</v>
      </c>
      <c r="B887">
        <v>0.87</v>
      </c>
      <c r="C887">
        <v>656</v>
      </c>
      <c r="D887">
        <v>87</v>
      </c>
      <c r="E887">
        <f t="shared" si="28"/>
        <v>0.87</v>
      </c>
      <c r="F887">
        <f t="shared" si="29"/>
        <v>0</v>
      </c>
      <c r="G887">
        <f t="shared" si="30"/>
        <v>0</v>
      </c>
    </row>
    <row r="888" spans="1:7" ht="12.75">
      <c r="A888">
        <v>657</v>
      </c>
      <c r="B888">
        <v>0.87</v>
      </c>
      <c r="C888">
        <v>657</v>
      </c>
      <c r="D888">
        <v>87</v>
      </c>
      <c r="E888">
        <f t="shared" si="28"/>
        <v>0.87</v>
      </c>
      <c r="F888">
        <f t="shared" si="29"/>
        <v>0</v>
      </c>
      <c r="G888">
        <f t="shared" si="30"/>
        <v>0</v>
      </c>
    </row>
    <row r="889" spans="1:7" ht="12.75">
      <c r="A889">
        <v>658</v>
      </c>
      <c r="B889">
        <v>0.87</v>
      </c>
      <c r="C889">
        <v>658</v>
      </c>
      <c r="D889">
        <v>87</v>
      </c>
      <c r="E889">
        <f t="shared" si="28"/>
        <v>0.87</v>
      </c>
      <c r="F889">
        <f t="shared" si="29"/>
        <v>0</v>
      </c>
      <c r="G889">
        <f t="shared" si="30"/>
        <v>0</v>
      </c>
    </row>
    <row r="890" spans="1:7" ht="12.75">
      <c r="A890">
        <v>660</v>
      </c>
      <c r="B890">
        <v>0.92</v>
      </c>
      <c r="C890">
        <v>660</v>
      </c>
      <c r="D890">
        <v>92</v>
      </c>
      <c r="E890">
        <f t="shared" si="28"/>
        <v>0.92</v>
      </c>
      <c r="F890">
        <f t="shared" si="29"/>
        <v>0</v>
      </c>
      <c r="G890">
        <f t="shared" si="30"/>
        <v>0</v>
      </c>
    </row>
    <row r="891" spans="1:7" ht="12.75">
      <c r="A891">
        <v>661</v>
      </c>
      <c r="B891">
        <v>0.92</v>
      </c>
      <c r="C891">
        <v>661</v>
      </c>
      <c r="D891">
        <v>92</v>
      </c>
      <c r="E891">
        <f t="shared" si="28"/>
        <v>0.92</v>
      </c>
      <c r="F891">
        <f t="shared" si="29"/>
        <v>0</v>
      </c>
      <c r="G891">
        <f t="shared" si="30"/>
        <v>0</v>
      </c>
    </row>
    <row r="892" spans="1:7" ht="12.75">
      <c r="A892">
        <v>662</v>
      </c>
      <c r="B892">
        <v>0.92</v>
      </c>
      <c r="C892">
        <v>662</v>
      </c>
      <c r="D892">
        <v>92</v>
      </c>
      <c r="E892">
        <f t="shared" si="28"/>
        <v>0.92</v>
      </c>
      <c r="F892">
        <f t="shared" si="29"/>
        <v>0</v>
      </c>
      <c r="G892">
        <f t="shared" si="30"/>
        <v>0</v>
      </c>
    </row>
    <row r="893" spans="1:7" ht="12.75">
      <c r="A893">
        <v>664</v>
      </c>
      <c r="B893">
        <v>0.85</v>
      </c>
      <c r="C893">
        <v>664</v>
      </c>
      <c r="D893">
        <v>85</v>
      </c>
      <c r="E893">
        <f t="shared" si="28"/>
        <v>0.85</v>
      </c>
      <c r="F893">
        <f t="shared" si="29"/>
        <v>0</v>
      </c>
      <c r="G893">
        <f t="shared" si="30"/>
        <v>0</v>
      </c>
    </row>
    <row r="894" spans="1:7" ht="12.75">
      <c r="A894">
        <v>665</v>
      </c>
      <c r="B894">
        <v>0.85</v>
      </c>
      <c r="C894">
        <v>665</v>
      </c>
      <c r="D894">
        <v>85</v>
      </c>
      <c r="E894">
        <f t="shared" si="28"/>
        <v>0.85</v>
      </c>
      <c r="F894">
        <f t="shared" si="29"/>
        <v>0</v>
      </c>
      <c r="G894">
        <f t="shared" si="30"/>
        <v>0</v>
      </c>
    </row>
    <row r="895" spans="1:7" ht="12.75">
      <c r="A895">
        <v>666</v>
      </c>
      <c r="B895">
        <v>0.85</v>
      </c>
      <c r="C895">
        <v>666</v>
      </c>
      <c r="D895">
        <v>85</v>
      </c>
      <c r="E895">
        <f t="shared" si="28"/>
        <v>0.85</v>
      </c>
      <c r="F895">
        <f t="shared" si="29"/>
        <v>0</v>
      </c>
      <c r="G895">
        <f t="shared" si="30"/>
        <v>0</v>
      </c>
    </row>
    <row r="896" spans="1:7" ht="12.75">
      <c r="A896">
        <v>667</v>
      </c>
      <c r="B896">
        <v>0.85</v>
      </c>
      <c r="C896">
        <v>667</v>
      </c>
      <c r="D896">
        <v>85</v>
      </c>
      <c r="E896">
        <f t="shared" si="28"/>
        <v>0.85</v>
      </c>
      <c r="F896">
        <f t="shared" si="29"/>
        <v>0</v>
      </c>
      <c r="G896">
        <f t="shared" si="30"/>
        <v>0</v>
      </c>
    </row>
    <row r="897" spans="1:7" ht="12.75">
      <c r="A897">
        <v>668</v>
      </c>
      <c r="B897">
        <v>0.82</v>
      </c>
      <c r="C897">
        <v>668</v>
      </c>
      <c r="D897">
        <v>82</v>
      </c>
      <c r="E897">
        <f t="shared" si="28"/>
        <v>0.82</v>
      </c>
      <c r="F897">
        <f t="shared" si="29"/>
        <v>0</v>
      </c>
      <c r="G897">
        <f t="shared" si="30"/>
        <v>0</v>
      </c>
    </row>
    <row r="898" spans="1:7" ht="12.75">
      <c r="A898">
        <v>669</v>
      </c>
      <c r="B898">
        <v>0.83</v>
      </c>
      <c r="C898">
        <v>669</v>
      </c>
      <c r="D898">
        <v>83</v>
      </c>
      <c r="E898">
        <f t="shared" si="28"/>
        <v>0.83</v>
      </c>
      <c r="F898">
        <f t="shared" si="29"/>
        <v>0</v>
      </c>
      <c r="G898">
        <f t="shared" si="30"/>
        <v>0</v>
      </c>
    </row>
    <row r="899" spans="1:7" ht="12.75">
      <c r="A899">
        <v>670</v>
      </c>
      <c r="B899">
        <v>0.85</v>
      </c>
      <c r="C899">
        <v>670</v>
      </c>
      <c r="D899">
        <v>85</v>
      </c>
      <c r="E899">
        <f t="shared" si="28"/>
        <v>0.85</v>
      </c>
      <c r="F899">
        <f t="shared" si="29"/>
        <v>0</v>
      </c>
      <c r="G899">
        <f t="shared" si="30"/>
        <v>0</v>
      </c>
    </row>
    <row r="900" spans="1:7" ht="12.75">
      <c r="A900">
        <v>671</v>
      </c>
      <c r="B900">
        <v>0.85</v>
      </c>
      <c r="C900">
        <v>671</v>
      </c>
      <c r="D900">
        <v>85</v>
      </c>
      <c r="E900">
        <f t="shared" si="28"/>
        <v>0.85</v>
      </c>
      <c r="F900">
        <f t="shared" si="29"/>
        <v>0</v>
      </c>
      <c r="G900">
        <f t="shared" si="30"/>
        <v>0</v>
      </c>
    </row>
    <row r="901" spans="1:7" ht="12.75">
      <c r="A901">
        <v>672</v>
      </c>
      <c r="B901">
        <v>0.85</v>
      </c>
      <c r="C901">
        <v>672</v>
      </c>
      <c r="D901">
        <v>85</v>
      </c>
      <c r="E901">
        <f t="shared" si="28"/>
        <v>0.85</v>
      </c>
      <c r="F901">
        <f t="shared" si="29"/>
        <v>0</v>
      </c>
      <c r="G901">
        <f t="shared" si="30"/>
        <v>0</v>
      </c>
    </row>
    <row r="902" spans="1:7" ht="12.75">
      <c r="A902">
        <v>673</v>
      </c>
      <c r="B902">
        <v>0.8</v>
      </c>
      <c r="C902">
        <v>673</v>
      </c>
      <c r="D902">
        <v>80</v>
      </c>
      <c r="E902">
        <f t="shared" si="28"/>
        <v>0.8</v>
      </c>
      <c r="F902">
        <f t="shared" si="29"/>
        <v>0</v>
      </c>
      <c r="G902">
        <f t="shared" si="30"/>
        <v>0</v>
      </c>
    </row>
    <row r="903" spans="1:7" ht="12.75">
      <c r="A903">
        <v>674</v>
      </c>
      <c r="B903">
        <v>0.82</v>
      </c>
      <c r="C903">
        <v>674</v>
      </c>
      <c r="D903">
        <v>82</v>
      </c>
      <c r="E903">
        <f t="shared" si="28"/>
        <v>0.82</v>
      </c>
      <c r="F903">
        <f t="shared" si="29"/>
        <v>0</v>
      </c>
      <c r="G903">
        <f t="shared" si="30"/>
        <v>0</v>
      </c>
    </row>
    <row r="904" spans="1:7" ht="12.75">
      <c r="A904">
        <v>675</v>
      </c>
      <c r="B904">
        <v>0.77</v>
      </c>
      <c r="C904">
        <v>675</v>
      </c>
      <c r="D904">
        <v>77</v>
      </c>
      <c r="E904">
        <f t="shared" si="28"/>
        <v>0.77</v>
      </c>
      <c r="F904">
        <f t="shared" si="29"/>
        <v>0</v>
      </c>
      <c r="G904">
        <f t="shared" si="30"/>
        <v>0</v>
      </c>
    </row>
    <row r="905" spans="1:7" ht="12.75">
      <c r="A905">
        <v>676</v>
      </c>
      <c r="B905">
        <v>0.83</v>
      </c>
      <c r="C905">
        <v>676</v>
      </c>
      <c r="D905">
        <v>83</v>
      </c>
      <c r="E905">
        <f t="shared" si="28"/>
        <v>0.83</v>
      </c>
      <c r="F905">
        <f t="shared" si="29"/>
        <v>0</v>
      </c>
      <c r="G905">
        <f t="shared" si="30"/>
        <v>0</v>
      </c>
    </row>
    <row r="906" spans="1:7" ht="12.75">
      <c r="A906">
        <v>677</v>
      </c>
      <c r="B906">
        <v>0.83</v>
      </c>
      <c r="C906">
        <v>677</v>
      </c>
      <c r="D906">
        <v>83</v>
      </c>
      <c r="E906">
        <f t="shared" si="28"/>
        <v>0.83</v>
      </c>
      <c r="F906">
        <f t="shared" si="29"/>
        <v>0</v>
      </c>
      <c r="G906">
        <f t="shared" si="30"/>
        <v>0</v>
      </c>
    </row>
    <row r="907" spans="1:7" ht="12.75">
      <c r="A907">
        <v>678</v>
      </c>
      <c r="B907">
        <v>0.84</v>
      </c>
      <c r="C907">
        <v>678</v>
      </c>
      <c r="D907">
        <v>84</v>
      </c>
      <c r="E907">
        <f t="shared" si="28"/>
        <v>0.84</v>
      </c>
      <c r="F907">
        <f t="shared" si="29"/>
        <v>0</v>
      </c>
      <c r="G907">
        <f t="shared" si="30"/>
        <v>0</v>
      </c>
    </row>
    <row r="908" spans="1:7" ht="12.75">
      <c r="A908">
        <v>679</v>
      </c>
      <c r="B908">
        <v>0.77</v>
      </c>
      <c r="C908">
        <v>679</v>
      </c>
      <c r="D908">
        <v>77</v>
      </c>
      <c r="E908">
        <f t="shared" si="28"/>
        <v>0.77</v>
      </c>
      <c r="F908">
        <f t="shared" si="29"/>
        <v>0</v>
      </c>
      <c r="G908">
        <f t="shared" si="30"/>
        <v>0</v>
      </c>
    </row>
    <row r="909" spans="1:7" ht="12.75">
      <c r="A909">
        <v>680</v>
      </c>
      <c r="B909">
        <v>0.88</v>
      </c>
      <c r="C909">
        <v>680</v>
      </c>
      <c r="D909">
        <v>88</v>
      </c>
      <c r="E909">
        <f t="shared" si="28"/>
        <v>0.88</v>
      </c>
      <c r="F909">
        <f t="shared" si="29"/>
        <v>0</v>
      </c>
      <c r="G909">
        <f t="shared" si="30"/>
        <v>0</v>
      </c>
    </row>
    <row r="910" spans="1:7" ht="12.75">
      <c r="A910">
        <v>681</v>
      </c>
      <c r="B910">
        <v>0.88</v>
      </c>
      <c r="C910">
        <v>681</v>
      </c>
      <c r="D910">
        <v>88</v>
      </c>
      <c r="E910">
        <f t="shared" si="28"/>
        <v>0.88</v>
      </c>
      <c r="F910">
        <f t="shared" si="29"/>
        <v>0</v>
      </c>
      <c r="G910">
        <f t="shared" si="30"/>
        <v>0</v>
      </c>
    </row>
    <row r="911" spans="1:7" ht="12.75">
      <c r="A911">
        <v>683</v>
      </c>
      <c r="B911">
        <v>0.83</v>
      </c>
      <c r="C911">
        <v>683</v>
      </c>
      <c r="D911">
        <v>83</v>
      </c>
      <c r="E911">
        <f t="shared" si="28"/>
        <v>0.83</v>
      </c>
      <c r="F911">
        <f t="shared" si="29"/>
        <v>0</v>
      </c>
      <c r="G911">
        <f t="shared" si="30"/>
        <v>0</v>
      </c>
    </row>
    <row r="912" spans="1:7" ht="12.75">
      <c r="A912">
        <v>684</v>
      </c>
      <c r="B912">
        <v>0.83</v>
      </c>
      <c r="C912">
        <v>684</v>
      </c>
      <c r="D912">
        <v>83</v>
      </c>
      <c r="E912">
        <f t="shared" si="28"/>
        <v>0.83</v>
      </c>
      <c r="F912">
        <f t="shared" si="29"/>
        <v>0</v>
      </c>
      <c r="G912">
        <f t="shared" si="30"/>
        <v>0</v>
      </c>
    </row>
    <row r="913" spans="1:7" ht="12.75">
      <c r="A913">
        <v>685</v>
      </c>
      <c r="B913">
        <v>0.83</v>
      </c>
      <c r="C913">
        <v>685</v>
      </c>
      <c r="D913">
        <v>83</v>
      </c>
      <c r="E913">
        <f t="shared" si="28"/>
        <v>0.83</v>
      </c>
      <c r="F913">
        <f t="shared" si="29"/>
        <v>0</v>
      </c>
      <c r="G913">
        <f t="shared" si="30"/>
        <v>0</v>
      </c>
    </row>
    <row r="914" spans="1:7" ht="12.75">
      <c r="A914">
        <v>686</v>
      </c>
      <c r="B914">
        <v>0.74</v>
      </c>
      <c r="C914">
        <v>686</v>
      </c>
      <c r="D914">
        <v>74</v>
      </c>
      <c r="E914">
        <f t="shared" si="28"/>
        <v>0.74</v>
      </c>
      <c r="F914">
        <f t="shared" si="29"/>
        <v>0</v>
      </c>
      <c r="G914">
        <f t="shared" si="30"/>
        <v>0</v>
      </c>
    </row>
    <row r="915" spans="1:7" ht="12.75">
      <c r="A915">
        <v>687</v>
      </c>
      <c r="B915">
        <v>0.84</v>
      </c>
      <c r="C915">
        <v>687</v>
      </c>
      <c r="D915">
        <v>84</v>
      </c>
      <c r="E915">
        <f t="shared" si="28"/>
        <v>0.84</v>
      </c>
      <c r="F915">
        <f t="shared" si="29"/>
        <v>0</v>
      </c>
      <c r="G915">
        <f t="shared" si="30"/>
        <v>0</v>
      </c>
    </row>
    <row r="916" spans="1:7" ht="12.75">
      <c r="A916">
        <v>688</v>
      </c>
      <c r="B916">
        <v>0.83</v>
      </c>
      <c r="C916">
        <v>688</v>
      </c>
      <c r="D916">
        <v>83</v>
      </c>
      <c r="E916">
        <f t="shared" si="28"/>
        <v>0.83</v>
      </c>
      <c r="F916">
        <f t="shared" si="29"/>
        <v>0</v>
      </c>
      <c r="G916">
        <f t="shared" si="30"/>
        <v>0</v>
      </c>
    </row>
    <row r="917" spans="1:7" ht="12.75">
      <c r="A917">
        <v>689</v>
      </c>
      <c r="B917">
        <v>0.8</v>
      </c>
      <c r="C917">
        <v>689</v>
      </c>
      <c r="D917">
        <v>80</v>
      </c>
      <c r="E917">
        <f t="shared" si="28"/>
        <v>0.8</v>
      </c>
      <c r="F917">
        <f t="shared" si="29"/>
        <v>0</v>
      </c>
      <c r="G917">
        <f t="shared" si="30"/>
        <v>0</v>
      </c>
    </row>
    <row r="918" spans="1:7" ht="12.75">
      <c r="A918">
        <v>690</v>
      </c>
      <c r="B918">
        <v>0.72</v>
      </c>
      <c r="C918">
        <v>690</v>
      </c>
      <c r="D918">
        <v>72</v>
      </c>
      <c r="E918">
        <f t="shared" si="28"/>
        <v>0.72</v>
      </c>
      <c r="F918">
        <f t="shared" si="29"/>
        <v>0</v>
      </c>
      <c r="G918">
        <f t="shared" si="30"/>
        <v>0</v>
      </c>
    </row>
    <row r="919" spans="1:7" ht="12.75">
      <c r="A919">
        <v>691</v>
      </c>
      <c r="B919">
        <v>0.8</v>
      </c>
      <c r="C919">
        <v>691</v>
      </c>
      <c r="D919">
        <v>80</v>
      </c>
      <c r="E919">
        <f t="shared" si="28"/>
        <v>0.8</v>
      </c>
      <c r="F919">
        <f t="shared" si="29"/>
        <v>0</v>
      </c>
      <c r="G919">
        <f t="shared" si="30"/>
        <v>0</v>
      </c>
    </row>
    <row r="920" spans="1:7" ht="12.75">
      <c r="A920">
        <v>692</v>
      </c>
      <c r="B920">
        <v>0.75</v>
      </c>
      <c r="C920">
        <v>692</v>
      </c>
      <c r="D920">
        <v>75</v>
      </c>
      <c r="E920">
        <f t="shared" si="28"/>
        <v>0.75</v>
      </c>
      <c r="F920">
        <f t="shared" si="29"/>
        <v>0</v>
      </c>
      <c r="G920">
        <f t="shared" si="30"/>
        <v>0</v>
      </c>
    </row>
    <row r="921" spans="1:7" ht="12.75">
      <c r="A921">
        <v>693</v>
      </c>
      <c r="B921">
        <v>0.73</v>
      </c>
      <c r="C921">
        <v>693</v>
      </c>
      <c r="D921">
        <v>73</v>
      </c>
      <c r="E921">
        <f t="shared" si="28"/>
        <v>0.73</v>
      </c>
      <c r="F921">
        <f t="shared" si="29"/>
        <v>0</v>
      </c>
      <c r="G921">
        <f t="shared" si="30"/>
        <v>0</v>
      </c>
    </row>
    <row r="922" spans="1:7" ht="12.75">
      <c r="A922">
        <v>700</v>
      </c>
      <c r="B922">
        <v>0.85</v>
      </c>
      <c r="C922">
        <v>700</v>
      </c>
      <c r="D922">
        <v>85</v>
      </c>
      <c r="E922">
        <f t="shared" si="28"/>
        <v>0.85</v>
      </c>
      <c r="F922">
        <f t="shared" si="29"/>
        <v>0</v>
      </c>
      <c r="G922">
        <f t="shared" si="30"/>
        <v>0</v>
      </c>
    </row>
    <row r="923" spans="1:7" ht="12.75">
      <c r="A923">
        <v>701</v>
      </c>
      <c r="B923">
        <v>0.85</v>
      </c>
      <c r="C923">
        <v>701</v>
      </c>
      <c r="D923">
        <v>85</v>
      </c>
      <c r="E923">
        <f t="shared" si="28"/>
        <v>0.85</v>
      </c>
      <c r="F923">
        <f t="shared" si="29"/>
        <v>0</v>
      </c>
      <c r="G923">
        <f t="shared" si="30"/>
        <v>0</v>
      </c>
    </row>
    <row r="924" spans="1:7" ht="12.75">
      <c r="A924">
        <v>703</v>
      </c>
      <c r="B924">
        <v>0.85</v>
      </c>
      <c r="C924">
        <v>703</v>
      </c>
      <c r="D924">
        <v>85</v>
      </c>
      <c r="E924">
        <f t="shared" si="28"/>
        <v>0.85</v>
      </c>
      <c r="F924">
        <f t="shared" si="29"/>
        <v>0</v>
      </c>
      <c r="G924">
        <f t="shared" si="30"/>
        <v>0</v>
      </c>
    </row>
    <row r="925" spans="1:7" ht="12.75">
      <c r="A925">
        <v>704</v>
      </c>
      <c r="B925">
        <v>0.83</v>
      </c>
      <c r="C925">
        <v>704</v>
      </c>
      <c r="D925">
        <v>83</v>
      </c>
      <c r="E925">
        <f aca="true" t="shared" si="31" ref="E925:E988">D925/100</f>
        <v>0.83</v>
      </c>
      <c r="F925">
        <f aca="true" t="shared" si="32" ref="F925:F988">A925-C925</f>
        <v>0</v>
      </c>
      <c r="G925">
        <f aca="true" t="shared" si="33" ref="G925:G988">B925-E925</f>
        <v>0</v>
      </c>
    </row>
    <row r="926" spans="1:7" ht="12.75">
      <c r="A926">
        <v>705</v>
      </c>
      <c r="B926">
        <v>0.83</v>
      </c>
      <c r="C926">
        <v>705</v>
      </c>
      <c r="D926">
        <v>83</v>
      </c>
      <c r="E926">
        <f t="shared" si="31"/>
        <v>0.83</v>
      </c>
      <c r="F926">
        <f t="shared" si="32"/>
        <v>0</v>
      </c>
      <c r="G926">
        <f t="shared" si="33"/>
        <v>0</v>
      </c>
    </row>
    <row r="927" spans="1:7" ht="12.75">
      <c r="A927">
        <v>706</v>
      </c>
      <c r="B927">
        <v>0.84</v>
      </c>
      <c r="C927">
        <v>706</v>
      </c>
      <c r="D927">
        <v>84</v>
      </c>
      <c r="E927">
        <f t="shared" si="31"/>
        <v>0.84</v>
      </c>
      <c r="F927">
        <f t="shared" si="32"/>
        <v>0</v>
      </c>
      <c r="G927">
        <f t="shared" si="33"/>
        <v>0</v>
      </c>
    </row>
    <row r="928" spans="1:7" ht="12.75">
      <c r="A928">
        <v>707</v>
      </c>
      <c r="B928">
        <v>0.83</v>
      </c>
      <c r="C928">
        <v>707</v>
      </c>
      <c r="D928">
        <v>83</v>
      </c>
      <c r="E928">
        <f t="shared" si="31"/>
        <v>0.83</v>
      </c>
      <c r="F928">
        <f t="shared" si="32"/>
        <v>0</v>
      </c>
      <c r="G928">
        <f t="shared" si="33"/>
        <v>0</v>
      </c>
    </row>
    <row r="929" spans="1:7" ht="12.75">
      <c r="A929">
        <v>708</v>
      </c>
      <c r="B929">
        <v>0.83</v>
      </c>
      <c r="C929">
        <v>708</v>
      </c>
      <c r="D929">
        <v>83</v>
      </c>
      <c r="E929">
        <f t="shared" si="31"/>
        <v>0.83</v>
      </c>
      <c r="F929">
        <f t="shared" si="32"/>
        <v>0</v>
      </c>
      <c r="G929">
        <f t="shared" si="33"/>
        <v>0</v>
      </c>
    </row>
    <row r="930" spans="1:7" ht="12.75">
      <c r="A930">
        <v>710</v>
      </c>
      <c r="B930">
        <v>0.81</v>
      </c>
      <c r="C930">
        <v>710</v>
      </c>
      <c r="D930">
        <v>81</v>
      </c>
      <c r="E930">
        <f t="shared" si="31"/>
        <v>0.81</v>
      </c>
      <c r="F930">
        <f t="shared" si="32"/>
        <v>0</v>
      </c>
      <c r="G930">
        <f t="shared" si="33"/>
        <v>0</v>
      </c>
    </row>
    <row r="931" spans="1:7" ht="12.75">
      <c r="A931">
        <v>711</v>
      </c>
      <c r="B931">
        <v>0.81</v>
      </c>
      <c r="C931">
        <v>711</v>
      </c>
      <c r="D931">
        <v>81</v>
      </c>
      <c r="E931">
        <f t="shared" si="31"/>
        <v>0.81</v>
      </c>
      <c r="F931">
        <f t="shared" si="32"/>
        <v>0</v>
      </c>
      <c r="G931">
        <f t="shared" si="33"/>
        <v>0</v>
      </c>
    </row>
    <row r="932" spans="1:7" ht="12.75">
      <c r="A932">
        <v>712</v>
      </c>
      <c r="B932">
        <v>0.79</v>
      </c>
      <c r="C932">
        <v>712</v>
      </c>
      <c r="D932">
        <v>79</v>
      </c>
      <c r="E932">
        <f t="shared" si="31"/>
        <v>0.79</v>
      </c>
      <c r="F932">
        <f t="shared" si="32"/>
        <v>0</v>
      </c>
      <c r="G932">
        <f t="shared" si="33"/>
        <v>0</v>
      </c>
    </row>
    <row r="933" spans="1:7" ht="12.75">
      <c r="A933">
        <v>713</v>
      </c>
      <c r="B933">
        <v>0.78</v>
      </c>
      <c r="C933">
        <v>713</v>
      </c>
      <c r="D933">
        <v>78</v>
      </c>
      <c r="E933">
        <f t="shared" si="31"/>
        <v>0.78</v>
      </c>
      <c r="F933">
        <f t="shared" si="32"/>
        <v>0</v>
      </c>
      <c r="G933">
        <f t="shared" si="33"/>
        <v>0</v>
      </c>
    </row>
    <row r="934" spans="1:7" ht="12.75">
      <c r="A934">
        <v>714</v>
      </c>
      <c r="B934">
        <v>0.78</v>
      </c>
      <c r="C934">
        <v>714</v>
      </c>
      <c r="D934">
        <v>78</v>
      </c>
      <c r="E934">
        <f t="shared" si="31"/>
        <v>0.78</v>
      </c>
      <c r="F934">
        <f t="shared" si="32"/>
        <v>0</v>
      </c>
      <c r="G934">
        <f t="shared" si="33"/>
        <v>0</v>
      </c>
    </row>
    <row r="935" spans="1:7" ht="12.75">
      <c r="A935">
        <v>716</v>
      </c>
      <c r="B935">
        <v>0.79</v>
      </c>
      <c r="C935">
        <v>716</v>
      </c>
      <c r="D935">
        <v>79</v>
      </c>
      <c r="E935">
        <f t="shared" si="31"/>
        <v>0.79</v>
      </c>
      <c r="F935">
        <f t="shared" si="32"/>
        <v>0</v>
      </c>
      <c r="G935">
        <f t="shared" si="33"/>
        <v>0</v>
      </c>
    </row>
    <row r="936" spans="1:7" ht="12.75">
      <c r="A936">
        <v>717</v>
      </c>
      <c r="B936">
        <v>0.71</v>
      </c>
      <c r="C936">
        <v>717</v>
      </c>
      <c r="D936">
        <v>71</v>
      </c>
      <c r="E936">
        <f t="shared" si="31"/>
        <v>0.71</v>
      </c>
      <c r="F936">
        <f t="shared" si="32"/>
        <v>0</v>
      </c>
      <c r="G936">
        <f t="shared" si="33"/>
        <v>0</v>
      </c>
    </row>
    <row r="937" spans="1:7" ht="12.75">
      <c r="A937">
        <v>718</v>
      </c>
      <c r="B937">
        <v>0.75</v>
      </c>
      <c r="C937">
        <v>718</v>
      </c>
      <c r="D937">
        <v>75</v>
      </c>
      <c r="E937">
        <f t="shared" si="31"/>
        <v>0.75</v>
      </c>
      <c r="F937">
        <f t="shared" si="32"/>
        <v>0</v>
      </c>
      <c r="G937">
        <f t="shared" si="33"/>
        <v>0</v>
      </c>
    </row>
    <row r="938" spans="1:7" ht="12.75">
      <c r="A938">
        <v>719</v>
      </c>
      <c r="B938">
        <v>0.71</v>
      </c>
      <c r="C938">
        <v>719</v>
      </c>
      <c r="D938">
        <v>71</v>
      </c>
      <c r="E938">
        <f t="shared" si="31"/>
        <v>0.71</v>
      </c>
      <c r="F938">
        <f t="shared" si="32"/>
        <v>0</v>
      </c>
      <c r="G938">
        <f t="shared" si="33"/>
        <v>0</v>
      </c>
    </row>
    <row r="939" spans="1:7" ht="12.75">
      <c r="A939">
        <v>720</v>
      </c>
      <c r="B939">
        <v>0.8</v>
      </c>
      <c r="C939">
        <v>720</v>
      </c>
      <c r="D939">
        <v>80</v>
      </c>
      <c r="E939">
        <f t="shared" si="31"/>
        <v>0.8</v>
      </c>
      <c r="F939">
        <f t="shared" si="32"/>
        <v>0</v>
      </c>
      <c r="G939">
        <f t="shared" si="33"/>
        <v>0</v>
      </c>
    </row>
    <row r="940" spans="1:7" ht="12.75">
      <c r="A940">
        <v>721</v>
      </c>
      <c r="B940">
        <v>0.8</v>
      </c>
      <c r="C940">
        <v>721</v>
      </c>
      <c r="D940">
        <v>80</v>
      </c>
      <c r="E940">
        <f t="shared" si="31"/>
        <v>0.8</v>
      </c>
      <c r="F940">
        <f t="shared" si="32"/>
        <v>0</v>
      </c>
      <c r="G940">
        <f t="shared" si="33"/>
        <v>0</v>
      </c>
    </row>
    <row r="941" spans="1:7" ht="12.75">
      <c r="A941">
        <v>722</v>
      </c>
      <c r="B941">
        <v>0.8</v>
      </c>
      <c r="C941">
        <v>722</v>
      </c>
      <c r="D941">
        <v>80</v>
      </c>
      <c r="E941">
        <f t="shared" si="31"/>
        <v>0.8</v>
      </c>
      <c r="F941">
        <f t="shared" si="32"/>
        <v>0</v>
      </c>
      <c r="G941">
        <f t="shared" si="33"/>
        <v>0</v>
      </c>
    </row>
    <row r="942" spans="1:7" ht="12.75">
      <c r="A942">
        <v>723</v>
      </c>
      <c r="B942">
        <v>0.81</v>
      </c>
      <c r="C942">
        <v>723</v>
      </c>
      <c r="D942">
        <v>81</v>
      </c>
      <c r="E942">
        <f t="shared" si="31"/>
        <v>0.81</v>
      </c>
      <c r="F942">
        <f t="shared" si="32"/>
        <v>0</v>
      </c>
      <c r="G942">
        <f t="shared" si="33"/>
        <v>0</v>
      </c>
    </row>
    <row r="943" spans="1:7" ht="12.75">
      <c r="A943">
        <v>724</v>
      </c>
      <c r="B943">
        <v>0.81</v>
      </c>
      <c r="C943">
        <v>724</v>
      </c>
      <c r="D943">
        <v>81</v>
      </c>
      <c r="E943">
        <f t="shared" si="31"/>
        <v>0.81</v>
      </c>
      <c r="F943">
        <f t="shared" si="32"/>
        <v>0</v>
      </c>
      <c r="G943">
        <f t="shared" si="33"/>
        <v>0</v>
      </c>
    </row>
    <row r="944" spans="1:7" ht="12.75">
      <c r="A944">
        <v>725</v>
      </c>
      <c r="B944">
        <v>0.77</v>
      </c>
      <c r="C944">
        <v>725</v>
      </c>
      <c r="D944">
        <v>77</v>
      </c>
      <c r="E944">
        <f t="shared" si="31"/>
        <v>0.77</v>
      </c>
      <c r="F944">
        <f t="shared" si="32"/>
        <v>0</v>
      </c>
      <c r="G944">
        <f t="shared" si="33"/>
        <v>0</v>
      </c>
    </row>
    <row r="945" spans="1:7" ht="12.75">
      <c r="A945">
        <v>726</v>
      </c>
      <c r="B945">
        <v>0.78</v>
      </c>
      <c r="C945">
        <v>726</v>
      </c>
      <c r="D945">
        <v>78</v>
      </c>
      <c r="E945">
        <f t="shared" si="31"/>
        <v>0.78</v>
      </c>
      <c r="F945">
        <f t="shared" si="32"/>
        <v>0</v>
      </c>
      <c r="G945">
        <f t="shared" si="33"/>
        <v>0</v>
      </c>
    </row>
    <row r="946" spans="1:7" ht="12.75">
      <c r="A946">
        <v>727</v>
      </c>
      <c r="B946">
        <v>0.67</v>
      </c>
      <c r="C946">
        <v>727</v>
      </c>
      <c r="D946">
        <v>67</v>
      </c>
      <c r="E946">
        <f t="shared" si="31"/>
        <v>0.67</v>
      </c>
      <c r="F946">
        <f t="shared" si="32"/>
        <v>0</v>
      </c>
      <c r="G946">
        <f t="shared" si="33"/>
        <v>0</v>
      </c>
    </row>
    <row r="947" spans="1:7" ht="12.75">
      <c r="A947">
        <v>728</v>
      </c>
      <c r="B947">
        <v>0.76</v>
      </c>
      <c r="C947">
        <v>728</v>
      </c>
      <c r="D947">
        <v>76</v>
      </c>
      <c r="E947">
        <f t="shared" si="31"/>
        <v>0.76</v>
      </c>
      <c r="F947">
        <f t="shared" si="32"/>
        <v>0</v>
      </c>
      <c r="G947">
        <f t="shared" si="33"/>
        <v>0</v>
      </c>
    </row>
    <row r="948" spans="1:7" ht="12.75">
      <c r="A948">
        <v>729</v>
      </c>
      <c r="B948">
        <v>0.79</v>
      </c>
      <c r="C948">
        <v>729</v>
      </c>
      <c r="D948">
        <v>79</v>
      </c>
      <c r="E948">
        <f t="shared" si="31"/>
        <v>0.79</v>
      </c>
      <c r="F948">
        <f t="shared" si="32"/>
        <v>0</v>
      </c>
      <c r="G948">
        <f t="shared" si="33"/>
        <v>0</v>
      </c>
    </row>
    <row r="949" spans="1:7" ht="12.75">
      <c r="A949">
        <v>730</v>
      </c>
      <c r="B949">
        <v>0.83</v>
      </c>
      <c r="C949">
        <v>730</v>
      </c>
      <c r="D949">
        <v>83</v>
      </c>
      <c r="E949">
        <f t="shared" si="31"/>
        <v>0.83</v>
      </c>
      <c r="F949">
        <f t="shared" si="32"/>
        <v>0</v>
      </c>
      <c r="G949">
        <f t="shared" si="33"/>
        <v>0</v>
      </c>
    </row>
    <row r="950" spans="1:7" ht="12.75">
      <c r="A950">
        <v>731</v>
      </c>
      <c r="B950">
        <v>0.83</v>
      </c>
      <c r="C950">
        <v>731</v>
      </c>
      <c r="D950">
        <v>83</v>
      </c>
      <c r="E950">
        <f t="shared" si="31"/>
        <v>0.83</v>
      </c>
      <c r="F950">
        <f t="shared" si="32"/>
        <v>0</v>
      </c>
      <c r="G950">
        <f t="shared" si="33"/>
        <v>0</v>
      </c>
    </row>
    <row r="951" spans="1:7" ht="12.75">
      <c r="A951">
        <v>734</v>
      </c>
      <c r="B951">
        <v>0.81</v>
      </c>
      <c r="C951">
        <v>734</v>
      </c>
      <c r="D951">
        <v>81</v>
      </c>
      <c r="E951">
        <f t="shared" si="31"/>
        <v>0.81</v>
      </c>
      <c r="F951">
        <f t="shared" si="32"/>
        <v>0</v>
      </c>
      <c r="G951">
        <f t="shared" si="33"/>
        <v>0</v>
      </c>
    </row>
    <row r="952" spans="1:7" ht="12.75">
      <c r="A952">
        <v>735</v>
      </c>
      <c r="B952">
        <v>0.82</v>
      </c>
      <c r="C952">
        <v>735</v>
      </c>
      <c r="D952">
        <v>82</v>
      </c>
      <c r="E952">
        <f t="shared" si="31"/>
        <v>0.82</v>
      </c>
      <c r="F952">
        <f t="shared" si="32"/>
        <v>0</v>
      </c>
      <c r="G952">
        <f t="shared" si="33"/>
        <v>0</v>
      </c>
    </row>
    <row r="953" spans="1:7" ht="12.75">
      <c r="A953">
        <v>736</v>
      </c>
      <c r="B953">
        <v>0.81</v>
      </c>
      <c r="C953">
        <v>736</v>
      </c>
      <c r="D953">
        <v>81</v>
      </c>
      <c r="E953">
        <f t="shared" si="31"/>
        <v>0.81</v>
      </c>
      <c r="F953">
        <f t="shared" si="32"/>
        <v>0</v>
      </c>
      <c r="G953">
        <f t="shared" si="33"/>
        <v>0</v>
      </c>
    </row>
    <row r="954" spans="1:7" ht="12.75">
      <c r="A954">
        <v>737</v>
      </c>
      <c r="B954">
        <v>0.81</v>
      </c>
      <c r="C954">
        <v>737</v>
      </c>
      <c r="D954">
        <v>81</v>
      </c>
      <c r="E954">
        <f t="shared" si="31"/>
        <v>0.81</v>
      </c>
      <c r="F954">
        <f t="shared" si="32"/>
        <v>0</v>
      </c>
      <c r="G954">
        <f t="shared" si="33"/>
        <v>0</v>
      </c>
    </row>
    <row r="955" spans="1:7" ht="12.75">
      <c r="A955">
        <v>738</v>
      </c>
      <c r="B955">
        <v>0.8</v>
      </c>
      <c r="C955">
        <v>738</v>
      </c>
      <c r="D955">
        <v>80</v>
      </c>
      <c r="E955">
        <f t="shared" si="31"/>
        <v>0.8</v>
      </c>
      <c r="F955">
        <f t="shared" si="32"/>
        <v>0</v>
      </c>
      <c r="G955">
        <f t="shared" si="33"/>
        <v>0</v>
      </c>
    </row>
    <row r="956" spans="1:7" ht="12.75">
      <c r="A956">
        <v>739</v>
      </c>
      <c r="B956">
        <v>0.69</v>
      </c>
      <c r="C956">
        <v>739</v>
      </c>
      <c r="D956">
        <v>69</v>
      </c>
      <c r="E956">
        <f t="shared" si="31"/>
        <v>0.69</v>
      </c>
      <c r="F956">
        <f t="shared" si="32"/>
        <v>0</v>
      </c>
      <c r="G956">
        <f t="shared" si="33"/>
        <v>0</v>
      </c>
    </row>
    <row r="957" spans="1:7" ht="12.75">
      <c r="A957">
        <v>740</v>
      </c>
      <c r="B957">
        <v>0.83</v>
      </c>
      <c r="C957">
        <v>740</v>
      </c>
      <c r="D957">
        <v>83</v>
      </c>
      <c r="E957">
        <f t="shared" si="31"/>
        <v>0.83</v>
      </c>
      <c r="F957">
        <f t="shared" si="32"/>
        <v>0</v>
      </c>
      <c r="G957">
        <f t="shared" si="33"/>
        <v>0</v>
      </c>
    </row>
    <row r="958" spans="1:7" ht="12.75">
      <c r="A958">
        <v>741</v>
      </c>
      <c r="B958">
        <v>0.83</v>
      </c>
      <c r="C958">
        <v>741</v>
      </c>
      <c r="D958">
        <v>83</v>
      </c>
      <c r="E958">
        <f t="shared" si="31"/>
        <v>0.83</v>
      </c>
      <c r="F958">
        <f t="shared" si="32"/>
        <v>0</v>
      </c>
      <c r="G958">
        <f t="shared" si="33"/>
        <v>0</v>
      </c>
    </row>
    <row r="959" spans="1:7" ht="12.75">
      <c r="A959">
        <v>743</v>
      </c>
      <c r="B959">
        <v>0.82</v>
      </c>
      <c r="C959">
        <v>743</v>
      </c>
      <c r="D959">
        <v>82</v>
      </c>
      <c r="E959">
        <f t="shared" si="31"/>
        <v>0.82</v>
      </c>
      <c r="F959">
        <f t="shared" si="32"/>
        <v>0</v>
      </c>
      <c r="G959">
        <f t="shared" si="33"/>
        <v>0</v>
      </c>
    </row>
    <row r="960" spans="1:7" ht="12.75">
      <c r="A960">
        <v>744</v>
      </c>
      <c r="B960">
        <v>0.74</v>
      </c>
      <c r="C960">
        <v>744</v>
      </c>
      <c r="D960">
        <v>74</v>
      </c>
      <c r="E960">
        <f t="shared" si="31"/>
        <v>0.74</v>
      </c>
      <c r="F960">
        <f t="shared" si="32"/>
        <v>0</v>
      </c>
      <c r="G960">
        <f t="shared" si="33"/>
        <v>0</v>
      </c>
    </row>
    <row r="961" spans="1:7" ht="12.75">
      <c r="A961">
        <v>745</v>
      </c>
      <c r="B961">
        <v>0.77</v>
      </c>
      <c r="C961">
        <v>745</v>
      </c>
      <c r="D961">
        <v>77</v>
      </c>
      <c r="E961">
        <f t="shared" si="31"/>
        <v>0.77</v>
      </c>
      <c r="F961">
        <f t="shared" si="32"/>
        <v>0</v>
      </c>
      <c r="G961">
        <f t="shared" si="33"/>
        <v>0</v>
      </c>
    </row>
    <row r="962" spans="1:7" ht="12.75">
      <c r="A962">
        <v>746</v>
      </c>
      <c r="B962">
        <v>0.81</v>
      </c>
      <c r="C962">
        <v>746</v>
      </c>
      <c r="D962">
        <v>81</v>
      </c>
      <c r="E962">
        <f t="shared" si="31"/>
        <v>0.81</v>
      </c>
      <c r="F962">
        <f t="shared" si="32"/>
        <v>0</v>
      </c>
      <c r="G962">
        <f t="shared" si="33"/>
        <v>0</v>
      </c>
    </row>
    <row r="963" spans="1:7" ht="12.75">
      <c r="A963">
        <v>747</v>
      </c>
      <c r="B963">
        <v>0.8</v>
      </c>
      <c r="C963">
        <v>747</v>
      </c>
      <c r="D963">
        <v>80</v>
      </c>
      <c r="E963">
        <f t="shared" si="31"/>
        <v>0.8</v>
      </c>
      <c r="F963">
        <f t="shared" si="32"/>
        <v>0</v>
      </c>
      <c r="G963">
        <f t="shared" si="33"/>
        <v>0</v>
      </c>
    </row>
    <row r="964" spans="1:7" ht="12.75">
      <c r="A964">
        <v>748</v>
      </c>
      <c r="B964">
        <v>0.8</v>
      </c>
      <c r="C964">
        <v>748</v>
      </c>
      <c r="D964">
        <v>80</v>
      </c>
      <c r="E964">
        <f t="shared" si="31"/>
        <v>0.8</v>
      </c>
      <c r="F964">
        <f t="shared" si="32"/>
        <v>0</v>
      </c>
      <c r="G964">
        <f t="shared" si="33"/>
        <v>0</v>
      </c>
    </row>
    <row r="965" spans="1:7" ht="12.75">
      <c r="A965">
        <v>749</v>
      </c>
      <c r="B965">
        <v>0.81</v>
      </c>
      <c r="C965">
        <v>749</v>
      </c>
      <c r="D965">
        <v>81</v>
      </c>
      <c r="E965">
        <f t="shared" si="31"/>
        <v>0.81</v>
      </c>
      <c r="F965">
        <f t="shared" si="32"/>
        <v>0</v>
      </c>
      <c r="G965">
        <f t="shared" si="33"/>
        <v>0</v>
      </c>
    </row>
    <row r="966" spans="1:7" ht="12.75">
      <c r="A966">
        <v>750</v>
      </c>
      <c r="B966">
        <v>0.83</v>
      </c>
      <c r="C966">
        <v>750</v>
      </c>
      <c r="D966">
        <v>83</v>
      </c>
      <c r="E966">
        <f t="shared" si="31"/>
        <v>0.83</v>
      </c>
      <c r="F966">
        <f t="shared" si="32"/>
        <v>0</v>
      </c>
      <c r="G966">
        <f t="shared" si="33"/>
        <v>0</v>
      </c>
    </row>
    <row r="967" spans="1:7" ht="12.75">
      <c r="A967">
        <v>751</v>
      </c>
      <c r="B967">
        <v>0.84</v>
      </c>
      <c r="C967">
        <v>751</v>
      </c>
      <c r="D967">
        <v>84</v>
      </c>
      <c r="E967">
        <f t="shared" si="31"/>
        <v>0.84</v>
      </c>
      <c r="F967">
        <f t="shared" si="32"/>
        <v>0</v>
      </c>
      <c r="G967">
        <f t="shared" si="33"/>
        <v>0</v>
      </c>
    </row>
    <row r="968" spans="1:7" ht="12.75">
      <c r="A968">
        <v>752</v>
      </c>
      <c r="B968">
        <v>0.87</v>
      </c>
      <c r="C968">
        <v>752</v>
      </c>
      <c r="D968">
        <v>87</v>
      </c>
      <c r="E968">
        <f t="shared" si="31"/>
        <v>0.87</v>
      </c>
      <c r="F968">
        <f t="shared" si="32"/>
        <v>0</v>
      </c>
      <c r="G968">
        <f t="shared" si="33"/>
        <v>0</v>
      </c>
    </row>
    <row r="969" spans="1:7" ht="12.75">
      <c r="A969">
        <v>753</v>
      </c>
      <c r="B969">
        <v>0.87</v>
      </c>
      <c r="C969">
        <v>753</v>
      </c>
      <c r="D969">
        <v>87</v>
      </c>
      <c r="E969">
        <f t="shared" si="31"/>
        <v>0.87</v>
      </c>
      <c r="F969">
        <f t="shared" si="32"/>
        <v>0</v>
      </c>
      <c r="G969">
        <f t="shared" si="33"/>
        <v>0</v>
      </c>
    </row>
    <row r="970" spans="1:7" ht="12.75">
      <c r="A970">
        <v>754</v>
      </c>
      <c r="B970">
        <v>0.75</v>
      </c>
      <c r="C970">
        <v>754</v>
      </c>
      <c r="D970">
        <v>75</v>
      </c>
      <c r="E970">
        <f t="shared" si="31"/>
        <v>0.75</v>
      </c>
      <c r="F970">
        <f t="shared" si="32"/>
        <v>0</v>
      </c>
      <c r="G970">
        <f t="shared" si="33"/>
        <v>0</v>
      </c>
    </row>
    <row r="971" spans="1:7" ht="12.75">
      <c r="A971">
        <v>755</v>
      </c>
      <c r="B971">
        <v>0.79</v>
      </c>
      <c r="C971">
        <v>755</v>
      </c>
      <c r="D971">
        <v>79</v>
      </c>
      <c r="E971">
        <f t="shared" si="31"/>
        <v>0.79</v>
      </c>
      <c r="F971">
        <f t="shared" si="32"/>
        <v>0</v>
      </c>
      <c r="G971">
        <f t="shared" si="33"/>
        <v>0</v>
      </c>
    </row>
    <row r="972" spans="1:7" ht="12.75">
      <c r="A972">
        <v>756</v>
      </c>
      <c r="B972">
        <v>0.75</v>
      </c>
      <c r="C972">
        <v>756</v>
      </c>
      <c r="D972">
        <v>75</v>
      </c>
      <c r="E972">
        <f t="shared" si="31"/>
        <v>0.75</v>
      </c>
      <c r="F972">
        <f t="shared" si="32"/>
        <v>0</v>
      </c>
      <c r="G972">
        <f t="shared" si="33"/>
        <v>0</v>
      </c>
    </row>
    <row r="973" spans="1:7" ht="12.75">
      <c r="A973">
        <v>757</v>
      </c>
      <c r="B973">
        <v>0.81</v>
      </c>
      <c r="C973">
        <v>757</v>
      </c>
      <c r="D973">
        <v>81</v>
      </c>
      <c r="E973">
        <f t="shared" si="31"/>
        <v>0.81</v>
      </c>
      <c r="F973">
        <f t="shared" si="32"/>
        <v>0</v>
      </c>
      <c r="G973">
        <f t="shared" si="33"/>
        <v>0</v>
      </c>
    </row>
    <row r="974" spans="1:7" ht="12.75">
      <c r="A974">
        <v>758</v>
      </c>
      <c r="B974">
        <v>0.75</v>
      </c>
      <c r="C974">
        <v>758</v>
      </c>
      <c r="D974">
        <v>75</v>
      </c>
      <c r="E974">
        <f t="shared" si="31"/>
        <v>0.75</v>
      </c>
      <c r="F974">
        <f t="shared" si="32"/>
        <v>0</v>
      </c>
      <c r="G974">
        <f t="shared" si="33"/>
        <v>0</v>
      </c>
    </row>
    <row r="975" spans="1:7" ht="12.75">
      <c r="A975">
        <v>759</v>
      </c>
      <c r="B975">
        <v>0.79</v>
      </c>
      <c r="C975">
        <v>759</v>
      </c>
      <c r="D975">
        <v>79</v>
      </c>
      <c r="E975">
        <f t="shared" si="31"/>
        <v>0.79</v>
      </c>
      <c r="F975">
        <f t="shared" si="32"/>
        <v>0</v>
      </c>
      <c r="G975">
        <f t="shared" si="33"/>
        <v>0</v>
      </c>
    </row>
    <row r="976" spans="1:7" ht="12.75">
      <c r="A976">
        <v>760</v>
      </c>
      <c r="B976">
        <v>0.84</v>
      </c>
      <c r="C976">
        <v>760</v>
      </c>
      <c r="D976">
        <v>84</v>
      </c>
      <c r="E976">
        <f t="shared" si="31"/>
        <v>0.84</v>
      </c>
      <c r="F976">
        <f t="shared" si="32"/>
        <v>0</v>
      </c>
      <c r="G976">
        <f t="shared" si="33"/>
        <v>0</v>
      </c>
    </row>
    <row r="977" spans="1:7" ht="12.75">
      <c r="A977">
        <v>761</v>
      </c>
      <c r="B977">
        <v>0.84</v>
      </c>
      <c r="C977">
        <v>761</v>
      </c>
      <c r="D977">
        <v>84</v>
      </c>
      <c r="E977">
        <f t="shared" si="31"/>
        <v>0.84</v>
      </c>
      <c r="F977">
        <f t="shared" si="32"/>
        <v>0</v>
      </c>
      <c r="G977">
        <f t="shared" si="33"/>
        <v>0</v>
      </c>
    </row>
    <row r="978" spans="1:7" ht="12.75">
      <c r="A978">
        <v>762</v>
      </c>
      <c r="B978">
        <v>0.8</v>
      </c>
      <c r="C978">
        <v>762</v>
      </c>
      <c r="D978">
        <v>80</v>
      </c>
      <c r="E978">
        <f t="shared" si="31"/>
        <v>0.8</v>
      </c>
      <c r="F978">
        <f t="shared" si="32"/>
        <v>0</v>
      </c>
      <c r="G978">
        <f t="shared" si="33"/>
        <v>0</v>
      </c>
    </row>
    <row r="979" spans="1:7" ht="12.75">
      <c r="A979">
        <v>763</v>
      </c>
      <c r="B979">
        <v>0.81</v>
      </c>
      <c r="C979">
        <v>763</v>
      </c>
      <c r="D979">
        <v>81</v>
      </c>
      <c r="E979">
        <f t="shared" si="31"/>
        <v>0.81</v>
      </c>
      <c r="F979">
        <f t="shared" si="32"/>
        <v>0</v>
      </c>
      <c r="G979">
        <f t="shared" si="33"/>
        <v>0</v>
      </c>
    </row>
    <row r="980" spans="1:7" ht="12.75">
      <c r="A980">
        <v>764</v>
      </c>
      <c r="B980">
        <v>0.75</v>
      </c>
      <c r="C980">
        <v>764</v>
      </c>
      <c r="D980">
        <v>75</v>
      </c>
      <c r="E980">
        <f t="shared" si="31"/>
        <v>0.75</v>
      </c>
      <c r="F980">
        <f t="shared" si="32"/>
        <v>0</v>
      </c>
      <c r="G980">
        <f t="shared" si="33"/>
        <v>0</v>
      </c>
    </row>
    <row r="981" spans="1:7" ht="12.75">
      <c r="A981">
        <v>765</v>
      </c>
      <c r="B981">
        <v>0.78</v>
      </c>
      <c r="C981">
        <v>765</v>
      </c>
      <c r="D981">
        <v>78</v>
      </c>
      <c r="E981">
        <f t="shared" si="31"/>
        <v>0.78</v>
      </c>
      <c r="F981">
        <f t="shared" si="32"/>
        <v>0</v>
      </c>
      <c r="G981">
        <f t="shared" si="33"/>
        <v>0</v>
      </c>
    </row>
    <row r="982" spans="1:7" ht="12.75">
      <c r="A982">
        <v>766</v>
      </c>
      <c r="B982">
        <v>0.81</v>
      </c>
      <c r="C982">
        <v>766</v>
      </c>
      <c r="D982">
        <v>81</v>
      </c>
      <c r="E982">
        <f t="shared" si="31"/>
        <v>0.81</v>
      </c>
      <c r="F982">
        <f t="shared" si="32"/>
        <v>0</v>
      </c>
      <c r="G982">
        <f t="shared" si="33"/>
        <v>0</v>
      </c>
    </row>
    <row r="983" spans="1:7" ht="12.75">
      <c r="A983">
        <v>767</v>
      </c>
      <c r="B983">
        <v>0.81</v>
      </c>
      <c r="C983">
        <v>767</v>
      </c>
      <c r="D983">
        <v>81</v>
      </c>
      <c r="E983">
        <f t="shared" si="31"/>
        <v>0.81</v>
      </c>
      <c r="F983">
        <f t="shared" si="32"/>
        <v>0</v>
      </c>
      <c r="G983">
        <f t="shared" si="33"/>
        <v>0</v>
      </c>
    </row>
    <row r="984" spans="1:7" ht="12.75">
      <c r="A984">
        <v>768</v>
      </c>
      <c r="B984">
        <v>0.74</v>
      </c>
      <c r="C984">
        <v>768</v>
      </c>
      <c r="D984">
        <v>74</v>
      </c>
      <c r="E984">
        <f t="shared" si="31"/>
        <v>0.74</v>
      </c>
      <c r="F984">
        <f t="shared" si="32"/>
        <v>0</v>
      </c>
      <c r="G984">
        <f t="shared" si="33"/>
        <v>0</v>
      </c>
    </row>
    <row r="985" spans="1:7" ht="12.75">
      <c r="A985">
        <v>769</v>
      </c>
      <c r="B985">
        <v>0.77</v>
      </c>
      <c r="C985">
        <v>769</v>
      </c>
      <c r="D985">
        <v>77</v>
      </c>
      <c r="E985">
        <f t="shared" si="31"/>
        <v>0.77</v>
      </c>
      <c r="F985">
        <f t="shared" si="32"/>
        <v>0</v>
      </c>
      <c r="G985">
        <f t="shared" si="33"/>
        <v>0</v>
      </c>
    </row>
    <row r="986" spans="1:7" ht="12.75">
      <c r="A986">
        <v>770</v>
      </c>
      <c r="B986">
        <v>0.89</v>
      </c>
      <c r="C986">
        <v>770</v>
      </c>
      <c r="D986">
        <v>89</v>
      </c>
      <c r="E986">
        <f t="shared" si="31"/>
        <v>0.89</v>
      </c>
      <c r="F986">
        <f t="shared" si="32"/>
        <v>0</v>
      </c>
      <c r="G986">
        <f t="shared" si="33"/>
        <v>0</v>
      </c>
    </row>
    <row r="987" spans="1:7" ht="12.75">
      <c r="A987">
        <v>771</v>
      </c>
      <c r="B987">
        <v>0.89</v>
      </c>
      <c r="C987">
        <v>771</v>
      </c>
      <c r="D987">
        <v>89</v>
      </c>
      <c r="E987">
        <f t="shared" si="31"/>
        <v>0.89</v>
      </c>
      <c r="F987">
        <f t="shared" si="32"/>
        <v>0</v>
      </c>
      <c r="G987">
        <f t="shared" si="33"/>
        <v>0</v>
      </c>
    </row>
    <row r="988" spans="1:7" ht="12.75">
      <c r="A988">
        <v>772</v>
      </c>
      <c r="B988">
        <v>0.89</v>
      </c>
      <c r="C988">
        <v>772</v>
      </c>
      <c r="D988">
        <v>89</v>
      </c>
      <c r="E988">
        <f t="shared" si="31"/>
        <v>0.89</v>
      </c>
      <c r="F988">
        <f t="shared" si="32"/>
        <v>0</v>
      </c>
      <c r="G988">
        <f t="shared" si="33"/>
        <v>0</v>
      </c>
    </row>
    <row r="989" spans="1:7" ht="12.75">
      <c r="A989">
        <v>773</v>
      </c>
      <c r="B989">
        <v>0.75</v>
      </c>
      <c r="C989">
        <v>773</v>
      </c>
      <c r="D989">
        <v>75</v>
      </c>
      <c r="E989">
        <f aca="true" t="shared" si="34" ref="E989:E1052">D989/100</f>
        <v>0.75</v>
      </c>
      <c r="F989">
        <f aca="true" t="shared" si="35" ref="F989:F1052">A989-C989</f>
        <v>0</v>
      </c>
      <c r="G989">
        <f aca="true" t="shared" si="36" ref="G989:G1052">B989-E989</f>
        <v>0</v>
      </c>
    </row>
    <row r="990" spans="1:7" ht="12.75">
      <c r="A990">
        <v>774</v>
      </c>
      <c r="B990">
        <v>0.78</v>
      </c>
      <c r="C990">
        <v>774</v>
      </c>
      <c r="D990">
        <v>78</v>
      </c>
      <c r="E990">
        <f t="shared" si="34"/>
        <v>0.78</v>
      </c>
      <c r="F990">
        <f t="shared" si="35"/>
        <v>0</v>
      </c>
      <c r="G990">
        <f t="shared" si="36"/>
        <v>0</v>
      </c>
    </row>
    <row r="991" spans="1:7" ht="12.75">
      <c r="A991">
        <v>775</v>
      </c>
      <c r="B991">
        <v>0.87</v>
      </c>
      <c r="C991">
        <v>775</v>
      </c>
      <c r="D991">
        <v>87</v>
      </c>
      <c r="E991">
        <f t="shared" si="34"/>
        <v>0.87</v>
      </c>
      <c r="F991">
        <f t="shared" si="35"/>
        <v>0</v>
      </c>
      <c r="G991">
        <f t="shared" si="36"/>
        <v>0</v>
      </c>
    </row>
    <row r="992" spans="1:7" ht="12.75">
      <c r="A992">
        <v>776</v>
      </c>
      <c r="B992">
        <v>0.86</v>
      </c>
      <c r="C992">
        <v>776</v>
      </c>
      <c r="D992">
        <v>86</v>
      </c>
      <c r="E992">
        <f t="shared" si="34"/>
        <v>0.86</v>
      </c>
      <c r="F992">
        <f t="shared" si="35"/>
        <v>0</v>
      </c>
      <c r="G992">
        <f t="shared" si="36"/>
        <v>0</v>
      </c>
    </row>
    <row r="993" spans="1:7" ht="12.75">
      <c r="A993">
        <v>777</v>
      </c>
      <c r="B993">
        <v>0.86</v>
      </c>
      <c r="C993">
        <v>777</v>
      </c>
      <c r="D993">
        <v>86</v>
      </c>
      <c r="E993">
        <f t="shared" si="34"/>
        <v>0.86</v>
      </c>
      <c r="F993">
        <f t="shared" si="35"/>
        <v>0</v>
      </c>
      <c r="G993">
        <f t="shared" si="36"/>
        <v>0</v>
      </c>
    </row>
    <row r="994" spans="1:7" ht="12.75">
      <c r="A994">
        <v>778</v>
      </c>
      <c r="B994">
        <v>0.83</v>
      </c>
      <c r="C994">
        <v>778</v>
      </c>
      <c r="D994">
        <v>83</v>
      </c>
      <c r="E994">
        <f t="shared" si="34"/>
        <v>0.83</v>
      </c>
      <c r="F994">
        <f t="shared" si="35"/>
        <v>0</v>
      </c>
      <c r="G994">
        <f t="shared" si="36"/>
        <v>0</v>
      </c>
    </row>
    <row r="995" spans="1:7" ht="12.75">
      <c r="A995">
        <v>779</v>
      </c>
      <c r="B995">
        <v>0.81</v>
      </c>
      <c r="C995">
        <v>779</v>
      </c>
      <c r="D995">
        <v>81</v>
      </c>
      <c r="E995">
        <f t="shared" si="34"/>
        <v>0.81</v>
      </c>
      <c r="F995">
        <f t="shared" si="35"/>
        <v>0</v>
      </c>
      <c r="G995">
        <f t="shared" si="36"/>
        <v>0</v>
      </c>
    </row>
    <row r="996" spans="1:7" ht="12.75">
      <c r="A996">
        <v>780</v>
      </c>
      <c r="B996">
        <v>0.8</v>
      </c>
      <c r="C996">
        <v>780</v>
      </c>
      <c r="D996">
        <v>80</v>
      </c>
      <c r="E996">
        <f t="shared" si="34"/>
        <v>0.8</v>
      </c>
      <c r="F996">
        <f t="shared" si="35"/>
        <v>0</v>
      </c>
      <c r="G996">
        <f t="shared" si="36"/>
        <v>0</v>
      </c>
    </row>
    <row r="997" spans="1:7" ht="12.75">
      <c r="A997">
        <v>781</v>
      </c>
      <c r="B997">
        <v>0.84</v>
      </c>
      <c r="C997">
        <v>781</v>
      </c>
      <c r="D997">
        <v>84</v>
      </c>
      <c r="E997">
        <f t="shared" si="34"/>
        <v>0.84</v>
      </c>
      <c r="F997">
        <f t="shared" si="35"/>
        <v>0</v>
      </c>
      <c r="G997">
        <f t="shared" si="36"/>
        <v>0</v>
      </c>
    </row>
    <row r="998" spans="1:7" ht="12.75">
      <c r="A998">
        <v>782</v>
      </c>
      <c r="B998">
        <v>0.84</v>
      </c>
      <c r="C998">
        <v>782</v>
      </c>
      <c r="D998">
        <v>84</v>
      </c>
      <c r="E998">
        <f t="shared" si="34"/>
        <v>0.84</v>
      </c>
      <c r="F998">
        <f t="shared" si="35"/>
        <v>0</v>
      </c>
      <c r="G998">
        <f t="shared" si="36"/>
        <v>0</v>
      </c>
    </row>
    <row r="999" spans="1:7" ht="12.75">
      <c r="A999">
        <v>783</v>
      </c>
      <c r="B999">
        <v>0.8</v>
      </c>
      <c r="C999">
        <v>783</v>
      </c>
      <c r="D999">
        <v>80</v>
      </c>
      <c r="E999">
        <f t="shared" si="34"/>
        <v>0.8</v>
      </c>
      <c r="F999">
        <f t="shared" si="35"/>
        <v>0</v>
      </c>
      <c r="G999">
        <f t="shared" si="36"/>
        <v>0</v>
      </c>
    </row>
    <row r="1000" spans="1:7" ht="12.75">
      <c r="A1000">
        <v>784</v>
      </c>
      <c r="B1000">
        <v>0.8</v>
      </c>
      <c r="C1000">
        <v>784</v>
      </c>
      <c r="D1000">
        <v>80</v>
      </c>
      <c r="E1000">
        <f t="shared" si="34"/>
        <v>0.8</v>
      </c>
      <c r="F1000">
        <f t="shared" si="35"/>
        <v>0</v>
      </c>
      <c r="G1000">
        <f t="shared" si="36"/>
        <v>0</v>
      </c>
    </row>
    <row r="1001" spans="1:7" ht="12.75">
      <c r="A1001">
        <v>785</v>
      </c>
      <c r="B1001">
        <v>0.79</v>
      </c>
      <c r="C1001">
        <v>785</v>
      </c>
      <c r="D1001">
        <v>79</v>
      </c>
      <c r="E1001">
        <f t="shared" si="34"/>
        <v>0.79</v>
      </c>
      <c r="F1001">
        <f t="shared" si="35"/>
        <v>0</v>
      </c>
      <c r="G1001">
        <f t="shared" si="36"/>
        <v>0</v>
      </c>
    </row>
    <row r="1002" spans="1:7" ht="12.75">
      <c r="A1002">
        <v>786</v>
      </c>
      <c r="B1002">
        <v>0.83</v>
      </c>
      <c r="C1002">
        <v>786</v>
      </c>
      <c r="D1002">
        <v>83</v>
      </c>
      <c r="E1002">
        <f t="shared" si="34"/>
        <v>0.83</v>
      </c>
      <c r="F1002">
        <f t="shared" si="35"/>
        <v>0</v>
      </c>
      <c r="G1002">
        <f t="shared" si="36"/>
        <v>0</v>
      </c>
    </row>
    <row r="1003" spans="1:7" ht="12.75">
      <c r="A1003">
        <v>787</v>
      </c>
      <c r="B1003">
        <v>0.83</v>
      </c>
      <c r="C1003">
        <v>787</v>
      </c>
      <c r="D1003">
        <v>83</v>
      </c>
      <c r="E1003">
        <f t="shared" si="34"/>
        <v>0.83</v>
      </c>
      <c r="F1003">
        <f t="shared" si="35"/>
        <v>0</v>
      </c>
      <c r="G1003">
        <f t="shared" si="36"/>
        <v>0</v>
      </c>
    </row>
    <row r="1004" spans="1:7" ht="12.75">
      <c r="A1004">
        <v>788</v>
      </c>
      <c r="B1004">
        <v>0.7</v>
      </c>
      <c r="C1004">
        <v>788</v>
      </c>
      <c r="D1004">
        <v>70</v>
      </c>
      <c r="E1004">
        <f t="shared" si="34"/>
        <v>0.7</v>
      </c>
      <c r="F1004">
        <f t="shared" si="35"/>
        <v>0</v>
      </c>
      <c r="G1004">
        <f t="shared" si="36"/>
        <v>0</v>
      </c>
    </row>
    <row r="1005" spans="1:7" ht="12.75">
      <c r="A1005">
        <v>789</v>
      </c>
      <c r="B1005">
        <v>0.74</v>
      </c>
      <c r="C1005">
        <v>789</v>
      </c>
      <c r="D1005">
        <v>74</v>
      </c>
      <c r="E1005">
        <f t="shared" si="34"/>
        <v>0.74</v>
      </c>
      <c r="F1005">
        <f t="shared" si="35"/>
        <v>0</v>
      </c>
      <c r="G1005">
        <f t="shared" si="36"/>
        <v>0</v>
      </c>
    </row>
    <row r="1006" spans="1:7" ht="12.75">
      <c r="A1006">
        <v>790</v>
      </c>
      <c r="B1006">
        <v>0.81</v>
      </c>
      <c r="C1006">
        <v>790</v>
      </c>
      <c r="D1006">
        <v>81</v>
      </c>
      <c r="E1006">
        <f t="shared" si="34"/>
        <v>0.81</v>
      </c>
      <c r="F1006">
        <f t="shared" si="35"/>
        <v>0</v>
      </c>
      <c r="G1006">
        <f t="shared" si="36"/>
        <v>0</v>
      </c>
    </row>
    <row r="1007" spans="1:7" ht="12.75">
      <c r="A1007">
        <v>791</v>
      </c>
      <c r="B1007">
        <v>0.81</v>
      </c>
      <c r="C1007">
        <v>791</v>
      </c>
      <c r="D1007">
        <v>81</v>
      </c>
      <c r="E1007">
        <f t="shared" si="34"/>
        <v>0.81</v>
      </c>
      <c r="F1007">
        <f t="shared" si="35"/>
        <v>0</v>
      </c>
      <c r="G1007">
        <f t="shared" si="36"/>
        <v>0</v>
      </c>
    </row>
    <row r="1008" spans="1:7" ht="12.75">
      <c r="A1008">
        <v>792</v>
      </c>
      <c r="B1008">
        <v>0.8</v>
      </c>
      <c r="C1008">
        <v>792</v>
      </c>
      <c r="D1008">
        <v>80</v>
      </c>
      <c r="E1008">
        <f t="shared" si="34"/>
        <v>0.8</v>
      </c>
      <c r="F1008">
        <f t="shared" si="35"/>
        <v>0</v>
      </c>
      <c r="G1008">
        <f t="shared" si="36"/>
        <v>0</v>
      </c>
    </row>
    <row r="1009" spans="1:7" ht="12.75">
      <c r="A1009">
        <v>793</v>
      </c>
      <c r="B1009">
        <v>0.82</v>
      </c>
      <c r="C1009">
        <v>793</v>
      </c>
      <c r="D1009">
        <v>82</v>
      </c>
      <c r="E1009">
        <f t="shared" si="34"/>
        <v>0.82</v>
      </c>
      <c r="F1009">
        <f t="shared" si="35"/>
        <v>0</v>
      </c>
      <c r="G1009">
        <f t="shared" si="36"/>
        <v>0</v>
      </c>
    </row>
    <row r="1010" spans="1:7" ht="12.75">
      <c r="A1010">
        <v>794</v>
      </c>
      <c r="B1010">
        <v>0.82</v>
      </c>
      <c r="C1010">
        <v>794</v>
      </c>
      <c r="D1010">
        <v>82</v>
      </c>
      <c r="E1010">
        <f t="shared" si="34"/>
        <v>0.82</v>
      </c>
      <c r="F1010">
        <f t="shared" si="35"/>
        <v>0</v>
      </c>
      <c r="G1010">
        <f t="shared" si="36"/>
        <v>0</v>
      </c>
    </row>
    <row r="1011" spans="1:7" ht="12.75">
      <c r="A1011">
        <v>795</v>
      </c>
      <c r="B1011">
        <v>0.79</v>
      </c>
      <c r="C1011">
        <v>795</v>
      </c>
      <c r="D1011">
        <v>79</v>
      </c>
      <c r="E1011">
        <f t="shared" si="34"/>
        <v>0.79</v>
      </c>
      <c r="F1011">
        <f t="shared" si="35"/>
        <v>0</v>
      </c>
      <c r="G1011">
        <f t="shared" si="36"/>
        <v>0</v>
      </c>
    </row>
    <row r="1012" spans="1:7" ht="12.75">
      <c r="A1012">
        <v>796</v>
      </c>
      <c r="B1012">
        <v>0.79</v>
      </c>
      <c r="C1012">
        <v>796</v>
      </c>
      <c r="D1012">
        <v>79</v>
      </c>
      <c r="E1012">
        <f t="shared" si="34"/>
        <v>0.79</v>
      </c>
      <c r="F1012">
        <f t="shared" si="35"/>
        <v>0</v>
      </c>
      <c r="G1012">
        <f t="shared" si="36"/>
        <v>0</v>
      </c>
    </row>
    <row r="1013" spans="1:7" ht="12.75">
      <c r="A1013">
        <v>797</v>
      </c>
      <c r="B1013">
        <v>0.81</v>
      </c>
      <c r="C1013">
        <v>797</v>
      </c>
      <c r="D1013">
        <v>81</v>
      </c>
      <c r="E1013">
        <f t="shared" si="34"/>
        <v>0.81</v>
      </c>
      <c r="F1013">
        <f t="shared" si="35"/>
        <v>0</v>
      </c>
      <c r="G1013">
        <f t="shared" si="36"/>
        <v>0</v>
      </c>
    </row>
    <row r="1014" spans="1:7" ht="12.75">
      <c r="A1014">
        <v>798</v>
      </c>
      <c r="B1014">
        <v>0.77</v>
      </c>
      <c r="C1014">
        <v>798</v>
      </c>
      <c r="D1014">
        <v>77</v>
      </c>
      <c r="E1014">
        <f t="shared" si="34"/>
        <v>0.77</v>
      </c>
      <c r="F1014">
        <f t="shared" si="35"/>
        <v>0</v>
      </c>
      <c r="G1014">
        <f t="shared" si="36"/>
        <v>0</v>
      </c>
    </row>
    <row r="1015" spans="1:7" ht="12.75">
      <c r="A1015">
        <v>799</v>
      </c>
      <c r="B1015">
        <v>0.77</v>
      </c>
      <c r="C1015">
        <v>799</v>
      </c>
      <c r="D1015">
        <v>77</v>
      </c>
      <c r="E1015">
        <f t="shared" si="34"/>
        <v>0.77</v>
      </c>
      <c r="F1015">
        <f t="shared" si="35"/>
        <v>0</v>
      </c>
      <c r="G1015">
        <f t="shared" si="36"/>
        <v>0</v>
      </c>
    </row>
    <row r="1016" spans="1:7" ht="12.75">
      <c r="A1016">
        <v>800</v>
      </c>
      <c r="B1016">
        <v>0.94</v>
      </c>
      <c r="C1016">
        <v>800</v>
      </c>
      <c r="D1016">
        <v>94</v>
      </c>
      <c r="E1016">
        <f t="shared" si="34"/>
        <v>0.94</v>
      </c>
      <c r="F1016">
        <f t="shared" si="35"/>
        <v>0</v>
      </c>
      <c r="G1016">
        <f t="shared" si="36"/>
        <v>0</v>
      </c>
    </row>
    <row r="1017" spans="1:7" ht="12.75">
      <c r="A1017">
        <v>801</v>
      </c>
      <c r="B1017">
        <v>0.94</v>
      </c>
      <c r="C1017">
        <v>801</v>
      </c>
      <c r="D1017">
        <v>94</v>
      </c>
      <c r="E1017">
        <f t="shared" si="34"/>
        <v>0.94</v>
      </c>
      <c r="F1017">
        <f t="shared" si="35"/>
        <v>0</v>
      </c>
      <c r="G1017">
        <f t="shared" si="36"/>
        <v>0</v>
      </c>
    </row>
    <row r="1018" spans="1:7" ht="12.75">
      <c r="A1018">
        <v>802</v>
      </c>
      <c r="B1018">
        <v>0.94</v>
      </c>
      <c r="C1018">
        <v>802</v>
      </c>
      <c r="D1018">
        <v>94</v>
      </c>
      <c r="E1018">
        <f t="shared" si="34"/>
        <v>0.94</v>
      </c>
      <c r="F1018">
        <f t="shared" si="35"/>
        <v>0</v>
      </c>
      <c r="G1018">
        <f t="shared" si="36"/>
        <v>0</v>
      </c>
    </row>
    <row r="1019" spans="1:7" ht="12.75">
      <c r="A1019">
        <v>803</v>
      </c>
      <c r="B1019">
        <v>0.85</v>
      </c>
      <c r="C1019">
        <v>803</v>
      </c>
      <c r="D1019">
        <v>85</v>
      </c>
      <c r="E1019">
        <f t="shared" si="34"/>
        <v>0.85</v>
      </c>
      <c r="F1019">
        <f t="shared" si="35"/>
        <v>0</v>
      </c>
      <c r="G1019">
        <f t="shared" si="36"/>
        <v>0</v>
      </c>
    </row>
    <row r="1020" spans="1:7" ht="12.75">
      <c r="A1020">
        <v>804</v>
      </c>
      <c r="B1020">
        <v>0.9</v>
      </c>
      <c r="C1020">
        <v>804</v>
      </c>
      <c r="D1020">
        <v>90</v>
      </c>
      <c r="E1020">
        <f t="shared" si="34"/>
        <v>0.9</v>
      </c>
      <c r="F1020">
        <f t="shared" si="35"/>
        <v>0</v>
      </c>
      <c r="G1020">
        <f t="shared" si="36"/>
        <v>0</v>
      </c>
    </row>
    <row r="1021" spans="1:7" ht="12.75">
      <c r="A1021">
        <v>805</v>
      </c>
      <c r="B1021">
        <v>0.91</v>
      </c>
      <c r="C1021">
        <v>805</v>
      </c>
      <c r="D1021">
        <v>91</v>
      </c>
      <c r="E1021">
        <f t="shared" si="34"/>
        <v>0.91</v>
      </c>
      <c r="F1021">
        <f t="shared" si="35"/>
        <v>0</v>
      </c>
      <c r="G1021">
        <f t="shared" si="36"/>
        <v>0</v>
      </c>
    </row>
    <row r="1022" spans="1:7" ht="12.75">
      <c r="A1022">
        <v>806</v>
      </c>
      <c r="B1022">
        <v>0.85</v>
      </c>
      <c r="C1022">
        <v>806</v>
      </c>
      <c r="D1022">
        <v>85</v>
      </c>
      <c r="E1022">
        <f t="shared" si="34"/>
        <v>0.85</v>
      </c>
      <c r="F1022">
        <f t="shared" si="35"/>
        <v>0</v>
      </c>
      <c r="G1022">
        <f t="shared" si="36"/>
        <v>0</v>
      </c>
    </row>
    <row r="1023" spans="1:7" ht="12.75">
      <c r="A1023">
        <v>807</v>
      </c>
      <c r="B1023">
        <v>0.9</v>
      </c>
      <c r="C1023">
        <v>807</v>
      </c>
      <c r="D1023">
        <v>90</v>
      </c>
      <c r="E1023">
        <f t="shared" si="34"/>
        <v>0.9</v>
      </c>
      <c r="F1023">
        <f t="shared" si="35"/>
        <v>0</v>
      </c>
      <c r="G1023">
        <f t="shared" si="36"/>
        <v>0</v>
      </c>
    </row>
    <row r="1024" spans="1:7" ht="12.75">
      <c r="A1024">
        <v>808</v>
      </c>
      <c r="B1024">
        <v>0.91</v>
      </c>
      <c r="C1024">
        <v>808</v>
      </c>
      <c r="D1024">
        <v>91</v>
      </c>
      <c r="E1024">
        <f t="shared" si="34"/>
        <v>0.91</v>
      </c>
      <c r="F1024">
        <f t="shared" si="35"/>
        <v>0</v>
      </c>
      <c r="G1024">
        <f t="shared" si="36"/>
        <v>0</v>
      </c>
    </row>
    <row r="1025" spans="1:7" ht="12.75">
      <c r="A1025">
        <v>809</v>
      </c>
      <c r="B1025">
        <v>0.91</v>
      </c>
      <c r="C1025">
        <v>809</v>
      </c>
      <c r="D1025">
        <v>91</v>
      </c>
      <c r="E1025">
        <f t="shared" si="34"/>
        <v>0.91</v>
      </c>
      <c r="F1025">
        <f t="shared" si="35"/>
        <v>0</v>
      </c>
      <c r="G1025">
        <f t="shared" si="36"/>
        <v>0</v>
      </c>
    </row>
    <row r="1026" spans="1:7" ht="12.75">
      <c r="A1026">
        <v>810</v>
      </c>
      <c r="B1026">
        <v>0.91</v>
      </c>
      <c r="C1026">
        <v>810</v>
      </c>
      <c r="D1026">
        <v>91</v>
      </c>
      <c r="E1026">
        <f t="shared" si="34"/>
        <v>0.91</v>
      </c>
      <c r="F1026">
        <f t="shared" si="35"/>
        <v>0</v>
      </c>
      <c r="G1026">
        <f t="shared" si="36"/>
        <v>0</v>
      </c>
    </row>
    <row r="1027" spans="1:7" ht="12.75">
      <c r="A1027">
        <v>811</v>
      </c>
      <c r="B1027">
        <v>0.88</v>
      </c>
      <c r="C1027">
        <v>811</v>
      </c>
      <c r="D1027">
        <v>88</v>
      </c>
      <c r="E1027">
        <f t="shared" si="34"/>
        <v>0.88</v>
      </c>
      <c r="F1027">
        <f t="shared" si="35"/>
        <v>0</v>
      </c>
      <c r="G1027">
        <f t="shared" si="36"/>
        <v>0</v>
      </c>
    </row>
    <row r="1028" spans="1:7" ht="12.75">
      <c r="A1028">
        <v>812</v>
      </c>
      <c r="B1028">
        <v>0.88</v>
      </c>
      <c r="C1028">
        <v>812</v>
      </c>
      <c r="D1028">
        <v>88</v>
      </c>
      <c r="E1028">
        <f t="shared" si="34"/>
        <v>0.88</v>
      </c>
      <c r="F1028">
        <f t="shared" si="35"/>
        <v>0</v>
      </c>
      <c r="G1028">
        <f t="shared" si="36"/>
        <v>0</v>
      </c>
    </row>
    <row r="1029" spans="1:7" ht="12.75">
      <c r="A1029">
        <v>813</v>
      </c>
      <c r="B1029">
        <v>0.86</v>
      </c>
      <c r="C1029">
        <v>813</v>
      </c>
      <c r="D1029">
        <v>86</v>
      </c>
      <c r="E1029">
        <f t="shared" si="34"/>
        <v>0.86</v>
      </c>
      <c r="F1029">
        <f t="shared" si="35"/>
        <v>0</v>
      </c>
      <c r="G1029">
        <f t="shared" si="36"/>
        <v>0</v>
      </c>
    </row>
    <row r="1030" spans="1:7" ht="12.75">
      <c r="A1030">
        <v>814</v>
      </c>
      <c r="B1030">
        <v>0.84</v>
      </c>
      <c r="C1030">
        <v>814</v>
      </c>
      <c r="D1030">
        <v>84</v>
      </c>
      <c r="E1030">
        <f t="shared" si="34"/>
        <v>0.84</v>
      </c>
      <c r="F1030">
        <f t="shared" si="35"/>
        <v>0</v>
      </c>
      <c r="G1030">
        <f t="shared" si="36"/>
        <v>0</v>
      </c>
    </row>
    <row r="1031" spans="1:7" ht="12.75">
      <c r="A1031">
        <v>815</v>
      </c>
      <c r="B1031">
        <v>0.86</v>
      </c>
      <c r="C1031">
        <v>815</v>
      </c>
      <c r="D1031">
        <v>86</v>
      </c>
      <c r="E1031">
        <f t="shared" si="34"/>
        <v>0.86</v>
      </c>
      <c r="F1031">
        <f t="shared" si="35"/>
        <v>0</v>
      </c>
      <c r="G1031">
        <f t="shared" si="36"/>
        <v>0</v>
      </c>
    </row>
    <row r="1032" spans="1:7" ht="12.75">
      <c r="A1032">
        <v>816</v>
      </c>
      <c r="B1032">
        <v>0.91</v>
      </c>
      <c r="C1032">
        <v>816</v>
      </c>
      <c r="D1032">
        <v>91</v>
      </c>
      <c r="E1032">
        <f t="shared" si="34"/>
        <v>0.91</v>
      </c>
      <c r="F1032">
        <f t="shared" si="35"/>
        <v>0</v>
      </c>
      <c r="G1032">
        <f t="shared" si="36"/>
        <v>0</v>
      </c>
    </row>
    <row r="1033" spans="1:7" ht="12.75">
      <c r="A1033">
        <v>820</v>
      </c>
      <c r="B1033">
        <v>0.83</v>
      </c>
      <c r="C1033">
        <v>820</v>
      </c>
      <c r="D1033">
        <v>83</v>
      </c>
      <c r="E1033">
        <f t="shared" si="34"/>
        <v>0.83</v>
      </c>
      <c r="F1033">
        <f t="shared" si="35"/>
        <v>0</v>
      </c>
      <c r="G1033">
        <f t="shared" si="36"/>
        <v>0</v>
      </c>
    </row>
    <row r="1034" spans="1:7" ht="12.75">
      <c r="A1034">
        <v>821</v>
      </c>
      <c r="B1034">
        <v>0.8</v>
      </c>
      <c r="C1034">
        <v>821</v>
      </c>
      <c r="D1034">
        <v>80</v>
      </c>
      <c r="E1034">
        <f t="shared" si="34"/>
        <v>0.8</v>
      </c>
      <c r="F1034">
        <f t="shared" si="35"/>
        <v>0</v>
      </c>
      <c r="G1034">
        <f t="shared" si="36"/>
        <v>0</v>
      </c>
    </row>
    <row r="1035" spans="1:7" ht="12.75">
      <c r="A1035">
        <v>822</v>
      </c>
      <c r="B1035">
        <v>0.8</v>
      </c>
      <c r="C1035">
        <v>822</v>
      </c>
      <c r="D1035">
        <v>80</v>
      </c>
      <c r="E1035">
        <f t="shared" si="34"/>
        <v>0.8</v>
      </c>
      <c r="F1035">
        <f t="shared" si="35"/>
        <v>0</v>
      </c>
      <c r="G1035">
        <f t="shared" si="36"/>
        <v>0</v>
      </c>
    </row>
    <row r="1036" spans="1:7" ht="12.75">
      <c r="A1036">
        <v>823</v>
      </c>
      <c r="B1036">
        <v>0.79</v>
      </c>
      <c r="C1036">
        <v>823</v>
      </c>
      <c r="D1036">
        <v>79</v>
      </c>
      <c r="E1036">
        <f t="shared" si="34"/>
        <v>0.79</v>
      </c>
      <c r="F1036">
        <f t="shared" si="35"/>
        <v>0</v>
      </c>
      <c r="G1036">
        <f t="shared" si="36"/>
        <v>0</v>
      </c>
    </row>
    <row r="1037" spans="1:7" ht="12.75">
      <c r="A1037">
        <v>824</v>
      </c>
      <c r="B1037">
        <v>0.78</v>
      </c>
      <c r="C1037">
        <v>824</v>
      </c>
      <c r="D1037">
        <v>78</v>
      </c>
      <c r="E1037">
        <f t="shared" si="34"/>
        <v>0.78</v>
      </c>
      <c r="F1037">
        <f t="shared" si="35"/>
        <v>0</v>
      </c>
      <c r="G1037">
        <f t="shared" si="36"/>
        <v>0</v>
      </c>
    </row>
    <row r="1038" spans="1:7" ht="12.75">
      <c r="A1038">
        <v>825</v>
      </c>
      <c r="B1038">
        <v>0.8</v>
      </c>
      <c r="C1038">
        <v>825</v>
      </c>
      <c r="D1038">
        <v>80</v>
      </c>
      <c r="E1038">
        <f t="shared" si="34"/>
        <v>0.8</v>
      </c>
      <c r="F1038">
        <f t="shared" si="35"/>
        <v>0</v>
      </c>
      <c r="G1038">
        <f t="shared" si="36"/>
        <v>0</v>
      </c>
    </row>
    <row r="1039" spans="1:7" ht="12.75">
      <c r="A1039">
        <v>826</v>
      </c>
      <c r="B1039">
        <v>0.84</v>
      </c>
      <c r="C1039">
        <v>826</v>
      </c>
      <c r="D1039">
        <v>84</v>
      </c>
      <c r="E1039">
        <f t="shared" si="34"/>
        <v>0.84</v>
      </c>
      <c r="F1039">
        <f t="shared" si="35"/>
        <v>0</v>
      </c>
      <c r="G1039">
        <f t="shared" si="36"/>
        <v>0</v>
      </c>
    </row>
    <row r="1040" spans="1:7" ht="12.75">
      <c r="A1040">
        <v>827</v>
      </c>
      <c r="B1040">
        <v>0.78</v>
      </c>
      <c r="C1040">
        <v>827</v>
      </c>
      <c r="D1040">
        <v>78</v>
      </c>
      <c r="E1040">
        <f t="shared" si="34"/>
        <v>0.78</v>
      </c>
      <c r="F1040">
        <f t="shared" si="35"/>
        <v>0</v>
      </c>
      <c r="G1040">
        <f t="shared" si="36"/>
        <v>0</v>
      </c>
    </row>
    <row r="1041" spans="1:7" ht="12.75">
      <c r="A1041">
        <v>828</v>
      </c>
      <c r="B1041">
        <v>0.83</v>
      </c>
      <c r="C1041">
        <v>828</v>
      </c>
      <c r="D1041">
        <v>83</v>
      </c>
      <c r="E1041">
        <f t="shared" si="34"/>
        <v>0.83</v>
      </c>
      <c r="F1041">
        <f t="shared" si="35"/>
        <v>0</v>
      </c>
      <c r="G1041">
        <f t="shared" si="36"/>
        <v>0</v>
      </c>
    </row>
    <row r="1042" spans="1:7" ht="12.75">
      <c r="A1042">
        <v>829</v>
      </c>
      <c r="B1042">
        <v>0.8</v>
      </c>
      <c r="C1042">
        <v>829</v>
      </c>
      <c r="D1042">
        <v>80</v>
      </c>
      <c r="E1042">
        <f t="shared" si="34"/>
        <v>0.8</v>
      </c>
      <c r="F1042">
        <f t="shared" si="35"/>
        <v>0</v>
      </c>
      <c r="G1042">
        <f t="shared" si="36"/>
        <v>0</v>
      </c>
    </row>
    <row r="1043" spans="1:7" ht="12.75">
      <c r="A1043">
        <v>830</v>
      </c>
      <c r="B1043">
        <v>0.8</v>
      </c>
      <c r="C1043">
        <v>830</v>
      </c>
      <c r="D1043">
        <v>80</v>
      </c>
      <c r="E1043">
        <f t="shared" si="34"/>
        <v>0.8</v>
      </c>
      <c r="F1043">
        <f t="shared" si="35"/>
        <v>0</v>
      </c>
      <c r="G1043">
        <f t="shared" si="36"/>
        <v>0</v>
      </c>
    </row>
    <row r="1044" spans="1:7" ht="12.75">
      <c r="A1044">
        <v>831</v>
      </c>
      <c r="B1044">
        <v>0.8</v>
      </c>
      <c r="C1044">
        <v>831</v>
      </c>
      <c r="D1044">
        <v>80</v>
      </c>
      <c r="E1044">
        <f t="shared" si="34"/>
        <v>0.8</v>
      </c>
      <c r="F1044">
        <f t="shared" si="35"/>
        <v>0</v>
      </c>
      <c r="G1044">
        <f t="shared" si="36"/>
        <v>0</v>
      </c>
    </row>
    <row r="1045" spans="1:7" ht="12.75">
      <c r="A1045">
        <v>832</v>
      </c>
      <c r="B1045">
        <v>0.93</v>
      </c>
      <c r="C1045">
        <v>832</v>
      </c>
      <c r="D1045">
        <v>93</v>
      </c>
      <c r="E1045">
        <f t="shared" si="34"/>
        <v>0.93</v>
      </c>
      <c r="F1045">
        <f t="shared" si="35"/>
        <v>0</v>
      </c>
      <c r="G1045">
        <f t="shared" si="36"/>
        <v>0</v>
      </c>
    </row>
    <row r="1046" spans="1:7" ht="12.75">
      <c r="A1046">
        <v>833</v>
      </c>
      <c r="B1046">
        <v>0.8</v>
      </c>
      <c r="C1046">
        <v>833</v>
      </c>
      <c r="D1046">
        <v>80</v>
      </c>
      <c r="E1046">
        <f t="shared" si="34"/>
        <v>0.8</v>
      </c>
      <c r="F1046">
        <f t="shared" si="35"/>
        <v>0</v>
      </c>
      <c r="G1046">
        <f t="shared" si="36"/>
        <v>0</v>
      </c>
    </row>
    <row r="1047" spans="1:7" ht="12.75">
      <c r="A1047">
        <v>834</v>
      </c>
      <c r="B1047">
        <v>0.84</v>
      </c>
      <c r="C1047">
        <v>834</v>
      </c>
      <c r="D1047">
        <v>84</v>
      </c>
      <c r="E1047">
        <f t="shared" si="34"/>
        <v>0.84</v>
      </c>
      <c r="F1047">
        <f t="shared" si="35"/>
        <v>0</v>
      </c>
      <c r="G1047">
        <f t="shared" si="36"/>
        <v>0</v>
      </c>
    </row>
    <row r="1048" spans="1:7" ht="12.75">
      <c r="A1048">
        <v>835</v>
      </c>
      <c r="B1048">
        <v>1.02</v>
      </c>
      <c r="C1048">
        <v>835</v>
      </c>
      <c r="D1048">
        <v>102</v>
      </c>
      <c r="E1048">
        <f t="shared" si="34"/>
        <v>1.02</v>
      </c>
      <c r="F1048">
        <f t="shared" si="35"/>
        <v>0</v>
      </c>
      <c r="G1048">
        <f t="shared" si="36"/>
        <v>0</v>
      </c>
    </row>
    <row r="1049" spans="1:7" ht="12.75">
      <c r="A1049">
        <v>836</v>
      </c>
      <c r="B1049">
        <v>0.94</v>
      </c>
      <c r="C1049">
        <v>836</v>
      </c>
      <c r="D1049">
        <v>94</v>
      </c>
      <c r="E1049">
        <f t="shared" si="34"/>
        <v>0.94</v>
      </c>
      <c r="F1049">
        <f t="shared" si="35"/>
        <v>0</v>
      </c>
      <c r="G1049">
        <f t="shared" si="36"/>
        <v>0</v>
      </c>
    </row>
    <row r="1050" spans="1:7" ht="12.75">
      <c r="A1050">
        <v>837</v>
      </c>
      <c r="B1050">
        <v>0.94</v>
      </c>
      <c r="C1050">
        <v>837</v>
      </c>
      <c r="D1050">
        <v>94</v>
      </c>
      <c r="E1050">
        <f t="shared" si="34"/>
        <v>0.94</v>
      </c>
      <c r="F1050">
        <f t="shared" si="35"/>
        <v>0</v>
      </c>
      <c r="G1050">
        <f t="shared" si="36"/>
        <v>0</v>
      </c>
    </row>
    <row r="1051" spans="1:7" ht="12.75">
      <c r="A1051">
        <v>838</v>
      </c>
      <c r="B1051">
        <v>0.91</v>
      </c>
      <c r="C1051">
        <v>838</v>
      </c>
      <c r="D1051">
        <v>91</v>
      </c>
      <c r="E1051">
        <f t="shared" si="34"/>
        <v>0.91</v>
      </c>
      <c r="F1051">
        <f t="shared" si="35"/>
        <v>0</v>
      </c>
      <c r="G1051">
        <f t="shared" si="36"/>
        <v>0</v>
      </c>
    </row>
    <row r="1052" spans="1:7" ht="12.75">
      <c r="A1052">
        <v>840</v>
      </c>
      <c r="B1052">
        <v>0.88</v>
      </c>
      <c r="C1052">
        <v>840</v>
      </c>
      <c r="D1052">
        <v>88</v>
      </c>
      <c r="E1052">
        <f t="shared" si="34"/>
        <v>0.88</v>
      </c>
      <c r="F1052">
        <f t="shared" si="35"/>
        <v>0</v>
      </c>
      <c r="G1052">
        <f t="shared" si="36"/>
        <v>0</v>
      </c>
    </row>
    <row r="1053" spans="1:7" ht="12.75">
      <c r="A1053">
        <v>841</v>
      </c>
      <c r="B1053">
        <v>0.88</v>
      </c>
      <c r="C1053">
        <v>841</v>
      </c>
      <c r="D1053">
        <v>88</v>
      </c>
      <c r="E1053">
        <f aca="true" t="shared" si="37" ref="E1053:E1116">D1053/100</f>
        <v>0.88</v>
      </c>
      <c r="F1053">
        <f aca="true" t="shared" si="38" ref="F1053:F1116">A1053-C1053</f>
        <v>0</v>
      </c>
      <c r="G1053">
        <f aca="true" t="shared" si="39" ref="G1053:G1116">B1053-E1053</f>
        <v>0</v>
      </c>
    </row>
    <row r="1054" spans="1:7" ht="12.75">
      <c r="A1054">
        <v>842</v>
      </c>
      <c r="B1054">
        <v>0.87</v>
      </c>
      <c r="C1054">
        <v>842</v>
      </c>
      <c r="D1054">
        <v>87</v>
      </c>
      <c r="E1054">
        <f t="shared" si="37"/>
        <v>0.87</v>
      </c>
      <c r="F1054">
        <f t="shared" si="38"/>
        <v>0</v>
      </c>
      <c r="G1054">
        <f t="shared" si="39"/>
        <v>0</v>
      </c>
    </row>
    <row r="1055" spans="1:7" ht="12.75">
      <c r="A1055">
        <v>843</v>
      </c>
      <c r="B1055">
        <v>0.88</v>
      </c>
      <c r="C1055">
        <v>843</v>
      </c>
      <c r="D1055">
        <v>88</v>
      </c>
      <c r="E1055">
        <f t="shared" si="37"/>
        <v>0.88</v>
      </c>
      <c r="F1055">
        <f t="shared" si="38"/>
        <v>0</v>
      </c>
      <c r="G1055">
        <f t="shared" si="39"/>
        <v>0</v>
      </c>
    </row>
    <row r="1056" spans="1:7" ht="12.75">
      <c r="A1056">
        <v>844</v>
      </c>
      <c r="B1056">
        <v>0.87</v>
      </c>
      <c r="C1056">
        <v>844</v>
      </c>
      <c r="D1056">
        <v>87</v>
      </c>
      <c r="E1056">
        <f t="shared" si="37"/>
        <v>0.87</v>
      </c>
      <c r="F1056">
        <f t="shared" si="38"/>
        <v>0</v>
      </c>
      <c r="G1056">
        <f t="shared" si="39"/>
        <v>0</v>
      </c>
    </row>
    <row r="1057" spans="1:7" ht="12.75">
      <c r="A1057">
        <v>845</v>
      </c>
      <c r="B1057">
        <v>0.82</v>
      </c>
      <c r="C1057">
        <v>845</v>
      </c>
      <c r="D1057">
        <v>82</v>
      </c>
      <c r="E1057">
        <f t="shared" si="37"/>
        <v>0.82</v>
      </c>
      <c r="F1057">
        <f t="shared" si="38"/>
        <v>0</v>
      </c>
      <c r="G1057">
        <f t="shared" si="39"/>
        <v>0</v>
      </c>
    </row>
    <row r="1058" spans="1:7" ht="12.75">
      <c r="A1058">
        <v>846</v>
      </c>
      <c r="B1058">
        <v>0.88</v>
      </c>
      <c r="C1058">
        <v>846</v>
      </c>
      <c r="D1058">
        <v>88</v>
      </c>
      <c r="E1058">
        <f t="shared" si="37"/>
        <v>0.88</v>
      </c>
      <c r="F1058">
        <f t="shared" si="38"/>
        <v>0</v>
      </c>
      <c r="G1058">
        <f t="shared" si="39"/>
        <v>0</v>
      </c>
    </row>
    <row r="1059" spans="1:7" ht="12.75">
      <c r="A1059">
        <v>847</v>
      </c>
      <c r="B1059">
        <v>0.88</v>
      </c>
      <c r="C1059">
        <v>847</v>
      </c>
      <c r="D1059">
        <v>88</v>
      </c>
      <c r="E1059">
        <f t="shared" si="37"/>
        <v>0.88</v>
      </c>
      <c r="F1059">
        <f t="shared" si="38"/>
        <v>0</v>
      </c>
      <c r="G1059">
        <f t="shared" si="39"/>
        <v>0</v>
      </c>
    </row>
    <row r="1060" spans="1:7" ht="12.75">
      <c r="A1060">
        <v>850</v>
      </c>
      <c r="B1060">
        <v>0.9</v>
      </c>
      <c r="C1060">
        <v>850</v>
      </c>
      <c r="D1060">
        <v>90</v>
      </c>
      <c r="E1060">
        <f t="shared" si="37"/>
        <v>0.9</v>
      </c>
      <c r="F1060">
        <f t="shared" si="38"/>
        <v>0</v>
      </c>
      <c r="G1060">
        <f t="shared" si="39"/>
        <v>0</v>
      </c>
    </row>
    <row r="1061" spans="1:7" ht="12.75">
      <c r="A1061">
        <v>852</v>
      </c>
      <c r="B1061">
        <v>0.86</v>
      </c>
      <c r="C1061">
        <v>852</v>
      </c>
      <c r="D1061">
        <v>86</v>
      </c>
      <c r="E1061">
        <f t="shared" si="37"/>
        <v>0.86</v>
      </c>
      <c r="F1061">
        <f t="shared" si="38"/>
        <v>0</v>
      </c>
      <c r="G1061">
        <f t="shared" si="39"/>
        <v>0</v>
      </c>
    </row>
    <row r="1062" spans="1:7" ht="12.75">
      <c r="A1062">
        <v>853</v>
      </c>
      <c r="B1062">
        <v>0.9</v>
      </c>
      <c r="C1062">
        <v>853</v>
      </c>
      <c r="D1062">
        <v>90</v>
      </c>
      <c r="E1062">
        <f t="shared" si="37"/>
        <v>0.9</v>
      </c>
      <c r="F1062">
        <f t="shared" si="38"/>
        <v>0</v>
      </c>
      <c r="G1062">
        <f t="shared" si="39"/>
        <v>0</v>
      </c>
    </row>
    <row r="1063" spans="1:7" ht="12.75">
      <c r="A1063">
        <v>855</v>
      </c>
      <c r="B1063">
        <v>0.88</v>
      </c>
      <c r="C1063">
        <v>855</v>
      </c>
      <c r="D1063">
        <v>88</v>
      </c>
      <c r="E1063">
        <f t="shared" si="37"/>
        <v>0.88</v>
      </c>
      <c r="F1063">
        <f t="shared" si="38"/>
        <v>0</v>
      </c>
      <c r="G1063">
        <f t="shared" si="39"/>
        <v>0</v>
      </c>
    </row>
    <row r="1064" spans="1:7" ht="12.75">
      <c r="A1064">
        <v>856</v>
      </c>
      <c r="B1064">
        <v>0.89</v>
      </c>
      <c r="C1064">
        <v>856</v>
      </c>
      <c r="D1064">
        <v>89</v>
      </c>
      <c r="E1064">
        <f t="shared" si="37"/>
        <v>0.89</v>
      </c>
      <c r="F1064">
        <f t="shared" si="38"/>
        <v>0</v>
      </c>
      <c r="G1064">
        <f t="shared" si="39"/>
        <v>0</v>
      </c>
    </row>
    <row r="1065" spans="1:7" ht="12.75">
      <c r="A1065">
        <v>857</v>
      </c>
      <c r="B1065">
        <v>0.89</v>
      </c>
      <c r="C1065">
        <v>857</v>
      </c>
      <c r="D1065">
        <v>89</v>
      </c>
      <c r="E1065">
        <f t="shared" si="37"/>
        <v>0.89</v>
      </c>
      <c r="F1065">
        <f t="shared" si="38"/>
        <v>0</v>
      </c>
      <c r="G1065">
        <f t="shared" si="39"/>
        <v>0</v>
      </c>
    </row>
    <row r="1066" spans="1:7" ht="12.75">
      <c r="A1066">
        <v>859</v>
      </c>
      <c r="B1066">
        <v>0.88</v>
      </c>
      <c r="C1066">
        <v>859</v>
      </c>
      <c r="D1066">
        <v>88</v>
      </c>
      <c r="E1066">
        <f t="shared" si="37"/>
        <v>0.88</v>
      </c>
      <c r="F1066">
        <f t="shared" si="38"/>
        <v>0</v>
      </c>
      <c r="G1066">
        <f t="shared" si="39"/>
        <v>0</v>
      </c>
    </row>
    <row r="1067" spans="1:7" ht="12.75">
      <c r="A1067">
        <v>860</v>
      </c>
      <c r="B1067">
        <v>0.91</v>
      </c>
      <c r="C1067">
        <v>860</v>
      </c>
      <c r="D1067">
        <v>91</v>
      </c>
      <c r="E1067">
        <f t="shared" si="37"/>
        <v>0.91</v>
      </c>
      <c r="F1067">
        <f t="shared" si="38"/>
        <v>0</v>
      </c>
      <c r="G1067">
        <f t="shared" si="39"/>
        <v>0</v>
      </c>
    </row>
    <row r="1068" spans="1:7" ht="12.75">
      <c r="A1068">
        <v>863</v>
      </c>
      <c r="B1068">
        <v>0.87</v>
      </c>
      <c r="C1068">
        <v>863</v>
      </c>
      <c r="D1068">
        <v>87</v>
      </c>
      <c r="E1068">
        <f t="shared" si="37"/>
        <v>0.87</v>
      </c>
      <c r="F1068">
        <f t="shared" si="38"/>
        <v>0</v>
      </c>
      <c r="G1068">
        <f t="shared" si="39"/>
        <v>0</v>
      </c>
    </row>
    <row r="1069" spans="1:7" ht="12.75">
      <c r="A1069">
        <v>864</v>
      </c>
      <c r="B1069">
        <v>0.87</v>
      </c>
      <c r="C1069">
        <v>864</v>
      </c>
      <c r="D1069">
        <v>87</v>
      </c>
      <c r="E1069">
        <f t="shared" si="37"/>
        <v>0.87</v>
      </c>
      <c r="F1069">
        <f t="shared" si="38"/>
        <v>0</v>
      </c>
      <c r="G1069">
        <f t="shared" si="39"/>
        <v>0</v>
      </c>
    </row>
    <row r="1070" spans="1:7" ht="12.75">
      <c r="A1070">
        <v>865</v>
      </c>
      <c r="B1070">
        <v>0.87</v>
      </c>
      <c r="C1070">
        <v>865</v>
      </c>
      <c r="D1070">
        <v>87</v>
      </c>
      <c r="E1070">
        <f t="shared" si="37"/>
        <v>0.87</v>
      </c>
      <c r="F1070">
        <f t="shared" si="38"/>
        <v>0</v>
      </c>
      <c r="G1070">
        <f t="shared" si="39"/>
        <v>0</v>
      </c>
    </row>
    <row r="1071" spans="1:7" ht="12.75">
      <c r="A1071">
        <v>870</v>
      </c>
      <c r="B1071">
        <v>0.91</v>
      </c>
      <c r="C1071">
        <v>870</v>
      </c>
      <c r="D1071">
        <v>91</v>
      </c>
      <c r="E1071">
        <f t="shared" si="37"/>
        <v>0.91</v>
      </c>
      <c r="F1071">
        <f t="shared" si="38"/>
        <v>0</v>
      </c>
      <c r="G1071">
        <f t="shared" si="39"/>
        <v>0</v>
      </c>
    </row>
    <row r="1072" spans="1:7" ht="12.75">
      <c r="A1072">
        <v>871</v>
      </c>
      <c r="B1072">
        <v>0.91</v>
      </c>
      <c r="C1072">
        <v>871</v>
      </c>
      <c r="D1072">
        <v>91</v>
      </c>
      <c r="E1072">
        <f t="shared" si="37"/>
        <v>0.91</v>
      </c>
      <c r="F1072">
        <f t="shared" si="38"/>
        <v>0</v>
      </c>
      <c r="G1072">
        <f t="shared" si="39"/>
        <v>0</v>
      </c>
    </row>
    <row r="1073" spans="1:7" ht="12.75">
      <c r="A1073">
        <v>872</v>
      </c>
      <c r="B1073">
        <v>0.91</v>
      </c>
      <c r="C1073">
        <v>872</v>
      </c>
      <c r="D1073">
        <v>91</v>
      </c>
      <c r="E1073">
        <f t="shared" si="37"/>
        <v>0.91</v>
      </c>
      <c r="F1073">
        <f t="shared" si="38"/>
        <v>0</v>
      </c>
      <c r="G1073">
        <f t="shared" si="39"/>
        <v>0</v>
      </c>
    </row>
    <row r="1074" spans="1:7" ht="12.75">
      <c r="A1074">
        <v>873</v>
      </c>
      <c r="B1074">
        <v>0.91</v>
      </c>
      <c r="C1074">
        <v>873</v>
      </c>
      <c r="D1074">
        <v>91</v>
      </c>
      <c r="E1074">
        <f t="shared" si="37"/>
        <v>0.91</v>
      </c>
      <c r="F1074">
        <f t="shared" si="38"/>
        <v>0</v>
      </c>
      <c r="G1074">
        <f t="shared" si="39"/>
        <v>0</v>
      </c>
    </row>
    <row r="1075" spans="1:7" ht="12.75">
      <c r="A1075">
        <v>874</v>
      </c>
      <c r="B1075">
        <v>0.91</v>
      </c>
      <c r="C1075">
        <v>874</v>
      </c>
      <c r="D1075">
        <v>91</v>
      </c>
      <c r="E1075">
        <f t="shared" si="37"/>
        <v>0.91</v>
      </c>
      <c r="F1075">
        <f t="shared" si="38"/>
        <v>0</v>
      </c>
      <c r="G1075">
        <f t="shared" si="39"/>
        <v>0</v>
      </c>
    </row>
    <row r="1076" spans="1:7" ht="12.75">
      <c r="A1076">
        <v>875</v>
      </c>
      <c r="B1076">
        <v>0.91</v>
      </c>
      <c r="C1076">
        <v>875</v>
      </c>
      <c r="D1076">
        <v>91</v>
      </c>
      <c r="E1076">
        <f t="shared" si="37"/>
        <v>0.91</v>
      </c>
      <c r="F1076">
        <f t="shared" si="38"/>
        <v>0</v>
      </c>
      <c r="G1076">
        <f t="shared" si="39"/>
        <v>0</v>
      </c>
    </row>
    <row r="1077" spans="1:7" ht="12.75">
      <c r="A1077">
        <v>877</v>
      </c>
      <c r="B1077">
        <v>0.91</v>
      </c>
      <c r="C1077">
        <v>877</v>
      </c>
      <c r="D1077">
        <v>91</v>
      </c>
      <c r="E1077">
        <f t="shared" si="37"/>
        <v>0.91</v>
      </c>
      <c r="F1077">
        <f t="shared" si="38"/>
        <v>0</v>
      </c>
      <c r="G1077">
        <f t="shared" si="39"/>
        <v>0</v>
      </c>
    </row>
    <row r="1078" spans="1:7" ht="12.75">
      <c r="A1078">
        <v>878</v>
      </c>
      <c r="B1078">
        <v>0.9</v>
      </c>
      <c r="C1078">
        <v>878</v>
      </c>
      <c r="D1078">
        <v>90</v>
      </c>
      <c r="E1078">
        <f t="shared" si="37"/>
        <v>0.9</v>
      </c>
      <c r="F1078">
        <f t="shared" si="38"/>
        <v>0</v>
      </c>
      <c r="G1078">
        <f t="shared" si="39"/>
        <v>0</v>
      </c>
    </row>
    <row r="1079" spans="1:7" ht="12.75">
      <c r="A1079">
        <v>879</v>
      </c>
      <c r="B1079">
        <v>0.88</v>
      </c>
      <c r="C1079">
        <v>879</v>
      </c>
      <c r="D1079">
        <v>88</v>
      </c>
      <c r="E1079">
        <f t="shared" si="37"/>
        <v>0.88</v>
      </c>
      <c r="F1079">
        <f t="shared" si="38"/>
        <v>0</v>
      </c>
      <c r="G1079">
        <f t="shared" si="39"/>
        <v>0</v>
      </c>
    </row>
    <row r="1080" spans="1:7" ht="12.75">
      <c r="A1080">
        <v>880</v>
      </c>
      <c r="B1080">
        <v>0.85</v>
      </c>
      <c r="C1080">
        <v>880</v>
      </c>
      <c r="D1080">
        <v>85</v>
      </c>
      <c r="E1080">
        <f t="shared" si="37"/>
        <v>0.85</v>
      </c>
      <c r="F1080">
        <f t="shared" si="38"/>
        <v>0</v>
      </c>
      <c r="G1080">
        <f t="shared" si="39"/>
        <v>0</v>
      </c>
    </row>
    <row r="1081" spans="1:7" ht="12.75">
      <c r="A1081">
        <v>881</v>
      </c>
      <c r="B1081">
        <v>0.9</v>
      </c>
      <c r="C1081">
        <v>881</v>
      </c>
      <c r="D1081">
        <v>90</v>
      </c>
      <c r="E1081">
        <f t="shared" si="37"/>
        <v>0.9</v>
      </c>
      <c r="F1081">
        <f t="shared" si="38"/>
        <v>0</v>
      </c>
      <c r="G1081">
        <f t="shared" si="39"/>
        <v>0</v>
      </c>
    </row>
    <row r="1082" spans="1:7" ht="12.75">
      <c r="A1082">
        <v>882</v>
      </c>
      <c r="B1082">
        <v>0.91</v>
      </c>
      <c r="C1082">
        <v>882</v>
      </c>
      <c r="D1082">
        <v>91</v>
      </c>
      <c r="E1082">
        <f t="shared" si="37"/>
        <v>0.91</v>
      </c>
      <c r="F1082">
        <f t="shared" si="38"/>
        <v>0</v>
      </c>
      <c r="G1082">
        <f t="shared" si="39"/>
        <v>0</v>
      </c>
    </row>
    <row r="1083" spans="1:7" ht="12.75">
      <c r="A1083">
        <v>883</v>
      </c>
      <c r="B1083">
        <v>0.92</v>
      </c>
      <c r="C1083">
        <v>883</v>
      </c>
      <c r="D1083">
        <v>92</v>
      </c>
      <c r="E1083">
        <f t="shared" si="37"/>
        <v>0.92</v>
      </c>
      <c r="F1083">
        <f t="shared" si="38"/>
        <v>0</v>
      </c>
      <c r="G1083">
        <f t="shared" si="39"/>
        <v>0</v>
      </c>
    </row>
    <row r="1084" spans="1:7" ht="12.75">
      <c r="A1084">
        <v>884</v>
      </c>
      <c r="B1084">
        <v>0.9</v>
      </c>
      <c r="C1084">
        <v>884</v>
      </c>
      <c r="D1084">
        <v>90</v>
      </c>
      <c r="E1084">
        <f t="shared" si="37"/>
        <v>0.9</v>
      </c>
      <c r="F1084">
        <f t="shared" si="38"/>
        <v>0</v>
      </c>
      <c r="G1084">
        <f t="shared" si="39"/>
        <v>0</v>
      </c>
    </row>
    <row r="1085" spans="1:7" ht="12.75">
      <c r="A1085">
        <v>885</v>
      </c>
      <c r="B1085">
        <v>0.77</v>
      </c>
      <c r="C1085">
        <v>885</v>
      </c>
      <c r="D1085">
        <v>77</v>
      </c>
      <c r="E1085">
        <f t="shared" si="37"/>
        <v>0.77</v>
      </c>
      <c r="F1085">
        <f t="shared" si="38"/>
        <v>0</v>
      </c>
      <c r="G1085">
        <f t="shared" si="39"/>
        <v>0</v>
      </c>
    </row>
    <row r="1086" spans="1:7" ht="12.75">
      <c r="A1086">
        <v>889</v>
      </c>
      <c r="B1086">
        <v>1.04</v>
      </c>
      <c r="C1086">
        <v>889</v>
      </c>
      <c r="D1086">
        <v>104</v>
      </c>
      <c r="E1086">
        <f t="shared" si="37"/>
        <v>1.04</v>
      </c>
      <c r="F1086">
        <f t="shared" si="38"/>
        <v>0</v>
      </c>
      <c r="G1086">
        <f t="shared" si="39"/>
        <v>0</v>
      </c>
    </row>
    <row r="1087" spans="1:7" ht="12.75">
      <c r="A1087">
        <v>890</v>
      </c>
      <c r="B1087">
        <v>1.04</v>
      </c>
      <c r="C1087">
        <v>890</v>
      </c>
      <c r="D1087">
        <v>104</v>
      </c>
      <c r="E1087">
        <f t="shared" si="37"/>
        <v>1.04</v>
      </c>
      <c r="F1087">
        <f t="shared" si="38"/>
        <v>0</v>
      </c>
      <c r="G1087">
        <f t="shared" si="39"/>
        <v>0</v>
      </c>
    </row>
    <row r="1088" spans="1:7" ht="12.75">
      <c r="A1088">
        <v>891</v>
      </c>
      <c r="B1088">
        <v>1.04</v>
      </c>
      <c r="C1088">
        <v>891</v>
      </c>
      <c r="D1088">
        <v>104</v>
      </c>
      <c r="E1088">
        <f t="shared" si="37"/>
        <v>1.04</v>
      </c>
      <c r="F1088">
        <f t="shared" si="38"/>
        <v>0</v>
      </c>
      <c r="G1088">
        <f t="shared" si="39"/>
        <v>0</v>
      </c>
    </row>
    <row r="1089" spans="1:7" ht="12.75">
      <c r="A1089">
        <v>893</v>
      </c>
      <c r="B1089">
        <v>0.97</v>
      </c>
      <c r="C1089">
        <v>893</v>
      </c>
      <c r="D1089">
        <v>97</v>
      </c>
      <c r="E1089">
        <f t="shared" si="37"/>
        <v>0.97</v>
      </c>
      <c r="F1089">
        <f t="shared" si="38"/>
        <v>0</v>
      </c>
      <c r="G1089">
        <f t="shared" si="39"/>
        <v>0</v>
      </c>
    </row>
    <row r="1090" spans="1:7" ht="12.75">
      <c r="A1090">
        <v>894</v>
      </c>
      <c r="B1090">
        <v>0.99</v>
      </c>
      <c r="C1090">
        <v>894</v>
      </c>
      <c r="D1090">
        <v>99</v>
      </c>
      <c r="E1090">
        <f t="shared" si="37"/>
        <v>0.99</v>
      </c>
      <c r="F1090">
        <f t="shared" si="38"/>
        <v>0</v>
      </c>
      <c r="G1090">
        <f t="shared" si="39"/>
        <v>0</v>
      </c>
    </row>
    <row r="1091" spans="1:7" ht="12.75">
      <c r="A1091">
        <v>895</v>
      </c>
      <c r="B1091">
        <v>0.99</v>
      </c>
      <c r="C1091">
        <v>895</v>
      </c>
      <c r="D1091">
        <v>99</v>
      </c>
      <c r="E1091">
        <f t="shared" si="37"/>
        <v>0.99</v>
      </c>
      <c r="F1091">
        <f t="shared" si="38"/>
        <v>0</v>
      </c>
      <c r="G1091">
        <f t="shared" si="39"/>
        <v>0</v>
      </c>
    </row>
    <row r="1092" spans="1:7" ht="12.75">
      <c r="A1092">
        <v>897</v>
      </c>
      <c r="B1092">
        <v>0.98</v>
      </c>
      <c r="C1092">
        <v>897</v>
      </c>
      <c r="D1092">
        <v>98</v>
      </c>
      <c r="E1092">
        <f t="shared" si="37"/>
        <v>0.98</v>
      </c>
      <c r="F1092">
        <f t="shared" si="38"/>
        <v>0</v>
      </c>
      <c r="G1092">
        <f t="shared" si="39"/>
        <v>0</v>
      </c>
    </row>
    <row r="1093" spans="1:7" ht="12.75">
      <c r="A1093">
        <v>898</v>
      </c>
      <c r="B1093">
        <v>0.96</v>
      </c>
      <c r="C1093">
        <v>898</v>
      </c>
      <c r="D1093">
        <v>96</v>
      </c>
      <c r="E1093">
        <f t="shared" si="37"/>
        <v>0.96</v>
      </c>
      <c r="F1093">
        <f t="shared" si="38"/>
        <v>0</v>
      </c>
      <c r="G1093">
        <f t="shared" si="39"/>
        <v>0</v>
      </c>
    </row>
    <row r="1094" spans="1:7" ht="12.75">
      <c r="A1094">
        <v>900</v>
      </c>
      <c r="B1094">
        <v>1.11</v>
      </c>
      <c r="C1094">
        <v>900</v>
      </c>
      <c r="D1094">
        <v>111</v>
      </c>
      <c r="E1094">
        <f t="shared" si="37"/>
        <v>1.11</v>
      </c>
      <c r="F1094">
        <f t="shared" si="38"/>
        <v>0</v>
      </c>
      <c r="G1094">
        <f t="shared" si="39"/>
        <v>0</v>
      </c>
    </row>
    <row r="1095" spans="1:7" ht="12.75">
      <c r="A1095">
        <v>901</v>
      </c>
      <c r="B1095">
        <v>1.11</v>
      </c>
      <c r="C1095">
        <v>901</v>
      </c>
      <c r="D1095">
        <v>111</v>
      </c>
      <c r="E1095">
        <f t="shared" si="37"/>
        <v>1.11</v>
      </c>
      <c r="F1095">
        <f t="shared" si="38"/>
        <v>0</v>
      </c>
      <c r="G1095">
        <f t="shared" si="39"/>
        <v>0</v>
      </c>
    </row>
    <row r="1096" spans="1:7" ht="12.75">
      <c r="A1096">
        <v>902</v>
      </c>
      <c r="B1096">
        <v>1.11</v>
      </c>
      <c r="C1096">
        <v>902</v>
      </c>
      <c r="D1096">
        <v>111</v>
      </c>
      <c r="E1096">
        <f t="shared" si="37"/>
        <v>1.11</v>
      </c>
      <c r="F1096">
        <f t="shared" si="38"/>
        <v>0</v>
      </c>
      <c r="G1096">
        <f t="shared" si="39"/>
        <v>0</v>
      </c>
    </row>
    <row r="1097" spans="1:7" ht="12.75">
      <c r="A1097">
        <v>903</v>
      </c>
      <c r="B1097">
        <v>1.08</v>
      </c>
      <c r="C1097">
        <v>903</v>
      </c>
      <c r="D1097">
        <v>108</v>
      </c>
      <c r="E1097">
        <f t="shared" si="37"/>
        <v>1.08</v>
      </c>
      <c r="F1097">
        <f t="shared" si="38"/>
        <v>0</v>
      </c>
      <c r="G1097">
        <f t="shared" si="39"/>
        <v>0</v>
      </c>
    </row>
    <row r="1098" spans="1:7" ht="12.75">
      <c r="A1098">
        <v>904</v>
      </c>
      <c r="B1098">
        <v>1.08</v>
      </c>
      <c r="C1098">
        <v>904</v>
      </c>
      <c r="D1098">
        <v>108</v>
      </c>
      <c r="E1098">
        <f t="shared" si="37"/>
        <v>1.08</v>
      </c>
      <c r="F1098">
        <f t="shared" si="38"/>
        <v>0</v>
      </c>
      <c r="G1098">
        <f t="shared" si="39"/>
        <v>0</v>
      </c>
    </row>
    <row r="1099" spans="1:7" ht="12.75">
      <c r="A1099">
        <v>905</v>
      </c>
      <c r="B1099">
        <v>1.08</v>
      </c>
      <c r="C1099">
        <v>905</v>
      </c>
      <c r="D1099">
        <v>108</v>
      </c>
      <c r="E1099">
        <f t="shared" si="37"/>
        <v>1.08</v>
      </c>
      <c r="F1099">
        <f t="shared" si="38"/>
        <v>0</v>
      </c>
      <c r="G1099">
        <f t="shared" si="39"/>
        <v>0</v>
      </c>
    </row>
    <row r="1100" spans="1:7" ht="12.75">
      <c r="A1100">
        <v>906</v>
      </c>
      <c r="B1100">
        <v>1.08</v>
      </c>
      <c r="C1100">
        <v>906</v>
      </c>
      <c r="D1100">
        <v>108</v>
      </c>
      <c r="E1100">
        <f t="shared" si="37"/>
        <v>1.08</v>
      </c>
      <c r="F1100">
        <f t="shared" si="38"/>
        <v>0</v>
      </c>
      <c r="G1100">
        <f t="shared" si="39"/>
        <v>0</v>
      </c>
    </row>
    <row r="1101" spans="1:7" ht="12.75">
      <c r="A1101">
        <v>907</v>
      </c>
      <c r="B1101">
        <v>1.08</v>
      </c>
      <c r="C1101">
        <v>907</v>
      </c>
      <c r="D1101">
        <v>108</v>
      </c>
      <c r="E1101">
        <f t="shared" si="37"/>
        <v>1.08</v>
      </c>
      <c r="F1101">
        <f t="shared" si="38"/>
        <v>0</v>
      </c>
      <c r="G1101">
        <f t="shared" si="39"/>
        <v>0</v>
      </c>
    </row>
    <row r="1102" spans="1:7" ht="12.75">
      <c r="A1102">
        <v>908</v>
      </c>
      <c r="B1102">
        <v>1.08</v>
      </c>
      <c r="C1102">
        <v>908</v>
      </c>
      <c r="D1102">
        <v>108</v>
      </c>
      <c r="E1102">
        <f t="shared" si="37"/>
        <v>1.08</v>
      </c>
      <c r="F1102">
        <f t="shared" si="38"/>
        <v>0</v>
      </c>
      <c r="G1102">
        <f t="shared" si="39"/>
        <v>0</v>
      </c>
    </row>
    <row r="1103" spans="1:7" ht="12.75">
      <c r="A1103">
        <v>910</v>
      </c>
      <c r="B1103">
        <v>1.07</v>
      </c>
      <c r="C1103">
        <v>910</v>
      </c>
      <c r="D1103">
        <v>107</v>
      </c>
      <c r="E1103">
        <f t="shared" si="37"/>
        <v>1.07</v>
      </c>
      <c r="F1103">
        <f t="shared" si="38"/>
        <v>0</v>
      </c>
      <c r="G1103">
        <f t="shared" si="39"/>
        <v>0</v>
      </c>
    </row>
    <row r="1104" spans="1:7" ht="12.75">
      <c r="A1104">
        <v>911</v>
      </c>
      <c r="B1104">
        <v>1.07</v>
      </c>
      <c r="C1104">
        <v>911</v>
      </c>
      <c r="D1104">
        <v>107</v>
      </c>
      <c r="E1104">
        <f t="shared" si="37"/>
        <v>1.07</v>
      </c>
      <c r="F1104">
        <f t="shared" si="38"/>
        <v>0</v>
      </c>
      <c r="G1104">
        <f t="shared" si="39"/>
        <v>0</v>
      </c>
    </row>
    <row r="1105" spans="1:7" ht="12.75">
      <c r="A1105">
        <v>912</v>
      </c>
      <c r="B1105">
        <v>1.07</v>
      </c>
      <c r="C1105">
        <v>912</v>
      </c>
      <c r="D1105">
        <v>107</v>
      </c>
      <c r="E1105">
        <f t="shared" si="37"/>
        <v>1.07</v>
      </c>
      <c r="F1105">
        <f t="shared" si="38"/>
        <v>0</v>
      </c>
      <c r="G1105">
        <f t="shared" si="39"/>
        <v>0</v>
      </c>
    </row>
    <row r="1106" spans="1:7" ht="12.75">
      <c r="A1106">
        <v>913</v>
      </c>
      <c r="B1106">
        <v>1.09</v>
      </c>
      <c r="C1106">
        <v>913</v>
      </c>
      <c r="D1106">
        <v>109</v>
      </c>
      <c r="E1106">
        <f t="shared" si="37"/>
        <v>1.09</v>
      </c>
      <c r="F1106">
        <f t="shared" si="38"/>
        <v>0</v>
      </c>
      <c r="G1106">
        <f t="shared" si="39"/>
        <v>0</v>
      </c>
    </row>
    <row r="1107" spans="1:7" ht="12.75">
      <c r="A1107">
        <v>914</v>
      </c>
      <c r="B1107">
        <v>1.09</v>
      </c>
      <c r="C1107">
        <v>914</v>
      </c>
      <c r="D1107">
        <v>109</v>
      </c>
      <c r="E1107">
        <f t="shared" si="37"/>
        <v>1.09</v>
      </c>
      <c r="F1107">
        <f t="shared" si="38"/>
        <v>0</v>
      </c>
      <c r="G1107">
        <f t="shared" si="39"/>
        <v>0</v>
      </c>
    </row>
    <row r="1108" spans="1:7" ht="12.75">
      <c r="A1108">
        <v>915</v>
      </c>
      <c r="B1108">
        <v>1.09</v>
      </c>
      <c r="C1108">
        <v>915</v>
      </c>
      <c r="D1108">
        <v>109</v>
      </c>
      <c r="E1108">
        <f t="shared" si="37"/>
        <v>1.09</v>
      </c>
      <c r="F1108">
        <f t="shared" si="38"/>
        <v>0</v>
      </c>
      <c r="G1108">
        <f t="shared" si="39"/>
        <v>0</v>
      </c>
    </row>
    <row r="1109" spans="1:7" ht="12.75">
      <c r="A1109">
        <v>916</v>
      </c>
      <c r="B1109">
        <v>1.09</v>
      </c>
      <c r="C1109">
        <v>916</v>
      </c>
      <c r="D1109">
        <v>109</v>
      </c>
      <c r="E1109">
        <f t="shared" si="37"/>
        <v>1.09</v>
      </c>
      <c r="F1109">
        <f t="shared" si="38"/>
        <v>0</v>
      </c>
      <c r="G1109">
        <f t="shared" si="39"/>
        <v>0</v>
      </c>
    </row>
    <row r="1110" spans="1:7" ht="12.75">
      <c r="A1110">
        <v>917</v>
      </c>
      <c r="B1110">
        <v>1.09</v>
      </c>
      <c r="C1110">
        <v>917</v>
      </c>
      <c r="D1110">
        <v>109</v>
      </c>
      <c r="E1110">
        <f t="shared" si="37"/>
        <v>1.09</v>
      </c>
      <c r="F1110">
        <f t="shared" si="38"/>
        <v>0</v>
      </c>
      <c r="G1110">
        <f t="shared" si="39"/>
        <v>0</v>
      </c>
    </row>
    <row r="1111" spans="1:7" ht="12.75">
      <c r="A1111">
        <v>918</v>
      </c>
      <c r="B1111">
        <v>1.09</v>
      </c>
      <c r="C1111">
        <v>918</v>
      </c>
      <c r="D1111">
        <v>109</v>
      </c>
      <c r="E1111">
        <f t="shared" si="37"/>
        <v>1.09</v>
      </c>
      <c r="F1111">
        <f t="shared" si="38"/>
        <v>0</v>
      </c>
      <c r="G1111">
        <f t="shared" si="39"/>
        <v>0</v>
      </c>
    </row>
    <row r="1112" spans="1:7" ht="12.75">
      <c r="A1112">
        <v>919</v>
      </c>
      <c r="B1112">
        <v>1.07</v>
      </c>
      <c r="C1112">
        <v>919</v>
      </c>
      <c r="D1112">
        <v>107</v>
      </c>
      <c r="E1112">
        <f t="shared" si="37"/>
        <v>1.07</v>
      </c>
      <c r="F1112">
        <f t="shared" si="38"/>
        <v>0</v>
      </c>
      <c r="G1112">
        <f t="shared" si="39"/>
        <v>0</v>
      </c>
    </row>
    <row r="1113" spans="1:7" ht="12.75">
      <c r="A1113">
        <v>920</v>
      </c>
      <c r="B1113">
        <v>1.07</v>
      </c>
      <c r="C1113">
        <v>920</v>
      </c>
      <c r="D1113">
        <v>107</v>
      </c>
      <c r="E1113">
        <f t="shared" si="37"/>
        <v>1.07</v>
      </c>
      <c r="F1113">
        <f t="shared" si="38"/>
        <v>0</v>
      </c>
      <c r="G1113">
        <f t="shared" si="39"/>
        <v>0</v>
      </c>
    </row>
    <row r="1114" spans="1:7" ht="12.75">
      <c r="A1114">
        <v>921</v>
      </c>
      <c r="B1114">
        <v>1.07</v>
      </c>
      <c r="C1114">
        <v>921</v>
      </c>
      <c r="D1114">
        <v>107</v>
      </c>
      <c r="E1114">
        <f t="shared" si="37"/>
        <v>1.07</v>
      </c>
      <c r="F1114">
        <f t="shared" si="38"/>
        <v>0</v>
      </c>
      <c r="G1114">
        <f t="shared" si="39"/>
        <v>0</v>
      </c>
    </row>
    <row r="1115" spans="1:7" ht="12.75">
      <c r="A1115">
        <v>922</v>
      </c>
      <c r="B1115">
        <v>1.07</v>
      </c>
      <c r="C1115">
        <v>922</v>
      </c>
      <c r="D1115">
        <v>107</v>
      </c>
      <c r="E1115">
        <f t="shared" si="37"/>
        <v>1.07</v>
      </c>
      <c r="F1115">
        <f t="shared" si="38"/>
        <v>0</v>
      </c>
      <c r="G1115">
        <f t="shared" si="39"/>
        <v>0</v>
      </c>
    </row>
    <row r="1116" spans="1:7" ht="12.75">
      <c r="A1116">
        <v>923</v>
      </c>
      <c r="B1116">
        <v>1.06</v>
      </c>
      <c r="C1116">
        <v>923</v>
      </c>
      <c r="D1116">
        <v>106</v>
      </c>
      <c r="E1116">
        <f t="shared" si="37"/>
        <v>1.06</v>
      </c>
      <c r="F1116">
        <f t="shared" si="38"/>
        <v>0</v>
      </c>
      <c r="G1116">
        <f t="shared" si="39"/>
        <v>0</v>
      </c>
    </row>
    <row r="1117" spans="1:7" ht="12.75">
      <c r="A1117">
        <v>924</v>
      </c>
      <c r="B1117">
        <v>1.06</v>
      </c>
      <c r="C1117">
        <v>924</v>
      </c>
      <c r="D1117">
        <v>106</v>
      </c>
      <c r="E1117">
        <f aca="true" t="shared" si="40" ref="E1117:E1180">D1117/100</f>
        <v>1.06</v>
      </c>
      <c r="F1117">
        <f aca="true" t="shared" si="41" ref="F1117:F1180">A1117-C1117</f>
        <v>0</v>
      </c>
      <c r="G1117">
        <f aca="true" t="shared" si="42" ref="G1117:G1180">B1117-E1117</f>
        <v>0</v>
      </c>
    </row>
    <row r="1118" spans="1:7" ht="12.75">
      <c r="A1118">
        <v>925</v>
      </c>
      <c r="B1118">
        <v>1.09</v>
      </c>
      <c r="C1118">
        <v>925</v>
      </c>
      <c r="D1118">
        <v>109</v>
      </c>
      <c r="E1118">
        <f t="shared" si="40"/>
        <v>1.09</v>
      </c>
      <c r="F1118">
        <f t="shared" si="41"/>
        <v>0</v>
      </c>
      <c r="G1118">
        <f t="shared" si="42"/>
        <v>0</v>
      </c>
    </row>
    <row r="1119" spans="1:7" ht="12.75">
      <c r="A1119">
        <v>926</v>
      </c>
      <c r="B1119">
        <v>1.07</v>
      </c>
      <c r="C1119">
        <v>926</v>
      </c>
      <c r="D1119">
        <v>107</v>
      </c>
      <c r="E1119">
        <f t="shared" si="40"/>
        <v>1.07</v>
      </c>
      <c r="F1119">
        <f t="shared" si="41"/>
        <v>0</v>
      </c>
      <c r="G1119">
        <f t="shared" si="42"/>
        <v>0</v>
      </c>
    </row>
    <row r="1120" spans="1:7" ht="12.75">
      <c r="A1120">
        <v>927</v>
      </c>
      <c r="B1120">
        <v>1.07</v>
      </c>
      <c r="C1120">
        <v>927</v>
      </c>
      <c r="D1120">
        <v>107</v>
      </c>
      <c r="E1120">
        <f t="shared" si="40"/>
        <v>1.07</v>
      </c>
      <c r="F1120">
        <f t="shared" si="41"/>
        <v>0</v>
      </c>
      <c r="G1120">
        <f t="shared" si="42"/>
        <v>0</v>
      </c>
    </row>
    <row r="1121" spans="1:7" ht="12.75">
      <c r="A1121">
        <v>928</v>
      </c>
      <c r="B1121">
        <v>1.1</v>
      </c>
      <c r="C1121">
        <v>928</v>
      </c>
      <c r="D1121">
        <v>110</v>
      </c>
      <c r="E1121">
        <f t="shared" si="40"/>
        <v>1.1</v>
      </c>
      <c r="F1121">
        <f t="shared" si="41"/>
        <v>0</v>
      </c>
      <c r="G1121">
        <f t="shared" si="42"/>
        <v>0</v>
      </c>
    </row>
    <row r="1122" spans="1:7" ht="12.75">
      <c r="A1122">
        <v>930</v>
      </c>
      <c r="B1122">
        <v>1.09</v>
      </c>
      <c r="C1122">
        <v>930</v>
      </c>
      <c r="D1122">
        <v>109</v>
      </c>
      <c r="E1122">
        <f t="shared" si="40"/>
        <v>1.09</v>
      </c>
      <c r="F1122">
        <f t="shared" si="41"/>
        <v>0</v>
      </c>
      <c r="G1122">
        <f t="shared" si="42"/>
        <v>0</v>
      </c>
    </row>
    <row r="1123" spans="1:7" ht="12.75">
      <c r="A1123">
        <v>931</v>
      </c>
      <c r="B1123">
        <v>1.09</v>
      </c>
      <c r="C1123">
        <v>931</v>
      </c>
      <c r="D1123">
        <v>109</v>
      </c>
      <c r="E1123">
        <f t="shared" si="40"/>
        <v>1.09</v>
      </c>
      <c r="F1123">
        <f t="shared" si="41"/>
        <v>0</v>
      </c>
      <c r="G1123">
        <f t="shared" si="42"/>
        <v>0</v>
      </c>
    </row>
    <row r="1124" spans="1:7" ht="12.75">
      <c r="A1124">
        <v>932</v>
      </c>
      <c r="B1124">
        <v>1.06</v>
      </c>
      <c r="C1124">
        <v>932</v>
      </c>
      <c r="D1124">
        <v>106</v>
      </c>
      <c r="E1124">
        <f t="shared" si="40"/>
        <v>1.06</v>
      </c>
      <c r="F1124">
        <f t="shared" si="41"/>
        <v>0</v>
      </c>
      <c r="G1124">
        <f t="shared" si="42"/>
        <v>0</v>
      </c>
    </row>
    <row r="1125" spans="1:7" ht="12.75">
      <c r="A1125">
        <v>933</v>
      </c>
      <c r="B1125">
        <v>1.06</v>
      </c>
      <c r="C1125">
        <v>933</v>
      </c>
      <c r="D1125">
        <v>106</v>
      </c>
      <c r="E1125">
        <f t="shared" si="40"/>
        <v>1.06</v>
      </c>
      <c r="F1125">
        <f t="shared" si="41"/>
        <v>0</v>
      </c>
      <c r="G1125">
        <f t="shared" si="42"/>
        <v>0</v>
      </c>
    </row>
    <row r="1126" spans="1:7" ht="12.75">
      <c r="A1126">
        <v>934</v>
      </c>
      <c r="B1126">
        <v>1.09</v>
      </c>
      <c r="C1126">
        <v>934</v>
      </c>
      <c r="D1126">
        <v>109</v>
      </c>
      <c r="E1126">
        <f t="shared" si="40"/>
        <v>1.09</v>
      </c>
      <c r="F1126">
        <f t="shared" si="41"/>
        <v>0</v>
      </c>
      <c r="G1126">
        <f t="shared" si="42"/>
        <v>0</v>
      </c>
    </row>
    <row r="1127" spans="1:7" ht="12.75">
      <c r="A1127">
        <v>935</v>
      </c>
      <c r="B1127">
        <v>1.06</v>
      </c>
      <c r="C1127">
        <v>935</v>
      </c>
      <c r="D1127">
        <v>106</v>
      </c>
      <c r="E1127">
        <f t="shared" si="40"/>
        <v>1.06</v>
      </c>
      <c r="F1127">
        <f t="shared" si="41"/>
        <v>0</v>
      </c>
      <c r="G1127">
        <f t="shared" si="42"/>
        <v>0</v>
      </c>
    </row>
    <row r="1128" spans="1:7" ht="12.75">
      <c r="A1128">
        <v>936</v>
      </c>
      <c r="B1128">
        <v>1.09</v>
      </c>
      <c r="C1128">
        <v>936</v>
      </c>
      <c r="D1128">
        <v>109</v>
      </c>
      <c r="E1128">
        <f t="shared" si="40"/>
        <v>1.09</v>
      </c>
      <c r="F1128">
        <f t="shared" si="41"/>
        <v>0</v>
      </c>
      <c r="G1128">
        <f t="shared" si="42"/>
        <v>0</v>
      </c>
    </row>
    <row r="1129" spans="1:7" ht="12.75">
      <c r="A1129">
        <v>937</v>
      </c>
      <c r="B1129">
        <v>1.09</v>
      </c>
      <c r="C1129">
        <v>937</v>
      </c>
      <c r="D1129">
        <v>109</v>
      </c>
      <c r="E1129">
        <f t="shared" si="40"/>
        <v>1.09</v>
      </c>
      <c r="F1129">
        <f t="shared" si="41"/>
        <v>0</v>
      </c>
      <c r="G1129">
        <f t="shared" si="42"/>
        <v>0</v>
      </c>
    </row>
    <row r="1130" spans="1:7" ht="12.75">
      <c r="A1130">
        <v>938</v>
      </c>
      <c r="B1130">
        <v>1.09</v>
      </c>
      <c r="C1130">
        <v>938</v>
      </c>
      <c r="D1130">
        <v>109</v>
      </c>
      <c r="E1130">
        <f t="shared" si="40"/>
        <v>1.09</v>
      </c>
      <c r="F1130">
        <f t="shared" si="41"/>
        <v>0</v>
      </c>
      <c r="G1130">
        <f t="shared" si="42"/>
        <v>0</v>
      </c>
    </row>
    <row r="1131" spans="1:7" ht="12.75">
      <c r="A1131">
        <v>939</v>
      </c>
      <c r="B1131">
        <v>1.12</v>
      </c>
      <c r="C1131">
        <v>939</v>
      </c>
      <c r="D1131">
        <v>112</v>
      </c>
      <c r="E1131">
        <f t="shared" si="40"/>
        <v>1.12</v>
      </c>
      <c r="F1131">
        <f t="shared" si="41"/>
        <v>0</v>
      </c>
      <c r="G1131">
        <f t="shared" si="42"/>
        <v>0</v>
      </c>
    </row>
    <row r="1132" spans="1:7" ht="12.75">
      <c r="A1132">
        <v>940</v>
      </c>
      <c r="B1132">
        <v>1.24</v>
      </c>
      <c r="C1132">
        <v>940</v>
      </c>
      <c r="D1132">
        <v>124</v>
      </c>
      <c r="E1132">
        <f t="shared" si="40"/>
        <v>1.24</v>
      </c>
      <c r="F1132">
        <f t="shared" si="41"/>
        <v>0</v>
      </c>
      <c r="G1132">
        <f t="shared" si="42"/>
        <v>0</v>
      </c>
    </row>
    <row r="1133" spans="1:7" ht="12.75">
      <c r="A1133">
        <v>941</v>
      </c>
      <c r="B1133">
        <v>1.24</v>
      </c>
      <c r="C1133">
        <v>941</v>
      </c>
      <c r="D1133">
        <v>124</v>
      </c>
      <c r="E1133">
        <f t="shared" si="40"/>
        <v>1.24</v>
      </c>
      <c r="F1133">
        <f t="shared" si="41"/>
        <v>0</v>
      </c>
      <c r="G1133">
        <f t="shared" si="42"/>
        <v>0</v>
      </c>
    </row>
    <row r="1134" spans="1:7" ht="12.75">
      <c r="A1134">
        <v>942</v>
      </c>
      <c r="B1134">
        <v>1.11</v>
      </c>
      <c r="C1134">
        <v>942</v>
      </c>
      <c r="D1134">
        <v>111</v>
      </c>
      <c r="E1134">
        <f t="shared" si="40"/>
        <v>1.11</v>
      </c>
      <c r="F1134">
        <f t="shared" si="41"/>
        <v>0</v>
      </c>
      <c r="G1134">
        <f t="shared" si="42"/>
        <v>0</v>
      </c>
    </row>
    <row r="1135" spans="1:7" ht="12.75">
      <c r="A1135">
        <v>943</v>
      </c>
      <c r="B1135">
        <v>1.16</v>
      </c>
      <c r="C1135">
        <v>943</v>
      </c>
      <c r="D1135">
        <v>116</v>
      </c>
      <c r="E1135">
        <f t="shared" si="40"/>
        <v>1.16</v>
      </c>
      <c r="F1135">
        <f t="shared" si="41"/>
        <v>0</v>
      </c>
      <c r="G1135">
        <f t="shared" si="42"/>
        <v>0</v>
      </c>
    </row>
    <row r="1136" spans="1:7" ht="12.75">
      <c r="A1136">
        <v>944</v>
      </c>
      <c r="B1136">
        <v>1.17</v>
      </c>
      <c r="C1136">
        <v>944</v>
      </c>
      <c r="D1136">
        <v>117</v>
      </c>
      <c r="E1136">
        <f t="shared" si="40"/>
        <v>1.17</v>
      </c>
      <c r="F1136">
        <f t="shared" si="41"/>
        <v>0</v>
      </c>
      <c r="G1136">
        <f t="shared" si="42"/>
        <v>0</v>
      </c>
    </row>
    <row r="1137" spans="1:7" ht="12.75">
      <c r="A1137">
        <v>945</v>
      </c>
      <c r="B1137">
        <v>1.16</v>
      </c>
      <c r="C1137">
        <v>945</v>
      </c>
      <c r="D1137">
        <v>116</v>
      </c>
      <c r="E1137">
        <f t="shared" si="40"/>
        <v>1.16</v>
      </c>
      <c r="F1137">
        <f t="shared" si="41"/>
        <v>0</v>
      </c>
      <c r="G1137">
        <f t="shared" si="42"/>
        <v>0</v>
      </c>
    </row>
    <row r="1138" spans="1:7" ht="12.75">
      <c r="A1138">
        <v>946</v>
      </c>
      <c r="B1138">
        <v>1.18</v>
      </c>
      <c r="C1138">
        <v>946</v>
      </c>
      <c r="D1138">
        <v>118</v>
      </c>
      <c r="E1138">
        <f t="shared" si="40"/>
        <v>1.18</v>
      </c>
      <c r="F1138">
        <f t="shared" si="41"/>
        <v>0</v>
      </c>
      <c r="G1138">
        <f t="shared" si="42"/>
        <v>0</v>
      </c>
    </row>
    <row r="1139" spans="1:7" ht="12.75">
      <c r="A1139">
        <v>947</v>
      </c>
      <c r="B1139">
        <v>1.18</v>
      </c>
      <c r="C1139">
        <v>947</v>
      </c>
      <c r="D1139">
        <v>118</v>
      </c>
      <c r="E1139">
        <f t="shared" si="40"/>
        <v>1.18</v>
      </c>
      <c r="F1139">
        <f t="shared" si="41"/>
        <v>0</v>
      </c>
      <c r="G1139">
        <f t="shared" si="42"/>
        <v>0</v>
      </c>
    </row>
    <row r="1140" spans="1:7" ht="12.75">
      <c r="A1140">
        <v>948</v>
      </c>
      <c r="B1140">
        <v>1.17</v>
      </c>
      <c r="C1140">
        <v>948</v>
      </c>
      <c r="D1140">
        <v>117</v>
      </c>
      <c r="E1140">
        <f t="shared" si="40"/>
        <v>1.17</v>
      </c>
      <c r="F1140">
        <f t="shared" si="41"/>
        <v>0</v>
      </c>
      <c r="G1140">
        <f t="shared" si="42"/>
        <v>0</v>
      </c>
    </row>
    <row r="1141" spans="1:7" ht="12.75">
      <c r="A1141">
        <v>949</v>
      </c>
      <c r="B1141">
        <v>1.18</v>
      </c>
      <c r="C1141">
        <v>949</v>
      </c>
      <c r="D1141">
        <v>118</v>
      </c>
      <c r="E1141">
        <f t="shared" si="40"/>
        <v>1.18</v>
      </c>
      <c r="F1141">
        <f t="shared" si="41"/>
        <v>0</v>
      </c>
      <c r="G1141">
        <f t="shared" si="42"/>
        <v>0</v>
      </c>
    </row>
    <row r="1142" spans="1:7" ht="12.75">
      <c r="A1142">
        <v>950</v>
      </c>
      <c r="B1142">
        <v>1.14</v>
      </c>
      <c r="C1142">
        <v>950</v>
      </c>
      <c r="D1142">
        <v>114</v>
      </c>
      <c r="E1142">
        <f t="shared" si="40"/>
        <v>1.14</v>
      </c>
      <c r="F1142">
        <f t="shared" si="41"/>
        <v>0</v>
      </c>
      <c r="G1142">
        <f t="shared" si="42"/>
        <v>0</v>
      </c>
    </row>
    <row r="1143" spans="1:7" ht="12.75">
      <c r="A1143">
        <v>951</v>
      </c>
      <c r="B1143">
        <v>1.2</v>
      </c>
      <c r="C1143">
        <v>951</v>
      </c>
      <c r="D1143">
        <v>120</v>
      </c>
      <c r="E1143">
        <f t="shared" si="40"/>
        <v>1.2</v>
      </c>
      <c r="F1143">
        <f t="shared" si="41"/>
        <v>0</v>
      </c>
      <c r="G1143">
        <f t="shared" si="42"/>
        <v>0</v>
      </c>
    </row>
    <row r="1144" spans="1:7" ht="12.75">
      <c r="A1144">
        <v>952</v>
      </c>
      <c r="B1144">
        <v>1.09</v>
      </c>
      <c r="C1144">
        <v>952</v>
      </c>
      <c r="D1144">
        <v>109</v>
      </c>
      <c r="E1144">
        <f t="shared" si="40"/>
        <v>1.09</v>
      </c>
      <c r="F1144">
        <f t="shared" si="41"/>
        <v>0</v>
      </c>
      <c r="G1144">
        <f t="shared" si="42"/>
        <v>0</v>
      </c>
    </row>
    <row r="1145" spans="1:7" ht="12.75">
      <c r="A1145">
        <v>953</v>
      </c>
      <c r="B1145">
        <v>1.1</v>
      </c>
      <c r="C1145">
        <v>953</v>
      </c>
      <c r="D1145">
        <v>110</v>
      </c>
      <c r="E1145">
        <f t="shared" si="40"/>
        <v>1.1</v>
      </c>
      <c r="F1145">
        <f t="shared" si="41"/>
        <v>0</v>
      </c>
      <c r="G1145">
        <f t="shared" si="42"/>
        <v>0</v>
      </c>
    </row>
    <row r="1146" spans="1:7" ht="12.75">
      <c r="A1146">
        <v>954</v>
      </c>
      <c r="B1146">
        <v>1.18</v>
      </c>
      <c r="C1146">
        <v>954</v>
      </c>
      <c r="D1146">
        <v>118</v>
      </c>
      <c r="E1146">
        <f t="shared" si="40"/>
        <v>1.18</v>
      </c>
      <c r="F1146">
        <f t="shared" si="41"/>
        <v>0</v>
      </c>
      <c r="G1146">
        <f t="shared" si="42"/>
        <v>0</v>
      </c>
    </row>
    <row r="1147" spans="1:7" ht="12.75">
      <c r="A1147">
        <v>955</v>
      </c>
      <c r="B1147">
        <v>1.1</v>
      </c>
      <c r="C1147">
        <v>955</v>
      </c>
      <c r="D1147">
        <v>110</v>
      </c>
      <c r="E1147">
        <f t="shared" si="40"/>
        <v>1.1</v>
      </c>
      <c r="F1147">
        <f t="shared" si="41"/>
        <v>0</v>
      </c>
      <c r="G1147">
        <f t="shared" si="42"/>
        <v>0</v>
      </c>
    </row>
    <row r="1148" spans="1:7" ht="12.75">
      <c r="A1148">
        <v>956</v>
      </c>
      <c r="B1148">
        <v>1.11</v>
      </c>
      <c r="C1148">
        <v>956</v>
      </c>
      <c r="D1148">
        <v>111</v>
      </c>
      <c r="E1148">
        <f t="shared" si="40"/>
        <v>1.11</v>
      </c>
      <c r="F1148">
        <f t="shared" si="41"/>
        <v>0</v>
      </c>
      <c r="G1148">
        <f t="shared" si="42"/>
        <v>0</v>
      </c>
    </row>
    <row r="1149" spans="1:7" ht="12.75">
      <c r="A1149">
        <v>957</v>
      </c>
      <c r="B1149">
        <v>1.11</v>
      </c>
      <c r="C1149">
        <v>957</v>
      </c>
      <c r="D1149">
        <v>111</v>
      </c>
      <c r="E1149">
        <f t="shared" si="40"/>
        <v>1.11</v>
      </c>
      <c r="F1149">
        <f t="shared" si="41"/>
        <v>0</v>
      </c>
      <c r="G1149">
        <f t="shared" si="42"/>
        <v>0</v>
      </c>
    </row>
    <row r="1150" spans="1:7" ht="12.75">
      <c r="A1150">
        <v>958</v>
      </c>
      <c r="B1150">
        <v>1.11</v>
      </c>
      <c r="C1150">
        <v>958</v>
      </c>
      <c r="D1150">
        <v>111</v>
      </c>
      <c r="E1150">
        <f t="shared" si="40"/>
        <v>1.11</v>
      </c>
      <c r="F1150">
        <f t="shared" si="41"/>
        <v>0</v>
      </c>
      <c r="G1150">
        <f t="shared" si="42"/>
        <v>0</v>
      </c>
    </row>
    <row r="1151" spans="1:7" ht="12.75">
      <c r="A1151">
        <v>959</v>
      </c>
      <c r="B1151">
        <v>1.1</v>
      </c>
      <c r="C1151">
        <v>959</v>
      </c>
      <c r="D1151">
        <v>110</v>
      </c>
      <c r="E1151">
        <f t="shared" si="40"/>
        <v>1.1</v>
      </c>
      <c r="F1151">
        <f t="shared" si="41"/>
        <v>0</v>
      </c>
      <c r="G1151">
        <f t="shared" si="42"/>
        <v>0</v>
      </c>
    </row>
    <row r="1152" spans="1:7" ht="12.75">
      <c r="A1152">
        <v>960</v>
      </c>
      <c r="B1152">
        <v>1.09</v>
      </c>
      <c r="C1152">
        <v>960</v>
      </c>
      <c r="D1152">
        <v>109</v>
      </c>
      <c r="E1152">
        <f t="shared" si="40"/>
        <v>1.09</v>
      </c>
      <c r="F1152">
        <f t="shared" si="41"/>
        <v>0</v>
      </c>
      <c r="G1152">
        <f t="shared" si="42"/>
        <v>0</v>
      </c>
    </row>
    <row r="1153" spans="1:7" ht="12.75">
      <c r="A1153">
        <v>961</v>
      </c>
      <c r="B1153">
        <v>1.08</v>
      </c>
      <c r="C1153">
        <v>961</v>
      </c>
      <c r="D1153">
        <v>108</v>
      </c>
      <c r="E1153">
        <f t="shared" si="40"/>
        <v>1.08</v>
      </c>
      <c r="F1153">
        <f t="shared" si="41"/>
        <v>0</v>
      </c>
      <c r="G1153">
        <f t="shared" si="42"/>
        <v>0</v>
      </c>
    </row>
    <row r="1154" spans="1:7" ht="12.75">
      <c r="A1154">
        <v>967</v>
      </c>
      <c r="B1154">
        <v>1.23</v>
      </c>
      <c r="C1154">
        <v>967</v>
      </c>
      <c r="D1154">
        <v>123</v>
      </c>
      <c r="E1154">
        <f t="shared" si="40"/>
        <v>1.23</v>
      </c>
      <c r="F1154">
        <f t="shared" si="41"/>
        <v>0</v>
      </c>
      <c r="G1154">
        <f t="shared" si="42"/>
        <v>0</v>
      </c>
    </row>
    <row r="1155" spans="1:7" ht="12.75">
      <c r="A1155">
        <v>968</v>
      </c>
      <c r="B1155">
        <v>1.23</v>
      </c>
      <c r="C1155">
        <v>968</v>
      </c>
      <c r="D1155">
        <v>123</v>
      </c>
      <c r="E1155">
        <f t="shared" si="40"/>
        <v>1.23</v>
      </c>
      <c r="F1155">
        <f t="shared" si="41"/>
        <v>0</v>
      </c>
      <c r="G1155">
        <f t="shared" si="42"/>
        <v>0</v>
      </c>
    </row>
    <row r="1156" spans="1:7" ht="12.75">
      <c r="A1156">
        <v>969</v>
      </c>
      <c r="B1156">
        <v>0.82</v>
      </c>
      <c r="C1156">
        <v>969</v>
      </c>
      <c r="D1156">
        <v>82</v>
      </c>
      <c r="E1156">
        <f t="shared" si="40"/>
        <v>0.82</v>
      </c>
      <c r="F1156">
        <f t="shared" si="41"/>
        <v>0</v>
      </c>
      <c r="G1156">
        <f t="shared" si="42"/>
        <v>0</v>
      </c>
    </row>
    <row r="1157" spans="1:7" ht="12.75">
      <c r="A1157">
        <v>970</v>
      </c>
      <c r="B1157">
        <v>1.05</v>
      </c>
      <c r="C1157">
        <v>970</v>
      </c>
      <c r="D1157">
        <v>105</v>
      </c>
      <c r="E1157">
        <f t="shared" si="40"/>
        <v>1.05</v>
      </c>
      <c r="F1157">
        <f t="shared" si="41"/>
        <v>0</v>
      </c>
      <c r="G1157">
        <f t="shared" si="42"/>
        <v>0</v>
      </c>
    </row>
    <row r="1158" spans="1:7" ht="12.75">
      <c r="A1158">
        <v>971</v>
      </c>
      <c r="B1158">
        <v>1.05</v>
      </c>
      <c r="C1158">
        <v>971</v>
      </c>
      <c r="D1158">
        <v>105</v>
      </c>
      <c r="E1158">
        <f t="shared" si="40"/>
        <v>1.05</v>
      </c>
      <c r="F1158">
        <f t="shared" si="41"/>
        <v>0</v>
      </c>
      <c r="G1158">
        <f t="shared" si="42"/>
        <v>0</v>
      </c>
    </row>
    <row r="1159" spans="1:7" ht="12.75">
      <c r="A1159">
        <v>972</v>
      </c>
      <c r="B1159">
        <v>1.05</v>
      </c>
      <c r="C1159">
        <v>972</v>
      </c>
      <c r="D1159">
        <v>105</v>
      </c>
      <c r="E1159">
        <f t="shared" si="40"/>
        <v>1.05</v>
      </c>
      <c r="F1159">
        <f t="shared" si="41"/>
        <v>0</v>
      </c>
      <c r="G1159">
        <f t="shared" si="42"/>
        <v>0</v>
      </c>
    </row>
    <row r="1160" spans="1:7" ht="12.75">
      <c r="A1160">
        <v>973</v>
      </c>
      <c r="B1160">
        <v>1.03</v>
      </c>
      <c r="C1160">
        <v>973</v>
      </c>
      <c r="D1160">
        <v>103</v>
      </c>
      <c r="E1160">
        <f t="shared" si="40"/>
        <v>1.03</v>
      </c>
      <c r="F1160">
        <f t="shared" si="41"/>
        <v>0</v>
      </c>
      <c r="G1160">
        <f t="shared" si="42"/>
        <v>0</v>
      </c>
    </row>
    <row r="1161" spans="1:7" ht="12.75">
      <c r="A1161">
        <v>974</v>
      </c>
      <c r="B1161">
        <v>1.03</v>
      </c>
      <c r="C1161">
        <v>974</v>
      </c>
      <c r="D1161">
        <v>103</v>
      </c>
      <c r="E1161">
        <f t="shared" si="40"/>
        <v>1.03</v>
      </c>
      <c r="F1161">
        <f t="shared" si="41"/>
        <v>0</v>
      </c>
      <c r="G1161">
        <f t="shared" si="42"/>
        <v>0</v>
      </c>
    </row>
    <row r="1162" spans="1:7" ht="12.75">
      <c r="A1162">
        <v>975</v>
      </c>
      <c r="B1162">
        <v>1.02</v>
      </c>
      <c r="C1162">
        <v>975</v>
      </c>
      <c r="D1162">
        <v>102</v>
      </c>
      <c r="E1162">
        <f t="shared" si="40"/>
        <v>1.02</v>
      </c>
      <c r="F1162">
        <f t="shared" si="41"/>
        <v>0</v>
      </c>
      <c r="G1162">
        <f t="shared" si="42"/>
        <v>0</v>
      </c>
    </row>
    <row r="1163" spans="1:7" ht="12.75">
      <c r="A1163">
        <v>976</v>
      </c>
      <c r="B1163">
        <v>1.02</v>
      </c>
      <c r="C1163">
        <v>976</v>
      </c>
      <c r="D1163">
        <v>102</v>
      </c>
      <c r="E1163">
        <f t="shared" si="40"/>
        <v>1.02</v>
      </c>
      <c r="F1163">
        <f t="shared" si="41"/>
        <v>0</v>
      </c>
      <c r="G1163">
        <f t="shared" si="42"/>
        <v>0</v>
      </c>
    </row>
    <row r="1164" spans="1:7" ht="12.75">
      <c r="A1164">
        <v>977</v>
      </c>
      <c r="B1164">
        <v>1.02</v>
      </c>
      <c r="C1164">
        <v>977</v>
      </c>
      <c r="D1164">
        <v>102</v>
      </c>
      <c r="E1164">
        <f t="shared" si="40"/>
        <v>1.02</v>
      </c>
      <c r="F1164">
        <f t="shared" si="41"/>
        <v>0</v>
      </c>
      <c r="G1164">
        <f t="shared" si="42"/>
        <v>0</v>
      </c>
    </row>
    <row r="1165" spans="1:7" ht="12.75">
      <c r="A1165">
        <v>978</v>
      </c>
      <c r="B1165">
        <v>0.99</v>
      </c>
      <c r="C1165">
        <v>978</v>
      </c>
      <c r="D1165">
        <v>99</v>
      </c>
      <c r="E1165">
        <f t="shared" si="40"/>
        <v>0.99</v>
      </c>
      <c r="F1165">
        <f t="shared" si="41"/>
        <v>0</v>
      </c>
      <c r="G1165">
        <f t="shared" si="42"/>
        <v>0</v>
      </c>
    </row>
    <row r="1166" spans="1:7" ht="12.75">
      <c r="A1166">
        <v>979</v>
      </c>
      <c r="B1166">
        <v>0.95</v>
      </c>
      <c r="C1166">
        <v>979</v>
      </c>
      <c r="D1166">
        <v>95</v>
      </c>
      <c r="E1166">
        <f t="shared" si="40"/>
        <v>0.95</v>
      </c>
      <c r="F1166">
        <f t="shared" si="41"/>
        <v>0</v>
      </c>
      <c r="G1166">
        <f t="shared" si="42"/>
        <v>0</v>
      </c>
    </row>
    <row r="1167" spans="1:7" ht="12.75">
      <c r="A1167">
        <v>980</v>
      </c>
      <c r="B1167">
        <v>1.05</v>
      </c>
      <c r="C1167">
        <v>980</v>
      </c>
      <c r="D1167">
        <v>105</v>
      </c>
      <c r="E1167">
        <f t="shared" si="40"/>
        <v>1.05</v>
      </c>
      <c r="F1167">
        <f t="shared" si="41"/>
        <v>0</v>
      </c>
      <c r="G1167">
        <f t="shared" si="42"/>
        <v>0</v>
      </c>
    </row>
    <row r="1168" spans="1:7" ht="12.75">
      <c r="A1168">
        <v>981</v>
      </c>
      <c r="B1168">
        <v>1.05</v>
      </c>
      <c r="C1168">
        <v>981</v>
      </c>
      <c r="D1168">
        <v>105</v>
      </c>
      <c r="E1168">
        <f t="shared" si="40"/>
        <v>1.05</v>
      </c>
      <c r="F1168">
        <f t="shared" si="41"/>
        <v>0</v>
      </c>
      <c r="G1168">
        <f t="shared" si="42"/>
        <v>0</v>
      </c>
    </row>
    <row r="1169" spans="1:7" ht="12.75">
      <c r="A1169">
        <v>982</v>
      </c>
      <c r="B1169">
        <v>1.02</v>
      </c>
      <c r="C1169">
        <v>982</v>
      </c>
      <c r="D1169">
        <v>102</v>
      </c>
      <c r="E1169">
        <f t="shared" si="40"/>
        <v>1.02</v>
      </c>
      <c r="F1169">
        <f t="shared" si="41"/>
        <v>0</v>
      </c>
      <c r="G1169">
        <f t="shared" si="42"/>
        <v>0</v>
      </c>
    </row>
    <row r="1170" spans="1:7" ht="12.75">
      <c r="A1170">
        <v>983</v>
      </c>
      <c r="B1170">
        <v>1.03</v>
      </c>
      <c r="C1170">
        <v>983</v>
      </c>
      <c r="D1170">
        <v>103</v>
      </c>
      <c r="E1170">
        <f t="shared" si="40"/>
        <v>1.03</v>
      </c>
      <c r="F1170">
        <f t="shared" si="41"/>
        <v>0</v>
      </c>
      <c r="G1170">
        <f t="shared" si="42"/>
        <v>0</v>
      </c>
    </row>
    <row r="1171" spans="1:7" ht="12.75">
      <c r="A1171">
        <v>984</v>
      </c>
      <c r="B1171">
        <v>1.03</v>
      </c>
      <c r="C1171">
        <v>984</v>
      </c>
      <c r="D1171">
        <v>103</v>
      </c>
      <c r="E1171">
        <f t="shared" si="40"/>
        <v>1.03</v>
      </c>
      <c r="F1171">
        <f t="shared" si="41"/>
        <v>0</v>
      </c>
      <c r="G1171">
        <f t="shared" si="42"/>
        <v>0</v>
      </c>
    </row>
    <row r="1172" spans="1:7" ht="12.75">
      <c r="A1172">
        <v>985</v>
      </c>
      <c r="B1172">
        <v>1.03</v>
      </c>
      <c r="C1172">
        <v>985</v>
      </c>
      <c r="D1172">
        <v>103</v>
      </c>
      <c r="E1172">
        <f t="shared" si="40"/>
        <v>1.03</v>
      </c>
      <c r="F1172">
        <f t="shared" si="41"/>
        <v>0</v>
      </c>
      <c r="G1172">
        <f t="shared" si="42"/>
        <v>0</v>
      </c>
    </row>
    <row r="1173" spans="1:7" ht="12.75">
      <c r="A1173">
        <v>986</v>
      </c>
      <c r="B1173">
        <v>1.03</v>
      </c>
      <c r="C1173">
        <v>986</v>
      </c>
      <c r="D1173">
        <v>103</v>
      </c>
      <c r="E1173">
        <f t="shared" si="40"/>
        <v>1.03</v>
      </c>
      <c r="F1173">
        <f t="shared" si="41"/>
        <v>0</v>
      </c>
      <c r="G1173">
        <f t="shared" si="42"/>
        <v>0</v>
      </c>
    </row>
    <row r="1174" spans="1:7" ht="12.75">
      <c r="A1174">
        <v>987</v>
      </c>
      <c r="B1174">
        <v>1.05</v>
      </c>
      <c r="C1174">
        <v>987</v>
      </c>
      <c r="D1174">
        <v>105</v>
      </c>
      <c r="E1174">
        <f t="shared" si="40"/>
        <v>1.05</v>
      </c>
      <c r="F1174">
        <f t="shared" si="41"/>
        <v>0</v>
      </c>
      <c r="G1174">
        <f t="shared" si="42"/>
        <v>0</v>
      </c>
    </row>
    <row r="1175" spans="1:7" ht="12.75">
      <c r="A1175">
        <v>988</v>
      </c>
      <c r="B1175">
        <v>0.99</v>
      </c>
      <c r="C1175">
        <v>988</v>
      </c>
      <c r="D1175">
        <v>99</v>
      </c>
      <c r="E1175">
        <f t="shared" si="40"/>
        <v>0.99</v>
      </c>
      <c r="F1175">
        <f t="shared" si="41"/>
        <v>0</v>
      </c>
      <c r="G1175">
        <f t="shared" si="42"/>
        <v>0</v>
      </c>
    </row>
    <row r="1176" spans="1:7" ht="12.75">
      <c r="A1176">
        <v>989</v>
      </c>
      <c r="B1176">
        <v>1</v>
      </c>
      <c r="C1176">
        <v>989</v>
      </c>
      <c r="D1176">
        <v>100</v>
      </c>
      <c r="E1176">
        <f t="shared" si="40"/>
        <v>1</v>
      </c>
      <c r="F1176">
        <f t="shared" si="41"/>
        <v>0</v>
      </c>
      <c r="G1176">
        <f t="shared" si="42"/>
        <v>0</v>
      </c>
    </row>
    <row r="1177" spans="1:7" ht="12.75">
      <c r="A1177">
        <v>990</v>
      </c>
      <c r="B1177">
        <v>1</v>
      </c>
      <c r="C1177">
        <v>990</v>
      </c>
      <c r="D1177">
        <v>100</v>
      </c>
      <c r="E1177">
        <f t="shared" si="40"/>
        <v>1</v>
      </c>
      <c r="F1177">
        <f t="shared" si="41"/>
        <v>0</v>
      </c>
      <c r="G1177">
        <f t="shared" si="42"/>
        <v>0</v>
      </c>
    </row>
    <row r="1178" spans="1:7" ht="12.75">
      <c r="A1178">
        <v>991</v>
      </c>
      <c r="B1178">
        <v>1</v>
      </c>
      <c r="C1178">
        <v>991</v>
      </c>
      <c r="D1178">
        <v>100</v>
      </c>
      <c r="E1178">
        <f t="shared" si="40"/>
        <v>1</v>
      </c>
      <c r="F1178">
        <f t="shared" si="41"/>
        <v>0</v>
      </c>
      <c r="G1178">
        <f t="shared" si="42"/>
        <v>0</v>
      </c>
    </row>
    <row r="1179" spans="1:7" ht="12.75">
      <c r="A1179">
        <v>992</v>
      </c>
      <c r="B1179">
        <v>1</v>
      </c>
      <c r="C1179">
        <v>992</v>
      </c>
      <c r="D1179">
        <v>100</v>
      </c>
      <c r="E1179">
        <f t="shared" si="40"/>
        <v>1</v>
      </c>
      <c r="F1179">
        <f t="shared" si="41"/>
        <v>0</v>
      </c>
      <c r="G1179">
        <f t="shared" si="42"/>
        <v>0</v>
      </c>
    </row>
    <row r="1180" spans="1:7" ht="12.75">
      <c r="A1180">
        <v>993</v>
      </c>
      <c r="B1180">
        <v>1</v>
      </c>
      <c r="C1180">
        <v>993</v>
      </c>
      <c r="D1180">
        <v>100</v>
      </c>
      <c r="E1180">
        <f t="shared" si="40"/>
        <v>1</v>
      </c>
      <c r="F1180">
        <f t="shared" si="41"/>
        <v>0</v>
      </c>
      <c r="G1180">
        <f t="shared" si="42"/>
        <v>0</v>
      </c>
    </row>
    <row r="1181" spans="1:7" ht="12.75">
      <c r="A1181">
        <v>994</v>
      </c>
      <c r="B1181">
        <v>0.98</v>
      </c>
      <c r="C1181">
        <v>994</v>
      </c>
      <c r="D1181">
        <v>98</v>
      </c>
      <c r="E1181">
        <f aca="true" t="shared" si="43" ref="E1181:E1186">D1181/100</f>
        <v>0.98</v>
      </c>
      <c r="F1181">
        <f aca="true" t="shared" si="44" ref="F1181:F1186">A1181-C1181</f>
        <v>0</v>
      </c>
      <c r="G1181">
        <f aca="true" t="shared" si="45" ref="G1181:G1186">B1181-E1181</f>
        <v>0</v>
      </c>
    </row>
    <row r="1182" spans="1:7" ht="12.75">
      <c r="A1182">
        <v>995</v>
      </c>
      <c r="B1182">
        <v>1.26</v>
      </c>
      <c r="C1182">
        <v>995</v>
      </c>
      <c r="D1182">
        <v>126</v>
      </c>
      <c r="E1182">
        <f t="shared" si="43"/>
        <v>1.26</v>
      </c>
      <c r="F1182">
        <f t="shared" si="44"/>
        <v>0</v>
      </c>
      <c r="G1182">
        <f t="shared" si="45"/>
        <v>0</v>
      </c>
    </row>
    <row r="1183" spans="1:7" ht="12.75">
      <c r="A1183">
        <v>996</v>
      </c>
      <c r="B1183">
        <v>1.26</v>
      </c>
      <c r="C1183">
        <v>996</v>
      </c>
      <c r="D1183">
        <v>126</v>
      </c>
      <c r="E1183">
        <f t="shared" si="43"/>
        <v>1.26</v>
      </c>
      <c r="F1183">
        <f t="shared" si="44"/>
        <v>0</v>
      </c>
      <c r="G1183">
        <f t="shared" si="45"/>
        <v>0</v>
      </c>
    </row>
    <row r="1184" spans="1:7" ht="12.75">
      <c r="A1184">
        <v>997</v>
      </c>
      <c r="B1184">
        <v>1.25</v>
      </c>
      <c r="C1184">
        <v>997</v>
      </c>
      <c r="D1184">
        <v>125</v>
      </c>
      <c r="E1184">
        <f t="shared" si="43"/>
        <v>1.25</v>
      </c>
      <c r="F1184">
        <f t="shared" si="44"/>
        <v>0</v>
      </c>
      <c r="G1184">
        <f t="shared" si="45"/>
        <v>0</v>
      </c>
    </row>
    <row r="1185" spans="1:7" ht="12.75">
      <c r="A1185">
        <v>998</v>
      </c>
      <c r="B1185">
        <v>1.25</v>
      </c>
      <c r="C1185">
        <v>998</v>
      </c>
      <c r="D1185">
        <v>125</v>
      </c>
      <c r="E1185">
        <f t="shared" si="43"/>
        <v>1.25</v>
      </c>
      <c r="F1185">
        <f t="shared" si="44"/>
        <v>0</v>
      </c>
      <c r="G1185">
        <f t="shared" si="45"/>
        <v>0</v>
      </c>
    </row>
    <row r="1186" spans="1:7" ht="12.75">
      <c r="A1186">
        <v>999</v>
      </c>
      <c r="B1186">
        <v>1.3</v>
      </c>
      <c r="C1186">
        <v>999</v>
      </c>
      <c r="D1186">
        <v>130</v>
      </c>
      <c r="E1186">
        <f t="shared" si="43"/>
        <v>1.3</v>
      </c>
      <c r="F1186">
        <f t="shared" si="44"/>
        <v>0</v>
      </c>
      <c r="G1186">
        <f t="shared" si="45"/>
        <v>0</v>
      </c>
    </row>
    <row r="1187" spans="1:7" ht="12.75">
      <c r="A1187">
        <f aca="true" t="shared" si="46" ref="A1187:G1187">SUM(A285:A1186)</f>
        <v>446507</v>
      </c>
      <c r="B1187">
        <f t="shared" si="46"/>
        <v>827.6200000000001</v>
      </c>
      <c r="C1187">
        <f t="shared" si="46"/>
        <v>446507</v>
      </c>
      <c r="D1187">
        <f t="shared" si="46"/>
        <v>82762</v>
      </c>
      <c r="E1187">
        <f t="shared" si="46"/>
        <v>827.6200000000001</v>
      </c>
      <c r="F1187">
        <f t="shared" si="46"/>
        <v>0</v>
      </c>
      <c r="G1187">
        <f t="shared" si="46"/>
        <v>0</v>
      </c>
    </row>
  </sheetData>
  <sheetProtection sheet="1" objects="1" scenarios="1"/>
  <printOptions/>
  <pageMargins left="0.75" right="0.75" top="1" bottom="1" header="0.5" footer="0.5"/>
  <pageSetup fitToHeight="1" fitToWidth="1" horizontalDpi="300" verticalDpi="300" orientation="portrait" scale="87" r:id="rId4"/>
  <headerFooter alignWithMargins="0">
    <oddHeader>&amp;C&amp;A</oddHeader>
    <oddFooter>&amp;CPage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IDEA Cost Estimating Model</dc:title>
  <dc:subject>illegal dumping</dc:subject>
  <dc:creator>U.S. EPA</dc:creator>
  <cp:keywords/>
  <dc:description/>
  <cp:lastModifiedBy>chris bachman</cp:lastModifiedBy>
  <cp:lastPrinted>2000-06-26T19:26:41Z</cp:lastPrinted>
  <dcterms:created xsi:type="dcterms:W3CDTF">1998-08-09T18:24:08Z</dcterms:created>
  <dcterms:modified xsi:type="dcterms:W3CDTF">2001-01-24T00:01:37Z</dcterms:modified>
  <cp:category/>
  <cp:version/>
  <cp:contentType/>
  <cp:contentStatus/>
</cp:coreProperties>
</file>