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2120" windowHeight="4410" tabRatio="659" activeTab="1"/>
  </bookViews>
  <sheets>
    <sheet name="MFD Calculator" sheetId="1" r:id="rId1"/>
    <sheet name="Assumptions" sheetId="2" r:id="rId2"/>
  </sheets>
  <definedNames>
    <definedName name="Btu_per_gallon_of_number_2_heating_oil">'Assumptions'!#REF!</definedName>
    <definedName name="Btu_per_Therm">'Assumptions'!#REF!</definedName>
    <definedName name="HVAC_Equipment_Oversizing_Factor">'Assumptions'!#REF!</definedName>
    <definedName name="_xlnm.Print_Area" localSheetId="1">'Assumptions'!$B$1:$E$69</definedName>
    <definedName name="_xlnm.Print_Area" localSheetId="0">'MFD Calculator'!$A$1:$M$63</definedName>
  </definedNames>
  <calcPr fullCalcOnLoad="1"/>
</workbook>
</file>

<file path=xl/sharedStrings.xml><?xml version="1.0" encoding="utf-8"?>
<sst xmlns="http://schemas.openxmlformats.org/spreadsheetml/2006/main" count="172" uniqueCount="98">
  <si>
    <t>Data Source</t>
  </si>
  <si>
    <t>Power</t>
  </si>
  <si>
    <t>Conventional Unit</t>
  </si>
  <si>
    <t>Maintenance</t>
  </si>
  <si>
    <t>Lifetime maintenance cost</t>
  </si>
  <si>
    <t>Assumes that unit is traded in or no longer used at the end of expected lifetime.</t>
  </si>
  <si>
    <t>Usage</t>
  </si>
  <si>
    <t xml:space="preserve">Calculated. </t>
  </si>
  <si>
    <t>Category</t>
  </si>
  <si>
    <t>Value</t>
  </si>
  <si>
    <t>Energy Prices</t>
  </si>
  <si>
    <t>lbs CO2/yr</t>
  </si>
  <si>
    <t>years</t>
  </si>
  <si>
    <t>ENERGY STAR Qualified Unit</t>
  </si>
  <si>
    <r>
      <t>CO</t>
    </r>
    <r>
      <rPr>
        <b/>
        <vertAlign val="subscript"/>
        <sz val="10"/>
        <rFont val="Univers"/>
        <family val="2"/>
      </rPr>
      <t>2</t>
    </r>
    <r>
      <rPr>
        <b/>
        <sz val="10"/>
        <rFont val="Univers"/>
        <family val="2"/>
      </rPr>
      <t xml:space="preserve"> Equivalents</t>
    </r>
  </si>
  <si>
    <t>watts</t>
  </si>
  <si>
    <t>Number of units</t>
  </si>
  <si>
    <t>Initial cost per unit (estimated retail price)</t>
  </si>
  <si>
    <t>Maintenance cost</t>
  </si>
  <si>
    <t>Total</t>
  </si>
  <si>
    <t>Maintenance costs (lifetime)</t>
  </si>
  <si>
    <t>Electricity Rate ($/kWh)</t>
  </si>
  <si>
    <t xml:space="preserve"> Savings with ENERGY STAR</t>
  </si>
  <si>
    <t>hours/day</t>
  </si>
  <si>
    <t>hours/year</t>
  </si>
  <si>
    <t>Lifetime</t>
  </si>
  <si>
    <t>Electricity Carbon Emission Factors</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</si>
  <si>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</si>
  <si>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</si>
  <si>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</si>
  <si>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</si>
  <si>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</si>
  <si>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</si>
  <si>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</si>
  <si>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</si>
  <si>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Discount Rate</t>
  </si>
  <si>
    <t>Commercial and Residential Discount Rate (real)</t>
  </si>
  <si>
    <t>lbs CO2/kWh</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</si>
  <si>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</si>
  <si>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</si>
  <si>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</si>
  <si>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r>
      <t>†</t>
    </r>
    <r>
      <rPr>
        <i/>
        <sz val="9"/>
        <rFont val="Univers"/>
        <family val="2"/>
      </rPr>
      <t xml:space="preserve">  A simple payback period of zero years means that the payback is immediate.</t>
    </r>
  </si>
  <si>
    <t>Assumes conventional model has the same lifetime as ENERGY STAR qualified unit.</t>
  </si>
  <si>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</si>
  <si>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</si>
  <si>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</si>
  <si>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</si>
  <si>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</si>
  <si>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</si>
  <si>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t xml:space="preserve"> </t>
  </si>
  <si>
    <t>This energy savings calculator was developed by the U.S. EPA and U.S. DOE and is provided for estimating purposes only.    Actual energy savings may vary based on use and other factors.</t>
  </si>
  <si>
    <t>Initial cost difference</t>
  </si>
  <si>
    <r>
      <t>CO</t>
    </r>
    <r>
      <rPr>
        <b/>
        <vertAlign val="subscript"/>
        <sz val="10"/>
        <rFont val="Univers"/>
        <family val="2"/>
      </rPr>
      <t>2</t>
    </r>
    <r>
      <rPr>
        <b/>
        <sz val="10"/>
        <rFont val="Univers"/>
        <family val="2"/>
      </rPr>
      <t xml:space="preserve"> Emissions Factors</t>
    </r>
  </si>
  <si>
    <t>If you have any questions, please contact ESCalcs@cadmusgroup.com.</t>
  </si>
  <si>
    <t>Electricity cost</t>
  </si>
  <si>
    <t>Life cycle operating cost (electricity and maintenance)</t>
  </si>
  <si>
    <t>Electricity costs (lifetime)</t>
  </si>
  <si>
    <t>Average annual unit energy (enabled, turned off)</t>
  </si>
  <si>
    <t>kWh</t>
  </si>
  <si>
    <t>Average annual unit energy (not enabled, turned off)</t>
  </si>
  <si>
    <t>Average annual unit energy consumption</t>
  </si>
  <si>
    <t>Average hourly energy in "active" mode</t>
  </si>
  <si>
    <t>Average hourly energy in "ready" mode</t>
  </si>
  <si>
    <t>Average hourly energy in "standby" mode</t>
  </si>
  <si>
    <t>Average hourly energy in "off" mode</t>
  </si>
  <si>
    <t>Number of hours in "active" mode per day</t>
  </si>
  <si>
    <t>Average number of hours in "standby" mode per year</t>
  </si>
  <si>
    <t>Average number of hours in "off" mode per year</t>
  </si>
  <si>
    <t>Average number of hours in "active" mode per year</t>
  </si>
  <si>
    <t>Number of hours in "standby" mode per day</t>
  </si>
  <si>
    <t>Number of hours in "off" mode per day</t>
  </si>
  <si>
    <t>Number of days in use per year</t>
  </si>
  <si>
    <t>days/year</t>
  </si>
  <si>
    <t>Average annual unit energy (enabled, left on)</t>
  </si>
  <si>
    <t>Average annual unit energy (not enabled, left on)</t>
  </si>
  <si>
    <t>Enabling scenario</t>
  </si>
  <si>
    <t>Average number of hours in "ready" mode per year</t>
  </si>
  <si>
    <t>Number of hours in "ready" mode per day</t>
  </si>
  <si>
    <t>Annual electricity consumption (kWh)</t>
  </si>
  <si>
    <t>Life cycle electricity consumption (kWh)</t>
  </si>
  <si>
    <t>Life cycle electricity saved (kWh)</t>
  </si>
  <si>
    <t>EPA 2006</t>
  </si>
  <si>
    <t>Calculated</t>
  </si>
  <si>
    <t>LBNL 2007</t>
  </si>
  <si>
    <t>Portion of units with low power mode enabled</t>
  </si>
  <si>
    <t>Portion of units left on 24 hours per day</t>
  </si>
  <si>
    <t>Percent of units left on 24 hrs per day</t>
  </si>
  <si>
    <t>Commercial or residential use?</t>
  </si>
  <si>
    <t xml:space="preserve"> Commercial</t>
  </si>
  <si>
    <t xml:space="preserve"> Residential</t>
  </si>
  <si>
    <t>Selected</t>
  </si>
  <si>
    <t>Assumptions for MFDs</t>
  </si>
  <si>
    <t>Industry data 2008</t>
  </si>
  <si>
    <t>No price premium found between conventional and ENERGY STAR models</t>
  </si>
  <si>
    <t>EIA 2008</t>
  </si>
  <si>
    <t>EPA 2008</t>
  </si>
  <si>
    <t>EPA 2007</t>
  </si>
  <si>
    <t>Last updated 08/08</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</si>
</sst>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_(* #,##0.0_);_(* \(#,##0.0\);_(* &quot;-&quot;?_);_(@_)"/>
    <numFmt numFmtId="198" formatCode="_(* #,##0_);_(* \(#,##0\);_(* &quot;-&quot;?_);_(@_)"/>
    <numFmt numFmtId="199" formatCode="0.0%"/>
    <numFmt numFmtId="200" formatCode="&quot;$&quot;#,##0.0000"/>
  </numFmts>
  <fonts count="36">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b/>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9"/>
      <name val="Univers"/>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46">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22" borderId="0" xfId="0" applyFont="1" applyFill="1" applyAlignment="1" applyProtection="1">
      <alignment/>
      <protection/>
    </xf>
    <xf numFmtId="0" fontId="1" fillId="0" borderId="10" xfId="0" applyFont="1" applyFill="1" applyBorder="1" applyAlignment="1" applyProtection="1">
      <alignment horizontal="left"/>
      <protection/>
    </xf>
    <xf numFmtId="38"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protection/>
    </xf>
    <xf numFmtId="0" fontId="1" fillId="22" borderId="12" xfId="0" applyFont="1" applyFill="1" applyBorder="1" applyAlignment="1" applyProtection="1">
      <alignment/>
      <protection/>
    </xf>
    <xf numFmtId="0" fontId="1" fillId="22" borderId="13" xfId="0" applyFont="1" applyFill="1" applyBorder="1" applyAlignment="1" applyProtection="1">
      <alignment/>
      <protection/>
    </xf>
    <xf numFmtId="0" fontId="1" fillId="22" borderId="14" xfId="0" applyFont="1" applyFill="1" applyBorder="1" applyAlignment="1" applyProtection="1">
      <alignment/>
      <protection/>
    </xf>
    <xf numFmtId="0" fontId="1" fillId="22" borderId="10" xfId="0" applyFont="1" applyFill="1" applyBorder="1" applyAlignment="1" applyProtection="1">
      <alignment/>
      <protection/>
    </xf>
    <xf numFmtId="0" fontId="1" fillId="22"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4" borderId="12" xfId="0" applyFont="1" applyFill="1" applyBorder="1" applyAlignment="1" applyProtection="1">
      <alignment/>
      <protection/>
    </xf>
    <xf numFmtId="0" fontId="6" fillId="4" borderId="13" xfId="0" applyFont="1" applyFill="1" applyBorder="1" applyAlignment="1" applyProtection="1">
      <alignment horizontal="center" wrapText="1"/>
      <protection/>
    </xf>
    <xf numFmtId="0" fontId="1" fillId="4" borderId="14" xfId="0" applyFont="1" applyFill="1" applyBorder="1" applyAlignment="1" applyProtection="1">
      <alignment/>
      <protection/>
    </xf>
    <xf numFmtId="0" fontId="12" fillId="4" borderId="18" xfId="0" applyFont="1" applyFill="1" applyBorder="1" applyAlignment="1" applyProtection="1">
      <alignment/>
      <protection/>
    </xf>
    <xf numFmtId="0" fontId="1" fillId="4" borderId="0" xfId="0" applyFont="1" applyFill="1" applyBorder="1" applyAlignment="1" applyProtection="1">
      <alignment/>
      <protection/>
    </xf>
    <xf numFmtId="0" fontId="1" fillId="4" borderId="10" xfId="0" applyFont="1" applyFill="1" applyBorder="1" applyAlignment="1" applyProtection="1">
      <alignment/>
      <protection/>
    </xf>
    <xf numFmtId="0" fontId="1" fillId="4" borderId="18" xfId="0" applyFont="1" applyFill="1" applyBorder="1" applyAlignment="1" applyProtection="1">
      <alignment/>
      <protection/>
    </xf>
    <xf numFmtId="164" fontId="1" fillId="4" borderId="0" xfId="0" applyNumberFormat="1" applyFont="1" applyFill="1" applyBorder="1" applyAlignment="1" applyProtection="1">
      <alignment/>
      <protection/>
    </xf>
    <xf numFmtId="0" fontId="1" fillId="4" borderId="18" xfId="0" applyFont="1" applyFill="1" applyBorder="1" applyAlignment="1" applyProtection="1">
      <alignment horizontal="left" indent="1"/>
      <protection/>
    </xf>
    <xf numFmtId="37" fontId="1" fillId="4" borderId="0" xfId="0" applyNumberFormat="1" applyFont="1" applyFill="1" applyBorder="1" applyAlignment="1" applyProtection="1">
      <alignment/>
      <protection/>
    </xf>
    <xf numFmtId="0" fontId="1" fillId="4" borderId="18" xfId="0" applyFont="1" applyFill="1" applyBorder="1" applyAlignment="1" applyProtection="1">
      <alignment horizontal="left" indent="2"/>
      <protection/>
    </xf>
    <xf numFmtId="0" fontId="1" fillId="4" borderId="18" xfId="0" applyFont="1" applyFill="1" applyBorder="1" applyAlignment="1" applyProtection="1">
      <alignment horizontal="left"/>
      <protection/>
    </xf>
    <xf numFmtId="0" fontId="6" fillId="4" borderId="18" xfId="0" applyFont="1" applyFill="1" applyBorder="1" applyAlignment="1" applyProtection="1">
      <alignment/>
      <protection/>
    </xf>
    <xf numFmtId="0" fontId="4" fillId="4" borderId="0" xfId="0" applyFont="1" applyFill="1" applyBorder="1" applyAlignment="1" applyProtection="1">
      <alignment/>
      <protection/>
    </xf>
    <xf numFmtId="0" fontId="6" fillId="4" borderId="0" xfId="0" applyFont="1" applyFill="1" applyBorder="1" applyAlignment="1" applyProtection="1">
      <alignment/>
      <protection/>
    </xf>
    <xf numFmtId="0" fontId="4" fillId="4" borderId="10" xfId="0" applyFont="1" applyFill="1" applyBorder="1" applyAlignment="1" applyProtection="1">
      <alignment/>
      <protection/>
    </xf>
    <xf numFmtId="164" fontId="6" fillId="4" borderId="0" xfId="0" applyNumberFormat="1" applyFont="1" applyFill="1" applyBorder="1" applyAlignment="1" applyProtection="1">
      <alignment/>
      <protection/>
    </xf>
    <xf numFmtId="0" fontId="1" fillId="4"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7" xfId="0" applyFont="1" applyFill="1" applyBorder="1" applyAlignment="1" applyProtection="1">
      <alignment/>
      <protection/>
    </xf>
    <xf numFmtId="0" fontId="3" fillId="7" borderId="12" xfId="0" applyFont="1" applyFill="1" applyBorder="1" applyAlignment="1" applyProtection="1">
      <alignment/>
      <protection/>
    </xf>
    <xf numFmtId="0" fontId="6" fillId="7" borderId="13" xfId="0" applyFont="1" applyFill="1" applyBorder="1" applyAlignment="1" applyProtection="1">
      <alignment horizontal="center" wrapText="1"/>
      <protection/>
    </xf>
    <xf numFmtId="0" fontId="1" fillId="7" borderId="14" xfId="0" applyFont="1" applyFill="1" applyBorder="1" applyAlignment="1" applyProtection="1">
      <alignment/>
      <protection/>
    </xf>
    <xf numFmtId="0" fontId="1" fillId="7" borderId="18" xfId="0" applyFont="1" applyFill="1" applyBorder="1" applyAlignment="1" applyProtection="1">
      <alignment horizontal="left"/>
      <protection/>
    </xf>
    <xf numFmtId="0" fontId="1" fillId="7" borderId="0" xfId="0" applyFont="1" applyFill="1" applyBorder="1" applyAlignment="1" applyProtection="1">
      <alignment/>
      <protection/>
    </xf>
    <xf numFmtId="0" fontId="1" fillId="7" borderId="10" xfId="0" applyFont="1" applyFill="1" applyBorder="1" applyAlignment="1" applyProtection="1">
      <alignment/>
      <protection/>
    </xf>
    <xf numFmtId="0" fontId="4" fillId="7" borderId="0" xfId="0" applyFont="1" applyFill="1" applyBorder="1" applyAlignment="1" applyProtection="1">
      <alignment horizontal="right"/>
      <protection/>
    </xf>
    <xf numFmtId="0" fontId="1" fillId="7" borderId="18"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0" fontId="3" fillId="7" borderId="18" xfId="0" applyFont="1" applyFill="1" applyBorder="1" applyAlignment="1" applyProtection="1">
      <alignment/>
      <protection/>
    </xf>
    <xf numFmtId="0" fontId="6" fillId="7" borderId="0" xfId="0" applyFont="1" applyFill="1" applyBorder="1" applyAlignment="1" applyProtection="1">
      <alignment horizontal="center" wrapText="1"/>
      <protection/>
    </xf>
    <xf numFmtId="0" fontId="1" fillId="7" borderId="18" xfId="0" applyFont="1" applyFill="1" applyBorder="1" applyAlignment="1" applyProtection="1">
      <alignment/>
      <protection/>
    </xf>
    <xf numFmtId="185" fontId="1" fillId="7" borderId="0" xfId="0" applyNumberFormat="1" applyFont="1" applyFill="1" applyBorder="1" applyAlignment="1" applyProtection="1">
      <alignment/>
      <protection/>
    </xf>
    <xf numFmtId="185" fontId="1" fillId="7" borderId="0" xfId="0" applyNumberFormat="1" applyFont="1" applyFill="1" applyBorder="1" applyAlignment="1" applyProtection="1">
      <alignment/>
      <protection locked="0"/>
    </xf>
    <xf numFmtId="0" fontId="1" fillId="7" borderId="0" xfId="0" applyFont="1" applyFill="1" applyAlignment="1" applyProtection="1">
      <alignment/>
      <protection/>
    </xf>
    <xf numFmtId="0" fontId="1" fillId="7" borderId="15" xfId="0" applyFont="1" applyFill="1" applyBorder="1" applyAlignment="1" applyProtection="1">
      <alignment/>
      <protection/>
    </xf>
    <xf numFmtId="0" fontId="1" fillId="7" borderId="16" xfId="0" applyFont="1" applyFill="1" applyBorder="1" applyAlignment="1" applyProtection="1">
      <alignment/>
      <protection/>
    </xf>
    <xf numFmtId="0" fontId="1" fillId="7" borderId="17" xfId="0" applyFont="1" applyFill="1" applyBorder="1" applyAlignment="1" applyProtection="1">
      <alignment/>
      <protection/>
    </xf>
    <xf numFmtId="0" fontId="10" fillId="0" borderId="0" xfId="0" applyFont="1" applyAlignment="1" applyProtection="1">
      <alignment/>
      <protection/>
    </xf>
    <xf numFmtId="0" fontId="3" fillId="0" borderId="0" xfId="0" applyFont="1" applyFill="1" applyAlignment="1" applyProtection="1">
      <alignment/>
      <protection/>
    </xf>
    <xf numFmtId="0" fontId="10" fillId="0" borderId="0" xfId="0" applyFont="1" applyAlignment="1">
      <alignment horizontal="left" wrapText="1"/>
    </xf>
    <xf numFmtId="0" fontId="5" fillId="0" borderId="0" xfId="0" applyFont="1" applyAlignment="1" applyProtection="1">
      <alignment horizontal="left"/>
      <protection/>
    </xf>
    <xf numFmtId="0" fontId="1" fillId="4" borderId="18" xfId="0" applyFont="1" applyFill="1" applyBorder="1" applyAlignment="1" applyProtection="1">
      <alignment horizontal="right"/>
      <protection/>
    </xf>
    <xf numFmtId="0" fontId="1" fillId="22" borderId="18" xfId="0" applyFont="1" applyFill="1" applyBorder="1" applyAlignment="1" applyProtection="1">
      <alignment horizontal="left"/>
      <protection/>
    </xf>
    <xf numFmtId="184" fontId="1" fillId="20" borderId="19" xfId="0" applyNumberFormat="1" applyFont="1" applyFill="1" applyBorder="1" applyAlignment="1" applyProtection="1">
      <alignment/>
      <protection locked="0"/>
    </xf>
    <xf numFmtId="166" fontId="1" fillId="20" borderId="19" xfId="0" applyNumberFormat="1" applyFont="1" applyFill="1" applyBorder="1" applyAlignment="1" applyProtection="1">
      <alignment/>
      <protection locked="0"/>
    </xf>
    <xf numFmtId="185" fontId="1" fillId="20" borderId="19" xfId="0" applyNumberFormat="1" applyFont="1" applyFill="1" applyBorder="1" applyAlignment="1" applyProtection="1">
      <alignment/>
      <protection locked="0"/>
    </xf>
    <xf numFmtId="0" fontId="4" fillId="0" borderId="11" xfId="0" applyFont="1" applyFill="1" applyBorder="1" applyAlignment="1" applyProtection="1">
      <alignment/>
      <protection/>
    </xf>
    <xf numFmtId="0" fontId="1" fillId="0" borderId="0" xfId="0" applyFont="1" applyFill="1" applyBorder="1" applyAlignment="1" applyProtection="1">
      <alignment/>
      <protection/>
    </xf>
    <xf numFmtId="0" fontId="1" fillId="0" borderId="17" xfId="0" applyFont="1" applyFill="1" applyBorder="1" applyAlignment="1" applyProtection="1">
      <alignment horizontal="left"/>
      <protection/>
    </xf>
    <xf numFmtId="164" fontId="6" fillId="4" borderId="13" xfId="0" applyNumberFormat="1" applyFont="1" applyFill="1" applyBorder="1" applyAlignment="1" applyProtection="1">
      <alignment/>
      <protection/>
    </xf>
    <xf numFmtId="178" fontId="6" fillId="4" borderId="0" xfId="0" applyNumberFormat="1" applyFont="1" applyFill="1" applyBorder="1" applyAlignment="1" applyProtection="1">
      <alignment horizontal="right"/>
      <protection/>
    </xf>
    <xf numFmtId="3" fontId="1" fillId="4"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4" fillId="0" borderId="20" xfId="0" applyFont="1" applyFill="1" applyBorder="1" applyAlignment="1" applyProtection="1">
      <alignment/>
      <protection/>
    </xf>
    <xf numFmtId="0" fontId="1" fillId="0" borderId="14" xfId="0" applyFont="1" applyFill="1" applyBorder="1" applyAlignment="1" applyProtection="1">
      <alignment horizontal="left"/>
      <protection/>
    </xf>
    <xf numFmtId="0" fontId="1" fillId="0" borderId="18" xfId="0" applyFont="1" applyFill="1" applyBorder="1" applyAlignment="1" applyProtection="1">
      <alignment horizontal="left"/>
      <protection/>
    </xf>
    <xf numFmtId="165" fontId="1" fillId="0" borderId="18" xfId="0" applyNumberFormat="1" applyFont="1" applyFill="1" applyBorder="1" applyAlignment="1" applyProtection="1">
      <alignment horizontal="right"/>
      <protection/>
    </xf>
    <xf numFmtId="0" fontId="4" fillId="0" borderId="18" xfId="0" applyFont="1" applyFill="1" applyBorder="1" applyAlignment="1" applyProtection="1">
      <alignment/>
      <protection/>
    </xf>
    <xf numFmtId="0" fontId="4" fillId="0" borderId="11" xfId="0" applyFont="1" applyFill="1" applyBorder="1" applyAlignment="1" applyProtection="1">
      <alignment horizontal="left"/>
      <protection/>
    </xf>
    <xf numFmtId="165"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horizontal="left"/>
      <protection/>
    </xf>
    <xf numFmtId="164" fontId="1" fillId="0" borderId="10" xfId="0" applyNumberFormat="1" applyFont="1" applyFill="1" applyBorder="1" applyAlignment="1" applyProtection="1">
      <alignment horizontal="left"/>
      <protection/>
    </xf>
    <xf numFmtId="165" fontId="1" fillId="0" borderId="10" xfId="59" applyNumberFormat="1" applyFont="1" applyFill="1" applyBorder="1" applyAlignment="1" applyProtection="1">
      <alignment horizontal="left"/>
      <protection/>
    </xf>
    <xf numFmtId="0" fontId="1" fillId="0" borderId="11" xfId="0" applyFont="1" applyFill="1" applyBorder="1" applyAlignment="1" applyProtection="1">
      <alignment wrapText="1"/>
      <protection/>
    </xf>
    <xf numFmtId="0" fontId="1" fillId="0" borderId="0" xfId="0" applyFont="1" applyFill="1" applyAlignment="1" applyProtection="1">
      <alignment horizontal="left"/>
      <protection/>
    </xf>
    <xf numFmtId="0" fontId="4" fillId="0" borderId="18" xfId="0" applyFont="1" applyFill="1" applyBorder="1" applyAlignment="1" applyProtection="1">
      <alignment horizontal="left" indent="1"/>
      <protection/>
    </xf>
    <xf numFmtId="0" fontId="1" fillId="0" borderId="18" xfId="0" applyFont="1" applyFill="1" applyBorder="1" applyAlignment="1" applyProtection="1">
      <alignment horizontal="left" indent="1"/>
      <protection/>
    </xf>
    <xf numFmtId="0" fontId="1" fillId="0" borderId="18" xfId="0" applyFont="1" applyFill="1" applyBorder="1" applyAlignment="1" applyProtection="1">
      <alignment horizontal="left" indent="2"/>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Fill="1" applyBorder="1" applyAlignment="1">
      <alignment horizontal="left" indent="1"/>
    </xf>
    <xf numFmtId="0" fontId="1" fillId="0" borderId="18" xfId="0" applyFont="1" applyFill="1" applyBorder="1" applyAlignment="1" applyProtection="1">
      <alignment horizontal="left" vertical="top" indent="1"/>
      <protection/>
    </xf>
    <xf numFmtId="0" fontId="1" fillId="0" borderId="21" xfId="0" applyFont="1" applyFill="1" applyBorder="1" applyAlignment="1" applyProtection="1">
      <alignment horizontal="left" indent="1"/>
      <protection/>
    </xf>
    <xf numFmtId="3" fontId="10" fillId="4" borderId="0" xfId="0" applyNumberFormat="1" applyFont="1" applyFill="1" applyBorder="1" applyAlignment="1" applyProtection="1">
      <alignment horizontal="left"/>
      <protection/>
    </xf>
    <xf numFmtId="0" fontId="1" fillId="0" borderId="10" xfId="0" applyFont="1" applyFill="1" applyBorder="1" applyAlignment="1" applyProtection="1">
      <alignment horizontal="left" vertical="top"/>
      <protection/>
    </xf>
    <xf numFmtId="0" fontId="1" fillId="0" borderId="18" xfId="0" applyFont="1" applyFill="1" applyBorder="1" applyAlignment="1" applyProtection="1">
      <alignment horizontal="left" vertical="top" indent="2"/>
      <protection/>
    </xf>
    <xf numFmtId="165" fontId="1" fillId="0" borderId="10" xfId="59" applyNumberFormat="1" applyFont="1" applyFill="1" applyBorder="1" applyAlignment="1" applyProtection="1">
      <alignment horizontal="left" indent="1"/>
      <protection/>
    </xf>
    <xf numFmtId="0" fontId="1" fillId="0" borderId="0" xfId="0" applyFont="1" applyFill="1" applyBorder="1" applyAlignment="1" applyProtection="1">
      <alignment horizontal="left" indent="1"/>
      <protection/>
    </xf>
    <xf numFmtId="0" fontId="1" fillId="0" borderId="0" xfId="0" applyFont="1" applyFill="1" applyAlignment="1" applyProtection="1">
      <alignment horizontal="left" indent="1"/>
      <protection/>
    </xf>
    <xf numFmtId="165" fontId="1" fillId="0" borderId="18" xfId="0" applyNumberFormat="1" applyFont="1" applyFill="1" applyBorder="1" applyAlignment="1" applyProtection="1">
      <alignment/>
      <protection/>
    </xf>
    <xf numFmtId="1" fontId="1" fillId="0" borderId="18" xfId="0" applyNumberFormat="1" applyFont="1" applyFill="1" applyBorder="1" applyAlignment="1" applyProtection="1">
      <alignment/>
      <protection locked="0"/>
    </xf>
    <xf numFmtId="1" fontId="1" fillId="0" borderId="18" xfId="0" applyNumberFormat="1" applyFont="1" applyFill="1" applyBorder="1" applyAlignment="1" applyProtection="1">
      <alignment horizontal="right"/>
      <protection/>
    </xf>
    <xf numFmtId="165" fontId="2" fillId="0" borderId="0" xfId="0" applyNumberFormat="1" applyFont="1" applyFill="1" applyBorder="1" applyAlignment="1" applyProtection="1">
      <alignment horizontal="center"/>
      <protection/>
    </xf>
    <xf numFmtId="165" fontId="1" fillId="0" borderId="12" xfId="0" applyNumberFormat="1" applyFont="1" applyFill="1" applyBorder="1" applyAlignment="1" applyProtection="1">
      <alignment horizontal="right"/>
      <protection/>
    </xf>
    <xf numFmtId="165" fontId="1" fillId="0" borderId="18" xfId="42" applyNumberFormat="1" applyFont="1" applyFill="1" applyBorder="1" applyAlignment="1" applyProtection="1">
      <alignment horizontal="right"/>
      <protection/>
    </xf>
    <xf numFmtId="165" fontId="1" fillId="0" borderId="18" xfId="0" applyNumberFormat="1" applyFont="1" applyFill="1" applyBorder="1" applyAlignment="1" applyProtection="1">
      <alignment horizontal="right" vertical="top"/>
      <protection/>
    </xf>
    <xf numFmtId="165" fontId="1" fillId="0" borderId="18" xfId="59" applyNumberFormat="1" applyFont="1" applyFill="1" applyBorder="1" applyAlignment="1" applyProtection="1">
      <alignment/>
      <protection/>
    </xf>
    <xf numFmtId="165" fontId="1" fillId="0" borderId="18" xfId="42" applyNumberFormat="1" applyFont="1" applyFill="1" applyBorder="1" applyAlignment="1" applyProtection="1">
      <alignment/>
      <protection/>
    </xf>
    <xf numFmtId="165" fontId="1" fillId="0" borderId="0" xfId="0" applyNumberFormat="1" applyFont="1" applyFill="1" applyBorder="1" applyAlignment="1" applyProtection="1">
      <alignment horizontal="right"/>
      <protection/>
    </xf>
    <xf numFmtId="165" fontId="1" fillId="0" borderId="0" xfId="0" applyNumberFormat="1" applyFont="1" applyFill="1" applyAlignment="1" applyProtection="1">
      <alignment horizontal="right"/>
      <protection/>
    </xf>
    <xf numFmtId="0" fontId="2" fillId="0" borderId="0" xfId="0" applyFont="1" applyFill="1" applyBorder="1" applyAlignment="1" applyProtection="1">
      <alignment horizontal="center" wrapText="1"/>
      <protection/>
    </xf>
    <xf numFmtId="0" fontId="4" fillId="0" borderId="16" xfId="0" applyFont="1" applyFill="1" applyBorder="1" applyAlignment="1" applyProtection="1">
      <alignment wrapText="1"/>
      <protection/>
    </xf>
    <xf numFmtId="0" fontId="1" fillId="0" borderId="20" xfId="0" applyFont="1" applyFill="1" applyBorder="1" applyAlignment="1" applyProtection="1">
      <alignment wrapText="1"/>
      <protection/>
    </xf>
    <xf numFmtId="0" fontId="1" fillId="0" borderId="11" xfId="0" applyFont="1" applyFill="1" applyBorder="1" applyAlignment="1" applyProtection="1">
      <alignment horizontal="left" wrapText="1"/>
      <protection/>
    </xf>
    <xf numFmtId="0" fontId="1" fillId="0" borderId="0" xfId="0" applyFont="1" applyFill="1" applyAlignment="1" applyProtection="1">
      <alignment wrapText="1"/>
      <protection/>
    </xf>
    <xf numFmtId="177" fontId="1" fillId="0" borderId="0" xfId="0" applyNumberFormat="1" applyFont="1" applyFill="1" applyBorder="1" applyAlignment="1" applyProtection="1">
      <alignment horizontal="right"/>
      <protection/>
    </xf>
    <xf numFmtId="9" fontId="1" fillId="0" borderId="18" xfId="0" applyNumberFormat="1" applyFont="1" applyFill="1" applyBorder="1" applyAlignment="1" applyProtection="1">
      <alignment vertical="top"/>
      <protection locked="0"/>
    </xf>
    <xf numFmtId="0" fontId="1" fillId="7" borderId="18" xfId="0" applyFont="1" applyFill="1" applyBorder="1" applyAlignment="1" applyProtection="1">
      <alignment/>
      <protection/>
    </xf>
    <xf numFmtId="9" fontId="1" fillId="20" borderId="19" xfId="0" applyNumberFormat="1" applyFont="1" applyFill="1" applyBorder="1" applyAlignment="1" applyProtection="1">
      <alignment/>
      <protection locked="0"/>
    </xf>
    <xf numFmtId="9" fontId="1" fillId="0" borderId="18" xfId="59" applyNumberFormat="1" applyFont="1" applyFill="1" applyBorder="1" applyAlignment="1" applyProtection="1">
      <alignment horizontal="right"/>
      <protection/>
    </xf>
    <xf numFmtId="9" fontId="1" fillId="0" borderId="18" xfId="59" applyNumberFormat="1" applyFont="1" applyFill="1" applyBorder="1" applyAlignment="1" applyProtection="1">
      <alignment/>
      <protection/>
    </xf>
    <xf numFmtId="200" fontId="1" fillId="0" borderId="0" xfId="0" applyNumberFormat="1" applyFont="1" applyFill="1" applyBorder="1" applyAlignment="1" applyProtection="1">
      <alignment horizontal="right"/>
      <protection/>
    </xf>
    <xf numFmtId="0" fontId="15" fillId="7" borderId="18" xfId="0" applyFont="1" applyFill="1" applyBorder="1" applyAlignment="1" applyProtection="1">
      <alignment/>
      <protection/>
    </xf>
    <xf numFmtId="165" fontId="1" fillId="0" borderId="18" xfId="0" applyNumberFormat="1" applyFont="1" applyFill="1" applyBorder="1" applyAlignment="1" applyProtection="1">
      <alignment/>
      <protection locked="0"/>
    </xf>
    <xf numFmtId="165" fontId="1" fillId="0" borderId="18" xfId="0" applyNumberFormat="1" applyFont="1" applyFill="1" applyBorder="1" applyAlignment="1" applyProtection="1">
      <alignment horizontal="right"/>
      <protection locked="0"/>
    </xf>
    <xf numFmtId="2" fontId="1" fillId="0" borderId="18" xfId="0" applyNumberFormat="1" applyFont="1" applyFill="1" applyBorder="1" applyAlignment="1" applyProtection="1">
      <alignment horizontal="right"/>
      <protection/>
    </xf>
    <xf numFmtId="4" fontId="6" fillId="22" borderId="0" xfId="0" applyNumberFormat="1" applyFont="1" applyFill="1" applyBorder="1" applyAlignment="1" applyProtection="1">
      <alignment horizontal="right"/>
      <protection/>
    </xf>
    <xf numFmtId="9" fontId="6" fillId="22" borderId="0" xfId="59" applyFont="1" applyFill="1" applyBorder="1" applyAlignment="1" applyProtection="1">
      <alignment horizontal="right"/>
      <protection/>
    </xf>
    <xf numFmtId="3" fontId="6" fillId="22" borderId="0" xfId="0" applyNumberFormat="1" applyFont="1" applyFill="1" applyBorder="1" applyAlignment="1" applyProtection="1">
      <alignment horizontal="right"/>
      <protection/>
    </xf>
    <xf numFmtId="164" fontId="6" fillId="22" borderId="0" xfId="0" applyNumberFormat="1" applyFont="1" applyFill="1" applyBorder="1" applyAlignment="1" applyProtection="1">
      <alignment horizontal="right"/>
      <protection/>
    </xf>
    <xf numFmtId="165" fontId="6" fillId="22" borderId="0" xfId="0" applyNumberFormat="1" applyFont="1" applyFill="1" applyBorder="1" applyAlignment="1" applyProtection="1">
      <alignment horizontal="right"/>
      <protection/>
    </xf>
    <xf numFmtId="0" fontId="11" fillId="0" borderId="0" xfId="0" applyFont="1" applyAlignment="1">
      <alignment horizontal="center" wrapText="1"/>
    </xf>
    <xf numFmtId="0" fontId="6" fillId="7" borderId="16" xfId="0" applyFont="1" applyFill="1" applyBorder="1" applyAlignment="1" applyProtection="1">
      <alignment horizontal="center" wrapText="1"/>
      <protection/>
    </xf>
    <xf numFmtId="0" fontId="6" fillId="4" borderId="22" xfId="0" applyFont="1" applyFill="1" applyBorder="1" applyAlignment="1" applyProtection="1">
      <alignment horizontal="center" wrapText="1"/>
      <protection/>
    </xf>
    <xf numFmtId="0" fontId="6" fillId="7" borderId="0" xfId="0" applyFont="1" applyFill="1" applyBorder="1" applyAlignment="1" applyProtection="1">
      <alignment horizontal="center" wrapText="1"/>
      <protection/>
    </xf>
    <xf numFmtId="0" fontId="5" fillId="0" borderId="0" xfId="0" applyFont="1" applyAlignment="1" applyProtection="1">
      <alignment horizontal="left"/>
      <protection/>
    </xf>
    <xf numFmtId="0" fontId="15" fillId="0" borderId="13" xfId="0" applyFont="1" applyBorder="1" applyAlignment="1" applyProtection="1">
      <alignment horizontal="left" wrapText="1"/>
      <protection/>
    </xf>
    <xf numFmtId="0" fontId="5" fillId="0" borderId="13" xfId="0" applyFont="1" applyBorder="1" applyAlignment="1" applyProtection="1">
      <alignment horizontal="left" wrapText="1"/>
      <protection/>
    </xf>
    <xf numFmtId="0" fontId="7" fillId="0" borderId="0" xfId="0" applyFont="1" applyAlignment="1">
      <alignment horizontal="center" wrapText="1"/>
    </xf>
    <xf numFmtId="0" fontId="1" fillId="0" borderId="0" xfId="0" applyFont="1" applyAlignment="1">
      <alignment horizontal="left" wrapText="1"/>
    </xf>
    <xf numFmtId="0" fontId="2" fillId="0" borderId="0"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178" fontId="1" fillId="0" borderId="0" xfId="0" applyNumberFormat="1" applyFont="1" applyFill="1" applyBorder="1" applyAlignment="1" applyProtection="1">
      <alignment horizontal="right"/>
      <protection/>
    </xf>
    <xf numFmtId="178" fontId="1" fillId="0" borderId="16" xfId="0" applyNumberFormat="1" applyFont="1" applyFill="1" applyBorder="1" applyAlignment="1" applyProtection="1">
      <alignment horizontal="right"/>
      <protection/>
    </xf>
    <xf numFmtId="0" fontId="1" fillId="0" borderId="21" xfId="0" applyFont="1" applyFill="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73152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5"/>
  <sheetViews>
    <sheetView zoomScale="80" zoomScaleNormal="80" zoomScaleSheetLayoutView="100" zoomScalePageLayoutView="0" workbookViewId="0" topLeftCell="A1">
      <selection activeCell="O24" sqref="O24"/>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3.421875" style="1" customWidth="1"/>
    <col min="9" max="9" width="4.7109375" style="1" customWidth="1"/>
    <col min="10" max="10" width="4.140625" style="1" customWidth="1"/>
    <col min="11" max="11" width="8.57421875" style="1" customWidth="1"/>
    <col min="12" max="12" width="3.421875" style="1" customWidth="1"/>
    <col min="13" max="13" width="3.00390625" style="1" customWidth="1"/>
    <col min="14" max="16384" width="9.140625" style="1" customWidth="1"/>
  </cols>
  <sheetData>
    <row r="1" ht="15.75" customHeight="1"/>
    <row r="2" ht="15.75" customHeight="1"/>
    <row r="3" ht="15.75" customHeight="1"/>
    <row r="4" ht="15.75" customHeight="1"/>
    <row r="5" ht="15.75" customHeight="1"/>
    <row r="6" ht="15.75" customHeight="1"/>
    <row r="7" spans="1:13" ht="18">
      <c r="A7" s="139" t="s">
        <v>28</v>
      </c>
      <c r="B7" s="139"/>
      <c r="C7" s="139"/>
      <c r="D7" s="139"/>
      <c r="E7" s="139"/>
      <c r="F7" s="139"/>
      <c r="G7" s="139"/>
      <c r="H7" s="139"/>
      <c r="I7" s="139"/>
      <c r="J7" s="139"/>
      <c r="K7" s="139"/>
      <c r="L7" s="139"/>
      <c r="M7" s="139"/>
    </row>
    <row r="8" spans="1:13" ht="15.75" customHeight="1">
      <c r="A8" s="139" t="str">
        <f>""&amp;C17&amp;" ENERGY STAR Qualified Multi Function Device(s)"</f>
        <v>20 ENERGY STAR Qualified Multi Function Device(s)</v>
      </c>
      <c r="B8" s="139"/>
      <c r="C8" s="139"/>
      <c r="D8" s="139"/>
      <c r="E8" s="139"/>
      <c r="F8" s="139"/>
      <c r="G8" s="139"/>
      <c r="H8" s="139"/>
      <c r="I8" s="139"/>
      <c r="J8" s="139"/>
      <c r="K8" s="139"/>
      <c r="L8" s="139"/>
      <c r="M8" s="139"/>
    </row>
    <row r="9" spans="1:13" s="57" customFormat="1" ht="12.75">
      <c r="A9" s="59"/>
      <c r="B9" s="59"/>
      <c r="C9" s="59"/>
      <c r="D9" s="59"/>
      <c r="E9" s="59"/>
      <c r="F9" s="59"/>
      <c r="G9" s="59"/>
      <c r="H9" s="59"/>
      <c r="I9" s="59"/>
      <c r="J9" s="59"/>
      <c r="K9" s="59"/>
      <c r="L9" s="59"/>
      <c r="M9" s="59"/>
    </row>
    <row r="10" spans="1:13" ht="15.75" customHeight="1">
      <c r="A10" s="7"/>
      <c r="B10" s="7"/>
      <c r="C10" s="7"/>
      <c r="D10" s="7"/>
      <c r="E10" s="7"/>
      <c r="F10" s="7"/>
      <c r="G10" s="7"/>
      <c r="H10" s="7"/>
      <c r="I10" s="7"/>
      <c r="J10" s="7"/>
      <c r="K10" s="7"/>
      <c r="L10" s="7"/>
      <c r="M10" s="7"/>
    </row>
    <row r="11" spans="1:13" s="57" customFormat="1" ht="24" customHeight="1">
      <c r="A11" s="140" t="s">
        <v>50</v>
      </c>
      <c r="B11" s="140"/>
      <c r="C11" s="140"/>
      <c r="D11" s="140"/>
      <c r="E11" s="140"/>
      <c r="F11" s="140"/>
      <c r="G11" s="140"/>
      <c r="H11" s="140"/>
      <c r="I11" s="140"/>
      <c r="J11" s="140"/>
      <c r="K11" s="140"/>
      <c r="L11" s="140"/>
      <c r="M11" s="140"/>
    </row>
    <row r="12" spans="1:13" s="57" customFormat="1" ht="12.75">
      <c r="A12" s="59"/>
      <c r="B12" s="59"/>
      <c r="C12" s="59"/>
      <c r="D12" s="59"/>
      <c r="E12" s="59"/>
      <c r="F12" s="59"/>
      <c r="G12" s="59"/>
      <c r="H12" s="59"/>
      <c r="I12" s="59"/>
      <c r="J12" s="59"/>
      <c r="K12" s="59"/>
      <c r="L12" s="59"/>
      <c r="M12" s="59"/>
    </row>
    <row r="13" ht="15.75" customHeight="1">
      <c r="A13" s="2"/>
    </row>
    <row r="14" spans="1:13" ht="15.75">
      <c r="A14" s="132" t="s">
        <v>29</v>
      </c>
      <c r="B14" s="132"/>
      <c r="C14" s="132"/>
      <c r="D14" s="132"/>
      <c r="E14" s="132"/>
      <c r="F14" s="132"/>
      <c r="G14" s="132"/>
      <c r="H14" s="132"/>
      <c r="I14" s="132"/>
      <c r="J14" s="132"/>
      <c r="K14" s="132"/>
      <c r="L14" s="132"/>
      <c r="M14" s="132"/>
    </row>
    <row r="15" spans="1:13" ht="4.5" customHeight="1">
      <c r="A15" s="39"/>
      <c r="B15" s="40"/>
      <c r="C15" s="40"/>
      <c r="D15" s="40"/>
      <c r="E15" s="40"/>
      <c r="F15" s="40"/>
      <c r="G15" s="40"/>
      <c r="H15" s="40"/>
      <c r="I15" s="40"/>
      <c r="J15" s="40"/>
      <c r="K15" s="40"/>
      <c r="L15" s="40"/>
      <c r="M15" s="41"/>
    </row>
    <row r="16" spans="1:13" ht="15.75" customHeight="1" thickBot="1">
      <c r="A16" s="123" t="s">
        <v>87</v>
      </c>
      <c r="B16" s="49"/>
      <c r="C16" s="49"/>
      <c r="D16" s="49"/>
      <c r="E16" s="49"/>
      <c r="F16" s="49"/>
      <c r="G16" s="49"/>
      <c r="H16" s="49"/>
      <c r="I16" s="49"/>
      <c r="J16" s="49"/>
      <c r="K16" s="49"/>
      <c r="L16" s="49"/>
      <c r="M16" s="44"/>
    </row>
    <row r="17" spans="1:14" ht="15.75" customHeight="1" thickBot="1">
      <c r="A17" s="50" t="s">
        <v>16</v>
      </c>
      <c r="B17" s="45"/>
      <c r="C17" s="63">
        <v>20</v>
      </c>
      <c r="D17" s="43"/>
      <c r="E17" s="43"/>
      <c r="F17" s="43"/>
      <c r="G17" s="43"/>
      <c r="H17" s="43"/>
      <c r="I17" s="43"/>
      <c r="J17" s="43"/>
      <c r="K17" s="43"/>
      <c r="L17" s="43"/>
      <c r="M17" s="44"/>
      <c r="N17" s="4"/>
    </row>
    <row r="18" spans="1:13" ht="15.75" customHeight="1" thickBot="1">
      <c r="A18" s="42" t="s">
        <v>21</v>
      </c>
      <c r="B18" s="45"/>
      <c r="C18" s="64">
        <f>Assumptions!C57</f>
        <v>0.0952</v>
      </c>
      <c r="D18" s="43"/>
      <c r="E18" s="43"/>
      <c r="F18" s="43"/>
      <c r="G18" s="43"/>
      <c r="H18" s="43"/>
      <c r="I18" s="43"/>
      <c r="J18" s="43"/>
      <c r="K18" s="43"/>
      <c r="L18" s="43"/>
      <c r="M18" s="44"/>
    </row>
    <row r="19" spans="1:14" ht="6.75" customHeight="1">
      <c r="A19" s="46"/>
      <c r="B19" s="45"/>
      <c r="C19" s="47"/>
      <c r="D19" s="43"/>
      <c r="E19" s="43"/>
      <c r="F19" s="43"/>
      <c r="G19" s="43"/>
      <c r="H19" s="43"/>
      <c r="I19" s="43"/>
      <c r="J19" s="43"/>
      <c r="K19" s="43"/>
      <c r="L19" s="43"/>
      <c r="M19" s="44"/>
      <c r="N19" s="4"/>
    </row>
    <row r="20" spans="1:14" ht="15.75" customHeight="1" thickBot="1">
      <c r="A20" s="46"/>
      <c r="B20" s="45"/>
      <c r="C20" s="47"/>
      <c r="D20" s="43"/>
      <c r="E20" s="43"/>
      <c r="F20" s="43"/>
      <c r="G20" s="43"/>
      <c r="H20" s="43"/>
      <c r="I20" s="43"/>
      <c r="J20" s="43"/>
      <c r="K20" s="43"/>
      <c r="L20" s="43"/>
      <c r="M20" s="44"/>
      <c r="N20" s="4"/>
    </row>
    <row r="21" spans="1:14" ht="15.75" customHeight="1" thickBot="1">
      <c r="A21" s="118" t="s">
        <v>85</v>
      </c>
      <c r="B21" s="45"/>
      <c r="C21" s="119">
        <f>Assumptions!C40</f>
        <v>0.81</v>
      </c>
      <c r="D21" s="43"/>
      <c r="E21" s="43"/>
      <c r="F21" s="43"/>
      <c r="G21" s="43"/>
      <c r="H21" s="43"/>
      <c r="I21" s="43"/>
      <c r="J21" s="43"/>
      <c r="K21" s="43"/>
      <c r="L21" s="43"/>
      <c r="M21" s="44"/>
      <c r="N21" s="4"/>
    </row>
    <row r="22" spans="1:14" ht="15.75" customHeight="1" thickBot="1">
      <c r="A22" s="118" t="s">
        <v>84</v>
      </c>
      <c r="B22" s="45"/>
      <c r="C22" s="119">
        <f>Assumptions!C41</f>
        <v>1</v>
      </c>
      <c r="D22" s="43"/>
      <c r="E22" s="43"/>
      <c r="F22" s="43"/>
      <c r="G22" s="43"/>
      <c r="H22" s="43"/>
      <c r="I22" s="43"/>
      <c r="J22" s="43"/>
      <c r="K22" s="43"/>
      <c r="L22" s="43"/>
      <c r="M22" s="44"/>
      <c r="N22" s="4"/>
    </row>
    <row r="23" spans="1:14" ht="15.75" customHeight="1">
      <c r="A23" s="46"/>
      <c r="B23" s="45"/>
      <c r="C23" s="47"/>
      <c r="D23" s="43"/>
      <c r="E23" s="43"/>
      <c r="F23" s="43"/>
      <c r="G23" s="43"/>
      <c r="H23" s="43"/>
      <c r="I23" s="43"/>
      <c r="J23" s="43"/>
      <c r="K23" s="43"/>
      <c r="L23" s="43"/>
      <c r="M23" s="44"/>
      <c r="N23" s="4"/>
    </row>
    <row r="24" spans="1:13" ht="27.75" customHeight="1">
      <c r="A24" s="48"/>
      <c r="B24" s="133" t="s">
        <v>13</v>
      </c>
      <c r="C24" s="133"/>
      <c r="D24" s="133"/>
      <c r="E24" s="49"/>
      <c r="F24" s="133" t="s">
        <v>2</v>
      </c>
      <c r="G24" s="133"/>
      <c r="H24" s="133"/>
      <c r="I24" s="49"/>
      <c r="J24" s="135"/>
      <c r="K24" s="135"/>
      <c r="L24" s="135"/>
      <c r="M24" s="44"/>
    </row>
    <row r="25" spans="1:13" ht="4.5" customHeight="1" thickBot="1">
      <c r="A25" s="48"/>
      <c r="B25" s="49"/>
      <c r="C25" s="49"/>
      <c r="D25" s="49"/>
      <c r="E25" s="49"/>
      <c r="F25" s="49"/>
      <c r="G25" s="49"/>
      <c r="H25" s="49"/>
      <c r="I25" s="49"/>
      <c r="J25" s="49"/>
      <c r="K25" s="49"/>
      <c r="L25" s="49"/>
      <c r="M25" s="44"/>
    </row>
    <row r="26" spans="1:13" ht="15.75" customHeight="1" thickBot="1">
      <c r="A26" s="50" t="s">
        <v>17</v>
      </c>
      <c r="B26" s="43"/>
      <c r="C26" s="65">
        <f>Assumptions!C10</f>
        <v>180</v>
      </c>
      <c r="D26" s="51"/>
      <c r="E26" s="51"/>
      <c r="F26" s="51"/>
      <c r="G26" s="65">
        <f>Assumptions!C23</f>
        <v>180</v>
      </c>
      <c r="H26" s="51"/>
      <c r="I26" s="51"/>
      <c r="J26" s="52"/>
      <c r="K26" s="53"/>
      <c r="L26" s="51"/>
      <c r="M26" s="44"/>
    </row>
    <row r="27" spans="1:13" ht="4.5" customHeight="1">
      <c r="A27" s="54"/>
      <c r="B27" s="55"/>
      <c r="C27" s="55"/>
      <c r="D27" s="55"/>
      <c r="E27" s="55"/>
      <c r="F27" s="55"/>
      <c r="G27" s="55"/>
      <c r="H27" s="55"/>
      <c r="I27" s="55"/>
      <c r="J27" s="55"/>
      <c r="K27" s="55"/>
      <c r="L27" s="55"/>
      <c r="M27" s="56"/>
    </row>
    <row r="28" ht="15.75" customHeight="1">
      <c r="A28" s="3"/>
    </row>
    <row r="29" ht="15.75" customHeight="1">
      <c r="A29" s="3"/>
    </row>
    <row r="30" spans="1:13" ht="15.75">
      <c r="A30" s="132" t="str">
        <f>"Annual and Life Cycle Costs and Savings for "&amp;C17&amp;" Multi Function Device(s)"</f>
        <v>Annual and Life Cycle Costs and Savings for 20 Multi Function Device(s)</v>
      </c>
      <c r="B30" s="132"/>
      <c r="C30" s="132"/>
      <c r="D30" s="132"/>
      <c r="E30" s="132"/>
      <c r="F30" s="132"/>
      <c r="G30" s="132"/>
      <c r="H30" s="132"/>
      <c r="I30" s="132"/>
      <c r="J30" s="132"/>
      <c r="K30" s="132"/>
      <c r="L30" s="132"/>
      <c r="M30" s="132"/>
    </row>
    <row r="31" spans="1:13" ht="31.5" customHeight="1">
      <c r="A31" s="19"/>
      <c r="B31" s="134" t="str">
        <f>""&amp;C17&amp;" ENERGY STAR Qualified Units"</f>
        <v>20 ENERGY STAR Qualified Units</v>
      </c>
      <c r="C31" s="134"/>
      <c r="D31" s="134"/>
      <c r="E31" s="20"/>
      <c r="F31" s="134" t="str">
        <f>""&amp;C17&amp;" Conventional Units"</f>
        <v>20 Conventional Units</v>
      </c>
      <c r="G31" s="134"/>
      <c r="H31" s="134"/>
      <c r="I31" s="20"/>
      <c r="J31" s="134" t="s">
        <v>22</v>
      </c>
      <c r="K31" s="134"/>
      <c r="L31" s="134"/>
      <c r="M31" s="21"/>
    </row>
    <row r="32" spans="1:13" ht="15.75" customHeight="1">
      <c r="A32" s="22" t="s">
        <v>46</v>
      </c>
      <c r="B32" s="23"/>
      <c r="C32" s="23"/>
      <c r="D32" s="23"/>
      <c r="E32" s="23"/>
      <c r="F32" s="23"/>
      <c r="G32" s="23"/>
      <c r="H32" s="23"/>
      <c r="I32" s="23"/>
      <c r="J32" s="23"/>
      <c r="K32" s="23"/>
      <c r="L32" s="23"/>
      <c r="M32" s="24"/>
    </row>
    <row r="33" spans="1:13" ht="15.75" customHeight="1">
      <c r="A33" s="25" t="s">
        <v>54</v>
      </c>
      <c r="B33" s="23"/>
      <c r="C33" s="26">
        <f>C34*C18</f>
        <v>35.060256</v>
      </c>
      <c r="D33" s="23"/>
      <c r="E33" s="23"/>
      <c r="F33" s="23"/>
      <c r="G33" s="26">
        <f>G34*C18</f>
        <v>100.945388544</v>
      </c>
      <c r="H33" s="23"/>
      <c r="I33" s="23"/>
      <c r="J33" s="23"/>
      <c r="K33" s="26">
        <f>G33-C33</f>
        <v>65.88513254399999</v>
      </c>
      <c r="L33" s="23"/>
      <c r="M33" s="24"/>
    </row>
    <row r="34" spans="1:13" ht="15.75" customHeight="1" hidden="1" outlineLevel="1">
      <c r="A34" s="27" t="s">
        <v>78</v>
      </c>
      <c r="B34" s="23"/>
      <c r="C34" s="94">
        <f>Assumptions!C16*C17</f>
        <v>368.28000000000003</v>
      </c>
      <c r="D34" s="71"/>
      <c r="E34" s="71"/>
      <c r="F34" s="71"/>
      <c r="G34" s="94">
        <f>Assumptions!C29*C17</f>
        <v>1060.35072</v>
      </c>
      <c r="H34" s="71"/>
      <c r="I34" s="71"/>
      <c r="J34" s="71"/>
      <c r="K34" s="94">
        <f>G34-C34</f>
        <v>692.0707199999999</v>
      </c>
      <c r="L34" s="28"/>
      <c r="M34" s="24"/>
    </row>
    <row r="35" spans="1:13" ht="15.75" customHeight="1" collapsed="1">
      <c r="A35" s="30" t="s">
        <v>18</v>
      </c>
      <c r="B35" s="23"/>
      <c r="C35" s="26">
        <f>C17*Assumptions!C33</f>
        <v>0</v>
      </c>
      <c r="D35" s="23"/>
      <c r="E35" s="23"/>
      <c r="F35" s="23"/>
      <c r="G35" s="26">
        <f>C17*Assumptions!C36</f>
        <v>0</v>
      </c>
      <c r="H35" s="23"/>
      <c r="I35" s="23"/>
      <c r="J35" s="23"/>
      <c r="K35" s="26">
        <f>G35-C35</f>
        <v>0</v>
      </c>
      <c r="L35" s="23"/>
      <c r="M35" s="24"/>
    </row>
    <row r="36" spans="1:13" s="5" customFormat="1" ht="15.75" customHeight="1">
      <c r="A36" s="31" t="s">
        <v>19</v>
      </c>
      <c r="B36" s="32"/>
      <c r="C36" s="69">
        <f>C33+C35</f>
        <v>35.060256</v>
      </c>
      <c r="D36" s="33"/>
      <c r="E36" s="33"/>
      <c r="F36" s="33"/>
      <c r="G36" s="69">
        <f>G33+G35</f>
        <v>100.945388544</v>
      </c>
      <c r="H36" s="33"/>
      <c r="I36" s="33"/>
      <c r="J36" s="33"/>
      <c r="K36" s="69">
        <f>K33+K35</f>
        <v>65.88513254399999</v>
      </c>
      <c r="L36" s="33"/>
      <c r="M36" s="34"/>
    </row>
    <row r="37" spans="1:13" ht="15.75" customHeight="1">
      <c r="A37" s="25"/>
      <c r="B37" s="23"/>
      <c r="C37" s="23"/>
      <c r="D37" s="23"/>
      <c r="E37" s="23"/>
      <c r="F37" s="23"/>
      <c r="G37" s="23"/>
      <c r="H37" s="23"/>
      <c r="I37" s="23"/>
      <c r="J37" s="23"/>
      <c r="K37" s="23"/>
      <c r="L37" s="23"/>
      <c r="M37" s="24"/>
    </row>
    <row r="38" spans="1:13" ht="15.75" customHeight="1">
      <c r="A38" s="22" t="s">
        <v>47</v>
      </c>
      <c r="B38" s="23"/>
      <c r="C38" s="23"/>
      <c r="D38" s="23"/>
      <c r="E38" s="23"/>
      <c r="F38" s="23"/>
      <c r="G38" s="23"/>
      <c r="H38" s="23"/>
      <c r="I38" s="23"/>
      <c r="J38" s="23"/>
      <c r="K38" s="23"/>
      <c r="L38" s="23"/>
      <c r="M38" s="24"/>
    </row>
    <row r="39" spans="1:13" ht="15.75" customHeight="1">
      <c r="A39" s="25" t="s">
        <v>55</v>
      </c>
      <c r="B39" s="23"/>
      <c r="C39" s="26">
        <f>C40+C42</f>
        <v>183.79066018456263</v>
      </c>
      <c r="D39" s="23"/>
      <c r="E39" s="23"/>
      <c r="F39" s="23"/>
      <c r="G39" s="26">
        <f>G40+G42</f>
        <v>529.1695418050839</v>
      </c>
      <c r="H39" s="23"/>
      <c r="I39" s="23"/>
      <c r="J39" s="23"/>
      <c r="K39" s="26">
        <f>G39-C39</f>
        <v>345.37888162052127</v>
      </c>
      <c r="L39" s="23"/>
      <c r="M39" s="24"/>
    </row>
    <row r="40" spans="1:13" ht="15.75" customHeight="1" hidden="1" outlineLevel="1">
      <c r="A40" s="27" t="s">
        <v>56</v>
      </c>
      <c r="B40" s="23"/>
      <c r="C40" s="26">
        <f>PV(Assumptions!C52,Assumptions!C11,-C33,,0)</f>
        <v>183.79066018456263</v>
      </c>
      <c r="D40" s="23"/>
      <c r="E40" s="23"/>
      <c r="F40" s="23"/>
      <c r="G40" s="26">
        <f>PV(Assumptions!C52,Assumptions!C24,-G33,,0)</f>
        <v>529.1695418050839</v>
      </c>
      <c r="H40" s="23"/>
      <c r="I40" s="23"/>
      <c r="J40" s="23"/>
      <c r="K40" s="26">
        <f>G40-C40</f>
        <v>345.37888162052127</v>
      </c>
      <c r="L40" s="23"/>
      <c r="M40" s="24"/>
    </row>
    <row r="41" spans="1:13" ht="15.75" customHeight="1" hidden="1" outlineLevel="1">
      <c r="A41" s="29" t="s">
        <v>79</v>
      </c>
      <c r="B41" s="23"/>
      <c r="C41" s="94">
        <f>C34*Assumptions!C11</f>
        <v>2209.6800000000003</v>
      </c>
      <c r="D41" s="71"/>
      <c r="E41" s="71"/>
      <c r="F41" s="71"/>
      <c r="G41" s="94">
        <f>G34*Assumptions!C24</f>
        <v>6362.1043199999995</v>
      </c>
      <c r="H41" s="71"/>
      <c r="I41" s="71"/>
      <c r="J41" s="71"/>
      <c r="K41" s="94">
        <f>G41-C41</f>
        <v>4152.424319999999</v>
      </c>
      <c r="L41" s="28"/>
      <c r="M41" s="24"/>
    </row>
    <row r="42" spans="1:13" ht="15.75" customHeight="1" hidden="1" outlineLevel="1">
      <c r="A42" s="27" t="s">
        <v>20</v>
      </c>
      <c r="B42" s="23"/>
      <c r="C42" s="26">
        <f>PV(Assumptions!C52,Assumptions!C11,-C35,,0)</f>
        <v>0</v>
      </c>
      <c r="D42" s="23"/>
      <c r="E42" s="23"/>
      <c r="F42" s="23"/>
      <c r="G42" s="26">
        <f>PV(Assumptions!C52,Assumptions!C24,-G35,,0)</f>
        <v>0</v>
      </c>
      <c r="H42" s="23"/>
      <c r="I42" s="23"/>
      <c r="J42" s="23"/>
      <c r="K42" s="26">
        <f>G42-C42</f>
        <v>0</v>
      </c>
      <c r="L42" s="23"/>
      <c r="M42" s="24"/>
    </row>
    <row r="43" spans="1:13" ht="15.75" customHeight="1" collapsed="1">
      <c r="A43" s="25" t="str">
        <f>"Purchase price for "&amp;C17&amp;" unit(s)"</f>
        <v>Purchase price for 20 unit(s)</v>
      </c>
      <c r="B43" s="23"/>
      <c r="C43" s="26">
        <f>C17*C26</f>
        <v>3600</v>
      </c>
      <c r="D43" s="23"/>
      <c r="E43" s="23"/>
      <c r="F43" s="23"/>
      <c r="G43" s="26">
        <f>C17*G26</f>
        <v>3600</v>
      </c>
      <c r="H43" s="23"/>
      <c r="I43" s="23"/>
      <c r="J43" s="23"/>
      <c r="K43" s="26">
        <f>G43-C43</f>
        <v>0</v>
      </c>
      <c r="L43" s="23"/>
      <c r="M43" s="24"/>
    </row>
    <row r="44" spans="1:13" s="5" customFormat="1" ht="15.75" customHeight="1">
      <c r="A44" s="31" t="s">
        <v>19</v>
      </c>
      <c r="B44" s="32"/>
      <c r="C44" s="69">
        <f>C39+C43</f>
        <v>3783.7906601845625</v>
      </c>
      <c r="D44" s="33"/>
      <c r="E44" s="33"/>
      <c r="F44" s="33"/>
      <c r="G44" s="69">
        <f>G39+G43</f>
        <v>4129.169541805084</v>
      </c>
      <c r="H44" s="33"/>
      <c r="I44" s="33"/>
      <c r="J44" s="33"/>
      <c r="K44" s="69">
        <f>K39+K43</f>
        <v>345.37888162052127</v>
      </c>
      <c r="L44" s="33"/>
      <c r="M44" s="34"/>
    </row>
    <row r="45" spans="1:13" s="5" customFormat="1" ht="15.75" customHeight="1">
      <c r="A45" s="31"/>
      <c r="B45" s="32"/>
      <c r="C45" s="35"/>
      <c r="D45" s="33"/>
      <c r="E45" s="33"/>
      <c r="F45" s="33"/>
      <c r="G45" s="35"/>
      <c r="H45" s="33"/>
      <c r="I45" s="33"/>
      <c r="J45" s="33"/>
      <c r="K45" s="35"/>
      <c r="L45" s="33"/>
      <c r="M45" s="34"/>
    </row>
    <row r="46" spans="1:13" ht="15.75" customHeight="1">
      <c r="A46" s="22"/>
      <c r="B46" s="23"/>
      <c r="C46" s="23"/>
      <c r="D46" s="23"/>
      <c r="E46" s="23"/>
      <c r="F46" s="23"/>
      <c r="G46" s="23"/>
      <c r="H46" s="23"/>
      <c r="I46" s="23"/>
      <c r="J46" s="61" t="s">
        <v>45</v>
      </c>
      <c r="K46" s="70">
        <f>IF(K54&lt;=0,0,IF(K36&lt;0,"N/A",IF(K36=0,"&gt;"&amp;Assumptions!C11&amp;"",IF(K54/K36&gt;Assumptions!C11,"&gt;"&amp;Assumptions!C11&amp;"",K54/K36))))</f>
        <v>0</v>
      </c>
      <c r="L46" s="23"/>
      <c r="M46" s="24"/>
    </row>
    <row r="47" spans="1:13" ht="4.5" customHeight="1">
      <c r="A47" s="36"/>
      <c r="B47" s="37"/>
      <c r="C47" s="37"/>
      <c r="D47" s="37"/>
      <c r="E47" s="37"/>
      <c r="F47" s="37"/>
      <c r="G47" s="37"/>
      <c r="H47" s="37"/>
      <c r="I47" s="37"/>
      <c r="J47" s="37"/>
      <c r="K47" s="37" t="s">
        <v>49</v>
      </c>
      <c r="L47" s="37"/>
      <c r="M47" s="38"/>
    </row>
    <row r="48" spans="1:13" ht="24" customHeight="1">
      <c r="A48" s="137" t="s">
        <v>48</v>
      </c>
      <c r="B48" s="138"/>
      <c r="C48" s="138"/>
      <c r="D48" s="138"/>
      <c r="E48" s="138"/>
      <c r="F48" s="138"/>
      <c r="G48" s="138"/>
      <c r="H48" s="138"/>
      <c r="I48" s="138"/>
      <c r="J48" s="138"/>
      <c r="K48" s="138"/>
      <c r="L48" s="138"/>
      <c r="M48" s="138"/>
    </row>
    <row r="49" spans="1:13" ht="13.5">
      <c r="A49" s="136" t="s">
        <v>41</v>
      </c>
      <c r="B49" s="136"/>
      <c r="C49" s="136"/>
      <c r="D49" s="136"/>
      <c r="E49" s="136"/>
      <c r="F49" s="136"/>
      <c r="G49" s="136"/>
      <c r="H49" s="136"/>
      <c r="I49" s="136"/>
      <c r="J49" s="136"/>
      <c r="K49" s="136"/>
      <c r="L49" s="136"/>
      <c r="M49" s="136"/>
    </row>
    <row r="50" spans="1:13" ht="13.5">
      <c r="A50" s="60"/>
      <c r="B50" s="60"/>
      <c r="C50" s="60"/>
      <c r="D50" s="60"/>
      <c r="E50" s="60"/>
      <c r="F50" s="60"/>
      <c r="G50" s="60"/>
      <c r="H50" s="60"/>
      <c r="I50" s="60"/>
      <c r="J50" s="60"/>
      <c r="K50" s="60"/>
      <c r="L50" s="60"/>
      <c r="M50" s="60"/>
    </row>
    <row r="51" ht="15" customHeight="1"/>
    <row r="52" spans="1:13" ht="15.75" customHeight="1">
      <c r="A52" s="132" t="str">
        <f>"Summary of Benefits for "&amp;C17&amp;" Multi Function Device(s)"</f>
        <v>Summary of Benefits for 20 Multi Function Device(s)</v>
      </c>
      <c r="B52" s="132"/>
      <c r="C52" s="132"/>
      <c r="D52" s="132"/>
      <c r="E52" s="132"/>
      <c r="F52" s="132"/>
      <c r="G52" s="132"/>
      <c r="H52" s="132"/>
      <c r="I52" s="132"/>
      <c r="J52" s="132"/>
      <c r="K52" s="132"/>
      <c r="L52" s="132"/>
      <c r="M52" s="132"/>
    </row>
    <row r="53" spans="1:13" ht="4.5" customHeight="1">
      <c r="A53" s="12" t="s">
        <v>49</v>
      </c>
      <c r="B53" s="13"/>
      <c r="C53" s="13"/>
      <c r="D53" s="13"/>
      <c r="E53" s="13"/>
      <c r="F53" s="13"/>
      <c r="G53" s="13"/>
      <c r="H53" s="13"/>
      <c r="I53" s="13"/>
      <c r="J53" s="13"/>
      <c r="K53" s="13"/>
      <c r="L53" s="13"/>
      <c r="M53" s="14"/>
    </row>
    <row r="54" spans="1:13" ht="15.75" customHeight="1">
      <c r="A54" s="62" t="s">
        <v>51</v>
      </c>
      <c r="B54" s="8"/>
      <c r="C54" s="8"/>
      <c r="D54" s="8"/>
      <c r="E54" s="8"/>
      <c r="F54" s="8"/>
      <c r="G54" s="8"/>
      <c r="H54" s="8"/>
      <c r="I54" s="8"/>
      <c r="J54" s="8"/>
      <c r="K54" s="130">
        <f>(C26-G26)*C17</f>
        <v>0</v>
      </c>
      <c r="L54" s="130"/>
      <c r="M54" s="15"/>
    </row>
    <row r="55" spans="1:13" ht="15.75" customHeight="1">
      <c r="A55" s="62" t="s">
        <v>30</v>
      </c>
      <c r="B55" s="8"/>
      <c r="C55" s="8"/>
      <c r="D55" s="8"/>
      <c r="E55" s="8"/>
      <c r="F55" s="8"/>
      <c r="G55" s="8"/>
      <c r="H55" s="8"/>
      <c r="I55" s="8"/>
      <c r="J55" s="8"/>
      <c r="K55" s="130">
        <f>K39</f>
        <v>345.37888162052127</v>
      </c>
      <c r="L55" s="130"/>
      <c r="M55" s="15"/>
    </row>
    <row r="56" spans="1:13" ht="15.75" customHeight="1">
      <c r="A56" s="62" t="s">
        <v>31</v>
      </c>
      <c r="B56" s="8"/>
      <c r="C56" s="8"/>
      <c r="D56" s="8"/>
      <c r="E56" s="8"/>
      <c r="F56" s="8"/>
      <c r="G56" s="8"/>
      <c r="H56" s="8"/>
      <c r="I56" s="8"/>
      <c r="J56" s="8"/>
      <c r="K56" s="130">
        <f>K44</f>
        <v>345.37888162052127</v>
      </c>
      <c r="L56" s="130"/>
      <c r="M56" s="15"/>
    </row>
    <row r="57" spans="1:13" ht="15.75" customHeight="1">
      <c r="A57" s="62" t="s">
        <v>32</v>
      </c>
      <c r="B57" s="8"/>
      <c r="C57" s="8"/>
      <c r="D57" s="8"/>
      <c r="E57" s="8"/>
      <c r="F57" s="8"/>
      <c r="G57" s="8"/>
      <c r="H57" s="8"/>
      <c r="I57" s="8"/>
      <c r="J57" s="8"/>
      <c r="K57" s="131">
        <f>K46</f>
        <v>0</v>
      </c>
      <c r="L57" s="131"/>
      <c r="M57" s="15"/>
    </row>
    <row r="58" spans="1:13" ht="15.75" customHeight="1">
      <c r="A58" s="62" t="s">
        <v>80</v>
      </c>
      <c r="B58" s="8"/>
      <c r="C58" s="8"/>
      <c r="D58" s="8"/>
      <c r="E58" s="8"/>
      <c r="F58" s="8"/>
      <c r="G58" s="8"/>
      <c r="H58" s="8"/>
      <c r="I58" s="8"/>
      <c r="J58" s="8"/>
      <c r="K58" s="129">
        <f>K41</f>
        <v>4152.424319999999</v>
      </c>
      <c r="L58" s="129"/>
      <c r="M58" s="15"/>
    </row>
    <row r="59" spans="1:13" ht="15.75" customHeight="1">
      <c r="A59" s="62" t="s">
        <v>44</v>
      </c>
      <c r="B59" s="8"/>
      <c r="C59" s="8"/>
      <c r="D59" s="8"/>
      <c r="E59" s="8"/>
      <c r="F59" s="8"/>
      <c r="G59" s="8"/>
      <c r="H59" s="8"/>
      <c r="I59" s="8"/>
      <c r="J59" s="8"/>
      <c r="K59" s="129">
        <f>K41*Assumptions!C60</f>
        <v>6394.733452799999</v>
      </c>
      <c r="L59" s="129"/>
      <c r="M59" s="15"/>
    </row>
    <row r="60" spans="1:13" ht="15.75" customHeight="1">
      <c r="A60" s="62" t="s">
        <v>33</v>
      </c>
      <c r="B60" s="8"/>
      <c r="C60" s="8"/>
      <c r="D60" s="8"/>
      <c r="E60" s="8"/>
      <c r="F60" s="8"/>
      <c r="G60" s="8"/>
      <c r="H60" s="8"/>
      <c r="I60" s="8"/>
      <c r="J60" s="8"/>
      <c r="K60" s="127">
        <f>K41*Assumptions!C60/Assumptions!C64</f>
        <v>0.5312564137908116</v>
      </c>
      <c r="L60" s="127"/>
      <c r="M60" s="15"/>
    </row>
    <row r="61" spans="1:13" ht="15.75" customHeight="1">
      <c r="A61" s="62" t="s">
        <v>39</v>
      </c>
      <c r="B61" s="8"/>
      <c r="C61" s="8"/>
      <c r="D61" s="8"/>
      <c r="E61" s="8"/>
      <c r="F61" s="8"/>
      <c r="G61" s="8"/>
      <c r="H61" s="8"/>
      <c r="I61" s="8"/>
      <c r="J61" s="8"/>
      <c r="K61" s="127">
        <f>K41*Assumptions!C60/Assumptions!C63</f>
        <v>0.6592508714226804</v>
      </c>
      <c r="L61" s="127"/>
      <c r="M61" s="15"/>
    </row>
    <row r="62" spans="1:13" ht="15.75" customHeight="1">
      <c r="A62" s="62" t="s">
        <v>34</v>
      </c>
      <c r="B62" s="8"/>
      <c r="C62" s="8"/>
      <c r="D62" s="8"/>
      <c r="E62" s="8"/>
      <c r="F62" s="8"/>
      <c r="G62" s="8"/>
      <c r="H62" s="8"/>
      <c r="I62" s="8"/>
      <c r="J62" s="8"/>
      <c r="K62" s="128">
        <f>K44/(C26*C17)</f>
        <v>0.09593857822792258</v>
      </c>
      <c r="L62" s="128"/>
      <c r="M62" s="15"/>
    </row>
    <row r="63" spans="1:13" ht="4.5" customHeight="1">
      <c r="A63" s="16"/>
      <c r="B63" s="17"/>
      <c r="C63" s="17"/>
      <c r="D63" s="17"/>
      <c r="E63" s="17"/>
      <c r="F63" s="17"/>
      <c r="G63" s="17"/>
      <c r="H63" s="17"/>
      <c r="I63" s="17"/>
      <c r="J63" s="17"/>
      <c r="K63" s="17"/>
      <c r="L63" s="17"/>
      <c r="M63" s="18"/>
    </row>
    <row r="64" s="6" customFormat="1" ht="15.75" customHeight="1">
      <c r="A64" s="58"/>
    </row>
    <row r="65" s="6" customFormat="1" ht="15.75" customHeight="1">
      <c r="A65" s="58"/>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sheetData>
  <sheetProtection/>
  <mergeCells count="23">
    <mergeCell ref="A7:M7"/>
    <mergeCell ref="A8:M8"/>
    <mergeCell ref="A30:M30"/>
    <mergeCell ref="A14:M14"/>
    <mergeCell ref="B24:D24"/>
    <mergeCell ref="A11:M11"/>
    <mergeCell ref="A52:M52"/>
    <mergeCell ref="F24:H24"/>
    <mergeCell ref="F31:H31"/>
    <mergeCell ref="B31:D31"/>
    <mergeCell ref="J24:L24"/>
    <mergeCell ref="J31:L31"/>
    <mergeCell ref="A49:M49"/>
    <mergeCell ref="A48:M48"/>
    <mergeCell ref="K60:L60"/>
    <mergeCell ref="K62:L62"/>
    <mergeCell ref="K59:L59"/>
    <mergeCell ref="K54:L54"/>
    <mergeCell ref="K55:L55"/>
    <mergeCell ref="K56:L56"/>
    <mergeCell ref="K57:L57"/>
    <mergeCell ref="K58:L58"/>
    <mergeCell ref="K61:L61"/>
  </mergeCells>
  <printOptions horizontalCentered="1"/>
  <pageMargins left="0.5" right="0.5" top="0.5" bottom="0.5" header="0.5" footer="0.25"/>
  <pageSetup fitToHeight="1" fitToWidth="1" orientation="portrait" scale="82" r:id="rId3"/>
  <drawing r:id="rId2"/>
  <legacyDrawing r:id="rId1"/>
</worksheet>
</file>

<file path=xl/worksheets/sheet2.xml><?xml version="1.0" encoding="utf-8"?>
<worksheet xmlns="http://schemas.openxmlformats.org/spreadsheetml/2006/main" xmlns:r="http://schemas.openxmlformats.org/officeDocument/2006/relationships">
  <dimension ref="A1:L68"/>
  <sheetViews>
    <sheetView tabSelected="1" zoomScaleSheetLayoutView="100" zoomScalePageLayoutView="0" workbookViewId="0" topLeftCell="B46">
      <selection activeCell="C69" sqref="C69"/>
    </sheetView>
  </sheetViews>
  <sheetFormatPr defaultColWidth="9.140625" defaultRowHeight="12.75"/>
  <cols>
    <col min="1" max="1" width="4.28125" style="6" hidden="1" customWidth="1"/>
    <col min="2" max="2" width="63.00390625" style="67" customWidth="1"/>
    <col min="3" max="3" width="14.28125" style="110" bestFit="1" customWidth="1"/>
    <col min="4" max="4" width="16.421875" style="85" customWidth="1"/>
    <col min="5" max="5" width="38.8515625" style="115" customWidth="1"/>
    <col min="6" max="12" width="9.140625" style="67" customWidth="1"/>
    <col min="13" max="16384" width="9.140625" style="6" customWidth="1"/>
  </cols>
  <sheetData>
    <row r="1" spans="2:5" ht="15.75">
      <c r="B1" s="141" t="s">
        <v>91</v>
      </c>
      <c r="C1" s="141"/>
      <c r="D1" s="141"/>
      <c r="E1" s="141"/>
    </row>
    <row r="2" spans="2:5" ht="15.75">
      <c r="B2" s="72"/>
      <c r="C2" s="103"/>
      <c r="D2" s="72"/>
      <c r="E2" s="111"/>
    </row>
    <row r="3" spans="2:5" ht="12.75">
      <c r="B3" s="73" t="s">
        <v>8</v>
      </c>
      <c r="C3" s="142" t="s">
        <v>9</v>
      </c>
      <c r="D3" s="142"/>
      <c r="E3" s="112" t="s">
        <v>0</v>
      </c>
    </row>
    <row r="4" spans="2:5" ht="12.75">
      <c r="B4" s="74" t="s">
        <v>1</v>
      </c>
      <c r="C4" s="104"/>
      <c r="D4" s="75"/>
      <c r="E4" s="113"/>
    </row>
    <row r="5" spans="2:5" ht="12.75">
      <c r="B5" s="86" t="s">
        <v>13</v>
      </c>
      <c r="C5" s="77"/>
      <c r="D5" s="9"/>
      <c r="E5" s="84"/>
    </row>
    <row r="6" spans="2:5" ht="12.75">
      <c r="B6" s="88" t="s">
        <v>64</v>
      </c>
      <c r="C6" s="124">
        <v>0.5</v>
      </c>
      <c r="D6" s="9" t="s">
        <v>15</v>
      </c>
      <c r="E6" s="84" t="s">
        <v>81</v>
      </c>
    </row>
    <row r="7" spans="2:5" ht="12.75">
      <c r="B7" s="88" t="s">
        <v>63</v>
      </c>
      <c r="C7" s="77">
        <v>3</v>
      </c>
      <c r="D7" s="9" t="s">
        <v>15</v>
      </c>
      <c r="E7" s="84" t="s">
        <v>81</v>
      </c>
    </row>
    <row r="8" spans="2:5" ht="12.75">
      <c r="B8" s="88" t="s">
        <v>62</v>
      </c>
      <c r="C8" s="77">
        <v>3</v>
      </c>
      <c r="D8" s="9" t="s">
        <v>15</v>
      </c>
      <c r="E8" s="84" t="s">
        <v>83</v>
      </c>
    </row>
    <row r="9" spans="2:5" ht="12.75">
      <c r="B9" s="88" t="s">
        <v>61</v>
      </c>
      <c r="C9" s="105">
        <v>15.6</v>
      </c>
      <c r="D9" s="9" t="s">
        <v>15</v>
      </c>
      <c r="E9" s="84" t="s">
        <v>83</v>
      </c>
    </row>
    <row r="10" spans="2:5" ht="12.75">
      <c r="B10" s="88" t="s">
        <v>17</v>
      </c>
      <c r="C10" s="126">
        <v>180</v>
      </c>
      <c r="D10" s="9"/>
      <c r="E10" s="84" t="s">
        <v>92</v>
      </c>
    </row>
    <row r="11" spans="2:5" ht="12.75">
      <c r="B11" s="88" t="s">
        <v>25</v>
      </c>
      <c r="C11" s="101">
        <v>6</v>
      </c>
      <c r="D11" s="10" t="s">
        <v>12</v>
      </c>
      <c r="E11" s="84" t="s">
        <v>83</v>
      </c>
    </row>
    <row r="12" spans="2:5" ht="12.75">
      <c r="B12" s="96" t="s">
        <v>73</v>
      </c>
      <c r="C12" s="106">
        <f>(SUMPRODUCT(C7:C9,C47:C49)+(C46*C7))/1000</f>
        <v>20.671200000000002</v>
      </c>
      <c r="D12" s="95" t="s">
        <v>58</v>
      </c>
      <c r="E12" s="84" t="s">
        <v>82</v>
      </c>
    </row>
    <row r="13" spans="2:5" ht="12.75">
      <c r="B13" s="96" t="s">
        <v>74</v>
      </c>
      <c r="C13" s="106">
        <f>((C9*$C$49+(SUM($C$46:$C$48)*C8))/1000)</f>
        <v>20.671200000000002</v>
      </c>
      <c r="D13" s="95" t="s">
        <v>58</v>
      </c>
      <c r="E13" s="84" t="s">
        <v>82</v>
      </c>
    </row>
    <row r="14" spans="2:5" ht="12.75">
      <c r="B14" s="96" t="s">
        <v>57</v>
      </c>
      <c r="C14" s="106">
        <f>SUMPRODUCT(C6:C9,$C46:$C49)/1000</f>
        <v>8.7912</v>
      </c>
      <c r="D14" s="95" t="s">
        <v>58</v>
      </c>
      <c r="E14" s="84" t="s">
        <v>82</v>
      </c>
    </row>
    <row r="15" spans="2:5" ht="12.75">
      <c r="B15" s="96" t="s">
        <v>59</v>
      </c>
      <c r="C15" s="106">
        <f>(C9*C$49+SUM(C$47:C$48)*C8+C6*C$46)/1000</f>
        <v>8.7912</v>
      </c>
      <c r="D15" s="95" t="s">
        <v>58</v>
      </c>
      <c r="E15" s="84" t="s">
        <v>82</v>
      </c>
    </row>
    <row r="16" spans="2:5" ht="12.75">
      <c r="B16" s="96" t="s">
        <v>60</v>
      </c>
      <c r="C16" s="106">
        <f>(1-'MFD Calculator'!$C$21)*'MFD Calculator'!$C$22*C14+(1-'MFD Calculator'!$C$21)*(1-'MFD Calculator'!$C$22)*C15+'MFD Calculator'!$C$21*'MFD Calculator'!$C$22*C12+'MFD Calculator'!$C$21*(1-'MFD Calculator'!$C$22)*C13</f>
        <v>18.414</v>
      </c>
      <c r="D16" s="95" t="s">
        <v>58</v>
      </c>
      <c r="E16" s="84" t="s">
        <v>82</v>
      </c>
    </row>
    <row r="17" spans="2:5" ht="12.75">
      <c r="B17" s="87"/>
      <c r="C17" s="77"/>
      <c r="D17" s="9"/>
      <c r="E17" s="84"/>
    </row>
    <row r="18" spans="2:5" ht="12.75">
      <c r="B18" s="86" t="s">
        <v>2</v>
      </c>
      <c r="C18" s="77"/>
      <c r="D18" s="9"/>
      <c r="E18" s="84"/>
    </row>
    <row r="19" spans="2:5" ht="12.75">
      <c r="B19" s="88" t="s">
        <v>64</v>
      </c>
      <c r="C19" s="125">
        <v>5.8</v>
      </c>
      <c r="D19" s="9" t="s">
        <v>15</v>
      </c>
      <c r="E19" s="84" t="s">
        <v>81</v>
      </c>
    </row>
    <row r="20" spans="2:5" ht="12.75">
      <c r="B20" s="88" t="s">
        <v>63</v>
      </c>
      <c r="C20" s="77">
        <v>8.6</v>
      </c>
      <c r="D20" s="9" t="s">
        <v>15</v>
      </c>
      <c r="E20" s="84" t="s">
        <v>81</v>
      </c>
    </row>
    <row r="21" spans="2:5" ht="12.75">
      <c r="B21" s="88" t="s">
        <v>62</v>
      </c>
      <c r="C21" s="77">
        <v>9.1</v>
      </c>
      <c r="D21" s="9" t="s">
        <v>15</v>
      </c>
      <c r="E21" s="84" t="s">
        <v>83</v>
      </c>
    </row>
    <row r="22" spans="2:5" ht="12.75">
      <c r="B22" s="88" t="s">
        <v>61</v>
      </c>
      <c r="C22" s="105">
        <v>15.6</v>
      </c>
      <c r="D22" s="9" t="s">
        <v>15</v>
      </c>
      <c r="E22" s="84" t="s">
        <v>83</v>
      </c>
    </row>
    <row r="23" spans="2:5" ht="25.5">
      <c r="B23" s="88" t="s">
        <v>17</v>
      </c>
      <c r="C23" s="126">
        <v>180</v>
      </c>
      <c r="D23" s="9"/>
      <c r="E23" s="84" t="s">
        <v>93</v>
      </c>
    </row>
    <row r="24" spans="2:5" ht="25.5">
      <c r="B24" s="88" t="s">
        <v>25</v>
      </c>
      <c r="C24" s="100">
        <f>Assumptions!C11</f>
        <v>6</v>
      </c>
      <c r="D24" s="10" t="s">
        <v>12</v>
      </c>
      <c r="E24" s="84" t="s">
        <v>42</v>
      </c>
    </row>
    <row r="25" spans="2:5" ht="12.75">
      <c r="B25" s="96" t="s">
        <v>73</v>
      </c>
      <c r="C25" s="106">
        <f>(SUMPRODUCT(C20:C22,C47:C49)+(C46*C20))/1000</f>
        <v>55.54559999999999</v>
      </c>
      <c r="D25" s="95" t="s">
        <v>58</v>
      </c>
      <c r="E25" s="84" t="s">
        <v>82</v>
      </c>
    </row>
    <row r="26" spans="2:5" ht="12.75">
      <c r="B26" s="96" t="s">
        <v>74</v>
      </c>
      <c r="C26" s="106">
        <f>((C22*$C$49+(SUM($C$46:$C$48)*C21))/1000)</f>
        <v>58.51559999999999</v>
      </c>
      <c r="D26" s="95" t="s">
        <v>58</v>
      </c>
      <c r="E26" s="84" t="s">
        <v>82</v>
      </c>
    </row>
    <row r="27" spans="2:5" ht="12.75">
      <c r="B27" s="96" t="s">
        <v>57</v>
      </c>
      <c r="C27" s="106">
        <f>SUMPRODUCT(C19:C22,$C46:$C49)/1000</f>
        <v>42.239999999999995</v>
      </c>
      <c r="D27" s="95" t="s">
        <v>58</v>
      </c>
      <c r="E27" s="84" t="s">
        <v>82</v>
      </c>
    </row>
    <row r="28" spans="2:5" ht="12.75">
      <c r="B28" s="96" t="s">
        <v>59</v>
      </c>
      <c r="C28" s="106">
        <f>(C22*C$49+SUM(C$47:C$48)*C21+C19*C$46)/1000</f>
        <v>42.834</v>
      </c>
      <c r="D28" s="95" t="s">
        <v>58</v>
      </c>
      <c r="E28" s="84" t="s">
        <v>82</v>
      </c>
    </row>
    <row r="29" spans="2:5" ht="12.75">
      <c r="B29" s="96" t="s">
        <v>60</v>
      </c>
      <c r="C29" s="106">
        <f>(1-'MFD Calculator'!$C$21)*'MFD Calculator'!$C$22*C27+(1-'MFD Calculator'!$C$21)*(1-'MFD Calculator'!$C$22)*C28+'MFD Calculator'!$C$21*'MFD Calculator'!$C$22*C25+'MFD Calculator'!$C$21*(1-'MFD Calculator'!$C$22)*C26</f>
        <v>53.01753599999999</v>
      </c>
      <c r="D29" s="95" t="s">
        <v>58</v>
      </c>
      <c r="E29" s="84" t="s">
        <v>82</v>
      </c>
    </row>
    <row r="30" spans="2:5" ht="12.75">
      <c r="B30" s="76"/>
      <c r="C30" s="100"/>
      <c r="D30" s="10"/>
      <c r="E30" s="84"/>
    </row>
    <row r="31" spans="2:5" ht="12.75">
      <c r="B31" s="79" t="s">
        <v>3</v>
      </c>
      <c r="C31" s="77"/>
      <c r="D31" s="80"/>
      <c r="E31" s="84"/>
    </row>
    <row r="32" spans="2:5" ht="12.75">
      <c r="B32" s="86" t="s">
        <v>13</v>
      </c>
      <c r="C32" s="77"/>
      <c r="D32" s="9"/>
      <c r="E32" s="84"/>
    </row>
    <row r="33" spans="2:5" ht="25.5">
      <c r="B33" s="90" t="s">
        <v>4</v>
      </c>
      <c r="C33" s="102">
        <v>0</v>
      </c>
      <c r="D33" s="82"/>
      <c r="E33" s="84" t="s">
        <v>5</v>
      </c>
    </row>
    <row r="34" spans="2:5" ht="12.75">
      <c r="B34" s="87"/>
      <c r="C34" s="102"/>
      <c r="D34" s="82"/>
      <c r="E34" s="84"/>
    </row>
    <row r="35" spans="2:5" ht="12.75">
      <c r="B35" s="86" t="s">
        <v>2</v>
      </c>
      <c r="C35" s="102"/>
      <c r="D35" s="9"/>
      <c r="E35" s="84"/>
    </row>
    <row r="36" spans="2:12" s="99" customFormat="1" ht="25.5">
      <c r="B36" s="90" t="s">
        <v>4</v>
      </c>
      <c r="C36" s="102">
        <v>0</v>
      </c>
      <c r="D36" s="82"/>
      <c r="E36" s="84" t="s">
        <v>5</v>
      </c>
      <c r="F36" s="98"/>
      <c r="G36" s="98"/>
      <c r="H36" s="98"/>
      <c r="I36" s="98"/>
      <c r="J36" s="98"/>
      <c r="K36" s="98"/>
      <c r="L36" s="98"/>
    </row>
    <row r="37" spans="2:12" s="99" customFormat="1" ht="12.75">
      <c r="B37" s="81"/>
      <c r="C37" s="77"/>
      <c r="D37" s="82"/>
      <c r="E37" s="84"/>
      <c r="F37" s="98"/>
      <c r="G37" s="98"/>
      <c r="H37" s="98"/>
      <c r="I37" s="98"/>
      <c r="J37" s="98"/>
      <c r="K37" s="98"/>
      <c r="L37" s="98"/>
    </row>
    <row r="38" spans="2:12" s="99" customFormat="1" ht="12.75">
      <c r="B38" s="79" t="s">
        <v>6</v>
      </c>
      <c r="C38" s="77"/>
      <c r="D38" s="9"/>
      <c r="E38" s="84"/>
      <c r="F38" s="98"/>
      <c r="G38" s="98"/>
      <c r="H38" s="98"/>
      <c r="I38" s="98"/>
      <c r="J38" s="98"/>
      <c r="K38" s="98"/>
      <c r="L38" s="98"/>
    </row>
    <row r="39" spans="2:12" s="99" customFormat="1" ht="12.75">
      <c r="B39" s="89" t="s">
        <v>71</v>
      </c>
      <c r="C39" s="77">
        <v>264</v>
      </c>
      <c r="D39" s="9" t="s">
        <v>72</v>
      </c>
      <c r="E39" s="114" t="s">
        <v>83</v>
      </c>
      <c r="F39" s="98"/>
      <c r="G39" s="98"/>
      <c r="H39" s="98"/>
      <c r="I39" s="98"/>
      <c r="J39" s="98"/>
      <c r="K39" s="98"/>
      <c r="L39" s="98"/>
    </row>
    <row r="40" spans="2:12" s="99" customFormat="1" ht="12.75">
      <c r="B40" s="91" t="s">
        <v>86</v>
      </c>
      <c r="C40" s="120">
        <v>0.81</v>
      </c>
      <c r="D40" s="83"/>
      <c r="E40" s="114" t="s">
        <v>83</v>
      </c>
      <c r="F40" s="98"/>
      <c r="G40" s="98"/>
      <c r="H40" s="98"/>
      <c r="I40" s="98"/>
      <c r="J40" s="98"/>
      <c r="K40" s="98"/>
      <c r="L40" s="98"/>
    </row>
    <row r="41" spans="2:12" s="99" customFormat="1" ht="12.75">
      <c r="B41" s="91" t="s">
        <v>75</v>
      </c>
      <c r="C41" s="121">
        <v>1</v>
      </c>
      <c r="D41" s="97"/>
      <c r="E41" s="114" t="s">
        <v>83</v>
      </c>
      <c r="F41" s="98"/>
      <c r="G41" s="98"/>
      <c r="H41" s="98"/>
      <c r="I41" s="98"/>
      <c r="J41" s="98"/>
      <c r="K41" s="98"/>
      <c r="L41" s="98"/>
    </row>
    <row r="42" spans="2:12" s="99" customFormat="1" ht="12.75">
      <c r="B42" s="89" t="s">
        <v>70</v>
      </c>
      <c r="C42" s="107">
        <v>18</v>
      </c>
      <c r="D42" s="97" t="s">
        <v>23</v>
      </c>
      <c r="E42" s="114" t="s">
        <v>83</v>
      </c>
      <c r="F42" s="98"/>
      <c r="G42" s="98"/>
      <c r="H42" s="98"/>
      <c r="I42" s="98"/>
      <c r="J42" s="98"/>
      <c r="K42" s="98"/>
      <c r="L42" s="98"/>
    </row>
    <row r="43" spans="2:12" s="99" customFormat="1" ht="12.75">
      <c r="B43" s="89" t="s">
        <v>69</v>
      </c>
      <c r="C43" s="107">
        <v>4.5</v>
      </c>
      <c r="D43" s="97" t="s">
        <v>23</v>
      </c>
      <c r="E43" s="114" t="s">
        <v>83</v>
      </c>
      <c r="F43" s="98"/>
      <c r="G43" s="98"/>
      <c r="H43" s="98"/>
      <c r="I43" s="98"/>
      <c r="J43" s="98"/>
      <c r="K43" s="98"/>
      <c r="L43" s="98"/>
    </row>
    <row r="44" spans="2:12" s="99" customFormat="1" ht="12.75">
      <c r="B44" s="89" t="s">
        <v>77</v>
      </c>
      <c r="C44" s="107">
        <v>1</v>
      </c>
      <c r="D44" s="97" t="s">
        <v>23</v>
      </c>
      <c r="E44" s="114" t="s">
        <v>83</v>
      </c>
      <c r="F44" s="98"/>
      <c r="G44" s="98"/>
      <c r="H44" s="98"/>
      <c r="I44" s="98"/>
      <c r="J44" s="98"/>
      <c r="K44" s="98"/>
      <c r="L44" s="98"/>
    </row>
    <row r="45" spans="2:5" ht="15.75" customHeight="1">
      <c r="B45" s="89" t="s">
        <v>65</v>
      </c>
      <c r="C45" s="107">
        <v>0.5</v>
      </c>
      <c r="D45" s="97" t="s">
        <v>23</v>
      </c>
      <c r="E45" s="114" t="s">
        <v>83</v>
      </c>
    </row>
    <row r="46" spans="2:5" ht="12.75">
      <c r="B46" s="89" t="s">
        <v>67</v>
      </c>
      <c r="C46" s="108">
        <f>C42*$C$39</f>
        <v>4752</v>
      </c>
      <c r="D46" s="97" t="s">
        <v>24</v>
      </c>
      <c r="E46" s="114" t="s">
        <v>7</v>
      </c>
    </row>
    <row r="47" spans="2:5" ht="24.75" customHeight="1">
      <c r="B47" s="89" t="s">
        <v>66</v>
      </c>
      <c r="C47" s="108">
        <f>C43*$C$39</f>
        <v>1188</v>
      </c>
      <c r="D47" s="97" t="s">
        <v>24</v>
      </c>
      <c r="E47" s="114" t="s">
        <v>7</v>
      </c>
    </row>
    <row r="48" spans="2:5" ht="12.75">
      <c r="B48" s="89" t="s">
        <v>76</v>
      </c>
      <c r="C48" s="108">
        <f>C44*$C$39</f>
        <v>264</v>
      </c>
      <c r="D48" s="97" t="s">
        <v>24</v>
      </c>
      <c r="E48" s="114" t="s">
        <v>7</v>
      </c>
    </row>
    <row r="49" spans="2:5" ht="12.75">
      <c r="B49" s="89" t="s">
        <v>68</v>
      </c>
      <c r="C49" s="108">
        <f>C45*$C$39</f>
        <v>132</v>
      </c>
      <c r="D49" s="97" t="s">
        <v>24</v>
      </c>
      <c r="E49" s="114" t="s">
        <v>7</v>
      </c>
    </row>
    <row r="50" spans="2:5" ht="12.75">
      <c r="B50" s="76"/>
      <c r="C50" s="77"/>
      <c r="D50" s="9"/>
      <c r="E50" s="84"/>
    </row>
    <row r="51" spans="2:5" ht="12.75">
      <c r="B51" s="78" t="s">
        <v>35</v>
      </c>
      <c r="C51" s="77"/>
      <c r="D51" s="9"/>
      <c r="E51" s="84"/>
    </row>
    <row r="52" spans="2:5" ht="51">
      <c r="B52" s="92" t="s">
        <v>36</v>
      </c>
      <c r="C52" s="117">
        <v>0.04</v>
      </c>
      <c r="D52" s="9"/>
      <c r="E52" s="84" t="s">
        <v>27</v>
      </c>
    </row>
    <row r="53" spans="2:5" ht="12.75">
      <c r="B53" s="11"/>
      <c r="C53" s="109"/>
      <c r="D53" s="9"/>
      <c r="E53" s="84"/>
    </row>
    <row r="54" spans="1:5" ht="12.75">
      <c r="A54" s="6">
        <v>1</v>
      </c>
      <c r="B54" s="66" t="s">
        <v>10</v>
      </c>
      <c r="C54" s="109"/>
      <c r="D54" s="9"/>
      <c r="E54" s="84"/>
    </row>
    <row r="55" spans="1:5" ht="12.75">
      <c r="A55" s="6">
        <v>1</v>
      </c>
      <c r="B55" s="89" t="s">
        <v>88</v>
      </c>
      <c r="C55" s="122">
        <v>0.0952</v>
      </c>
      <c r="D55" s="9" t="s">
        <v>40</v>
      </c>
      <c r="E55" s="11" t="s">
        <v>94</v>
      </c>
    </row>
    <row r="56" spans="1:5" ht="12.75">
      <c r="A56" s="6">
        <v>2</v>
      </c>
      <c r="B56" s="89" t="s">
        <v>89</v>
      </c>
      <c r="C56" s="122">
        <v>0.1059</v>
      </c>
      <c r="D56" s="9" t="s">
        <v>40</v>
      </c>
      <c r="E56" s="11" t="s">
        <v>94</v>
      </c>
    </row>
    <row r="57" spans="2:5" ht="12.75">
      <c r="B57" s="89" t="s">
        <v>90</v>
      </c>
      <c r="C57" s="122">
        <f>VLOOKUP(A54,A55:C56,3)</f>
        <v>0.0952</v>
      </c>
      <c r="D57" s="9" t="s">
        <v>40</v>
      </c>
      <c r="E57" s="11"/>
    </row>
    <row r="58" spans="2:5" ht="12.75">
      <c r="B58" s="11"/>
      <c r="C58" s="116"/>
      <c r="D58" s="9"/>
      <c r="E58" s="84"/>
    </row>
    <row r="59" spans="2:5" ht="14.25">
      <c r="B59" s="66" t="s">
        <v>52</v>
      </c>
      <c r="C59" s="116"/>
      <c r="D59" s="9"/>
      <c r="E59" s="84"/>
    </row>
    <row r="60" spans="2:5" ht="12.75">
      <c r="B60" s="89" t="s">
        <v>26</v>
      </c>
      <c r="C60" s="116">
        <v>1.54</v>
      </c>
      <c r="D60" s="9" t="s">
        <v>37</v>
      </c>
      <c r="E60" s="84" t="s">
        <v>95</v>
      </c>
    </row>
    <row r="61" spans="2:5" ht="12.75">
      <c r="B61" s="11"/>
      <c r="C61" s="109"/>
      <c r="D61" s="9"/>
      <c r="E61" s="84"/>
    </row>
    <row r="62" spans="2:5" ht="14.25">
      <c r="B62" s="66" t="s">
        <v>14</v>
      </c>
      <c r="C62" s="109"/>
      <c r="D62" s="9"/>
      <c r="E62" s="84"/>
    </row>
    <row r="63" spans="2:5" ht="15.75">
      <c r="B63" s="89" t="s">
        <v>43</v>
      </c>
      <c r="C63" s="143">
        <v>9700</v>
      </c>
      <c r="D63" s="9" t="s">
        <v>11</v>
      </c>
      <c r="E63" s="84" t="s">
        <v>96</v>
      </c>
    </row>
    <row r="64" spans="2:5" ht="15.75">
      <c r="B64" s="93" t="s">
        <v>38</v>
      </c>
      <c r="C64" s="144">
        <v>12037</v>
      </c>
      <c r="D64" s="68" t="s">
        <v>11</v>
      </c>
      <c r="E64" s="145" t="s">
        <v>96</v>
      </c>
    </row>
    <row r="66" ht="12.75">
      <c r="B66" s="67" t="s">
        <v>97</v>
      </c>
    </row>
    <row r="68" ht="12.75">
      <c r="B68" s="67" t="s">
        <v>53</v>
      </c>
    </row>
  </sheetData>
  <sheetProtection/>
  <mergeCells count="2">
    <mergeCell ref="B1:E1"/>
    <mergeCell ref="C3:D3"/>
  </mergeCells>
  <printOptions gridLines="1" horizontalCentered="1"/>
  <pageMargins left="0.4" right="0.4" top="0.5" bottom="0.5" header="0.5" footer="0.2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Caroline Edwards</cp:lastModifiedBy>
  <cp:lastPrinted>2007-07-24T14:36:55Z</cp:lastPrinted>
  <dcterms:created xsi:type="dcterms:W3CDTF">2002-09-12T18:53:41Z</dcterms:created>
  <dcterms:modified xsi:type="dcterms:W3CDTF">2008-08-07T22:35:44Z</dcterms:modified>
  <cp:category/>
  <cp:version/>
  <cp:contentType/>
  <cp:contentStatus/>
</cp:coreProperties>
</file>