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180" windowWidth="5175" windowHeight="4740" tabRatio="742" activeTab="0"/>
  </bookViews>
  <sheets>
    <sheet name="EOL Summary" sheetId="1" r:id="rId1"/>
    <sheet name="Storage&amp;Reuse" sheetId="2" r:id="rId2"/>
    <sheet name="Sales&amp;Weight Data" sheetId="3" r:id="rId3"/>
    <sheet name="Cell Phones" sheetId="4" r:id="rId4"/>
    <sheet name="Mice" sheetId="5" r:id="rId5"/>
    <sheet name="Keyboards" sheetId="6" r:id="rId6"/>
    <sheet name="TV Flat Panel" sheetId="7" r:id="rId7"/>
    <sheet name="Monochrome TV" sheetId="8" r:id="rId8"/>
    <sheet name="TV CRT &lt;19" sheetId="9" r:id="rId9"/>
    <sheet name="TV CRT &gt;19" sheetId="10" r:id="rId10"/>
    <sheet name="TV Proj" sheetId="11" r:id="rId11"/>
    <sheet name="PC Flat Panel" sheetId="12" r:id="rId12"/>
    <sheet name="PC CRTs" sheetId="13" r:id="rId13"/>
    <sheet name="Hard Copy Devices" sheetId="14" r:id="rId14"/>
    <sheet name="Portables" sheetId="15" r:id="rId15"/>
    <sheet name="Desktops" sheetId="16" r:id="rId16"/>
  </sheets>
  <definedNames>
    <definedName name="_xlnm.Print_Area" localSheetId="0">'EOL Summary'!$A$62:$O$77</definedName>
  </definedNames>
  <calcPr fullCalcOnLoad="1"/>
</workbook>
</file>

<file path=xl/comments1.xml><?xml version="1.0" encoding="utf-8"?>
<comments xmlns="http://schemas.openxmlformats.org/spreadsheetml/2006/main">
  <authors>
    <author>shelly</author>
  </authors>
  <commentList>
    <comment ref="AB52" authorId="0">
      <text>
        <r>
          <rPr>
            <b/>
            <sz val="8"/>
            <rFont val="Tahoma"/>
            <family val="0"/>
          </rPr>
          <t>shelly:</t>
        </r>
        <r>
          <rPr>
            <sz val="8"/>
            <rFont val="Tahoma"/>
            <family val="0"/>
          </rPr>
          <t xml:space="preserve">
2000-2006 decreased from original baseline rpt due to historical data provided by IDC was determined to be better than Census data because Census includes non-computer flat panels in import categories</t>
        </r>
      </text>
    </comment>
    <comment ref="AI72" authorId="0">
      <text>
        <r>
          <rPr>
            <b/>
            <sz val="8"/>
            <rFont val="Tahoma"/>
            <family val="0"/>
          </rPr>
          <t>shelly:</t>
        </r>
        <r>
          <rPr>
            <sz val="8"/>
            <rFont val="Tahoma"/>
            <family val="0"/>
          </rPr>
          <t xml:space="preserve">
1999-2006 cell phone weights increased due to calculation error in original model</t>
        </r>
      </text>
    </comment>
    <comment ref="AG72" authorId="0">
      <text>
        <r>
          <rPr>
            <b/>
            <sz val="8"/>
            <rFont val="Tahoma"/>
            <family val="0"/>
          </rPr>
          <t>shelly:</t>
        </r>
        <r>
          <rPr>
            <sz val="8"/>
            <rFont val="Tahoma"/>
            <family val="0"/>
          </rPr>
          <t xml:space="preserve">
number of units decreased due to revised sales data</t>
        </r>
      </text>
    </comment>
    <comment ref="C127" authorId="0">
      <text>
        <r>
          <rPr>
            <b/>
            <sz val="8"/>
            <rFont val="Tahoma"/>
            <family val="0"/>
          </rPr>
          <t>shelly:</t>
        </r>
        <r>
          <rPr>
            <sz val="8"/>
            <rFont val="Tahoma"/>
            <family val="0"/>
          </rPr>
          <t xml:space="preserve">
added increase in tonnage between 2005 and 2006 as recorded by NCER for state programs
www.electronicsrecycling.com</t>
        </r>
      </text>
    </comment>
    <comment ref="C128" authorId="0">
      <text>
        <r>
          <rPr>
            <b/>
            <sz val="8"/>
            <rFont val="Tahoma"/>
            <family val="0"/>
          </rPr>
          <t>shelly:</t>
        </r>
        <r>
          <rPr>
            <sz val="8"/>
            <rFont val="Tahoma"/>
            <family val="0"/>
          </rPr>
          <t xml:space="preserve">
added increase in tonnage between 2006 and 2007 as recorded by NCER for state programs. www.electronicsrecycling.com</t>
        </r>
      </text>
    </comment>
    <comment ref="M134" authorId="0">
      <text>
        <r>
          <rPr>
            <b/>
            <sz val="8"/>
            <rFont val="Tahoma"/>
            <family val="0"/>
          </rPr>
          <t>shelly:</t>
        </r>
        <r>
          <rPr>
            <sz val="8"/>
            <rFont val="Tahoma"/>
            <family val="0"/>
          </rPr>
          <t xml:space="preserve">
assumed 10% recovered per industry expert</t>
        </r>
      </text>
    </comment>
    <comment ref="M142" authorId="0">
      <text>
        <r>
          <rPr>
            <b/>
            <sz val="8"/>
            <rFont val="Tahoma"/>
            <family val="0"/>
          </rPr>
          <t>shelly:</t>
        </r>
        <r>
          <rPr>
            <sz val="8"/>
            <rFont val="Tahoma"/>
            <family val="0"/>
          </rPr>
          <t xml:space="preserve">
assumed 10% recovered per industry expert</t>
        </r>
      </text>
    </comment>
  </commentList>
</comments>
</file>

<file path=xl/comments11.xml><?xml version="1.0" encoding="utf-8"?>
<comments xmlns="http://schemas.openxmlformats.org/spreadsheetml/2006/main">
  <authors>
    <author>shelly</author>
  </authors>
  <commentList>
    <comment ref="D33" authorId="0">
      <text>
        <r>
          <rPr>
            <b/>
            <sz val="8"/>
            <rFont val="Tahoma"/>
            <family val="0"/>
          </rPr>
          <t>shelly:</t>
        </r>
        <r>
          <rPr>
            <sz val="8"/>
            <rFont val="Tahoma"/>
            <family val="0"/>
          </rPr>
          <t xml:space="preserve">
data collected for MSW characterization report from manufacturer specifications</t>
        </r>
      </text>
    </comment>
  </commentList>
</comments>
</file>

<file path=xl/comments12.xml><?xml version="1.0" encoding="utf-8"?>
<comments xmlns="http://schemas.openxmlformats.org/spreadsheetml/2006/main">
  <authors>
    <author>shelly</author>
  </authors>
  <commentList>
    <comment ref="D33" authorId="0">
      <text>
        <r>
          <rPr>
            <b/>
            <sz val="8"/>
            <rFont val="Tahoma"/>
            <family val="0"/>
          </rPr>
          <t>shelly:</t>
        </r>
        <r>
          <rPr>
            <sz val="8"/>
            <rFont val="Tahoma"/>
            <family val="0"/>
          </rPr>
          <t xml:space="preserve">
IDC data 2005 to 2007</t>
        </r>
      </text>
    </comment>
    <comment ref="B25" authorId="0">
      <text>
        <r>
          <rPr>
            <b/>
            <sz val="8"/>
            <rFont val="Tahoma"/>
            <family val="0"/>
          </rPr>
          <t>shelly:</t>
        </r>
        <r>
          <rPr>
            <sz val="8"/>
            <rFont val="Tahoma"/>
            <family val="0"/>
          </rPr>
          <t xml:space="preserve">
import category assigned to flat panel revised based on discussions with IDC (April 2008) resulting in revised number of units sold for 1997 through 2004</t>
        </r>
      </text>
    </comment>
    <comment ref="B24" authorId="0">
      <text>
        <r>
          <rPr>
            <b/>
            <sz val="8"/>
            <rFont val="Tahoma"/>
            <family val="0"/>
          </rPr>
          <t>shelly:</t>
        </r>
        <r>
          <rPr>
            <sz val="8"/>
            <rFont val="Tahoma"/>
            <family val="0"/>
          </rPr>
          <t xml:space="preserve">
Census import category codes changed in 1996; unable to coordinate with IDC data</t>
        </r>
      </text>
    </comment>
  </commentList>
</comments>
</file>

<file path=xl/comments13.xml><?xml version="1.0" encoding="utf-8"?>
<comments xmlns="http://schemas.openxmlformats.org/spreadsheetml/2006/main">
  <authors>
    <author>LKnight</author>
    <author>shelly</author>
  </authors>
  <commentList>
    <comment ref="D10" authorId="0">
      <text>
        <r>
          <rPr>
            <b/>
            <sz val="8"/>
            <rFont val="Tahoma"/>
            <family val="0"/>
          </rPr>
          <t>LKnight:</t>
        </r>
        <r>
          <rPr>
            <sz val="8"/>
            <rFont val="Tahoma"/>
            <family val="0"/>
          </rPr>
          <t xml:space="preserve">
Assumed 1 monitor bought with each desktop PC
</t>
        </r>
      </text>
    </comment>
    <comment ref="D8" authorId="0">
      <text>
        <r>
          <rPr>
            <b/>
            <sz val="8"/>
            <rFont val="Tahoma"/>
            <family val="0"/>
          </rPr>
          <t>LKnight:</t>
        </r>
        <r>
          <rPr>
            <sz val="8"/>
            <rFont val="Tahoma"/>
            <family val="0"/>
          </rPr>
          <t xml:space="preserve">
Assumed 1 monitor bought with each desktop PC
</t>
        </r>
      </text>
    </comment>
    <comment ref="D9" authorId="0">
      <text>
        <r>
          <rPr>
            <b/>
            <sz val="8"/>
            <rFont val="Tahoma"/>
            <family val="0"/>
          </rPr>
          <t>LKnight:</t>
        </r>
        <r>
          <rPr>
            <sz val="8"/>
            <rFont val="Tahoma"/>
            <family val="0"/>
          </rPr>
          <t xml:space="preserve">
Assumed 1 monitor bought with each desktop PC
</t>
        </r>
      </text>
    </comment>
    <comment ref="D33" authorId="1">
      <text>
        <r>
          <rPr>
            <b/>
            <sz val="8"/>
            <rFont val="Tahoma"/>
            <family val="0"/>
          </rPr>
          <t>shelly:</t>
        </r>
        <r>
          <rPr>
            <sz val="8"/>
            <rFont val="Tahoma"/>
            <family val="0"/>
          </rPr>
          <t xml:space="preserve">
2005 through 2007 IDC data</t>
        </r>
      </text>
    </comment>
    <comment ref="D32" authorId="1">
      <text>
        <r>
          <rPr>
            <b/>
            <sz val="8"/>
            <rFont val="Tahoma"/>
            <family val="0"/>
          </rPr>
          <t>shelly:</t>
        </r>
        <r>
          <rPr>
            <sz val="8"/>
            <rFont val="Tahoma"/>
            <family val="0"/>
          </rPr>
          <t xml:space="preserve">
original baseline report value (15,907,292) was changed in the 2008 update to IDC data to smooth the transition between data sources</t>
        </r>
      </text>
    </comment>
  </commentList>
</comments>
</file>

<file path=xl/comments14.xml><?xml version="1.0" encoding="utf-8"?>
<comments xmlns="http://schemas.openxmlformats.org/spreadsheetml/2006/main">
  <authors>
    <author>sschneider</author>
    <author>LKnight</author>
  </authors>
  <commentList>
    <comment ref="AI2" authorId="0">
      <text>
        <r>
          <rPr>
            <b/>
            <sz val="8"/>
            <rFont val="Tahoma"/>
            <family val="0"/>
          </rPr>
          <t>sschneider:</t>
        </r>
        <r>
          <rPr>
            <sz val="8"/>
            <rFont val="Tahoma"/>
            <family val="0"/>
          </rPr>
          <t xml:space="preserve">
obsolete storage represents obsolete computers going into storage the same year; does not include computers in the reuse stream going into storage</t>
        </r>
      </text>
    </comment>
    <comment ref="C17" authorId="1">
      <text>
        <r>
          <rPr>
            <b/>
            <sz val="8"/>
            <rFont val="Tahoma"/>
            <family val="0"/>
          </rPr>
          <t>LKnight:</t>
        </r>
        <r>
          <rPr>
            <sz val="8"/>
            <rFont val="Tahoma"/>
            <family val="0"/>
          </rPr>
          <t xml:space="preserve">
These are estimates based on the ratio of PCs to HCDs from IDC data</t>
        </r>
      </text>
    </comment>
    <comment ref="D12" authorId="1">
      <text>
        <r>
          <rPr>
            <b/>
            <sz val="8"/>
            <rFont val="Tahoma"/>
            <family val="0"/>
          </rPr>
          <t>LKnight:</t>
        </r>
        <r>
          <rPr>
            <sz val="8"/>
            <rFont val="Tahoma"/>
            <family val="0"/>
          </rPr>
          <t xml:space="preserve">
Assumed 18 lbs per unit
</t>
        </r>
      </text>
    </comment>
    <comment ref="C33" authorId="1">
      <text>
        <r>
          <rPr>
            <b/>
            <sz val="8"/>
            <rFont val="Tahoma"/>
            <family val="0"/>
          </rPr>
          <t>LKnight:</t>
        </r>
        <r>
          <rPr>
            <sz val="8"/>
            <rFont val="Tahoma"/>
            <family val="0"/>
          </rPr>
          <t xml:space="preserve">
2005-2007 estimates based on the ratio of PCs to HCDs from IDC data</t>
        </r>
      </text>
    </comment>
  </commentList>
</comments>
</file>

<file path=xl/comments15.xml><?xml version="1.0" encoding="utf-8"?>
<comments xmlns="http://schemas.openxmlformats.org/spreadsheetml/2006/main">
  <authors>
    <author>sschneider</author>
  </authors>
  <commentList>
    <comment ref="AI2" authorId="0">
      <text>
        <r>
          <rPr>
            <b/>
            <sz val="8"/>
            <rFont val="Tahoma"/>
            <family val="0"/>
          </rPr>
          <t>sschneider:</t>
        </r>
        <r>
          <rPr>
            <sz val="8"/>
            <rFont val="Tahoma"/>
            <family val="0"/>
          </rPr>
          <t xml:space="preserve">
obsolete storage represents obsolete computers going into storage the same year; does not include computers in the reuse stream going into storage</t>
        </r>
      </text>
    </comment>
  </commentList>
</comments>
</file>

<file path=xl/comments3.xml><?xml version="1.0" encoding="utf-8"?>
<comments xmlns="http://schemas.openxmlformats.org/spreadsheetml/2006/main">
  <authors>
    <author>shelly</author>
  </authors>
  <commentList>
    <comment ref="AL32" authorId="0">
      <text>
        <r>
          <rPr>
            <b/>
            <sz val="8"/>
            <rFont val="Tahoma"/>
            <family val="0"/>
          </rPr>
          <t>shelly:</t>
        </r>
        <r>
          <rPr>
            <sz val="8"/>
            <rFont val="Tahoma"/>
            <family val="0"/>
          </rPr>
          <t xml:space="preserve">
data collected for MSW characterization report from manufacturer specifications</t>
        </r>
      </text>
    </comment>
    <comment ref="J34" authorId="0">
      <text>
        <r>
          <rPr>
            <b/>
            <sz val="8"/>
            <rFont val="Tahoma"/>
            <family val="0"/>
          </rPr>
          <t>shelly:</t>
        </r>
        <r>
          <rPr>
            <sz val="8"/>
            <rFont val="Tahoma"/>
            <family val="0"/>
          </rPr>
          <t xml:space="preserve">
estimated from keyboards to desktops in 2006; Census unavailable</t>
        </r>
      </text>
    </comment>
  </commentList>
</comments>
</file>

<file path=xl/comments4.xml><?xml version="1.0" encoding="utf-8"?>
<comments xmlns="http://schemas.openxmlformats.org/spreadsheetml/2006/main">
  <authors>
    <author>LKnight</author>
    <author>shelly</author>
  </authors>
  <commentList>
    <comment ref="D23" authorId="0">
      <text>
        <r>
          <rPr>
            <b/>
            <sz val="8"/>
            <rFont val="Tahoma"/>
            <family val="0"/>
          </rPr>
          <t>LKnight:</t>
        </r>
        <r>
          <rPr>
            <sz val="8"/>
            <rFont val="Tahoma"/>
            <family val="0"/>
          </rPr>
          <t xml:space="preserve">
Data from 1995-2004 is from Inform.  Previous years are estimated based on % increase from CEA data (which is just consumer market). April 2008, 2004 data revised with IDC data</t>
        </r>
      </text>
    </comment>
    <comment ref="E34" authorId="1">
      <text>
        <r>
          <rPr>
            <b/>
            <sz val="8"/>
            <rFont val="Tahoma"/>
            <family val="0"/>
          </rPr>
          <t>shelly:</t>
        </r>
        <r>
          <rPr>
            <sz val="8"/>
            <rFont val="Tahoma"/>
            <family val="0"/>
          </rPr>
          <t xml:space="preserve">
source: MSW Characterization worksheet CE Table T 2006. Data gathered from manufacturer specifications</t>
        </r>
      </text>
    </comment>
    <comment ref="D32" authorId="1">
      <text>
        <r>
          <rPr>
            <b/>
            <sz val="8"/>
            <rFont val="Tahoma"/>
            <family val="0"/>
          </rPr>
          <t>shelly:</t>
        </r>
        <r>
          <rPr>
            <sz val="8"/>
            <rFont val="Tahoma"/>
            <family val="0"/>
          </rPr>
          <t xml:space="preserve">
2004 forward IDC data; 2004 baseline estimate revised</t>
        </r>
      </text>
    </comment>
    <comment ref="F12" authorId="1">
      <text>
        <r>
          <rPr>
            <b/>
            <sz val="8"/>
            <rFont val="Tahoma"/>
            <family val="0"/>
          </rPr>
          <t>shelly:</t>
        </r>
        <r>
          <rPr>
            <sz val="8"/>
            <rFont val="Tahoma"/>
            <family val="0"/>
          </rPr>
          <t xml:space="preserve">
original baseline report 1984 - 2004 calculated tons by multiplying pounds per unit times CEA consumer sales; revised April 2008</t>
        </r>
      </text>
    </comment>
  </commentList>
</comments>
</file>

<file path=xl/comments5.xml><?xml version="1.0" encoding="utf-8"?>
<comments xmlns="http://schemas.openxmlformats.org/spreadsheetml/2006/main">
  <authors>
    <author>LKnight</author>
    <author>shelly</author>
  </authors>
  <commentList>
    <comment ref="C10" authorId="0">
      <text>
        <r>
          <rPr>
            <b/>
            <sz val="8"/>
            <rFont val="Tahoma"/>
            <family val="0"/>
          </rPr>
          <t>LKnight:</t>
        </r>
        <r>
          <rPr>
            <sz val="8"/>
            <rFont val="Tahoma"/>
            <family val="0"/>
          </rPr>
          <t xml:space="preserve">
Assumed 1 mouse to every PC
</t>
        </r>
      </text>
    </comment>
    <comment ref="C11" authorId="0">
      <text>
        <r>
          <rPr>
            <b/>
            <sz val="8"/>
            <rFont val="Tahoma"/>
            <family val="0"/>
          </rPr>
          <t>LKnight:</t>
        </r>
        <r>
          <rPr>
            <sz val="8"/>
            <rFont val="Tahoma"/>
            <family val="0"/>
          </rPr>
          <t xml:space="preserve">
Assumed 1 mouse to every PC
</t>
        </r>
      </text>
    </comment>
    <comment ref="C12" authorId="0">
      <text>
        <r>
          <rPr>
            <b/>
            <sz val="8"/>
            <rFont val="Tahoma"/>
            <family val="0"/>
          </rPr>
          <t>LKnight:</t>
        </r>
        <r>
          <rPr>
            <sz val="8"/>
            <rFont val="Tahoma"/>
            <family val="0"/>
          </rPr>
          <t xml:space="preserve">
Assumed 1 mouse to every PC
</t>
        </r>
      </text>
    </comment>
    <comment ref="C13" authorId="0">
      <text>
        <r>
          <rPr>
            <b/>
            <sz val="8"/>
            <rFont val="Tahoma"/>
            <family val="0"/>
          </rPr>
          <t>LKnight:</t>
        </r>
        <r>
          <rPr>
            <sz val="8"/>
            <rFont val="Tahoma"/>
            <family val="0"/>
          </rPr>
          <t xml:space="preserve">
Assumed 1 mouse to every PC
</t>
        </r>
      </text>
    </comment>
    <comment ref="C14" authorId="0">
      <text>
        <r>
          <rPr>
            <b/>
            <sz val="8"/>
            <rFont val="Tahoma"/>
            <family val="0"/>
          </rPr>
          <t>LKnight:</t>
        </r>
        <r>
          <rPr>
            <sz val="8"/>
            <rFont val="Tahoma"/>
            <family val="0"/>
          </rPr>
          <t xml:space="preserve">
Assumed 1 mouse to every PC
</t>
        </r>
      </text>
    </comment>
    <comment ref="C15" authorId="0">
      <text>
        <r>
          <rPr>
            <b/>
            <sz val="8"/>
            <rFont val="Tahoma"/>
            <family val="0"/>
          </rPr>
          <t>LKnight:</t>
        </r>
        <r>
          <rPr>
            <sz val="8"/>
            <rFont val="Tahoma"/>
            <family val="0"/>
          </rPr>
          <t xml:space="preserve">
Assumed 1 mouse to every PC
</t>
        </r>
      </text>
    </comment>
    <comment ref="C16" authorId="0">
      <text>
        <r>
          <rPr>
            <b/>
            <sz val="8"/>
            <rFont val="Tahoma"/>
            <family val="0"/>
          </rPr>
          <t>LKnight:</t>
        </r>
        <r>
          <rPr>
            <sz val="8"/>
            <rFont val="Tahoma"/>
            <family val="0"/>
          </rPr>
          <t xml:space="preserve">
Assumed 1 mouse to every PC
</t>
        </r>
      </text>
    </comment>
    <comment ref="C17" authorId="0">
      <text>
        <r>
          <rPr>
            <b/>
            <sz val="8"/>
            <rFont val="Tahoma"/>
            <family val="0"/>
          </rPr>
          <t>LKnight:</t>
        </r>
        <r>
          <rPr>
            <sz val="8"/>
            <rFont val="Tahoma"/>
            <family val="0"/>
          </rPr>
          <t xml:space="preserve">
Assumed 1 mouse to every PC
</t>
        </r>
      </text>
    </comment>
    <comment ref="C18" authorId="0">
      <text>
        <r>
          <rPr>
            <b/>
            <sz val="8"/>
            <rFont val="Tahoma"/>
            <family val="0"/>
          </rPr>
          <t>LKnight:</t>
        </r>
        <r>
          <rPr>
            <sz val="8"/>
            <rFont val="Tahoma"/>
            <family val="0"/>
          </rPr>
          <t xml:space="preserve">
Assumed 1 mouse to every PC
</t>
        </r>
      </text>
    </comment>
    <comment ref="C8" authorId="0">
      <text>
        <r>
          <rPr>
            <b/>
            <sz val="8"/>
            <rFont val="Tahoma"/>
            <family val="0"/>
          </rPr>
          <t>LKnight:</t>
        </r>
        <r>
          <rPr>
            <sz val="8"/>
            <rFont val="Tahoma"/>
            <family val="0"/>
          </rPr>
          <t xml:space="preserve">
Assumed 1 mouse to every PC
</t>
        </r>
      </text>
    </comment>
    <comment ref="C9" authorId="0">
      <text>
        <r>
          <rPr>
            <b/>
            <sz val="8"/>
            <rFont val="Tahoma"/>
            <family val="0"/>
          </rPr>
          <t>LKnight:</t>
        </r>
        <r>
          <rPr>
            <sz val="8"/>
            <rFont val="Tahoma"/>
            <family val="0"/>
          </rPr>
          <t xml:space="preserve">
Assumed 1 mouse to every PC
</t>
        </r>
      </text>
    </comment>
    <comment ref="C31" authorId="1">
      <text>
        <r>
          <rPr>
            <b/>
            <sz val="8"/>
            <rFont val="Tahoma"/>
            <family val="0"/>
          </rPr>
          <t>shelly:</t>
        </r>
        <r>
          <rPr>
            <sz val="8"/>
            <rFont val="Tahoma"/>
            <family val="0"/>
          </rPr>
          <t xml:space="preserve">
from apparent consumption wksht - 62,354,869 which is unreasonable compared to number of desktops sold; therefore assume one device per PC sold</t>
        </r>
      </text>
    </comment>
    <comment ref="C32" authorId="1">
      <text>
        <r>
          <rPr>
            <b/>
            <sz val="8"/>
            <rFont val="Tahoma"/>
            <family val="0"/>
          </rPr>
          <t>shelly:</t>
        </r>
        <r>
          <rPr>
            <sz val="8"/>
            <rFont val="Tahoma"/>
            <family val="0"/>
          </rPr>
          <t xml:space="preserve">
from apparent consumption wksht - 77,593,333 which is unreasonable compared to number of desktops sold; therefore assume one device per PC sold</t>
        </r>
      </text>
    </comment>
    <comment ref="C33" authorId="1">
      <text>
        <r>
          <rPr>
            <b/>
            <sz val="8"/>
            <rFont val="Tahoma"/>
            <family val="0"/>
          </rPr>
          <t>shelly:</t>
        </r>
        <r>
          <rPr>
            <sz val="8"/>
            <rFont val="Tahoma"/>
            <family val="0"/>
          </rPr>
          <t xml:space="preserve">
from apparent consumption wksht - 89,522,000 which is unreasonable compared to number of desktops sold; therefore assume one device per PC sold</t>
        </r>
      </text>
    </comment>
    <comment ref="C34" authorId="1">
      <text>
        <r>
          <rPr>
            <b/>
            <sz val="8"/>
            <rFont val="Tahoma"/>
            <family val="0"/>
          </rPr>
          <t>shelly:</t>
        </r>
        <r>
          <rPr>
            <sz val="8"/>
            <rFont val="Tahoma"/>
            <family val="0"/>
          </rPr>
          <t xml:space="preserve">
from apparent consumption wksht - 95,852,000 which is unreasonable compared to number of desktops sold; therefore assume one device per PC sold</t>
        </r>
      </text>
    </comment>
  </commentList>
</comments>
</file>

<file path=xl/comments6.xml><?xml version="1.0" encoding="utf-8"?>
<comments xmlns="http://schemas.openxmlformats.org/spreadsheetml/2006/main">
  <authors>
    <author>LKnight</author>
    <author>shelly</author>
  </authors>
  <commentList>
    <comment ref="C10" authorId="0">
      <text>
        <r>
          <rPr>
            <b/>
            <sz val="8"/>
            <rFont val="Tahoma"/>
            <family val="0"/>
          </rPr>
          <t>LKnight:</t>
        </r>
        <r>
          <rPr>
            <sz val="8"/>
            <rFont val="Tahoma"/>
            <family val="0"/>
          </rPr>
          <t xml:space="preserve">
Assumed 1 keyboard per desktop PC
</t>
        </r>
      </text>
    </comment>
    <comment ref="C11" authorId="0">
      <text>
        <r>
          <rPr>
            <b/>
            <sz val="8"/>
            <rFont val="Tahoma"/>
            <family val="0"/>
          </rPr>
          <t>LKnight:</t>
        </r>
        <r>
          <rPr>
            <sz val="8"/>
            <rFont val="Tahoma"/>
            <family val="0"/>
          </rPr>
          <t xml:space="preserve">
Assumed 1 keyboard per desktop PC
</t>
        </r>
      </text>
    </comment>
    <comment ref="C12" authorId="0">
      <text>
        <r>
          <rPr>
            <b/>
            <sz val="8"/>
            <rFont val="Tahoma"/>
            <family val="0"/>
          </rPr>
          <t>LKnight:</t>
        </r>
        <r>
          <rPr>
            <sz val="8"/>
            <rFont val="Tahoma"/>
            <family val="0"/>
          </rPr>
          <t xml:space="preserve">
Assumed 1 keyboard per desktop PC
</t>
        </r>
      </text>
    </comment>
    <comment ref="C13" authorId="0">
      <text>
        <r>
          <rPr>
            <b/>
            <sz val="8"/>
            <rFont val="Tahoma"/>
            <family val="0"/>
          </rPr>
          <t>LKnight:</t>
        </r>
        <r>
          <rPr>
            <sz val="8"/>
            <rFont val="Tahoma"/>
            <family val="0"/>
          </rPr>
          <t xml:space="preserve">
Assumed 1 keyboard per desktop PC
</t>
        </r>
      </text>
    </comment>
    <comment ref="C14" authorId="0">
      <text>
        <r>
          <rPr>
            <b/>
            <sz val="8"/>
            <rFont val="Tahoma"/>
            <family val="0"/>
          </rPr>
          <t>LKnight:</t>
        </r>
        <r>
          <rPr>
            <sz val="8"/>
            <rFont val="Tahoma"/>
            <family val="0"/>
          </rPr>
          <t xml:space="preserve">
Assumed 1 keyboard per desktop PC
</t>
        </r>
      </text>
    </comment>
    <comment ref="C15" authorId="0">
      <text>
        <r>
          <rPr>
            <b/>
            <sz val="8"/>
            <rFont val="Tahoma"/>
            <family val="0"/>
          </rPr>
          <t>LKnight:</t>
        </r>
        <r>
          <rPr>
            <sz val="8"/>
            <rFont val="Tahoma"/>
            <family val="0"/>
          </rPr>
          <t xml:space="preserve">
Assumed 1 keyboard per desktop PC
</t>
        </r>
      </text>
    </comment>
    <comment ref="C16" authorId="0">
      <text>
        <r>
          <rPr>
            <b/>
            <sz val="8"/>
            <rFont val="Tahoma"/>
            <family val="0"/>
          </rPr>
          <t>LKnight:</t>
        </r>
        <r>
          <rPr>
            <sz val="8"/>
            <rFont val="Tahoma"/>
            <family val="0"/>
          </rPr>
          <t xml:space="preserve">
Assumed 1 keyboard per desktop PC
</t>
        </r>
      </text>
    </comment>
    <comment ref="C8" authorId="0">
      <text>
        <r>
          <rPr>
            <b/>
            <sz val="8"/>
            <rFont val="Tahoma"/>
            <family val="0"/>
          </rPr>
          <t>LKnight:</t>
        </r>
        <r>
          <rPr>
            <sz val="8"/>
            <rFont val="Tahoma"/>
            <family val="0"/>
          </rPr>
          <t xml:space="preserve">
Assumed 1 keyboard per desktop PC
</t>
        </r>
      </text>
    </comment>
    <comment ref="C9" authorId="0">
      <text>
        <r>
          <rPr>
            <b/>
            <sz val="8"/>
            <rFont val="Tahoma"/>
            <family val="0"/>
          </rPr>
          <t>LKnight:</t>
        </r>
        <r>
          <rPr>
            <sz val="8"/>
            <rFont val="Tahoma"/>
            <family val="0"/>
          </rPr>
          <t xml:space="preserve">
Assumed 1 keyboard per desktop PC
</t>
        </r>
      </text>
    </comment>
    <comment ref="C35" authorId="1">
      <text>
        <r>
          <rPr>
            <b/>
            <sz val="8"/>
            <rFont val="Tahoma"/>
            <family val="0"/>
          </rPr>
          <t>shelly:</t>
        </r>
        <r>
          <rPr>
            <sz val="8"/>
            <rFont val="Tahoma"/>
            <family val="0"/>
          </rPr>
          <t xml:space="preserve">
estimated from proportion of keyboards to desktops in 2006 applied to number of desktops sold in 2007; see sales&amp;weight data sheet (Census data not available)</t>
        </r>
      </text>
    </comment>
  </commentList>
</comments>
</file>

<file path=xl/comments8.xml><?xml version="1.0" encoding="utf-8"?>
<comments xmlns="http://schemas.openxmlformats.org/spreadsheetml/2006/main">
  <authors>
    <author>shelly</author>
  </authors>
  <commentList>
    <comment ref="C35" authorId="0">
      <text>
        <r>
          <rPr>
            <b/>
            <sz val="8"/>
            <rFont val="Tahoma"/>
            <family val="0"/>
          </rPr>
          <t>shelly:</t>
        </r>
        <r>
          <rPr>
            <sz val="8"/>
            <rFont val="Tahoma"/>
            <family val="0"/>
          </rPr>
          <t xml:space="preserve">
per CEA by 2007, monochromes were approaching zero</t>
        </r>
      </text>
    </comment>
  </commentList>
</comments>
</file>

<file path=xl/sharedStrings.xml><?xml version="1.0" encoding="utf-8"?>
<sst xmlns="http://schemas.openxmlformats.org/spreadsheetml/2006/main" count="1142" uniqueCount="271">
  <si>
    <t>Year</t>
  </si>
  <si>
    <t>Units</t>
  </si>
  <si>
    <t>Tons</t>
  </si>
  <si>
    <t>Pounds</t>
  </si>
  <si>
    <t>Per Unit</t>
  </si>
  <si>
    <t>Total as of 2010</t>
  </si>
  <si>
    <t>New Product Sales (residential and commercial)</t>
  </si>
  <si>
    <t>7 years</t>
  </si>
  <si>
    <t>Total Potentially in Storage - The difference between what is estimated as being recycled and disposed, and what is considered obsolete when accounting for reuse</t>
  </si>
  <si>
    <t>As of 2004:</t>
  </si>
  <si>
    <t>Total Obsolete:</t>
  </si>
  <si>
    <t>Total Recycled:</t>
  </si>
  <si>
    <t>Total Disposed:</t>
  </si>
  <si>
    <t>Estimated in Storage:</t>
  </si>
  <si>
    <t>Product Age When Obsolete (yrs)</t>
  </si>
  <si>
    <t>Share of Products</t>
  </si>
  <si>
    <t>Total Annual Obsolete</t>
  </si>
  <si>
    <t>5 years</t>
  </si>
  <si>
    <t>8 years</t>
  </si>
  <si>
    <t>ERG estimates of sales based on Census, import, and export data:</t>
  </si>
  <si>
    <t>Scanners</t>
  </si>
  <si>
    <t>Printers</t>
  </si>
  <si>
    <t>Total</t>
  </si>
  <si>
    <t>% change</t>
  </si>
  <si>
    <t>IDC data</t>
  </si>
  <si>
    <t>IDC</t>
  </si>
  <si>
    <t>Estimated</t>
  </si>
  <si>
    <t>IDC series</t>
  </si>
  <si>
    <t>ERG data</t>
  </si>
  <si>
    <t>Comparison of Desktops/laptops to hardcopy devices:</t>
  </si>
  <si>
    <t>Desktops</t>
  </si>
  <si>
    <t xml:space="preserve">IDC </t>
  </si>
  <si>
    <t>Laptops</t>
  </si>
  <si>
    <t>PCs</t>
  </si>
  <si>
    <t>HC devices</t>
  </si>
  <si>
    <t>Average</t>
  </si>
  <si>
    <t>HC/PC</t>
  </si>
  <si>
    <t>ERG weight</t>
  </si>
  <si>
    <t>scanners (lbs)</t>
  </si>
  <si>
    <t>Total lbs</t>
  </si>
  <si>
    <t>scanners</t>
  </si>
  <si>
    <t>Printers (lbs)</t>
  </si>
  <si>
    <t>ERG estimates of average weights for hard copy devices:</t>
  </si>
  <si>
    <t>Weight</t>
  </si>
  <si>
    <t>Both</t>
  </si>
  <si>
    <t>Units (000)</t>
  </si>
  <si>
    <t>Units(000)</t>
  </si>
  <si>
    <t>Products Obsolete at x Age</t>
  </si>
  <si>
    <t xml:space="preserve">Products Obsolete at x Age </t>
  </si>
  <si>
    <t>TVs</t>
  </si>
  <si>
    <t>Monochrome</t>
  </si>
  <si>
    <t>US Data entered for units sold (from ERG analysis of Census shipments, imports, exports data, and CEA data)</t>
  </si>
  <si>
    <t>9 years</t>
  </si>
  <si>
    <t>13 years</t>
  </si>
  <si>
    <t>12 years</t>
  </si>
  <si>
    <t>Portables</t>
  </si>
  <si>
    <t>Hard Copy Devices</t>
  </si>
  <si>
    <t>PC CRTs</t>
  </si>
  <si>
    <t>PC Flat Screen</t>
  </si>
  <si>
    <t>TV Flat Screen</t>
  </si>
  <si>
    <t>Recovered for</t>
  </si>
  <si>
    <t>Recycling</t>
  </si>
  <si>
    <t>Disposed</t>
  </si>
  <si>
    <t>CRT</t>
  </si>
  <si>
    <t>Monitors</t>
  </si>
  <si>
    <t>Monitors/</t>
  </si>
  <si>
    <t>Desktop</t>
  </si>
  <si>
    <t>Ratio</t>
  </si>
  <si>
    <t>PC</t>
  </si>
  <si>
    <t>Sales</t>
  </si>
  <si>
    <t>Mice/Keyboards</t>
  </si>
  <si>
    <t>Total EOL Products</t>
  </si>
  <si>
    <t>EOL Products</t>
  </si>
  <si>
    <t xml:space="preserve">   *Number of units estimated based on the units/ton factor exhibited by EOL products.</t>
  </si>
  <si>
    <t>Source: ERG estimates based on modeling results.</t>
  </si>
  <si>
    <t>Tons (%)</t>
  </si>
  <si>
    <t>Historic Sales Data - Computer-Related Products</t>
  </si>
  <si>
    <t>Mice</t>
  </si>
  <si>
    <t>Keyboards</t>
  </si>
  <si>
    <t>Hard Copy Peripherals</t>
  </si>
  <si>
    <t>Source:</t>
  </si>
  <si>
    <t>Note:</t>
  </si>
  <si>
    <t>Total TVs</t>
  </si>
  <si>
    <t>Estimated Annual Products Ready for EOL Management</t>
  </si>
  <si>
    <t>Computer Products</t>
  </si>
  <si>
    <t>Lbs/Cap</t>
  </si>
  <si>
    <t>US Pop</t>
  </si>
  <si>
    <t>Quantity Recycled</t>
  </si>
  <si>
    <t>Change</t>
  </si>
  <si>
    <t>Pounds per</t>
  </si>
  <si>
    <t>Capita</t>
  </si>
  <si>
    <t>Annual Quantity of EOL Electronics Recycled</t>
  </si>
  <si>
    <t>Estimated Annual Personal Computer Products Ready for EOL Management, By Year</t>
  </si>
  <si>
    <t>Distribution of EOL Products By Management Method</t>
  </si>
  <si>
    <t>Total Recycled</t>
  </si>
  <si>
    <t>Total Disposed</t>
  </si>
  <si>
    <t>17 years</t>
  </si>
  <si>
    <t>23 years</t>
  </si>
  <si>
    <t>15 years</t>
  </si>
  <si>
    <t>20 years</t>
  </si>
  <si>
    <t xml:space="preserve">Color Projection </t>
  </si>
  <si>
    <t>Color CRT &gt;19"</t>
  </si>
  <si>
    <t>Color CRT &lt;19"</t>
  </si>
  <si>
    <t>TV CRTs &lt;19"</t>
  </si>
  <si>
    <t>TV CRTs &gt;19"</t>
  </si>
  <si>
    <t>Projection</t>
  </si>
  <si>
    <t xml:space="preserve">Projection </t>
  </si>
  <si>
    <t>CRT Monitors</t>
  </si>
  <si>
    <t>Product Type</t>
  </si>
  <si>
    <t>Portable PCs</t>
  </si>
  <si>
    <t>Storage</t>
  </si>
  <si>
    <t>Monochrome TVs</t>
  </si>
  <si>
    <t>Color Televisions with CRTs &lt;19"</t>
  </si>
  <si>
    <t>Color Televisions with CRTs &gt;19"</t>
  </si>
  <si>
    <t xml:space="preserve"> Projection Televisions</t>
  </si>
  <si>
    <t>Personal Computer Monitor - Flat Screen</t>
  </si>
  <si>
    <t>Personal Computer Monitors - CRTs</t>
  </si>
  <si>
    <t xml:space="preserve">PC Peripheral Hard Copy Devices </t>
  </si>
  <si>
    <t xml:space="preserve">Desktop Personal Computers </t>
  </si>
  <si>
    <t>Hard copy peripherals (HCPs) include printers, multifunction printers, digital copiers, and faxes.</t>
  </si>
  <si>
    <t>Share of Products Residential</t>
  </si>
  <si>
    <t>Residential Sales</t>
  </si>
  <si>
    <t>Commercial Sales</t>
  </si>
  <si>
    <t>% Res =</t>
  </si>
  <si>
    <t>% Comm =</t>
  </si>
  <si>
    <t>5 years-Comm</t>
  </si>
  <si>
    <t>7 years-Comm</t>
  </si>
  <si>
    <t>7 years-Res</t>
  </si>
  <si>
    <t>10 years-Res</t>
  </si>
  <si>
    <t>14 years-Res</t>
  </si>
  <si>
    <t>18 years-Res</t>
  </si>
  <si>
    <t>Share of Products Comm</t>
  </si>
  <si>
    <t>5 years-Res</t>
  </si>
  <si>
    <t>8 years-Res</t>
  </si>
  <si>
    <t>4 years-Res</t>
  </si>
  <si>
    <t>13 years-Res</t>
  </si>
  <si>
    <t>9 years-Res</t>
  </si>
  <si>
    <t>6 years-Res</t>
  </si>
  <si>
    <t>Units(mill)</t>
  </si>
  <si>
    <t>Tons(000)</t>
  </si>
  <si>
    <t>3 years-Comm</t>
  </si>
  <si>
    <t>Res Sales</t>
  </si>
  <si>
    <t>(units)</t>
  </si>
  <si>
    <t>(tons</t>
  </si>
  <si>
    <t>Still in use</t>
  </si>
  <si>
    <t>Res Storage</t>
  </si>
  <si>
    <t>By 2004</t>
  </si>
  <si>
    <t>Collected</t>
  </si>
  <si>
    <t>(%)</t>
  </si>
  <si>
    <t>In Reuse</t>
  </si>
  <si>
    <t>Res Reuse</t>
  </si>
  <si>
    <t>First use</t>
  </si>
  <si>
    <t>(tons)</t>
  </si>
  <si>
    <t>Assumptions same as Color &lt;19 inches</t>
  </si>
  <si>
    <t xml:space="preserve"> TVs - Flat Panel</t>
  </si>
  <si>
    <t xml:space="preserve">PC monitors </t>
  </si>
  <si>
    <t>Desktop PCs</t>
  </si>
  <si>
    <t>Hard copy peripherals</t>
  </si>
  <si>
    <t>EOL Management</t>
  </si>
  <si>
    <t xml:space="preserve">In </t>
  </si>
  <si>
    <t>Stage of Use (Million units)</t>
  </si>
  <si>
    <t>Collected for</t>
  </si>
  <si>
    <t>1st Use</t>
  </si>
  <si>
    <t>Reuse</t>
  </si>
  <si>
    <t>Res First use</t>
  </si>
  <si>
    <t>(1,000 Tons)</t>
  </si>
  <si>
    <t>Units(mill)*</t>
  </si>
  <si>
    <t>Comm Sales</t>
  </si>
  <si>
    <t>Managed</t>
  </si>
  <si>
    <t>In Storage</t>
  </si>
  <si>
    <t>Comm - Collected</t>
  </si>
  <si>
    <t>Res - Collected</t>
  </si>
  <si>
    <t>(Million units)</t>
  </si>
  <si>
    <t>Total TV&amp;Comp Recycled</t>
  </si>
  <si>
    <t>Total Tons Ready for EOL(000)</t>
  </si>
  <si>
    <t>Estimated Annual Products Collected for Recycling</t>
  </si>
  <si>
    <t>Mill Units/000ton</t>
  </si>
  <si>
    <t>Percent of each product type ready for EOL managent</t>
  </si>
  <si>
    <t>Exported for Reuse</t>
  </si>
  <si>
    <t>Reused in the US</t>
  </si>
  <si>
    <t>Processed Abroad</t>
  </si>
  <si>
    <t>Processed in the US</t>
  </si>
  <si>
    <t>Flat Panel TVs</t>
  </si>
  <si>
    <t>PC Flat Panel</t>
  </si>
  <si>
    <t>Flat Panel</t>
  </si>
  <si>
    <t>Flat Panel Monitors</t>
  </si>
  <si>
    <t>In Use</t>
  </si>
  <si>
    <t>Comm</t>
  </si>
  <si>
    <t>In use</t>
  </si>
  <si>
    <t>Comm-In Use</t>
  </si>
  <si>
    <t>Televisions</t>
  </si>
  <si>
    <t>% of Total</t>
  </si>
  <si>
    <t>Collected for EOL Management</t>
  </si>
  <si>
    <t>Number</t>
  </si>
  <si>
    <t xml:space="preserve">Total Sold </t>
  </si>
  <si>
    <t>Total Sold</t>
  </si>
  <si>
    <t>Source: ERG estimates based on model results.</t>
  </si>
  <si>
    <t>Cell Phones</t>
  </si>
  <si>
    <t>2 years</t>
  </si>
  <si>
    <t>Historic Sales Data - Television and Cell Phone Products</t>
  </si>
  <si>
    <t>Estimated Annual Television and Cell Phone Products Ready for EOL Management</t>
  </si>
  <si>
    <t>Average Weight of Television and Cell Phone Units (pounds)</t>
  </si>
  <si>
    <t>Color CRT
(&lt;19 inches)</t>
  </si>
  <si>
    <t>Color CRT
(&gt;19 inches)</t>
  </si>
  <si>
    <t>Already Managed</t>
  </si>
  <si>
    <t>Sill in Use</t>
  </si>
  <si>
    <t>Exported for Resale</t>
  </si>
  <si>
    <t>Resold in the US</t>
  </si>
  <si>
    <t xml:space="preserve">            In Storage            </t>
  </si>
  <si>
    <t xml:space="preserve">          Still in Use        </t>
  </si>
  <si>
    <t>Chg Rate</t>
  </si>
  <si>
    <t>Average Weight of Personal Computer-Related Units (pounds)</t>
  </si>
  <si>
    <t>Desktop Computers</t>
  </si>
  <si>
    <t>Portable Computers</t>
  </si>
  <si>
    <t>Mouse Devices</t>
  </si>
  <si>
    <t>Exported for Materials Recovery</t>
  </si>
  <si>
    <t>Materials Recovery in the US</t>
  </si>
  <si>
    <t xml:space="preserve">Portable Personal Computers </t>
  </si>
  <si>
    <t>Consumer</t>
  </si>
  <si>
    <t>CEA</t>
  </si>
  <si>
    <t>Support Calculations:</t>
  </si>
  <si>
    <t>Support Data:</t>
  </si>
  <si>
    <t>Summary of EOL Estimates</t>
  </si>
  <si>
    <t>Assumption: per CEA, TVs have gone through 1st and 2nd lives by 11 years</t>
  </si>
  <si>
    <t>Storage Analysis-For 2007</t>
  </si>
  <si>
    <t>Total for the four year period</t>
  </si>
  <si>
    <t>Total for the four year period from storage analysis table above</t>
  </si>
  <si>
    <t>diff</t>
  </si>
  <si>
    <t>It was decided to use the more conservative assumption of 55 percent shown in the storage analysis table above.</t>
  </si>
  <si>
    <t>http://www.census.gov/popest/states/tables/NST-EST2007-01.xls</t>
  </si>
  <si>
    <t>Table 1: Annual Estimates of the Population for the United States, Regions, States, and Puerto Rico: April 1, 2000 to July 1, 2007 (NST-EST2007-01)</t>
  </si>
  <si>
    <t>Source: Population Division, U.S. Census Bureau</t>
  </si>
  <si>
    <t>Release Date: December 27, 2007</t>
  </si>
  <si>
    <t>2000 through 2007</t>
  </si>
  <si>
    <t xml:space="preserve">IDC data </t>
  </si>
  <si>
    <t>received 4/2008</t>
  </si>
  <si>
    <t>flat panel</t>
  </si>
  <si>
    <t>r</t>
  </si>
  <si>
    <t>Reuse Analysis for 2007</t>
  </si>
  <si>
    <t>First Use for 2007</t>
  </si>
  <si>
    <t>By 2007</t>
  </si>
  <si>
    <t>Of Computer Products Sold to Households Since 1980, Estimates of the Stages of Use as of 2007</t>
  </si>
  <si>
    <t>1980-2007</t>
  </si>
  <si>
    <t>Average 1996 - 2004</t>
  </si>
  <si>
    <t>Estimated Number of Units in Various Stages of Use as of 2007 (million units)</t>
  </si>
  <si>
    <t xml:space="preserve">       1980-2007       </t>
  </si>
  <si>
    <t>8 years before 2007</t>
  </si>
  <si>
    <t>13 years before 2007</t>
  </si>
  <si>
    <t>17 years before 2007</t>
  </si>
  <si>
    <t>23 years before 2007</t>
  </si>
  <si>
    <t>Problem: Although the model shows units ready for EOL management after 17 years, individual units enter the management system each year between year 13 and year 17. The assumption is that the movement of these units out of storage into the collection system is 55 percent (sale years 1991 - 1994 shown above).</t>
  </si>
  <si>
    <t>The analysis below calculates the percentage collected by 2007 by assuming that the units move out of storage at an even pace over the four year time period.</t>
  </si>
  <si>
    <t>Result is that 135,000 more units are assumed still in storage instead of collected by 2007.</t>
  </si>
  <si>
    <t>20 years before 2007</t>
  </si>
  <si>
    <t>15 years before 2007</t>
  </si>
  <si>
    <t>12 years before 2007</t>
  </si>
  <si>
    <t>7years before 2007</t>
  </si>
  <si>
    <t>Note: Average weights for hard copy peripherals 1989 - 2004 are based on a weighted average of printers and scanners each year. From 2005 - 2007, average weight for 2004 was assumed.</t>
  </si>
  <si>
    <t>Source: EPA estimates published in 2005 Municipal Solid Waste in the U.S. Projections for 2006-2007 based on increase in state programs as recorded by NCER.</t>
  </si>
  <si>
    <t>Total Products</t>
  </si>
  <si>
    <t>Units (mill)</t>
  </si>
  <si>
    <t>Tons (1,000)</t>
  </si>
  <si>
    <t>Total Products minus cell phones</t>
  </si>
  <si>
    <t>TVs Percent of total products minus cell phones</t>
  </si>
  <si>
    <t>Computer products Percent of total products minus cell phones</t>
  </si>
  <si>
    <t>Household units</t>
  </si>
  <si>
    <r>
      <t xml:space="preserve">Source: Data for TVs were obtained from Consumer Electronics Association Market Research. Data for cell phones were based on CEA data and sales data reported by Inform, Inc., </t>
    </r>
    <r>
      <rPr>
        <i/>
        <sz val="9"/>
        <rFont val="Times New Roman"/>
        <family val="1"/>
      </rPr>
      <t>Waste in a Wireless World: The Challenge of Cell Phones, 2001</t>
    </r>
    <r>
      <rPr>
        <sz val="9"/>
        <rFont val="Times New Roman"/>
        <family val="1"/>
      </rPr>
      <t>. Cell phone data from the Inform report for 1995 through 2003 were used. Sales prior to 1995 were interpolated based on the annual growth rate in prior years as exhibited by the CEA data. After 2003, cell phone data were provided by IDC.</t>
    </r>
  </si>
  <si>
    <t>Not updated</t>
  </si>
  <si>
    <t>Stages of Use: Electronic Products in 2007</t>
  </si>
  <si>
    <t>Source: ERG estimates based on modeling results and industry input from cell phone recyclers.</t>
  </si>
  <si>
    <t>Data for 1980 - 2004 desktops and portable PCs, as well as 1997 - 2004 hard copy peripherals (HCPs) were obtained from IDC WW Quarterly PC Tracker in October 2005. Data for HCPs were estimated for 1980 - 1996 and 2005 - 2007 based on the ratio of HCPs to PCs. Data for 2005 - 2007 desktops and portable PCs were provided by IDC Data for flat panel PC monitors prior to 2005, CRT PC monitors prior to 2004, and all keyboards, were based on ERG analysis of US Census data on shipments and Trade Commission data on imports and exports. Data for flat panel PC monitors 2005 - 2007 and CRT PC monitors 2004 - 2007 were provided by IDC. Data for mice were based on ERG analysis of US Census data on shipments and Trade Commission data on imports and exports compared to desktop PC sales.  Data prior to 1990 for mice and 1988 for CRT monitors and keyboards were estimated assuming one mouse, keyboard, or monitor per desktop PC.</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</si>
</sst>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000"/>
    <numFmt numFmtId="168" formatCode="0.000"/>
    <numFmt numFmtId="169" formatCode="0.0"/>
    <numFmt numFmtId="170" formatCode="0.0000000"/>
    <numFmt numFmtId="171" formatCode="0.00000000"/>
    <numFmt numFmtId="172" formatCode="0.000000000"/>
    <numFmt numFmtId="173" formatCode="0.0000000000"/>
    <numFmt numFmtId="174" formatCode="0.000000"/>
    <numFmt numFmtId="175" formatCode="0.00000"/>
    <numFmt numFmtId="176" formatCode="&quot;$&quot;#,##0"/>
    <numFmt numFmtId="177" formatCode="&quot;$&quot;#,##0.0"/>
    <numFmt numFmtId="178" formatCode="&quot;$&quot;#,##0.00"/>
    <numFmt numFmtId="179" formatCode="0.0%"/>
    <numFmt numFmtId="180" formatCode="_(* #,##0.0_);_(* \(#,##0.0\);_(* &quot;-&quot;?_);_(@_)"/>
    <numFmt numFmtId="181" formatCode="&quot;Yes&quot;;&quot;Yes&quot;;&quot;No&quot;"/>
    <numFmt numFmtId="182" formatCode="&quot;True&quot;;&quot;True&quot;;&quot;False&quot;"/>
    <numFmt numFmtId="183" formatCode="&quot;On&quot;;&quot;On&quot;;&quot;Off&quot;"/>
    <numFmt numFmtId="184" formatCode="#,##0.000"/>
    <numFmt numFmtId="185" formatCode="_(* #,##0.000_);_(* \(#,##0.000\);_(* &quot;-&quot;???_);_(@_)"/>
    <numFmt numFmtId="186" formatCode="_(* #,##0.0000_);_(* \(#,##0.0000\);_(* &quot;-&quot;??_);_(@_)"/>
    <numFmt numFmtId="187" formatCode="#,##0.0"/>
    <numFmt numFmtId="188" formatCode="#,##0.00000000000000"/>
    <numFmt numFmtId="189" formatCode="#,##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0"/>
  </numFmts>
  <fonts count="28">
    <font>
      <sz val="10"/>
      <name val="Arial"/>
      <family val="0"/>
    </font>
    <font>
      <b/>
      <sz val="10"/>
      <name val="Times New Roman"/>
      <family val="1"/>
    </font>
    <font>
      <sz val="10"/>
      <name val="Times New Roman"/>
      <family val="1"/>
    </font>
    <font>
      <sz val="10"/>
      <color indexed="10"/>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strike/>
      <sz val="10"/>
      <name val="Times New Roman"/>
      <family val="1"/>
    </font>
    <font>
      <b/>
      <sz val="10"/>
      <name val="Arial"/>
      <family val="2"/>
    </font>
    <font>
      <sz val="12"/>
      <name val="Times New Roman"/>
      <family val="1"/>
    </font>
    <font>
      <b/>
      <sz val="12"/>
      <name val="Times New Roman"/>
      <family val="1"/>
    </font>
    <font>
      <b/>
      <sz val="11"/>
      <name val="Times New Roman"/>
      <family val="1"/>
    </font>
    <font>
      <sz val="11"/>
      <name val="Times New Roman"/>
      <family val="1"/>
    </font>
    <font>
      <sz val="11"/>
      <name val="Arial"/>
      <family val="0"/>
    </font>
    <font>
      <sz val="9"/>
      <name val="Times New Roman"/>
      <family val="1"/>
    </font>
    <font>
      <sz val="8"/>
      <name val="Times New Roman"/>
      <family val="1"/>
    </font>
    <font>
      <sz val="9"/>
      <name val="Arial"/>
      <family val="2"/>
    </font>
    <font>
      <b/>
      <sz val="12"/>
      <name val="Arial"/>
      <family val="2"/>
    </font>
    <font>
      <sz val="12"/>
      <name val="Arial"/>
      <family val="2"/>
    </font>
    <font>
      <sz val="8"/>
      <name val="Arial"/>
      <family val="0"/>
    </font>
    <font>
      <b/>
      <sz val="10.25"/>
      <name val="Arial"/>
      <family val="0"/>
    </font>
    <font>
      <b/>
      <sz val="9.25"/>
      <name val="Arial"/>
      <family val="0"/>
    </font>
    <font>
      <b/>
      <sz val="9.5"/>
      <name val="Arial"/>
      <family val="0"/>
    </font>
    <font>
      <u val="single"/>
      <sz val="12"/>
      <name val="Arial"/>
      <family val="2"/>
    </font>
    <font>
      <u val="single"/>
      <sz val="10"/>
      <name val="Arial"/>
      <family val="2"/>
    </font>
    <font>
      <b/>
      <sz val="8"/>
      <name val="Arial"/>
      <family val="2"/>
    </font>
    <font>
      <i/>
      <sz val="9"/>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5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medium"/>
      <top>
        <color indexed="63"/>
      </top>
      <bottom style="medium"/>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thin"/>
      <bottom style="thin"/>
    </border>
    <border>
      <left style="thin"/>
      <right style="thin"/>
      <top style="medium"/>
      <bottom style="thin"/>
    </border>
    <border>
      <left style="thin"/>
      <right style="medium"/>
      <top>
        <color indexed="63"/>
      </top>
      <bottom style="thin"/>
    </border>
    <border>
      <left>
        <color indexed="63"/>
      </left>
      <right style="thin"/>
      <top>
        <color indexed="63"/>
      </top>
      <bottom>
        <color indexed="63"/>
      </bottom>
    </border>
    <border>
      <left style="medium"/>
      <right style="thin"/>
      <top>
        <color indexed="63"/>
      </top>
      <bottom style="medium"/>
    </border>
    <border>
      <left style="medium"/>
      <right style="thin"/>
      <top style="medium"/>
      <bottom style="thin"/>
    </border>
    <border>
      <left>
        <color indexed="63"/>
      </left>
      <right style="medium"/>
      <top style="medium"/>
      <bottom>
        <color indexed="63"/>
      </bottom>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color indexed="63"/>
      </bottom>
    </border>
    <border>
      <left style="thick"/>
      <right>
        <color indexed="63"/>
      </right>
      <top>
        <color indexed="63"/>
      </top>
      <bottom>
        <color indexed="63"/>
      </bottom>
    </border>
    <border>
      <left>
        <color indexed="63"/>
      </left>
      <right>
        <color indexed="63"/>
      </right>
      <top style="thin"/>
      <bottom style="double"/>
    </border>
    <border>
      <left>
        <color indexed="63"/>
      </left>
      <right style="medium"/>
      <top style="medium"/>
      <bottom style="thin"/>
    </border>
    <border>
      <left>
        <color indexed="63"/>
      </left>
      <right style="medium"/>
      <top style="thin"/>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90">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0" xfId="0" applyFont="1" applyBorder="1" applyAlignment="1" quotePrefix="1">
      <alignment horizontal="righ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0"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166" fontId="3" fillId="0" borderId="11" xfId="15" applyNumberFormat="1" applyFont="1" applyFill="1" applyBorder="1" applyAlignment="1">
      <alignment/>
    </xf>
    <xf numFmtId="0" fontId="2" fillId="0" borderId="12" xfId="0" applyFont="1" applyFill="1" applyBorder="1" applyAlignment="1">
      <alignment/>
    </xf>
    <xf numFmtId="0" fontId="2" fillId="0" borderId="0" xfId="0" applyFont="1" applyAlignment="1">
      <alignment horizontal="right"/>
    </xf>
    <xf numFmtId="0" fontId="2" fillId="0" borderId="0" xfId="0" applyFont="1" applyFill="1" applyBorder="1" applyAlignment="1">
      <alignment/>
    </xf>
    <xf numFmtId="168" fontId="2" fillId="0" borderId="0" xfId="0" applyNumberFormat="1" applyFont="1" applyFill="1" applyBorder="1" applyAlignment="1">
      <alignment/>
    </xf>
    <xf numFmtId="168" fontId="2" fillId="0" borderId="0" xfId="0" applyNumberFormat="1" applyFont="1" applyAlignment="1">
      <alignment/>
    </xf>
    <xf numFmtId="0" fontId="2" fillId="0" borderId="9" xfId="0" applyFont="1" applyFill="1" applyBorder="1" applyAlignment="1">
      <alignment/>
    </xf>
    <xf numFmtId="0" fontId="2" fillId="0" borderId="0" xfId="0" applyFont="1" applyFill="1" applyAlignment="1">
      <alignment/>
    </xf>
    <xf numFmtId="0" fontId="2" fillId="0" borderId="0" xfId="0" applyFont="1" applyAlignment="1">
      <alignment horizontal="left"/>
    </xf>
    <xf numFmtId="3" fontId="2" fillId="0" borderId="0" xfId="0" applyNumberFormat="1" applyFont="1" applyAlignment="1">
      <alignment/>
    </xf>
    <xf numFmtId="3" fontId="2" fillId="0" borderId="0" xfId="0" applyNumberFormat="1" applyFont="1" applyFill="1" applyBorder="1" applyAlignment="1">
      <alignment/>
    </xf>
    <xf numFmtId="0" fontId="2" fillId="0" borderId="11" xfId="0" applyFont="1" applyBorder="1" applyAlignment="1">
      <alignment/>
    </xf>
    <xf numFmtId="0" fontId="2" fillId="0" borderId="0" xfId="0" applyFont="1" applyFill="1" applyAlignment="1">
      <alignment horizontal="right"/>
    </xf>
    <xf numFmtId="168" fontId="3" fillId="0" borderId="11" xfId="0" applyNumberFormat="1" applyFont="1" applyFill="1" applyBorder="1" applyAlignment="1">
      <alignment/>
    </xf>
    <xf numFmtId="0" fontId="8" fillId="0" borderId="0" xfId="0" applyFont="1" applyFill="1" applyBorder="1" applyAlignment="1">
      <alignment/>
    </xf>
    <xf numFmtId="166" fontId="8" fillId="0" borderId="0" xfId="15" applyNumberFormat="1" applyFont="1" applyFill="1" applyBorder="1" applyAlignment="1">
      <alignment/>
    </xf>
    <xf numFmtId="166" fontId="2" fillId="0" borderId="0" xfId="0" applyNumberFormat="1" applyFont="1" applyAlignment="1">
      <alignment/>
    </xf>
    <xf numFmtId="3" fontId="0" fillId="0" borderId="0" xfId="0" applyNumberFormat="1" applyAlignment="1">
      <alignment/>
    </xf>
    <xf numFmtId="3" fontId="0" fillId="0" borderId="0" xfId="0" applyNumberFormat="1" applyAlignment="1">
      <alignment/>
    </xf>
    <xf numFmtId="9" fontId="2" fillId="0" borderId="0" xfId="21" applyFont="1" applyFill="1" applyBorder="1" applyAlignment="1">
      <alignment/>
    </xf>
    <xf numFmtId="1" fontId="2" fillId="0" borderId="0" xfId="0" applyNumberFormat="1" applyFont="1" applyFill="1" applyBorder="1" applyAlignment="1">
      <alignment horizontal="left"/>
    </xf>
    <xf numFmtId="9" fontId="2" fillId="0" borderId="0" xfId="21" applyFont="1" applyFill="1" applyBorder="1" applyAlignment="1">
      <alignment horizontal="left"/>
    </xf>
    <xf numFmtId="166" fontId="2" fillId="0" borderId="0" xfId="0" applyNumberFormat="1" applyFont="1" applyFill="1" applyBorder="1" applyAlignment="1">
      <alignment/>
    </xf>
    <xf numFmtId="10" fontId="2" fillId="0" borderId="0" xfId="0" applyNumberFormat="1" applyFont="1" applyFill="1" applyBorder="1" applyAlignment="1">
      <alignment/>
    </xf>
    <xf numFmtId="0" fontId="9" fillId="0" borderId="0" xfId="0" applyFont="1" applyAlignment="1">
      <alignment horizontal="center"/>
    </xf>
    <xf numFmtId="0" fontId="0" fillId="0" borderId="0" xfId="0" applyBorder="1" applyAlignment="1">
      <alignment/>
    </xf>
    <xf numFmtId="3" fontId="0" fillId="0" borderId="0" xfId="0" applyNumberFormat="1" applyBorder="1" applyAlignment="1">
      <alignment/>
    </xf>
    <xf numFmtId="0" fontId="0" fillId="0" borderId="0" xfId="0" applyFont="1" applyBorder="1" applyAlignment="1">
      <alignment/>
    </xf>
    <xf numFmtId="0" fontId="0" fillId="0" borderId="0" xfId="0" applyFont="1" applyBorder="1" applyAlignment="1">
      <alignment horizontal="center"/>
    </xf>
    <xf numFmtId="0" fontId="9" fillId="0" borderId="0" xfId="0" applyFont="1" applyBorder="1" applyAlignment="1">
      <alignment horizontal="center"/>
    </xf>
    <xf numFmtId="0" fontId="0" fillId="0" borderId="0" xfId="0" applyAlignment="1">
      <alignment vertical="top" wrapText="1"/>
    </xf>
    <xf numFmtId="0" fontId="0" fillId="0" borderId="0" xfId="0" applyAlignment="1">
      <alignment horizontal="center"/>
    </xf>
    <xf numFmtId="0" fontId="10" fillId="0" borderId="0" xfId="0" applyFont="1" applyBorder="1" applyAlignment="1">
      <alignment/>
    </xf>
    <xf numFmtId="0" fontId="13" fillId="0" borderId="13" xfId="0" applyFont="1" applyBorder="1" applyAlignment="1">
      <alignment/>
    </xf>
    <xf numFmtId="0" fontId="13" fillId="0" borderId="0" xfId="0" applyFont="1" applyBorder="1" applyAlignment="1">
      <alignment/>
    </xf>
    <xf numFmtId="3" fontId="13" fillId="0" borderId="0" xfId="0" applyNumberFormat="1" applyFont="1" applyBorder="1" applyAlignment="1">
      <alignment/>
    </xf>
    <xf numFmtId="0" fontId="14" fillId="0" borderId="0" xfId="0" applyFont="1" applyAlignment="1">
      <alignment/>
    </xf>
    <xf numFmtId="0" fontId="13" fillId="0" borderId="0" xfId="0" applyFont="1" applyBorder="1" applyAlignment="1">
      <alignment horizontal="center"/>
    </xf>
    <xf numFmtId="0" fontId="15" fillId="0" borderId="0" xfId="0" applyFont="1" applyBorder="1" applyAlignment="1">
      <alignment vertical="top"/>
    </xf>
    <xf numFmtId="3" fontId="13" fillId="0" borderId="13" xfId="0" applyNumberFormat="1"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0" fontId="13" fillId="0" borderId="6" xfId="0" applyFont="1" applyBorder="1" applyAlignment="1">
      <alignment horizontal="center"/>
    </xf>
    <xf numFmtId="3" fontId="13" fillId="0" borderId="6" xfId="0" applyNumberFormat="1" applyFont="1" applyBorder="1" applyAlignment="1">
      <alignment/>
    </xf>
    <xf numFmtId="0" fontId="13" fillId="0" borderId="14" xfId="0" applyFont="1" applyBorder="1" applyAlignment="1">
      <alignment horizontal="center"/>
    </xf>
    <xf numFmtId="3" fontId="13" fillId="0" borderId="14" xfId="0" applyNumberFormat="1" applyFont="1" applyBorder="1" applyAlignment="1">
      <alignment/>
    </xf>
    <xf numFmtId="0" fontId="13" fillId="0" borderId="14" xfId="0" applyFont="1" applyBorder="1" applyAlignment="1">
      <alignment/>
    </xf>
    <xf numFmtId="0" fontId="13" fillId="0" borderId="14" xfId="0" applyFont="1" applyFill="1" applyBorder="1" applyAlignment="1">
      <alignment horizontal="center"/>
    </xf>
    <xf numFmtId="0" fontId="13" fillId="0" borderId="15" xfId="0" applyFont="1" applyBorder="1" applyAlignment="1">
      <alignment horizontal="center"/>
    </xf>
    <xf numFmtId="0" fontId="13" fillId="0" borderId="0" xfId="0" applyFont="1" applyAlignment="1">
      <alignment/>
    </xf>
    <xf numFmtId="0" fontId="13" fillId="0" borderId="14" xfId="0" applyFont="1" applyFill="1" applyBorder="1" applyAlignment="1">
      <alignment/>
    </xf>
    <xf numFmtId="0" fontId="15" fillId="0" borderId="0" xfId="0" applyFont="1" applyBorder="1" applyAlignment="1">
      <alignment/>
    </xf>
    <xf numFmtId="0" fontId="12" fillId="0" borderId="0" xfId="0" applyFont="1" applyBorder="1" applyAlignment="1">
      <alignment/>
    </xf>
    <xf numFmtId="0" fontId="13" fillId="0" borderId="2" xfId="0" applyFont="1" applyBorder="1" applyAlignment="1">
      <alignment/>
    </xf>
    <xf numFmtId="0" fontId="13" fillId="0" borderId="13" xfId="0" applyFont="1" applyFill="1" applyBorder="1" applyAlignment="1">
      <alignment/>
    </xf>
    <xf numFmtId="0" fontId="13" fillId="0" borderId="11" xfId="0" applyFont="1" applyFill="1" applyBorder="1" applyAlignment="1">
      <alignment/>
    </xf>
    <xf numFmtId="9" fontId="13" fillId="0" borderId="14" xfId="0" applyNumberFormat="1" applyFont="1" applyBorder="1" applyAlignment="1">
      <alignment horizontal="center"/>
    </xf>
    <xf numFmtId="0" fontId="13" fillId="0" borderId="0" xfId="0" applyFont="1" applyBorder="1" applyAlignment="1">
      <alignment horizontal="left"/>
    </xf>
    <xf numFmtId="9" fontId="13" fillId="0" borderId="13" xfId="0" applyNumberFormat="1" applyFont="1" applyBorder="1" applyAlignment="1">
      <alignment horizontal="center"/>
    </xf>
    <xf numFmtId="0" fontId="12" fillId="0" borderId="0" xfId="0" applyFont="1" applyBorder="1" applyAlignment="1">
      <alignment horizontal="center"/>
    </xf>
    <xf numFmtId="0" fontId="13" fillId="0" borderId="16" xfId="0" applyFont="1" applyBorder="1" applyAlignment="1">
      <alignment/>
    </xf>
    <xf numFmtId="0" fontId="13" fillId="0" borderId="0" xfId="0" applyFont="1" applyFill="1" applyBorder="1" applyAlignment="1">
      <alignment/>
    </xf>
    <xf numFmtId="1" fontId="13" fillId="0" borderId="0" xfId="0" applyNumberFormat="1" applyFont="1" applyFill="1" applyBorder="1" applyAlignment="1">
      <alignment horizontal="center"/>
    </xf>
    <xf numFmtId="1" fontId="13" fillId="0" borderId="14" xfId="0" applyNumberFormat="1" applyFont="1" applyBorder="1" applyAlignment="1">
      <alignment horizontal="center"/>
    </xf>
    <xf numFmtId="0" fontId="2" fillId="0" borderId="0" xfId="0" applyFont="1" applyAlignment="1">
      <alignment horizontal="left" wrapText="1"/>
    </xf>
    <xf numFmtId="0" fontId="2" fillId="0" borderId="0" xfId="0" applyFont="1" applyFill="1" applyBorder="1" applyAlignment="1">
      <alignment horizontal="left" wrapText="1"/>
    </xf>
    <xf numFmtId="9" fontId="2" fillId="0" borderId="0" xfId="15" applyNumberFormat="1" applyFont="1" applyFill="1" applyBorder="1" applyAlignment="1">
      <alignment/>
    </xf>
    <xf numFmtId="166" fontId="2" fillId="0" borderId="0" xfId="15" applyNumberFormat="1" applyFont="1" applyFill="1" applyBorder="1" applyAlignment="1">
      <alignment/>
    </xf>
    <xf numFmtId="166" fontId="2" fillId="0" borderId="11" xfId="15" applyNumberFormat="1" applyFont="1" applyFill="1" applyBorder="1" applyAlignment="1">
      <alignment/>
    </xf>
    <xf numFmtId="9" fontId="2" fillId="0" borderId="11" xfId="15" applyNumberFormat="1" applyFont="1" applyFill="1" applyBorder="1" applyAlignment="1">
      <alignment/>
    </xf>
    <xf numFmtId="168" fontId="2" fillId="0" borderId="11" xfId="0" applyNumberFormat="1" applyFont="1" applyFill="1" applyBorder="1" applyAlignment="1">
      <alignment/>
    </xf>
    <xf numFmtId="3" fontId="2" fillId="0" borderId="0" xfId="0" applyNumberFormat="1" applyFont="1" applyFill="1" applyAlignment="1">
      <alignment horizontal="left"/>
    </xf>
    <xf numFmtId="3" fontId="2" fillId="0" borderId="0" xfId="0" applyNumberFormat="1" applyFont="1" applyFill="1" applyAlignment="1">
      <alignment/>
    </xf>
    <xf numFmtId="0" fontId="2" fillId="0" borderId="0" xfId="0" applyFont="1" applyFill="1" applyAlignment="1">
      <alignment horizontal="left"/>
    </xf>
    <xf numFmtId="0" fontId="2" fillId="0" borderId="5" xfId="0" applyFont="1" applyFill="1" applyBorder="1" applyAlignment="1">
      <alignment/>
    </xf>
    <xf numFmtId="0" fontId="2" fillId="0" borderId="6" xfId="0" applyFont="1" applyFill="1" applyBorder="1" applyAlignment="1">
      <alignment/>
    </xf>
    <xf numFmtId="0" fontId="2" fillId="0" borderId="7" xfId="0" applyFont="1" applyFill="1" applyBorder="1" applyAlignment="1">
      <alignment/>
    </xf>
    <xf numFmtId="0" fontId="2" fillId="0" borderId="17" xfId="0" applyFont="1" applyFill="1" applyBorder="1" applyAlignment="1">
      <alignment/>
    </xf>
    <xf numFmtId="0" fontId="2" fillId="0" borderId="8" xfId="0" applyFont="1" applyFill="1" applyBorder="1" applyAlignment="1">
      <alignment/>
    </xf>
    <xf numFmtId="0" fontId="2" fillId="0" borderId="10" xfId="0" applyFont="1" applyFill="1" applyBorder="1" applyAlignment="1">
      <alignment/>
    </xf>
    <xf numFmtId="9" fontId="2" fillId="0" borderId="11" xfId="21" applyFont="1" applyFill="1" applyBorder="1" applyAlignment="1">
      <alignment/>
    </xf>
    <xf numFmtId="0" fontId="2" fillId="0" borderId="11" xfId="0" applyFont="1" applyFill="1" applyBorder="1" applyAlignment="1">
      <alignment/>
    </xf>
    <xf numFmtId="168" fontId="2" fillId="0" borderId="0" xfId="0" applyNumberFormat="1" applyFont="1" applyFill="1" applyAlignment="1">
      <alignment/>
    </xf>
    <xf numFmtId="166" fontId="2" fillId="0" borderId="0" xfId="0" applyNumberFormat="1" applyFont="1" applyFill="1" applyAlignment="1">
      <alignment/>
    </xf>
    <xf numFmtId="0" fontId="2" fillId="0" borderId="18" xfId="0" applyFont="1" applyFill="1" applyBorder="1" applyAlignment="1">
      <alignment/>
    </xf>
    <xf numFmtId="168" fontId="2" fillId="0" borderId="18" xfId="0" applyNumberFormat="1" applyFont="1" applyFill="1" applyBorder="1" applyAlignment="1">
      <alignment/>
    </xf>
    <xf numFmtId="166" fontId="2" fillId="0" borderId="18" xfId="15" applyNumberFormat="1" applyFont="1" applyFill="1" applyBorder="1" applyAlignment="1">
      <alignment/>
    </xf>
    <xf numFmtId="9" fontId="2" fillId="0" borderId="19" xfId="21" applyFont="1" applyFill="1" applyBorder="1" applyAlignment="1">
      <alignment/>
    </xf>
    <xf numFmtId="0" fontId="2" fillId="0" borderId="20" xfId="0" applyFont="1" applyFill="1" applyBorder="1" applyAlignment="1">
      <alignment/>
    </xf>
    <xf numFmtId="0" fontId="2" fillId="0" borderId="21" xfId="0" applyFont="1" applyFill="1" applyBorder="1" applyAlignment="1">
      <alignment/>
    </xf>
    <xf numFmtId="166" fontId="2" fillId="0" borderId="22" xfId="15" applyNumberFormat="1" applyFont="1" applyFill="1" applyBorder="1" applyAlignment="1">
      <alignment/>
    </xf>
    <xf numFmtId="9" fontId="2" fillId="0" borderId="22" xfId="21" applyFont="1" applyFill="1" applyBorder="1" applyAlignment="1">
      <alignment/>
    </xf>
    <xf numFmtId="9" fontId="2" fillId="0" borderId="23" xfId="15" applyNumberFormat="1" applyFont="1" applyFill="1" applyBorder="1" applyAlignment="1">
      <alignment/>
    </xf>
    <xf numFmtId="166" fontId="2" fillId="0" borderId="21" xfId="15" applyNumberFormat="1" applyFont="1" applyFill="1" applyBorder="1" applyAlignment="1">
      <alignment/>
    </xf>
    <xf numFmtId="3" fontId="2" fillId="0" borderId="18" xfId="0" applyNumberFormat="1" applyFont="1" applyFill="1" applyBorder="1" applyAlignment="1">
      <alignment/>
    </xf>
    <xf numFmtId="166" fontId="2" fillId="0" borderId="20" xfId="15" applyNumberFormat="1" applyFont="1" applyFill="1" applyBorder="1" applyAlignment="1">
      <alignment/>
    </xf>
    <xf numFmtId="166" fontId="2" fillId="0" borderId="16" xfId="15" applyNumberFormat="1" applyFont="1" applyFill="1" applyBorder="1" applyAlignment="1">
      <alignment/>
    </xf>
    <xf numFmtId="0" fontId="2" fillId="0" borderId="0" xfId="0" applyFont="1" applyFill="1" applyAlignment="1" quotePrefix="1">
      <alignment/>
    </xf>
    <xf numFmtId="3" fontId="2" fillId="0" borderId="0" xfId="0" applyNumberFormat="1" applyFont="1" applyFill="1" applyAlignment="1">
      <alignment/>
    </xf>
    <xf numFmtId="3" fontId="2" fillId="0" borderId="0" xfId="0" applyNumberFormat="1" applyFont="1" applyFill="1" applyAlignment="1">
      <alignment wrapText="1"/>
    </xf>
    <xf numFmtId="0" fontId="2" fillId="0" borderId="24" xfId="0" applyFont="1" applyFill="1" applyBorder="1" applyAlignment="1">
      <alignment/>
    </xf>
    <xf numFmtId="168" fontId="2" fillId="0" borderId="25" xfId="0" applyNumberFormat="1" applyFont="1" applyFill="1" applyBorder="1" applyAlignment="1">
      <alignment/>
    </xf>
    <xf numFmtId="166" fontId="2" fillId="0" borderId="26" xfId="15" applyNumberFormat="1" applyFont="1" applyFill="1" applyBorder="1" applyAlignment="1">
      <alignment/>
    </xf>
    <xf numFmtId="9" fontId="2" fillId="0" borderId="27" xfId="15" applyNumberFormat="1" applyFont="1" applyFill="1" applyBorder="1" applyAlignment="1">
      <alignment/>
    </xf>
    <xf numFmtId="166" fontId="2" fillId="0" borderId="24" xfId="15" applyNumberFormat="1" applyFont="1" applyFill="1" applyBorder="1" applyAlignment="1">
      <alignment/>
    </xf>
    <xf numFmtId="166" fontId="2" fillId="0" borderId="25" xfId="15" applyNumberFormat="1" applyFont="1" applyFill="1" applyBorder="1" applyAlignment="1">
      <alignment/>
    </xf>
    <xf numFmtId="0" fontId="2" fillId="0" borderId="7" xfId="0" applyFont="1" applyFill="1" applyBorder="1" applyAlignment="1">
      <alignment horizontal="center"/>
    </xf>
    <xf numFmtId="0" fontId="2" fillId="0" borderId="17" xfId="0" applyFont="1" applyFill="1" applyBorder="1" applyAlignment="1">
      <alignment horizontal="center"/>
    </xf>
    <xf numFmtId="0" fontId="2" fillId="0" borderId="28" xfId="0" applyFont="1" applyFill="1" applyBorder="1" applyAlignment="1">
      <alignment horizontal="center"/>
    </xf>
    <xf numFmtId="0" fontId="2" fillId="0" borderId="9" xfId="0" applyFont="1" applyFill="1" applyBorder="1" applyAlignment="1">
      <alignment horizontal="center"/>
    </xf>
    <xf numFmtId="0" fontId="2" fillId="0" borderId="29" xfId="0" applyFont="1" applyFill="1" applyBorder="1" applyAlignment="1">
      <alignment horizontal="center"/>
    </xf>
    <xf numFmtId="0" fontId="2" fillId="0" borderId="30" xfId="0" applyFont="1" applyFill="1" applyBorder="1" applyAlignment="1">
      <alignment horizontal="center"/>
    </xf>
    <xf numFmtId="169" fontId="2" fillId="0" borderId="18" xfId="0" applyNumberFormat="1" applyFont="1" applyFill="1" applyBorder="1" applyAlignment="1">
      <alignment horizontal="center"/>
    </xf>
    <xf numFmtId="168" fontId="2" fillId="0" borderId="18" xfId="0" applyNumberFormat="1" applyFont="1" applyFill="1" applyBorder="1" applyAlignment="1">
      <alignment horizontal="center"/>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22" xfId="0" applyFont="1" applyFill="1" applyBorder="1" applyAlignment="1">
      <alignment horizontal="center" wrapText="1"/>
    </xf>
    <xf numFmtId="0" fontId="2" fillId="0" borderId="18" xfId="0" applyFont="1" applyFill="1" applyBorder="1" applyAlignment="1">
      <alignment horizontal="center"/>
    </xf>
    <xf numFmtId="0" fontId="1" fillId="0" borderId="11" xfId="0" applyFont="1" applyFill="1" applyBorder="1" applyAlignment="1">
      <alignment horizontal="right"/>
    </xf>
    <xf numFmtId="0" fontId="2" fillId="0" borderId="0" xfId="0" applyFont="1" applyFill="1" applyBorder="1" applyAlignment="1">
      <alignment horizontal="right"/>
    </xf>
    <xf numFmtId="9" fontId="2" fillId="0" borderId="18" xfId="21" applyFont="1" applyFill="1" applyBorder="1" applyAlignment="1">
      <alignment horizontal="right"/>
    </xf>
    <xf numFmtId="9" fontId="2" fillId="0" borderId="25" xfId="21" applyFont="1" applyFill="1" applyBorder="1" applyAlignment="1">
      <alignment horizontal="right"/>
    </xf>
    <xf numFmtId="9" fontId="2" fillId="0" borderId="11" xfId="21" applyFont="1" applyFill="1" applyBorder="1" applyAlignment="1">
      <alignment horizontal="right"/>
    </xf>
    <xf numFmtId="9" fontId="2" fillId="0" borderId="0" xfId="21" applyFont="1" applyFill="1" applyBorder="1" applyAlignment="1">
      <alignment horizontal="right"/>
    </xf>
    <xf numFmtId="3" fontId="2" fillId="0" borderId="0" xfId="0" applyNumberFormat="1" applyFont="1" applyFill="1" applyAlignment="1">
      <alignment horizontal="right"/>
    </xf>
    <xf numFmtId="9" fontId="2" fillId="0" borderId="31" xfId="21" applyFont="1" applyFill="1" applyBorder="1" applyAlignment="1">
      <alignment/>
    </xf>
    <xf numFmtId="0" fontId="2" fillId="0" borderId="20" xfId="0" applyFont="1" applyFill="1" applyBorder="1" applyAlignment="1">
      <alignment horizontal="center"/>
    </xf>
    <xf numFmtId="0" fontId="2" fillId="0" borderId="32" xfId="0" applyFont="1" applyFill="1" applyBorder="1" applyAlignment="1">
      <alignment horizontal="center"/>
    </xf>
    <xf numFmtId="2" fontId="2" fillId="0" borderId="18" xfId="15" applyNumberFormat="1" applyFont="1" applyFill="1" applyBorder="1" applyAlignment="1">
      <alignment/>
    </xf>
    <xf numFmtId="0" fontId="1" fillId="0" borderId="0" xfId="0" applyFont="1" applyFill="1" applyBorder="1" applyAlignment="1">
      <alignment horizontal="center" wrapText="1"/>
    </xf>
    <xf numFmtId="0" fontId="2" fillId="0" borderId="33" xfId="0" applyFont="1" applyFill="1" applyBorder="1" applyAlignment="1">
      <alignment/>
    </xf>
    <xf numFmtId="0" fontId="2" fillId="0" borderId="9" xfId="0" applyFont="1" applyFill="1" applyBorder="1" applyAlignment="1">
      <alignment horizontal="left" wrapText="1"/>
    </xf>
    <xf numFmtId="0" fontId="2" fillId="0" borderId="4" xfId="0" applyFont="1" applyFill="1" applyBorder="1" applyAlignment="1">
      <alignment/>
    </xf>
    <xf numFmtId="169" fontId="2" fillId="0" borderId="0" xfId="0" applyNumberFormat="1" applyFont="1" applyFill="1" applyAlignment="1">
      <alignment/>
    </xf>
    <xf numFmtId="3" fontId="2" fillId="0" borderId="18" xfId="0" applyNumberFormat="1" applyFont="1" applyFill="1" applyBorder="1" applyAlignment="1">
      <alignment/>
    </xf>
    <xf numFmtId="9" fontId="2" fillId="0" borderId="18" xfId="15" applyNumberFormat="1" applyFont="1" applyFill="1" applyBorder="1" applyAlignment="1">
      <alignment horizontal="center"/>
    </xf>
    <xf numFmtId="9" fontId="2" fillId="0" borderId="18" xfId="15" applyNumberFormat="1" applyFont="1" applyFill="1" applyBorder="1" applyAlignment="1">
      <alignment/>
    </xf>
    <xf numFmtId="3" fontId="2" fillId="0" borderId="0" xfId="0" applyNumberFormat="1" applyFont="1" applyFill="1" applyBorder="1" applyAlignment="1">
      <alignment horizontal="left"/>
    </xf>
    <xf numFmtId="0" fontId="2" fillId="0" borderId="12" xfId="0" applyFont="1" applyFill="1" applyBorder="1" applyAlignment="1">
      <alignment horizontal="center"/>
    </xf>
    <xf numFmtId="0" fontId="3" fillId="0" borderId="0" xfId="0" applyFont="1" applyFill="1" applyAlignment="1">
      <alignment/>
    </xf>
    <xf numFmtId="3" fontId="3" fillId="0" borderId="0" xfId="0" applyNumberFormat="1" applyFont="1" applyFill="1" applyAlignment="1">
      <alignment/>
    </xf>
    <xf numFmtId="9" fontId="3" fillId="0" borderId="11" xfId="15" applyNumberFormat="1" applyFont="1" applyFill="1" applyBorder="1" applyAlignment="1">
      <alignment/>
    </xf>
    <xf numFmtId="0" fontId="3" fillId="0" borderId="11" xfId="0" applyFont="1" applyFill="1" applyBorder="1" applyAlignment="1">
      <alignment/>
    </xf>
    <xf numFmtId="9" fontId="2" fillId="0" borderId="25" xfId="15" applyNumberFormat="1" applyFont="1" applyFill="1" applyBorder="1" applyAlignment="1">
      <alignment/>
    </xf>
    <xf numFmtId="0" fontId="2" fillId="0" borderId="8" xfId="0" applyFont="1" applyFill="1" applyBorder="1" applyAlignment="1">
      <alignment horizontal="center"/>
    </xf>
    <xf numFmtId="0" fontId="2" fillId="0" borderId="32" xfId="0" applyFont="1" applyFill="1" applyBorder="1" applyAlignment="1">
      <alignment/>
    </xf>
    <xf numFmtId="0" fontId="3" fillId="0" borderId="22" xfId="0" applyFont="1" applyFill="1" applyBorder="1" applyAlignment="1">
      <alignment/>
    </xf>
    <xf numFmtId="169" fontId="3" fillId="0" borderId="0" xfId="0" applyNumberFormat="1" applyFont="1" applyFill="1" applyAlignment="1">
      <alignment/>
    </xf>
    <xf numFmtId="0" fontId="3" fillId="0" borderId="10" xfId="0" applyFont="1" applyFill="1" applyBorder="1" applyAlignment="1">
      <alignment horizontal="center"/>
    </xf>
    <xf numFmtId="0" fontId="3" fillId="0" borderId="0" xfId="0" applyFont="1" applyFill="1" applyAlignment="1">
      <alignment horizontal="center"/>
    </xf>
    <xf numFmtId="9" fontId="2" fillId="0" borderId="18" xfId="21" applyFont="1" applyFill="1" applyBorder="1" applyAlignment="1">
      <alignment/>
    </xf>
    <xf numFmtId="9" fontId="2" fillId="0" borderId="25" xfId="21" applyFont="1" applyFill="1" applyBorder="1" applyAlignment="1">
      <alignment/>
    </xf>
    <xf numFmtId="0" fontId="2" fillId="0" borderId="24" xfId="0" applyFont="1" applyFill="1" applyBorder="1" applyAlignment="1">
      <alignment horizontal="center"/>
    </xf>
    <xf numFmtId="3" fontId="2" fillId="0" borderId="0" xfId="0" applyNumberFormat="1" applyFont="1" applyAlignment="1">
      <alignment horizontal="left"/>
    </xf>
    <xf numFmtId="9" fontId="2" fillId="0" borderId="0" xfId="21" applyFont="1" applyBorder="1" applyAlignment="1">
      <alignment/>
    </xf>
    <xf numFmtId="168" fontId="2" fillId="0" borderId="0" xfId="0" applyNumberFormat="1" applyFont="1" applyBorder="1" applyAlignment="1">
      <alignment/>
    </xf>
    <xf numFmtId="168" fontId="2" fillId="0" borderId="11" xfId="0" applyNumberFormat="1" applyFont="1" applyBorder="1" applyAlignment="1">
      <alignment/>
    </xf>
    <xf numFmtId="9" fontId="2" fillId="0" borderId="11" xfId="21" applyFont="1" applyBorder="1" applyAlignment="1">
      <alignment/>
    </xf>
    <xf numFmtId="166" fontId="2" fillId="0" borderId="18" xfId="15" applyNumberFormat="1" applyFont="1" applyBorder="1" applyAlignment="1">
      <alignment/>
    </xf>
    <xf numFmtId="2" fontId="2" fillId="0" borderId="18" xfId="15" applyNumberFormat="1" applyFont="1" applyBorder="1" applyAlignment="1">
      <alignment/>
    </xf>
    <xf numFmtId="166" fontId="2" fillId="0" borderId="0" xfId="15" applyNumberFormat="1" applyFont="1" applyBorder="1" applyAlignment="1">
      <alignment/>
    </xf>
    <xf numFmtId="0" fontId="2" fillId="0" borderId="18" xfId="0" applyFont="1" applyBorder="1" applyAlignment="1">
      <alignment/>
    </xf>
    <xf numFmtId="9" fontId="2" fillId="0" borderId="18" xfId="21" applyFont="1" applyBorder="1" applyAlignment="1">
      <alignment/>
    </xf>
    <xf numFmtId="3" fontId="2" fillId="0" borderId="18" xfId="0" applyNumberFormat="1" applyFont="1" applyFill="1" applyBorder="1" applyAlignment="1">
      <alignment wrapText="1"/>
    </xf>
    <xf numFmtId="168" fontId="2" fillId="0" borderId="18" xfId="0" applyNumberFormat="1" applyFont="1" applyBorder="1" applyAlignment="1">
      <alignment/>
    </xf>
    <xf numFmtId="0" fontId="2" fillId="0" borderId="0" xfId="0" applyFont="1" applyBorder="1" applyAlignment="1">
      <alignment horizontal="left" wrapText="1"/>
    </xf>
    <xf numFmtId="0" fontId="2" fillId="0" borderId="29" xfId="0" applyFont="1" applyFill="1" applyBorder="1" applyAlignment="1">
      <alignment/>
    </xf>
    <xf numFmtId="0" fontId="2" fillId="0" borderId="23" xfId="0" applyFont="1" applyFill="1" applyBorder="1" applyAlignment="1">
      <alignment/>
    </xf>
    <xf numFmtId="0" fontId="1" fillId="0" borderId="0" xfId="0" applyFont="1" applyAlignment="1">
      <alignment horizontal="center"/>
    </xf>
    <xf numFmtId="2" fontId="2" fillId="2" borderId="18" xfId="0" applyNumberFormat="1" applyFont="1" applyFill="1" applyBorder="1" applyAlignment="1">
      <alignment horizontal="right" wrapText="1"/>
    </xf>
    <xf numFmtId="166" fontId="2" fillId="0" borderId="16" xfId="15" applyNumberFormat="1" applyFont="1" applyBorder="1" applyAlignment="1">
      <alignment/>
    </xf>
    <xf numFmtId="2" fontId="2" fillId="0" borderId="18" xfId="0" applyNumberFormat="1" applyFont="1" applyFill="1" applyBorder="1" applyAlignment="1">
      <alignment horizontal="right" wrapText="1"/>
    </xf>
    <xf numFmtId="4" fontId="2" fillId="0" borderId="0" xfId="0" applyNumberFormat="1" applyFont="1" applyFill="1" applyAlignment="1">
      <alignment/>
    </xf>
    <xf numFmtId="0" fontId="2" fillId="0" borderId="0" xfId="0" applyFont="1" applyFill="1" applyAlignment="1">
      <alignment horizontal="left" wrapText="1"/>
    </xf>
    <xf numFmtId="0" fontId="2" fillId="0" borderId="14" xfId="0" applyFont="1" applyFill="1" applyBorder="1" applyAlignment="1">
      <alignment/>
    </xf>
    <xf numFmtId="0" fontId="2" fillId="0" borderId="34" xfId="0" applyFont="1" applyFill="1" applyBorder="1" applyAlignment="1">
      <alignment/>
    </xf>
    <xf numFmtId="0" fontId="2" fillId="0" borderId="35" xfId="0" applyFont="1" applyFill="1" applyBorder="1" applyAlignment="1">
      <alignment/>
    </xf>
    <xf numFmtId="0" fontId="2" fillId="0" borderId="0" xfId="0" applyFont="1" applyFill="1" applyBorder="1" applyAlignment="1">
      <alignment wrapText="1"/>
    </xf>
    <xf numFmtId="168" fontId="8" fillId="0" borderId="0" xfId="0" applyNumberFormat="1" applyFont="1" applyFill="1" applyBorder="1" applyAlignment="1">
      <alignment/>
    </xf>
    <xf numFmtId="43" fontId="8" fillId="0" borderId="0" xfId="15" applyNumberFormat="1" applyFont="1" applyFill="1" applyBorder="1" applyAlignment="1">
      <alignment/>
    </xf>
    <xf numFmtId="164" fontId="2" fillId="0" borderId="0" xfId="15" applyNumberFormat="1" applyFont="1" applyBorder="1" applyAlignment="1">
      <alignment/>
    </xf>
    <xf numFmtId="166" fontId="2" fillId="0" borderId="36" xfId="15" applyNumberFormat="1" applyFont="1" applyFill="1" applyBorder="1" applyAlignment="1">
      <alignment/>
    </xf>
    <xf numFmtId="168" fontId="2" fillId="0" borderId="36" xfId="0" applyNumberFormat="1" applyFont="1" applyFill="1" applyBorder="1" applyAlignment="1">
      <alignment/>
    </xf>
    <xf numFmtId="164" fontId="2" fillId="0" borderId="37" xfId="15" applyNumberFormat="1" applyFont="1" applyBorder="1" applyAlignment="1">
      <alignment/>
    </xf>
    <xf numFmtId="43" fontId="2" fillId="0" borderId="36" xfId="15" applyNumberFormat="1" applyFont="1" applyFill="1" applyBorder="1" applyAlignment="1">
      <alignment/>
    </xf>
    <xf numFmtId="166" fontId="2" fillId="0" borderId="38" xfId="15" applyNumberFormat="1" applyFont="1" applyFill="1" applyBorder="1" applyAlignment="1">
      <alignment/>
    </xf>
    <xf numFmtId="43" fontId="2" fillId="0" borderId="0" xfId="15" applyNumberFormat="1" applyFont="1" applyFill="1" applyBorder="1" applyAlignment="1">
      <alignment/>
    </xf>
    <xf numFmtId="0" fontId="2" fillId="0" borderId="0" xfId="0" applyFont="1" applyFill="1" applyBorder="1" applyAlignment="1" quotePrefix="1">
      <alignment horizontal="right"/>
    </xf>
    <xf numFmtId="164" fontId="2" fillId="0" borderId="0" xfId="15" applyNumberFormat="1" applyFont="1" applyFill="1" applyBorder="1" applyAlignment="1">
      <alignment/>
    </xf>
    <xf numFmtId="2" fontId="2" fillId="0" borderId="0" xfId="0" applyNumberFormat="1" applyFont="1" applyFill="1" applyAlignment="1">
      <alignment/>
    </xf>
    <xf numFmtId="2" fontId="2" fillId="0" borderId="18" xfId="0" applyNumberFormat="1" applyFont="1" applyFill="1" applyBorder="1" applyAlignment="1">
      <alignment/>
    </xf>
    <xf numFmtId="1" fontId="2" fillId="0" borderId="0" xfId="0" applyNumberFormat="1" applyFont="1" applyFill="1" applyBorder="1" applyAlignment="1">
      <alignment horizontal="center"/>
    </xf>
    <xf numFmtId="0" fontId="2" fillId="0" borderId="39" xfId="0" applyFont="1" applyFill="1" applyBorder="1" applyAlignment="1">
      <alignment/>
    </xf>
    <xf numFmtId="0" fontId="2" fillId="0" borderId="18" xfId="0" applyFont="1" applyFill="1" applyBorder="1" applyAlignment="1">
      <alignment horizontal="right"/>
    </xf>
    <xf numFmtId="3" fontId="2" fillId="2" borderId="18" xfId="0" applyNumberFormat="1" applyFont="1" applyFill="1" applyBorder="1" applyAlignment="1">
      <alignment horizontal="right" wrapText="1"/>
    </xf>
    <xf numFmtId="3" fontId="2" fillId="0" borderId="18" xfId="0" applyNumberFormat="1" applyFont="1" applyBorder="1" applyAlignment="1">
      <alignment/>
    </xf>
    <xf numFmtId="0" fontId="2" fillId="0" borderId="20" xfId="0" applyFont="1" applyBorder="1" applyAlignment="1">
      <alignment horizontal="center"/>
    </xf>
    <xf numFmtId="0" fontId="2" fillId="0" borderId="24" xfId="0" applyFont="1" applyBorder="1" applyAlignment="1">
      <alignment/>
    </xf>
    <xf numFmtId="168" fontId="2" fillId="0" borderId="25" xfId="0" applyNumberFormat="1" applyFont="1" applyBorder="1" applyAlignment="1">
      <alignment/>
    </xf>
    <xf numFmtId="9" fontId="2" fillId="0" borderId="25" xfId="21" applyFont="1" applyBorder="1" applyAlignment="1">
      <alignment/>
    </xf>
    <xf numFmtId="166" fontId="2" fillId="0" borderId="25" xfId="15" applyNumberFormat="1" applyFont="1" applyBorder="1" applyAlignment="1">
      <alignment/>
    </xf>
    <xf numFmtId="3" fontId="2" fillId="0" borderId="18" xfId="0" applyNumberFormat="1" applyFont="1" applyFill="1" applyBorder="1" applyAlignment="1">
      <alignment horizontal="right" wrapText="1"/>
    </xf>
    <xf numFmtId="0" fontId="2" fillId="0" borderId="40"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left" wrapText="1"/>
    </xf>
    <xf numFmtId="0" fontId="2" fillId="0" borderId="43" xfId="0" applyFont="1" applyFill="1" applyBorder="1" applyAlignment="1">
      <alignment/>
    </xf>
    <xf numFmtId="9" fontId="2" fillId="0" borderId="36" xfId="15" applyNumberFormat="1" applyFont="1" applyFill="1" applyBorder="1" applyAlignment="1">
      <alignment/>
    </xf>
    <xf numFmtId="0" fontId="2" fillId="0" borderId="44" xfId="0" applyFont="1" applyFill="1" applyBorder="1" applyAlignment="1">
      <alignment/>
    </xf>
    <xf numFmtId="0" fontId="2" fillId="0" borderId="40" xfId="0" applyFont="1" applyFill="1" applyBorder="1" applyAlignment="1">
      <alignment/>
    </xf>
    <xf numFmtId="0" fontId="2" fillId="0" borderId="0" xfId="0" applyFont="1" applyFill="1" applyBorder="1" applyAlignment="1">
      <alignment horizontal="left"/>
    </xf>
    <xf numFmtId="0" fontId="13" fillId="0" borderId="13" xfId="0" applyFont="1" applyBorder="1" applyAlignment="1">
      <alignment horizontal="center"/>
    </xf>
    <xf numFmtId="0" fontId="0" fillId="0" borderId="14" xfId="0" applyBorder="1" applyAlignment="1">
      <alignment/>
    </xf>
    <xf numFmtId="0" fontId="13" fillId="0" borderId="15" xfId="0" applyFont="1" applyBorder="1" applyAlignment="1">
      <alignment horizontal="center" wrapText="1"/>
    </xf>
    <xf numFmtId="169" fontId="0" fillId="0" borderId="0" xfId="0" applyNumberFormat="1" applyBorder="1" applyAlignment="1">
      <alignment/>
    </xf>
    <xf numFmtId="0" fontId="13" fillId="0" borderId="13" xfId="0" applyFont="1" applyFill="1" applyBorder="1" applyAlignment="1">
      <alignment horizontal="center"/>
    </xf>
    <xf numFmtId="0" fontId="2" fillId="0" borderId="16" xfId="0" applyFont="1" applyFill="1" applyBorder="1" applyAlignment="1">
      <alignment horizontal="left" wrapText="1"/>
    </xf>
    <xf numFmtId="0" fontId="13" fillId="0" borderId="0" xfId="0" applyFont="1" applyBorder="1" applyAlignment="1">
      <alignment horizontal="center" wrapText="1"/>
    </xf>
    <xf numFmtId="0" fontId="13" fillId="0" borderId="13" xfId="0" applyFont="1" applyBorder="1" applyAlignment="1">
      <alignment horizontal="center" wrapText="1"/>
    </xf>
    <xf numFmtId="0" fontId="13" fillId="0" borderId="6" xfId="0" applyFont="1" applyBorder="1" applyAlignment="1">
      <alignment horizontal="center" wrapText="1"/>
    </xf>
    <xf numFmtId="0" fontId="13" fillId="0" borderId="16" xfId="0" applyFont="1" applyBorder="1" applyAlignment="1">
      <alignment horizontal="center"/>
    </xf>
    <xf numFmtId="0" fontId="0" fillId="0" borderId="16" xfId="0" applyBorder="1" applyAlignment="1">
      <alignment/>
    </xf>
    <xf numFmtId="0" fontId="2" fillId="0" borderId="21" xfId="0" applyFont="1" applyFill="1" applyBorder="1" applyAlignment="1">
      <alignment horizontal="center"/>
    </xf>
    <xf numFmtId="0" fontId="0" fillId="0" borderId="15" xfId="0" applyBorder="1" applyAlignment="1">
      <alignment/>
    </xf>
    <xf numFmtId="0" fontId="2" fillId="0" borderId="13" xfId="0" applyFont="1" applyFill="1" applyBorder="1" applyAlignment="1">
      <alignment horizontal="center"/>
    </xf>
    <xf numFmtId="0" fontId="2" fillId="0" borderId="16" xfId="0" applyFont="1" applyFill="1" applyBorder="1" applyAlignment="1">
      <alignment/>
    </xf>
    <xf numFmtId="0" fontId="2" fillId="0" borderId="45" xfId="0" applyFont="1" applyFill="1" applyBorder="1" applyAlignment="1">
      <alignment/>
    </xf>
    <xf numFmtId="0" fontId="2" fillId="0" borderId="8" xfId="0" applyFont="1" applyFill="1" applyBorder="1" applyAlignment="1">
      <alignment horizontal="left" wrapText="1"/>
    </xf>
    <xf numFmtId="0" fontId="2" fillId="0" borderId="13" xfId="0" applyFont="1" applyFill="1" applyBorder="1" applyAlignment="1">
      <alignment horizontal="left" wrapText="1"/>
    </xf>
    <xf numFmtId="0" fontId="2" fillId="0" borderId="46" xfId="0" applyFont="1" applyFill="1" applyBorder="1" applyAlignment="1">
      <alignment horizontal="left" wrapText="1"/>
    </xf>
    <xf numFmtId="0" fontId="2" fillId="0" borderId="47" xfId="0" applyFont="1" applyFill="1" applyBorder="1" applyAlignment="1">
      <alignment/>
    </xf>
    <xf numFmtId="0" fontId="2" fillId="0" borderId="8" xfId="0" applyFont="1" applyFill="1" applyBorder="1" applyAlignment="1">
      <alignment horizontal="left"/>
    </xf>
    <xf numFmtId="0" fontId="2" fillId="0" borderId="46" xfId="0" applyFont="1" applyFill="1" applyBorder="1" applyAlignment="1">
      <alignment horizontal="center"/>
    </xf>
    <xf numFmtId="0" fontId="2" fillId="0" borderId="19" xfId="0" applyFont="1" applyFill="1" applyBorder="1" applyAlignment="1">
      <alignment/>
    </xf>
    <xf numFmtId="0" fontId="2" fillId="0" borderId="48" xfId="0" applyFont="1" applyFill="1" applyBorder="1" applyAlignment="1">
      <alignment horizontal="center"/>
    </xf>
    <xf numFmtId="0" fontId="2" fillId="0" borderId="49" xfId="0" applyFont="1" applyFill="1" applyBorder="1" applyAlignment="1">
      <alignment horizontal="center"/>
    </xf>
    <xf numFmtId="0" fontId="2" fillId="0" borderId="48"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2" fillId="0" borderId="17" xfId="0" applyFont="1" applyBorder="1" applyAlignment="1">
      <alignment horizontal="center"/>
    </xf>
    <xf numFmtId="0" fontId="2" fillId="0" borderId="48" xfId="0" applyFont="1" applyFill="1" applyBorder="1" applyAlignment="1">
      <alignment/>
    </xf>
    <xf numFmtId="0" fontId="2" fillId="0" borderId="49" xfId="0" applyFont="1" applyFill="1" applyBorder="1" applyAlignment="1">
      <alignment/>
    </xf>
    <xf numFmtId="0" fontId="2" fillId="0" borderId="5" xfId="0" applyFont="1" applyFill="1" applyBorder="1" applyAlignment="1">
      <alignment/>
    </xf>
    <xf numFmtId="0" fontId="2" fillId="0" borderId="39" xfId="0" applyFont="1" applyFill="1" applyBorder="1" applyAlignment="1">
      <alignment horizontal="center"/>
    </xf>
    <xf numFmtId="187" fontId="0" fillId="0" borderId="0" xfId="0" applyNumberFormat="1" applyAlignment="1">
      <alignment/>
    </xf>
    <xf numFmtId="169" fontId="2" fillId="0" borderId="18" xfId="0" applyNumberFormat="1" applyFont="1" applyFill="1" applyBorder="1" applyAlignment="1">
      <alignment horizontal="right"/>
    </xf>
    <xf numFmtId="3" fontId="13" fillId="0" borderId="2" xfId="0" applyNumberFormat="1" applyFont="1" applyBorder="1" applyAlignment="1">
      <alignment/>
    </xf>
    <xf numFmtId="0" fontId="13" fillId="0" borderId="0" xfId="0" applyFont="1" applyFill="1" applyBorder="1" applyAlignment="1">
      <alignment horizontal="center"/>
    </xf>
    <xf numFmtId="0" fontId="0" fillId="0" borderId="16" xfId="0" applyFont="1" applyBorder="1" applyAlignment="1">
      <alignment/>
    </xf>
    <xf numFmtId="0" fontId="0" fillId="0" borderId="16" xfId="0" applyFont="1" applyBorder="1" applyAlignment="1">
      <alignment horizontal="center"/>
    </xf>
    <xf numFmtId="0" fontId="0" fillId="0" borderId="11" xfId="0" applyBorder="1" applyAlignment="1">
      <alignment/>
    </xf>
    <xf numFmtId="0" fontId="11" fillId="0" borderId="11" xfId="0" applyFont="1" applyBorder="1" applyAlignment="1">
      <alignment horizontal="center"/>
    </xf>
    <xf numFmtId="0" fontId="2" fillId="0" borderId="11" xfId="0" applyFont="1" applyFill="1" applyBorder="1" applyAlignment="1">
      <alignment horizontal="left"/>
    </xf>
    <xf numFmtId="166" fontId="2" fillId="0" borderId="0" xfId="15" applyNumberFormat="1" applyFont="1" applyFill="1" applyBorder="1" applyAlignment="1">
      <alignment horizontal="center"/>
    </xf>
    <xf numFmtId="0" fontId="2" fillId="0" borderId="0" xfId="0" applyFont="1" applyFill="1" applyAlignment="1">
      <alignment horizontal="center"/>
    </xf>
    <xf numFmtId="0" fontId="2" fillId="0" borderId="0" xfId="0" applyFont="1" applyFill="1" applyBorder="1" applyAlignment="1">
      <alignment horizontal="center" wrapText="1"/>
    </xf>
    <xf numFmtId="0" fontId="0" fillId="0" borderId="35" xfId="0" applyBorder="1" applyAlignment="1">
      <alignment horizontal="center"/>
    </xf>
    <xf numFmtId="0" fontId="2" fillId="0" borderId="17" xfId="0" applyFont="1" applyFill="1" applyBorder="1" applyAlignment="1" quotePrefix="1">
      <alignment horizontal="center"/>
    </xf>
    <xf numFmtId="0" fontId="2" fillId="0" borderId="6" xfId="0" applyFont="1" applyFill="1" applyBorder="1" applyAlignment="1">
      <alignment horizontal="center"/>
    </xf>
    <xf numFmtId="0" fontId="2" fillId="0" borderId="0" xfId="0" applyFont="1" applyBorder="1" applyAlignment="1">
      <alignment horizontal="center" wrapText="1"/>
    </xf>
    <xf numFmtId="0" fontId="2" fillId="0" borderId="6" xfId="0" applyFont="1" applyBorder="1" applyAlignment="1">
      <alignment horizontal="center"/>
    </xf>
    <xf numFmtId="166" fontId="2" fillId="0" borderId="17" xfId="15" applyNumberFormat="1" applyFont="1" applyFill="1" applyBorder="1" applyAlignment="1">
      <alignment/>
    </xf>
    <xf numFmtId="166" fontId="2" fillId="0" borderId="2" xfId="15" applyNumberFormat="1" applyFont="1" applyFill="1" applyBorder="1" applyAlignment="1">
      <alignment/>
    </xf>
    <xf numFmtId="9" fontId="2" fillId="0" borderId="2" xfId="21" applyFont="1" applyFill="1" applyBorder="1" applyAlignment="1">
      <alignment/>
    </xf>
    <xf numFmtId="9" fontId="2" fillId="0" borderId="12" xfId="21" applyFont="1" applyFill="1" applyBorder="1" applyAlignment="1">
      <alignment/>
    </xf>
    <xf numFmtId="0" fontId="2" fillId="0" borderId="47" xfId="0" applyFont="1" applyFill="1" applyBorder="1" applyAlignment="1">
      <alignment horizontal="center"/>
    </xf>
    <xf numFmtId="187" fontId="13" fillId="0" borderId="14" xfId="0" applyNumberFormat="1" applyFont="1" applyBorder="1" applyAlignment="1">
      <alignment horizontal="center"/>
    </xf>
    <xf numFmtId="187" fontId="13" fillId="0" borderId="13" xfId="0" applyNumberFormat="1" applyFont="1" applyBorder="1" applyAlignment="1">
      <alignment horizontal="center"/>
    </xf>
    <xf numFmtId="187" fontId="0" fillId="0" borderId="14" xfId="0" applyNumberFormat="1" applyBorder="1" applyAlignment="1">
      <alignment horizontal="center"/>
    </xf>
    <xf numFmtId="187" fontId="0" fillId="0" borderId="13" xfId="0" applyNumberFormat="1" applyBorder="1" applyAlignment="1">
      <alignment horizontal="center"/>
    </xf>
    <xf numFmtId="3" fontId="2" fillId="0" borderId="0" xfId="0" applyNumberFormat="1" applyFont="1" applyFill="1" applyAlignment="1">
      <alignment shrinkToFit="1"/>
    </xf>
    <xf numFmtId="0" fontId="2" fillId="0" borderId="0" xfId="0" applyFont="1" applyFill="1" applyAlignment="1">
      <alignment/>
    </xf>
    <xf numFmtId="0" fontId="0" fillId="0" borderId="6" xfId="0" applyBorder="1" applyAlignment="1">
      <alignment/>
    </xf>
    <xf numFmtId="0" fontId="19" fillId="0" borderId="16" xfId="0" applyFont="1" applyBorder="1" applyAlignment="1">
      <alignment/>
    </xf>
    <xf numFmtId="0" fontId="19" fillId="0" borderId="16" xfId="0" applyFont="1" applyBorder="1" applyAlignment="1">
      <alignment horizontal="center"/>
    </xf>
    <xf numFmtId="0" fontId="19" fillId="0" borderId="11" xfId="0" applyFont="1" applyBorder="1" applyAlignment="1">
      <alignment/>
    </xf>
    <xf numFmtId="0" fontId="19" fillId="0" borderId="11" xfId="0" applyFont="1" applyBorder="1" applyAlignment="1">
      <alignment horizontal="center"/>
    </xf>
    <xf numFmtId="169" fontId="19" fillId="0" borderId="6" xfId="0" applyNumberFormat="1" applyFont="1" applyBorder="1" applyAlignment="1">
      <alignment horizontal="center"/>
    </xf>
    <xf numFmtId="0" fontId="19" fillId="0" borderId="14" xfId="0" applyFont="1" applyBorder="1" applyAlignment="1">
      <alignment/>
    </xf>
    <xf numFmtId="169" fontId="19" fillId="0" borderId="14" xfId="0" applyNumberFormat="1" applyFont="1" applyBorder="1" applyAlignment="1">
      <alignment horizontal="center"/>
    </xf>
    <xf numFmtId="0" fontId="19" fillId="0" borderId="0" xfId="0" applyFont="1" applyAlignment="1">
      <alignment/>
    </xf>
    <xf numFmtId="169" fontId="19" fillId="0" borderId="0" xfId="0" applyNumberFormat="1" applyFont="1" applyAlignment="1">
      <alignment horizontal="center"/>
    </xf>
    <xf numFmtId="0" fontId="19" fillId="0" borderId="15" xfId="0" applyFont="1" applyBorder="1" applyAlignment="1">
      <alignment/>
    </xf>
    <xf numFmtId="169" fontId="19" fillId="0" borderId="15" xfId="0" applyNumberFormat="1" applyFont="1" applyBorder="1" applyAlignment="1">
      <alignment horizontal="center"/>
    </xf>
    <xf numFmtId="0" fontId="19" fillId="0" borderId="0" xfId="0" applyFont="1" applyAlignment="1">
      <alignment horizontal="center"/>
    </xf>
    <xf numFmtId="3" fontId="19" fillId="0" borderId="0" xfId="0" applyNumberFormat="1" applyFont="1" applyAlignment="1">
      <alignment horizontal="center"/>
    </xf>
    <xf numFmtId="187" fontId="13" fillId="0" borderId="13" xfId="0" applyNumberFormat="1" applyFont="1" applyBorder="1" applyAlignment="1">
      <alignment/>
    </xf>
    <xf numFmtId="187" fontId="13" fillId="0" borderId="14" xfId="0" applyNumberFormat="1" applyFont="1" applyBorder="1" applyAlignment="1">
      <alignment/>
    </xf>
    <xf numFmtId="0" fontId="19" fillId="0" borderId="0" xfId="0" applyFont="1" applyBorder="1" applyAlignment="1">
      <alignment horizontal="center"/>
    </xf>
    <xf numFmtId="179" fontId="19" fillId="0" borderId="0" xfId="0" applyNumberFormat="1" applyFont="1" applyBorder="1" applyAlignment="1">
      <alignment horizontal="center"/>
    </xf>
    <xf numFmtId="0" fontId="18" fillId="0" borderId="0" xfId="0" applyFont="1" applyBorder="1" applyAlignment="1">
      <alignment horizontal="center"/>
    </xf>
    <xf numFmtId="169" fontId="19" fillId="0" borderId="0" xfId="0" applyNumberFormat="1" applyFont="1" applyBorder="1" applyAlignment="1">
      <alignment horizontal="center"/>
    </xf>
    <xf numFmtId="179" fontId="13" fillId="0" borderId="13" xfId="0" applyNumberFormat="1" applyFont="1" applyBorder="1" applyAlignment="1">
      <alignment/>
    </xf>
    <xf numFmtId="187" fontId="13" fillId="0" borderId="2" xfId="0" applyNumberFormat="1" applyFont="1" applyBorder="1" applyAlignment="1">
      <alignment/>
    </xf>
    <xf numFmtId="0" fontId="0" fillId="0" borderId="2" xfId="0" applyBorder="1" applyAlignment="1">
      <alignment/>
    </xf>
    <xf numFmtId="187" fontId="13" fillId="0" borderId="0" xfId="0" applyNumberFormat="1" applyFont="1" applyBorder="1" applyAlignment="1">
      <alignment/>
    </xf>
    <xf numFmtId="187" fontId="13" fillId="0" borderId="16" xfId="0" applyNumberFormat="1" applyFont="1" applyBorder="1" applyAlignment="1">
      <alignment/>
    </xf>
    <xf numFmtId="187" fontId="13" fillId="0" borderId="6" xfId="0" applyNumberFormat="1" applyFont="1" applyBorder="1" applyAlignment="1">
      <alignment/>
    </xf>
    <xf numFmtId="3" fontId="13" fillId="0" borderId="14" xfId="0" applyNumberFormat="1" applyFont="1" applyBorder="1" applyAlignment="1">
      <alignment horizontal="center"/>
    </xf>
    <xf numFmtId="0" fontId="0" fillId="0" borderId="14" xfId="0" applyBorder="1" applyAlignment="1">
      <alignment horizontal="center"/>
    </xf>
    <xf numFmtId="187" fontId="19" fillId="0" borderId="50" xfId="0" applyNumberFormat="1" applyFont="1" applyBorder="1" applyAlignment="1">
      <alignment horizontal="center"/>
    </xf>
    <xf numFmtId="168" fontId="2" fillId="0" borderId="0" xfId="0" applyNumberFormat="1" applyFont="1" applyAlignment="1">
      <alignment shrinkToFit="1"/>
    </xf>
    <xf numFmtId="3" fontId="13" fillId="0" borderId="13" xfId="0" applyNumberFormat="1" applyFont="1" applyBorder="1" applyAlignment="1">
      <alignment horizontal="center"/>
    </xf>
    <xf numFmtId="0" fontId="0" fillId="0" borderId="15" xfId="0" applyFont="1" applyBorder="1" applyAlignment="1">
      <alignment horizontal="center"/>
    </xf>
    <xf numFmtId="169" fontId="0" fillId="0" borderId="0" xfId="0" applyNumberFormat="1" applyAlignment="1">
      <alignment/>
    </xf>
    <xf numFmtId="169" fontId="19" fillId="0" borderId="11" xfId="0" applyNumberFormat="1" applyFont="1" applyBorder="1" applyAlignment="1">
      <alignment horizontal="center"/>
    </xf>
    <xf numFmtId="3" fontId="19" fillId="0" borderId="6" xfId="0" applyNumberFormat="1" applyFont="1" applyBorder="1" applyAlignment="1">
      <alignment horizontal="center"/>
    </xf>
    <xf numFmtId="0" fontId="0" fillId="0" borderId="0" xfId="0" applyFont="1" applyFill="1" applyBorder="1" applyAlignment="1">
      <alignment/>
    </xf>
    <xf numFmtId="179" fontId="0" fillId="0" borderId="6" xfId="0" applyNumberFormat="1" applyBorder="1" applyAlignment="1">
      <alignment horizontal="center"/>
    </xf>
    <xf numFmtId="179" fontId="0" fillId="0" borderId="14" xfId="0" applyNumberFormat="1" applyBorder="1" applyAlignment="1">
      <alignment horizontal="center"/>
    </xf>
    <xf numFmtId="179" fontId="0" fillId="0" borderId="0" xfId="0" applyNumberFormat="1" applyAlignment="1">
      <alignment horizontal="center"/>
    </xf>
    <xf numFmtId="179" fontId="0" fillId="0" borderId="50" xfId="0" applyNumberFormat="1" applyBorder="1" applyAlignment="1">
      <alignment horizontal="center"/>
    </xf>
    <xf numFmtId="179" fontId="0" fillId="0" borderId="15" xfId="0" applyNumberFormat="1" applyBorder="1" applyAlignment="1">
      <alignment horizontal="center"/>
    </xf>
    <xf numFmtId="187" fontId="13" fillId="0" borderId="16" xfId="0" applyNumberFormat="1" applyFont="1" applyBorder="1" applyAlignment="1">
      <alignment horizontal="center"/>
    </xf>
    <xf numFmtId="3" fontId="13" fillId="0" borderId="16" xfId="0" applyNumberFormat="1" applyFont="1" applyBorder="1" applyAlignment="1">
      <alignment horizontal="center"/>
    </xf>
    <xf numFmtId="3" fontId="13" fillId="0" borderId="0" xfId="0" applyNumberFormat="1" applyFont="1" applyBorder="1" applyAlignment="1">
      <alignment horizontal="center"/>
    </xf>
    <xf numFmtId="187" fontId="13" fillId="0" borderId="6" xfId="0" applyNumberFormat="1" applyFont="1" applyBorder="1" applyAlignment="1">
      <alignment horizontal="center"/>
    </xf>
    <xf numFmtId="3" fontId="13" fillId="0" borderId="2" xfId="0" applyNumberFormat="1" applyFont="1" applyBorder="1" applyAlignment="1">
      <alignment horizontal="center"/>
    </xf>
    <xf numFmtId="187" fontId="13" fillId="0" borderId="2" xfId="0" applyNumberFormat="1" applyFont="1" applyBorder="1" applyAlignment="1">
      <alignment horizontal="center"/>
    </xf>
    <xf numFmtId="0" fontId="13" fillId="0" borderId="15" xfId="0" applyFont="1" applyBorder="1" applyAlignment="1">
      <alignment horizontal="left"/>
    </xf>
    <xf numFmtId="0" fontId="13" fillId="0" borderId="16" xfId="0" applyFont="1" applyBorder="1" applyAlignment="1">
      <alignment horizontal="left"/>
    </xf>
    <xf numFmtId="0" fontId="13" fillId="0" borderId="2" xfId="0" applyFont="1" applyBorder="1" applyAlignment="1">
      <alignment horizontal="left"/>
    </xf>
    <xf numFmtId="0" fontId="13" fillId="0" borderId="14" xfId="0" applyFont="1" applyBorder="1" applyAlignment="1">
      <alignment horizontal="left"/>
    </xf>
    <xf numFmtId="0" fontId="13" fillId="0" borderId="0" xfId="0" applyFont="1" applyFill="1" applyBorder="1" applyAlignment="1">
      <alignment horizontal="left"/>
    </xf>
    <xf numFmtId="0" fontId="13" fillId="0" borderId="14" xfId="0" applyFont="1" applyFill="1" applyBorder="1" applyAlignment="1">
      <alignment horizontal="left"/>
    </xf>
    <xf numFmtId="0" fontId="13" fillId="0" borderId="13" xfId="0" applyFont="1" applyFill="1" applyBorder="1" applyAlignment="1">
      <alignment horizontal="left"/>
    </xf>
    <xf numFmtId="0" fontId="0" fillId="0" borderId="14" xfId="0" applyFont="1" applyBorder="1" applyAlignment="1">
      <alignment horizontal="center"/>
    </xf>
    <xf numFmtId="3" fontId="0" fillId="0" borderId="14" xfId="0" applyNumberFormat="1" applyBorder="1" applyAlignment="1">
      <alignment horizontal="center"/>
    </xf>
    <xf numFmtId="179" fontId="0" fillId="0" borderId="0" xfId="0" applyNumberFormat="1" applyAlignment="1">
      <alignment/>
    </xf>
    <xf numFmtId="184" fontId="13" fillId="0" borderId="14" xfId="0" applyNumberFormat="1" applyFont="1" applyBorder="1" applyAlignment="1">
      <alignment horizontal="center"/>
    </xf>
    <xf numFmtId="0" fontId="0" fillId="0" borderId="15" xfId="0" applyFont="1" applyFill="1" applyBorder="1" applyAlignment="1">
      <alignment horizontal="center" wrapText="1"/>
    </xf>
    <xf numFmtId="0" fontId="0" fillId="0" borderId="15"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horizontal="center" wrapText="1"/>
    </xf>
    <xf numFmtId="169" fontId="0" fillId="0" borderId="0" xfId="0" applyNumberFormat="1"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horizontal="center" wrapText="1"/>
    </xf>
    <xf numFmtId="169" fontId="0" fillId="0" borderId="14" xfId="0" applyNumberFormat="1" applyFill="1" applyBorder="1" applyAlignment="1">
      <alignment horizontal="center" wrapText="1"/>
    </xf>
    <xf numFmtId="9" fontId="13" fillId="0" borderId="2" xfId="0" applyNumberFormat="1" applyFont="1" applyBorder="1" applyAlignment="1">
      <alignment horizontal="center"/>
    </xf>
    <xf numFmtId="187" fontId="0" fillId="0" borderId="0" xfId="0" applyNumberFormat="1" applyAlignment="1">
      <alignment horizontal="center"/>
    </xf>
    <xf numFmtId="0" fontId="0" fillId="0" borderId="15" xfId="0" applyBorder="1" applyAlignment="1">
      <alignment horizontal="left" wrapText="1"/>
    </xf>
    <xf numFmtId="0" fontId="0" fillId="0" borderId="0" xfId="0" applyAlignment="1">
      <alignment horizontal="left"/>
    </xf>
    <xf numFmtId="0" fontId="0" fillId="0" borderId="14" xfId="0" applyBorder="1" applyAlignment="1">
      <alignment horizontal="left"/>
    </xf>
    <xf numFmtId="187" fontId="13" fillId="0" borderId="0" xfId="0" applyNumberFormat="1" applyFont="1" applyBorder="1" applyAlignment="1">
      <alignment horizontal="center"/>
    </xf>
    <xf numFmtId="187" fontId="0" fillId="0" borderId="0" xfId="0" applyNumberFormat="1" applyBorder="1" applyAlignment="1">
      <alignment horizontal="center"/>
    </xf>
    <xf numFmtId="187" fontId="0" fillId="0" borderId="2" xfId="0" applyNumberFormat="1" applyBorder="1" applyAlignment="1">
      <alignment horizontal="center"/>
    </xf>
    <xf numFmtId="1" fontId="13" fillId="0" borderId="0" xfId="0" applyNumberFormat="1" applyFont="1" applyBorder="1" applyAlignment="1">
      <alignment horizontal="center"/>
    </xf>
    <xf numFmtId="0" fontId="13" fillId="0" borderId="15" xfId="0" applyFont="1" applyBorder="1" applyAlignment="1">
      <alignment/>
    </xf>
    <xf numFmtId="4" fontId="13" fillId="0" borderId="14" xfId="0" applyNumberFormat="1" applyFont="1" applyBorder="1" applyAlignment="1">
      <alignment horizontal="center"/>
    </xf>
    <xf numFmtId="187" fontId="0" fillId="0" borderId="16" xfId="0" applyNumberFormat="1" applyBorder="1" applyAlignment="1">
      <alignment horizontal="center"/>
    </xf>
    <xf numFmtId="2" fontId="0" fillId="0" borderId="16" xfId="0" applyNumberFormat="1" applyFont="1" applyFill="1" applyBorder="1" applyAlignment="1">
      <alignment horizontal="center" wrapText="1"/>
    </xf>
    <xf numFmtId="0" fontId="0" fillId="0" borderId="16" xfId="0" applyFill="1" applyBorder="1" applyAlignment="1">
      <alignment horizontal="center" wrapText="1"/>
    </xf>
    <xf numFmtId="169" fontId="0" fillId="0" borderId="16" xfId="0" applyNumberFormat="1" applyFill="1" applyBorder="1" applyAlignment="1">
      <alignment horizontal="center" wrapText="1"/>
    </xf>
    <xf numFmtId="2" fontId="0" fillId="0" borderId="16" xfId="0" applyNumberFormat="1" applyBorder="1" applyAlignment="1">
      <alignment/>
    </xf>
    <xf numFmtId="2" fontId="0" fillId="0" borderId="14" xfId="0" applyNumberFormat="1" applyFont="1" applyFill="1" applyBorder="1" applyAlignment="1">
      <alignment horizontal="center" wrapText="1"/>
    </xf>
    <xf numFmtId="2" fontId="0" fillId="0" borderId="14" xfId="0" applyNumberFormat="1" applyBorder="1" applyAlignment="1">
      <alignment/>
    </xf>
    <xf numFmtId="0" fontId="2" fillId="0" borderId="51" xfId="0" applyFont="1" applyFill="1" applyBorder="1" applyAlignment="1">
      <alignment/>
    </xf>
    <xf numFmtId="3" fontId="2" fillId="0" borderId="32" xfId="0" applyNumberFormat="1" applyFont="1" applyFill="1" applyBorder="1" applyAlignment="1">
      <alignment/>
    </xf>
    <xf numFmtId="0" fontId="19" fillId="0" borderId="0" xfId="0" applyFont="1" applyBorder="1" applyAlignment="1">
      <alignment/>
    </xf>
    <xf numFmtId="187" fontId="19" fillId="0" borderId="0" xfId="0" applyNumberFormat="1" applyFont="1" applyBorder="1" applyAlignment="1">
      <alignment horizontal="center"/>
    </xf>
    <xf numFmtId="9" fontId="19" fillId="0" borderId="0" xfId="0" applyNumberFormat="1" applyFont="1" applyBorder="1" applyAlignment="1">
      <alignment horizontal="center"/>
    </xf>
    <xf numFmtId="0" fontId="9" fillId="0" borderId="0" xfId="0" applyFont="1" applyAlignment="1">
      <alignment/>
    </xf>
    <xf numFmtId="179" fontId="13" fillId="0" borderId="0" xfId="21" applyNumberFormat="1" applyFont="1" applyBorder="1" applyAlignment="1">
      <alignment/>
    </xf>
    <xf numFmtId="0" fontId="15" fillId="0" borderId="0" xfId="0" applyFont="1" applyBorder="1" applyAlignment="1">
      <alignment vertical="top" wrapText="1"/>
    </xf>
    <xf numFmtId="3" fontId="0" fillId="0" borderId="0" xfId="0" applyNumberFormat="1" applyFont="1" applyFill="1" applyBorder="1" applyAlignment="1">
      <alignment/>
    </xf>
    <xf numFmtId="1" fontId="2" fillId="0" borderId="0" xfId="0" applyNumberFormat="1" applyFont="1" applyFill="1" applyAlignment="1">
      <alignment/>
    </xf>
    <xf numFmtId="187" fontId="2" fillId="0" borderId="18" xfId="0" applyNumberFormat="1" applyFont="1" applyBorder="1" applyAlignment="1">
      <alignment horizontal="right"/>
    </xf>
    <xf numFmtId="0" fontId="0" fillId="0" borderId="0" xfId="0" applyFill="1" applyAlignment="1">
      <alignment/>
    </xf>
    <xf numFmtId="168" fontId="2" fillId="0" borderId="12" xfId="0" applyNumberFormat="1" applyFont="1" applyFill="1" applyBorder="1" applyAlignment="1">
      <alignment/>
    </xf>
    <xf numFmtId="166" fontId="2" fillId="0" borderId="41" xfId="15" applyNumberFormat="1" applyFont="1" applyFill="1" applyBorder="1" applyAlignment="1">
      <alignment/>
    </xf>
    <xf numFmtId="9" fontId="2" fillId="0" borderId="46" xfId="15" applyNumberFormat="1" applyFont="1" applyFill="1" applyBorder="1" applyAlignment="1">
      <alignment/>
    </xf>
    <xf numFmtId="9" fontId="2" fillId="0" borderId="12" xfId="21" applyFont="1" applyFill="1" applyBorder="1" applyAlignment="1">
      <alignment horizontal="right"/>
    </xf>
    <xf numFmtId="9" fontId="2" fillId="0" borderId="47" xfId="21" applyFont="1" applyFill="1" applyBorder="1" applyAlignment="1">
      <alignment/>
    </xf>
    <xf numFmtId="166" fontId="2" fillId="0" borderId="48" xfId="15" applyNumberFormat="1" applyFont="1" applyFill="1" applyBorder="1" applyAlignment="1">
      <alignment/>
    </xf>
    <xf numFmtId="166" fontId="2" fillId="0" borderId="12" xfId="15" applyNumberFormat="1" applyFont="1" applyFill="1" applyBorder="1" applyAlignment="1">
      <alignment/>
    </xf>
    <xf numFmtId="3" fontId="2" fillId="0" borderId="25" xfId="0" applyNumberFormat="1" applyFont="1" applyFill="1" applyBorder="1" applyAlignment="1">
      <alignment/>
    </xf>
    <xf numFmtId="1" fontId="0" fillId="0" borderId="0" xfId="0" applyNumberFormat="1" applyAlignment="1">
      <alignment/>
    </xf>
    <xf numFmtId="0" fontId="0" fillId="0" borderId="0" xfId="0" applyAlignment="1">
      <alignment horizontal="right"/>
    </xf>
    <xf numFmtId="43" fontId="2" fillId="0" borderId="0" xfId="0" applyNumberFormat="1" applyFont="1" applyFill="1" applyAlignment="1">
      <alignment/>
    </xf>
    <xf numFmtId="169" fontId="2" fillId="0" borderId="25" xfId="0" applyNumberFormat="1" applyFont="1" applyFill="1" applyBorder="1" applyAlignment="1">
      <alignment horizontal="right"/>
    </xf>
    <xf numFmtId="3" fontId="0" fillId="0" borderId="0" xfId="0" applyNumberFormat="1" applyFill="1" applyAlignment="1">
      <alignment/>
    </xf>
    <xf numFmtId="169" fontId="2" fillId="0" borderId="0" xfId="0" applyNumberFormat="1" applyFont="1" applyAlignment="1">
      <alignment/>
    </xf>
    <xf numFmtId="0" fontId="26" fillId="0" borderId="0" xfId="0" applyFont="1" applyFill="1" applyBorder="1" applyAlignment="1" applyProtection="1">
      <alignment/>
      <protection locked="0"/>
    </xf>
    <xf numFmtId="1" fontId="0" fillId="0" borderId="0" xfId="0" applyNumberFormat="1" applyFill="1" applyAlignment="1">
      <alignment/>
    </xf>
    <xf numFmtId="179" fontId="2" fillId="0" borderId="0" xfId="0" applyNumberFormat="1" applyFont="1" applyAlignment="1">
      <alignment/>
    </xf>
    <xf numFmtId="2" fontId="2" fillId="0" borderId="18" xfId="0" applyNumberFormat="1" applyFont="1" applyFill="1" applyBorder="1" applyAlignment="1">
      <alignment horizontal="right"/>
    </xf>
    <xf numFmtId="4" fontId="2" fillId="0" borderId="18" xfId="0" applyNumberFormat="1" applyFont="1" applyFill="1" applyBorder="1" applyAlignment="1">
      <alignment horizontal="right"/>
    </xf>
    <xf numFmtId="187" fontId="0" fillId="0" borderId="14" xfId="0" applyNumberFormat="1" applyFill="1" applyBorder="1" applyAlignment="1">
      <alignment horizontal="center"/>
    </xf>
    <xf numFmtId="169" fontId="0" fillId="0" borderId="14" xfId="0" applyNumberFormat="1" applyBorder="1" applyAlignment="1">
      <alignment horizontal="center"/>
    </xf>
    <xf numFmtId="3" fontId="2" fillId="0" borderId="18" xfId="15" applyNumberFormat="1" applyFont="1" applyFill="1" applyBorder="1" applyAlignment="1">
      <alignment/>
    </xf>
    <xf numFmtId="166" fontId="2" fillId="0" borderId="0" xfId="15" applyNumberFormat="1" applyFont="1" applyFill="1" applyAlignment="1">
      <alignment/>
    </xf>
    <xf numFmtId="3" fontId="2" fillId="0" borderId="0" xfId="15" applyNumberFormat="1" applyFont="1" applyFill="1" applyAlignment="1">
      <alignment/>
    </xf>
    <xf numFmtId="187" fontId="13" fillId="0" borderId="14" xfId="0" applyNumberFormat="1" applyFont="1" applyFill="1" applyBorder="1" applyAlignment="1">
      <alignment/>
    </xf>
    <xf numFmtId="187" fontId="13" fillId="0" borderId="13" xfId="0" applyNumberFormat="1" applyFont="1" applyFill="1" applyBorder="1" applyAlignment="1">
      <alignment/>
    </xf>
    <xf numFmtId="3" fontId="0" fillId="0" borderId="0" xfId="0" applyNumberFormat="1" applyFill="1" applyAlignment="1">
      <alignment horizontal="right"/>
    </xf>
    <xf numFmtId="169" fontId="0" fillId="0" borderId="14" xfId="0" applyNumberFormat="1" applyFill="1" applyBorder="1" applyAlignment="1">
      <alignment horizontal="center"/>
    </xf>
    <xf numFmtId="0" fontId="2" fillId="0" borderId="52" xfId="0" applyFont="1" applyFill="1" applyBorder="1" applyAlignment="1">
      <alignment/>
    </xf>
    <xf numFmtId="3" fontId="2" fillId="0" borderId="52" xfId="0" applyNumberFormat="1" applyFont="1" applyFill="1" applyBorder="1" applyAlignment="1">
      <alignment/>
    </xf>
    <xf numFmtId="3" fontId="2" fillId="0" borderId="52" xfId="0" applyNumberFormat="1" applyFont="1" applyFill="1" applyBorder="1" applyAlignment="1">
      <alignment shrinkToFit="1"/>
    </xf>
    <xf numFmtId="3" fontId="2" fillId="0" borderId="0" xfId="0" applyNumberFormat="1" applyFont="1" applyFill="1" applyBorder="1" applyAlignment="1">
      <alignment shrinkToFit="1"/>
    </xf>
    <xf numFmtId="0" fontId="19" fillId="0" borderId="0" xfId="0" applyFont="1" applyFill="1" applyBorder="1" applyAlignment="1">
      <alignment horizontal="center"/>
    </xf>
    <xf numFmtId="0" fontId="2" fillId="0" borderId="0" xfId="0" applyFont="1" applyFill="1" applyAlignment="1">
      <alignment shrinkToFit="1"/>
    </xf>
    <xf numFmtId="168" fontId="2" fillId="0" borderId="12" xfId="0" applyNumberFormat="1" applyFont="1" applyFill="1" applyBorder="1" applyAlignment="1">
      <alignment horizontal="center"/>
    </xf>
    <xf numFmtId="2" fontId="2" fillId="0" borderId="25" xfId="0" applyNumberFormat="1" applyFont="1" applyFill="1" applyBorder="1" applyAlignment="1">
      <alignment horizontal="right"/>
    </xf>
    <xf numFmtId="9" fontId="2" fillId="0" borderId="26" xfId="21" applyFont="1" applyFill="1" applyBorder="1" applyAlignment="1">
      <alignment/>
    </xf>
    <xf numFmtId="9" fontId="2" fillId="0" borderId="24" xfId="15" applyNumberFormat="1" applyFont="1" applyFill="1" applyBorder="1" applyAlignment="1">
      <alignment/>
    </xf>
    <xf numFmtId="179" fontId="0" fillId="0" borderId="0" xfId="21" applyNumberFormat="1" applyAlignment="1">
      <alignment/>
    </xf>
    <xf numFmtId="3" fontId="13" fillId="0" borderId="14" xfId="0" applyNumberFormat="1" applyFont="1" applyFill="1" applyBorder="1" applyAlignment="1">
      <alignment/>
    </xf>
    <xf numFmtId="179" fontId="0" fillId="0" borderId="6" xfId="0" applyNumberFormat="1" applyBorder="1" applyAlignment="1">
      <alignment/>
    </xf>
    <xf numFmtId="179" fontId="0" fillId="0" borderId="14" xfId="0" applyNumberFormat="1" applyBorder="1" applyAlignment="1">
      <alignment/>
    </xf>
    <xf numFmtId="179" fontId="0" fillId="0" borderId="2" xfId="0" applyNumberFormat="1" applyBorder="1" applyAlignment="1">
      <alignment/>
    </xf>
    <xf numFmtId="0" fontId="13" fillId="0" borderId="15" xfId="0" applyFont="1" applyBorder="1" applyAlignment="1">
      <alignment/>
    </xf>
    <xf numFmtId="0" fontId="13" fillId="3" borderId="11" xfId="0" applyFont="1" applyFill="1" applyBorder="1" applyAlignment="1">
      <alignment/>
    </xf>
    <xf numFmtId="0" fontId="13" fillId="3" borderId="11" xfId="0" applyFont="1" applyFill="1" applyBorder="1" applyAlignment="1">
      <alignment horizontal="center"/>
    </xf>
    <xf numFmtId="0" fontId="0" fillId="0" borderId="0" xfId="0" applyBorder="1" applyAlignment="1">
      <alignment horizontal="right"/>
    </xf>
    <xf numFmtId="10" fontId="0" fillId="0" borderId="0" xfId="0" applyNumberFormat="1" applyBorder="1" applyAlignment="1">
      <alignment/>
    </xf>
    <xf numFmtId="3" fontId="0" fillId="0" borderId="0" xfId="0" applyNumberFormat="1" applyFont="1" applyAlignment="1">
      <alignment/>
    </xf>
    <xf numFmtId="187" fontId="0" fillId="0" borderId="13" xfId="0" applyNumberFormat="1" applyFill="1" applyBorder="1" applyAlignment="1">
      <alignment horizontal="center"/>
    </xf>
    <xf numFmtId="187" fontId="13" fillId="0" borderId="14" xfId="0" applyNumberFormat="1" applyFont="1" applyFill="1" applyBorder="1" applyAlignment="1">
      <alignment horizontal="center"/>
    </xf>
    <xf numFmtId="0" fontId="20" fillId="0" borderId="0" xfId="0" applyFont="1" applyFill="1" applyBorder="1" applyAlignment="1" applyProtection="1">
      <alignment/>
      <protection locked="0"/>
    </xf>
    <xf numFmtId="3" fontId="2" fillId="0" borderId="19" xfId="0" applyNumberFormat="1" applyFont="1" applyFill="1" applyBorder="1" applyAlignment="1">
      <alignment/>
    </xf>
    <xf numFmtId="4" fontId="2" fillId="0" borderId="18" xfId="0" applyNumberFormat="1" applyFont="1" applyFill="1" applyBorder="1" applyAlignment="1">
      <alignment/>
    </xf>
    <xf numFmtId="166" fontId="2" fillId="0" borderId="23" xfId="15" applyNumberFormat="1" applyFont="1" applyFill="1" applyBorder="1" applyAlignment="1">
      <alignment/>
    </xf>
    <xf numFmtId="187" fontId="2" fillId="0" borderId="18" xfId="0" applyNumberFormat="1" applyFont="1"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0" xfId="0" applyFill="1" applyAlignment="1">
      <alignment wrapText="1"/>
    </xf>
    <xf numFmtId="1" fontId="0" fillId="0" borderId="53" xfId="0" applyNumberFormat="1" applyFill="1" applyBorder="1" applyAlignment="1">
      <alignment/>
    </xf>
    <xf numFmtId="0" fontId="0" fillId="0" borderId="0" xfId="0" applyFill="1" applyAlignment="1">
      <alignment horizontal="right"/>
    </xf>
    <xf numFmtId="0" fontId="9" fillId="0" borderId="0" xfId="0" applyFont="1" applyFill="1" applyAlignment="1">
      <alignment/>
    </xf>
    <xf numFmtId="187" fontId="0" fillId="0" borderId="18" xfId="0" applyNumberFormat="1" applyFill="1" applyBorder="1" applyAlignment="1">
      <alignment/>
    </xf>
    <xf numFmtId="187" fontId="2" fillId="0" borderId="0" xfId="0" applyNumberFormat="1" applyFont="1" applyFill="1" applyAlignment="1">
      <alignment/>
    </xf>
    <xf numFmtId="0" fontId="2" fillId="0" borderId="6" xfId="0" applyFont="1" applyFill="1" applyBorder="1" applyAlignment="1">
      <alignment/>
    </xf>
    <xf numFmtId="9" fontId="0" fillId="0" borderId="0" xfId="21" applyAlignment="1">
      <alignment horizontal="center"/>
    </xf>
    <xf numFmtId="169" fontId="13" fillId="0" borderId="6" xfId="0" applyNumberFormat="1" applyFont="1" applyFill="1" applyBorder="1" applyAlignment="1">
      <alignment/>
    </xf>
    <xf numFmtId="0" fontId="13" fillId="0" borderId="0" xfId="0" applyFont="1" applyFill="1" applyAlignment="1">
      <alignment/>
    </xf>
    <xf numFmtId="169" fontId="13" fillId="0" borderId="14" xfId="0" applyNumberFormat="1" applyFont="1" applyFill="1" applyBorder="1" applyAlignment="1">
      <alignment/>
    </xf>
    <xf numFmtId="0" fontId="13" fillId="0" borderId="6" xfId="0" applyFont="1" applyBorder="1" applyAlignment="1">
      <alignment/>
    </xf>
    <xf numFmtId="0" fontId="17" fillId="0" borderId="0" xfId="0" applyFont="1" applyBorder="1" applyAlignment="1">
      <alignment vertical="top" wrapText="1"/>
    </xf>
    <xf numFmtId="0" fontId="15" fillId="0" borderId="0" xfId="0" applyFont="1" applyBorder="1" applyAlignment="1">
      <alignment vertical="top" wrapText="1"/>
    </xf>
    <xf numFmtId="0" fontId="13" fillId="0" borderId="15" xfId="0" applyFont="1" applyBorder="1" applyAlignment="1">
      <alignment horizontal="center" wrapText="1"/>
    </xf>
    <xf numFmtId="0" fontId="12" fillId="0" borderId="0" xfId="0" applyFont="1" applyBorder="1" applyAlignment="1">
      <alignment horizontal="center" wrapText="1"/>
    </xf>
    <xf numFmtId="0" fontId="11" fillId="0" borderId="0" xfId="0" applyFont="1" applyBorder="1" applyAlignment="1">
      <alignment horizontal="center"/>
    </xf>
    <xf numFmtId="0" fontId="1" fillId="0" borderId="0"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4" xfId="0" applyFont="1" applyFill="1" applyBorder="1" applyAlignment="1">
      <alignment horizontal="center"/>
    </xf>
    <xf numFmtId="0" fontId="2" fillId="0" borderId="5" xfId="0" applyFont="1" applyFill="1" applyBorder="1" applyAlignment="1">
      <alignment/>
    </xf>
    <xf numFmtId="169" fontId="13" fillId="0" borderId="6" xfId="0" applyNumberFormat="1" applyFont="1" applyBorder="1" applyAlignment="1">
      <alignment/>
    </xf>
    <xf numFmtId="187" fontId="13" fillId="0" borderId="0" xfId="0" applyNumberFormat="1" applyFont="1" applyAlignment="1">
      <alignment/>
    </xf>
    <xf numFmtId="179" fontId="13" fillId="0" borderId="0" xfId="0" applyNumberFormat="1" applyFont="1" applyAlignment="1">
      <alignment/>
    </xf>
    <xf numFmtId="179" fontId="13" fillId="3" borderId="0" xfId="0" applyNumberFormat="1" applyFont="1" applyFill="1" applyAlignment="1">
      <alignment/>
    </xf>
    <xf numFmtId="0" fontId="13" fillId="3" borderId="0" xfId="0" applyFont="1" applyFill="1" applyAlignment="1">
      <alignment/>
    </xf>
    <xf numFmtId="169" fontId="13" fillId="0" borderId="14" xfId="0" applyNumberFormat="1" applyFont="1" applyBorder="1" applyAlignment="1">
      <alignment/>
    </xf>
    <xf numFmtId="169" fontId="13" fillId="0" borderId="0" xfId="0" applyNumberFormat="1" applyFont="1" applyFill="1" applyAlignment="1">
      <alignment/>
    </xf>
    <xf numFmtId="169" fontId="13" fillId="0" borderId="0" xfId="0" applyNumberFormat="1" applyFont="1" applyBorder="1" applyAlignment="1">
      <alignment/>
    </xf>
    <xf numFmtId="0" fontId="2" fillId="0" borderId="16" xfId="0" applyFont="1" applyBorder="1" applyAlignment="1">
      <alignment/>
    </xf>
    <xf numFmtId="0" fontId="2" fillId="0" borderId="15" xfId="0" applyFont="1" applyBorder="1" applyAlignment="1">
      <alignment/>
    </xf>
    <xf numFmtId="187" fontId="2" fillId="0" borderId="2" xfId="0" applyNumberFormat="1" applyFont="1" applyBorder="1" applyAlignment="1">
      <alignment/>
    </xf>
    <xf numFmtId="3" fontId="2" fillId="0" borderId="2" xfId="0" applyNumberFormat="1" applyFont="1" applyBorder="1" applyAlignment="1">
      <alignment/>
    </xf>
    <xf numFmtId="169" fontId="2" fillId="0" borderId="2" xfId="0" applyNumberFormat="1" applyFont="1" applyBorder="1" applyAlignment="1">
      <alignment/>
    </xf>
    <xf numFmtId="169" fontId="13" fillId="0" borderId="13" xfId="0" applyNumberFormat="1" applyFont="1" applyBorder="1" applyAlignment="1">
      <alignment/>
    </xf>
    <xf numFmtId="168" fontId="13" fillId="0" borderId="0" xfId="0" applyNumberFormat="1" applyFont="1" applyAlignment="1">
      <alignment/>
    </xf>
    <xf numFmtId="0" fontId="19" fillId="0" borderId="16" xfId="0" applyFont="1" applyBorder="1" applyAlignment="1">
      <alignment horizontal="center"/>
    </xf>
    <xf numFmtId="0" fontId="24" fillId="0" borderId="0" xfId="0" applyFont="1" applyBorder="1" applyAlignment="1">
      <alignment horizontal="center"/>
    </xf>
    <xf numFmtId="0" fontId="0" fillId="0" borderId="16" xfId="0" applyBorder="1" applyAlignment="1">
      <alignment horizontal="center"/>
    </xf>
    <xf numFmtId="0" fontId="25" fillId="0" borderId="0" xfId="0" applyFont="1" applyBorder="1" applyAlignment="1">
      <alignment horizontal="center"/>
    </xf>
    <xf numFmtId="0" fontId="25" fillId="0" borderId="0" xfId="0" applyFont="1" applyBorder="1" applyAlignment="1">
      <alignment/>
    </xf>
    <xf numFmtId="0" fontId="15" fillId="0" borderId="0" xfId="0" applyNumberFormat="1" applyFont="1" applyBorder="1" applyAlignment="1">
      <alignment vertical="top" wrapText="1"/>
    </xf>
    <xf numFmtId="0" fontId="0" fillId="0" borderId="0" xfId="0" applyAlignment="1">
      <alignment vertical="top" wrapText="1"/>
    </xf>
    <xf numFmtId="0" fontId="9" fillId="0" borderId="11" xfId="0" applyFont="1" applyBorder="1" applyAlignment="1">
      <alignment horizontal="center"/>
    </xf>
    <xf numFmtId="0" fontId="0" fillId="0" borderId="0" xfId="0" applyBorder="1" applyAlignment="1">
      <alignment/>
    </xf>
    <xf numFmtId="0" fontId="2" fillId="0" borderId="11" xfId="0" applyFont="1" applyBorder="1" applyAlignment="1">
      <alignment/>
    </xf>
    <xf numFmtId="0" fontId="2" fillId="0" borderId="15" xfId="0" applyFont="1" applyBorder="1" applyAlignment="1">
      <alignment horizontal="center"/>
    </xf>
    <xf numFmtId="0" fontId="13" fillId="0" borderId="15" xfId="0" applyFont="1" applyBorder="1" applyAlignment="1">
      <alignment/>
    </xf>
    <xf numFmtId="0" fontId="0" fillId="0" borderId="11" xfId="0" applyBorder="1" applyAlignment="1">
      <alignment/>
    </xf>
    <xf numFmtId="0" fontId="0" fillId="0" borderId="15" xfId="0" applyFont="1" applyBorder="1" applyAlignment="1">
      <alignment/>
    </xf>
    <xf numFmtId="0" fontId="0" fillId="0" borderId="15" xfId="0" applyFont="1" applyBorder="1" applyAlignment="1">
      <alignment horizontal="center"/>
    </xf>
    <xf numFmtId="0" fontId="0" fillId="0" borderId="15" xfId="0" applyBorder="1" applyAlignment="1">
      <alignment horizontal="center"/>
    </xf>
    <xf numFmtId="187" fontId="13" fillId="0" borderId="0" xfId="0" applyNumberFormat="1" applyFont="1" applyBorder="1" applyAlignment="1">
      <alignment horizontal="center"/>
    </xf>
    <xf numFmtId="187" fontId="0" fillId="0" borderId="0" xfId="0" applyNumberFormat="1" applyBorder="1" applyAlignment="1">
      <alignment horizontal="center"/>
    </xf>
    <xf numFmtId="0" fontId="17" fillId="0" borderId="0" xfId="0" applyFont="1" applyFill="1" applyBorder="1" applyAlignment="1">
      <alignment wrapText="1"/>
    </xf>
    <xf numFmtId="0" fontId="17" fillId="0" borderId="0" xfId="0" applyFont="1" applyBorder="1" applyAlignment="1">
      <alignment wrapText="1"/>
    </xf>
    <xf numFmtId="0" fontId="19" fillId="0" borderId="15" xfId="0" applyFont="1" applyBorder="1" applyAlignment="1">
      <alignment horizontal="center"/>
    </xf>
    <xf numFmtId="0" fontId="18" fillId="0" borderId="0" xfId="0" applyFont="1" applyBorder="1" applyAlignment="1">
      <alignment horizontal="center" wrapText="1"/>
    </xf>
    <xf numFmtId="0" fontId="18" fillId="0" borderId="11" xfId="0" applyFont="1" applyBorder="1" applyAlignment="1">
      <alignment horizontal="center" wrapText="1"/>
    </xf>
    <xf numFmtId="0" fontId="0" fillId="0" borderId="15" xfId="0" applyBorder="1" applyAlignment="1">
      <alignment/>
    </xf>
    <xf numFmtId="187" fontId="13" fillId="0" borderId="14" xfId="0" applyNumberFormat="1" applyFont="1" applyBorder="1" applyAlignment="1">
      <alignment horizontal="center"/>
    </xf>
    <xf numFmtId="187" fontId="0" fillId="0" borderId="14" xfId="0" applyNumberFormat="1" applyBorder="1" applyAlignment="1">
      <alignment horizontal="center"/>
    </xf>
    <xf numFmtId="0" fontId="0" fillId="0" borderId="0" xfId="0" applyBorder="1" applyAlignment="1">
      <alignment horizontal="center"/>
    </xf>
    <xf numFmtId="0" fontId="0" fillId="0" borderId="0" xfId="0" applyAlignment="1">
      <alignment horizontal="center"/>
    </xf>
    <xf numFmtId="187" fontId="13" fillId="0" borderId="13" xfId="0" applyNumberFormat="1" applyFont="1" applyBorder="1" applyAlignment="1">
      <alignment horizontal="center"/>
    </xf>
    <xf numFmtId="187" fontId="0" fillId="0" borderId="13" xfId="0" applyNumberFormat="1" applyBorder="1" applyAlignment="1">
      <alignment horizontal="center"/>
    </xf>
    <xf numFmtId="187" fontId="13" fillId="0" borderId="2" xfId="0" applyNumberFormat="1" applyFont="1" applyBorder="1" applyAlignment="1">
      <alignment horizontal="center"/>
    </xf>
    <xf numFmtId="187" fontId="0" fillId="0" borderId="2" xfId="0" applyNumberForma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0" xfId="0" applyAlignment="1">
      <alignment/>
    </xf>
    <xf numFmtId="0" fontId="13" fillId="0" borderId="15" xfId="0" applyFont="1" applyBorder="1" applyAlignment="1">
      <alignment horizontal="center"/>
    </xf>
    <xf numFmtId="0" fontId="12" fillId="0" borderId="11" xfId="0" applyFont="1" applyBorder="1" applyAlignment="1">
      <alignment horizontal="center"/>
    </xf>
    <xf numFmtId="0" fontId="0" fillId="0" borderId="11" xfId="0" applyBorder="1" applyAlignment="1">
      <alignment horizontal="center"/>
    </xf>
    <xf numFmtId="0" fontId="13" fillId="0" borderId="0" xfId="0" applyFont="1" applyBorder="1" applyAlignment="1">
      <alignment horizontal="left"/>
    </xf>
    <xf numFmtId="0" fontId="0" fillId="0" borderId="0" xfId="0" applyBorder="1" applyAlignment="1">
      <alignment horizontal="left"/>
    </xf>
    <xf numFmtId="0" fontId="12" fillId="0" borderId="0" xfId="0" applyFont="1" applyBorder="1" applyAlignment="1">
      <alignment horizontal="center"/>
    </xf>
    <xf numFmtId="0" fontId="13" fillId="0" borderId="16" xfId="0" applyFont="1" applyBorder="1" applyAlignment="1">
      <alignment horizontal="center"/>
    </xf>
    <xf numFmtId="169" fontId="13" fillId="0" borderId="13" xfId="0" applyNumberFormat="1" applyFont="1" applyBorder="1" applyAlignment="1">
      <alignment horizontal="center"/>
    </xf>
    <xf numFmtId="169" fontId="0" fillId="0" borderId="13" xfId="0" applyNumberFormat="1" applyBorder="1" applyAlignment="1">
      <alignment horizontal="center"/>
    </xf>
    <xf numFmtId="3" fontId="13" fillId="0" borderId="14" xfId="0" applyNumberFormat="1" applyFont="1" applyFill="1" applyBorder="1" applyAlignment="1">
      <alignment horizontal="center"/>
    </xf>
    <xf numFmtId="0" fontId="0" fillId="0" borderId="14" xfId="0" applyFill="1" applyBorder="1" applyAlignment="1">
      <alignment/>
    </xf>
    <xf numFmtId="0" fontId="13" fillId="0" borderId="0" xfId="0" applyFont="1" applyBorder="1" applyAlignment="1">
      <alignment horizontal="center"/>
    </xf>
    <xf numFmtId="0" fontId="13" fillId="0" borderId="11" xfId="0" applyFont="1" applyBorder="1" applyAlignment="1">
      <alignment horizontal="center"/>
    </xf>
    <xf numFmtId="169" fontId="13" fillId="0" borderId="16" xfId="0" applyNumberFormat="1" applyFont="1" applyBorder="1" applyAlignment="1">
      <alignment horizontal="center"/>
    </xf>
    <xf numFmtId="169" fontId="0" fillId="0" borderId="16" xfId="0" applyNumberFormat="1" applyBorder="1" applyAlignment="1">
      <alignment horizontal="center"/>
    </xf>
    <xf numFmtId="169" fontId="13" fillId="0" borderId="13" xfId="0" applyNumberFormat="1" applyFont="1" applyFill="1" applyBorder="1" applyAlignment="1">
      <alignment horizontal="center"/>
    </xf>
    <xf numFmtId="169" fontId="0" fillId="0" borderId="13" xfId="0" applyNumberFormat="1" applyFill="1" applyBorder="1" applyAlignment="1">
      <alignment horizontal="center"/>
    </xf>
    <xf numFmtId="3" fontId="13" fillId="0" borderId="13" xfId="0" applyNumberFormat="1" applyFont="1" applyBorder="1" applyAlignment="1">
      <alignment horizontal="center"/>
    </xf>
    <xf numFmtId="0" fontId="0" fillId="0" borderId="13" xfId="0" applyBorder="1" applyAlignment="1">
      <alignment horizontal="center"/>
    </xf>
    <xf numFmtId="169" fontId="13" fillId="0" borderId="2" xfId="0" applyNumberFormat="1" applyFont="1" applyBorder="1" applyAlignment="1">
      <alignment horizontal="center"/>
    </xf>
    <xf numFmtId="169" fontId="0" fillId="0" borderId="2" xfId="0" applyNumberFormat="1" applyBorder="1" applyAlignment="1">
      <alignment horizontal="center"/>
    </xf>
    <xf numFmtId="169" fontId="13" fillId="0" borderId="14" xfId="0" applyNumberFormat="1" applyFont="1" applyBorder="1" applyAlignment="1">
      <alignment horizontal="center"/>
    </xf>
    <xf numFmtId="169" fontId="0" fillId="0" borderId="14" xfId="0" applyNumberFormat="1" applyBorder="1" applyAlignment="1">
      <alignment horizontal="center"/>
    </xf>
    <xf numFmtId="0" fontId="0" fillId="0" borderId="14" xfId="0" applyFill="1" applyBorder="1" applyAlignment="1">
      <alignment horizontal="center"/>
    </xf>
    <xf numFmtId="3" fontId="13" fillId="0" borderId="14" xfId="0" applyNumberFormat="1" applyFont="1" applyBorder="1" applyAlignment="1">
      <alignment horizontal="center"/>
    </xf>
    <xf numFmtId="0" fontId="0" fillId="0" borderId="14" xfId="0" applyBorder="1" applyAlignment="1">
      <alignment horizontal="center"/>
    </xf>
    <xf numFmtId="0" fontId="16" fillId="0" borderId="2" xfId="0" applyFont="1" applyBorder="1" applyAlignment="1">
      <alignment wrapText="1"/>
    </xf>
    <xf numFmtId="169" fontId="13" fillId="0" borderId="14" xfId="0" applyNumberFormat="1" applyFont="1" applyFill="1" applyBorder="1" applyAlignment="1">
      <alignment horizontal="center"/>
    </xf>
    <xf numFmtId="169" fontId="0" fillId="0" borderId="14" xfId="0" applyNumberFormat="1" applyFill="1" applyBorder="1" applyAlignment="1">
      <alignment horizontal="center"/>
    </xf>
    <xf numFmtId="0" fontId="2" fillId="0" borderId="19" xfId="0" applyFont="1" applyFill="1" applyBorder="1" applyAlignment="1">
      <alignment horizontal="center"/>
    </xf>
    <xf numFmtId="0" fontId="2" fillId="0" borderId="23" xfId="0" applyFont="1" applyFill="1" applyBorder="1" applyAlignment="1">
      <alignment horizontal="center"/>
    </xf>
    <xf numFmtId="0" fontId="2" fillId="0" borderId="19" xfId="0" applyFont="1" applyFill="1" applyBorder="1" applyAlignment="1">
      <alignment horizontal="left"/>
    </xf>
    <xf numFmtId="0" fontId="2" fillId="0" borderId="55" xfId="0" applyFont="1" applyBorder="1" applyAlignment="1">
      <alignment horizontal="left"/>
    </xf>
    <xf numFmtId="0" fontId="2" fillId="0" borderId="0" xfId="0" applyFont="1" applyFill="1" applyAlignment="1">
      <alignment horizontal="center"/>
    </xf>
    <xf numFmtId="0" fontId="2" fillId="0" borderId="0" xfId="0" applyFont="1" applyFill="1" applyAlignment="1">
      <alignment/>
    </xf>
    <xf numFmtId="0" fontId="2" fillId="0" borderId="39" xfId="0" applyFont="1" applyFill="1" applyBorder="1" applyAlignment="1">
      <alignment horizontal="center"/>
    </xf>
    <xf numFmtId="0" fontId="2" fillId="0" borderId="14" xfId="0" applyFont="1" applyFill="1" applyBorder="1" applyAlignment="1">
      <alignment horizontal="center"/>
    </xf>
    <xf numFmtId="0" fontId="2" fillId="0" borderId="40" xfId="0" applyFont="1" applyFill="1" applyBorder="1" applyAlignment="1">
      <alignment horizontal="center"/>
    </xf>
    <xf numFmtId="0" fontId="2" fillId="0" borderId="56" xfId="0" applyFont="1" applyFill="1" applyBorder="1" applyAlignment="1">
      <alignment horizontal="center"/>
    </xf>
    <xf numFmtId="0" fontId="2" fillId="0" borderId="18" xfId="0" applyFont="1" applyFill="1" applyBorder="1" applyAlignment="1">
      <alignment horizontal="center"/>
    </xf>
    <xf numFmtId="0" fontId="2" fillId="0" borderId="21" xfId="0" applyFont="1" applyFill="1" applyBorder="1" applyAlignment="1">
      <alignment horizontal="center"/>
    </xf>
    <xf numFmtId="0" fontId="1" fillId="0" borderId="0" xfId="0" applyFont="1" applyFill="1" applyAlignment="1">
      <alignment horizontal="center"/>
    </xf>
    <xf numFmtId="0" fontId="2" fillId="0" borderId="57" xfId="0" applyFont="1" applyFill="1" applyBorder="1" applyAlignment="1">
      <alignment horizontal="left" wrapText="1"/>
    </xf>
    <xf numFmtId="0" fontId="2" fillId="0" borderId="15" xfId="0" applyFont="1" applyFill="1" applyBorder="1" applyAlignment="1">
      <alignment horizontal="left" wrapText="1"/>
    </xf>
    <xf numFmtId="0" fontId="2" fillId="0" borderId="58" xfId="0" applyFont="1" applyFill="1" applyBorder="1" applyAlignment="1">
      <alignment horizontal="left" wrapText="1"/>
    </xf>
    <xf numFmtId="0" fontId="2" fillId="0" borderId="55" xfId="0" applyFont="1" applyFill="1" applyBorder="1" applyAlignment="1">
      <alignment horizontal="center"/>
    </xf>
    <xf numFmtId="0" fontId="2" fillId="0" borderId="13" xfId="0" applyFont="1" applyFill="1" applyBorder="1" applyAlignment="1">
      <alignment horizontal="center"/>
    </xf>
    <xf numFmtId="0" fontId="2" fillId="0" borderId="33" xfId="0" applyFont="1" applyFill="1" applyBorder="1" applyAlignment="1">
      <alignment horizontal="center"/>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5" xfId="0" applyFont="1" applyFill="1" applyBorder="1" applyAlignment="1">
      <alignment horizontal="left" wrapText="1"/>
    </xf>
    <xf numFmtId="0" fontId="0" fillId="0" borderId="0" xfId="0" applyFill="1" applyAlignment="1">
      <alignment wrapText="1"/>
    </xf>
    <xf numFmtId="0" fontId="0" fillId="0" borderId="55" xfId="0" applyBorder="1" applyAlignment="1">
      <alignment horizontal="left"/>
    </xf>
    <xf numFmtId="0" fontId="0" fillId="0" borderId="55" xfId="0" applyFill="1" applyBorder="1" applyAlignment="1">
      <alignment horizontal="left"/>
    </xf>
    <xf numFmtId="0" fontId="2" fillId="0" borderId="11" xfId="0" applyFont="1" applyFill="1" applyBorder="1" applyAlignment="1">
      <alignment horizontal="left" wrapText="1"/>
    </xf>
    <xf numFmtId="0" fontId="2" fillId="0" borderId="35" xfId="0" applyFont="1" applyFill="1" applyBorder="1" applyAlignment="1">
      <alignment horizontal="center"/>
    </xf>
    <xf numFmtId="0" fontId="2" fillId="0" borderId="34" xfId="0" applyFont="1" applyFill="1" applyBorder="1" applyAlignment="1">
      <alignment horizontal="center"/>
    </xf>
    <xf numFmtId="0" fontId="2" fillId="0" borderId="47" xfId="0" applyFont="1" applyFill="1" applyBorder="1" applyAlignment="1">
      <alignment horizontal="center"/>
    </xf>
    <xf numFmtId="0" fontId="0" fillId="0" borderId="23" xfId="0" applyBorder="1" applyAlignment="1">
      <alignment horizontal="center"/>
    </xf>
    <xf numFmtId="0" fontId="1" fillId="0" borderId="0" xfId="0" applyFont="1" applyAlignment="1">
      <alignment horizontal="center"/>
    </xf>
    <xf numFmtId="0" fontId="2" fillId="0" borderId="11" xfId="0" applyFont="1" applyBorder="1" applyAlignment="1">
      <alignment horizontal="left" wrapText="1"/>
    </xf>
    <xf numFmtId="0" fontId="2" fillId="0" borderId="52" xfId="0" applyFont="1" applyFill="1" applyBorder="1" applyAlignment="1">
      <alignment horizontal="center"/>
    </xf>
    <xf numFmtId="0" fontId="2" fillId="0" borderId="0" xfId="0" applyFont="1" applyFill="1" applyBorder="1" applyAlignment="1">
      <alignment horizontal="center"/>
    </xf>
    <xf numFmtId="3" fontId="2" fillId="0" borderId="0" xfId="0" applyNumberFormat="1" applyFont="1" applyFill="1" applyAlignment="1">
      <alignment/>
    </xf>
    <xf numFmtId="0" fontId="2" fillId="0" borderId="0" xfId="0" applyFont="1" applyFill="1" applyBorder="1" applyAlignment="1">
      <alignment horizontal="center"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8" fillId="0" borderId="0" xfId="0" applyFont="1" applyFill="1" applyBorder="1" applyAlignment="1">
      <alignment horizontal="center" wrapText="1"/>
    </xf>
    <xf numFmtId="0" fontId="2" fillId="0" borderId="18" xfId="0" applyFont="1" applyBorder="1" applyAlignment="1">
      <alignment horizontal="center"/>
    </xf>
    <xf numFmtId="0" fontId="2" fillId="0" borderId="0" xfId="0" applyFont="1" applyBorder="1" applyAlignment="1">
      <alignment horizontal="center" wrapText="1"/>
    </xf>
    <xf numFmtId="0" fontId="2" fillId="0" borderId="34" xfId="0" applyFont="1" applyBorder="1" applyAlignment="1">
      <alignment horizontal="center"/>
    </xf>
    <xf numFmtId="0" fontId="2" fillId="0" borderId="6" xfId="0" applyFont="1" applyBorder="1" applyAlignment="1">
      <alignment horizontal="center"/>
    </xf>
    <xf numFmtId="0" fontId="2" fillId="0" borderId="54" xfId="0" applyFont="1" applyBorder="1" applyAlignment="1">
      <alignment horizontal="center"/>
    </xf>
    <xf numFmtId="0" fontId="2" fillId="0" borderId="11" xfId="0" applyFont="1" applyBorder="1" applyAlignment="1">
      <alignment horizontal="center" wrapText="1"/>
    </xf>
    <xf numFmtId="0" fontId="0" fillId="0" borderId="6" xfId="0" applyBorder="1" applyAlignment="1">
      <alignment/>
    </xf>
    <xf numFmtId="0" fontId="0" fillId="0" borderId="54" xfId="0" applyBorder="1" applyAlignment="1">
      <alignment/>
    </xf>
    <xf numFmtId="0" fontId="2" fillId="0" borderId="44" xfId="0" applyFont="1" applyFill="1" applyBorder="1" applyAlignment="1">
      <alignment horizontal="center"/>
    </xf>
    <xf numFmtId="0" fontId="2" fillId="0" borderId="11" xfId="0" applyFont="1" applyFill="1" applyBorder="1" applyAlignment="1">
      <alignment horizontal="center" wrapText="1"/>
    </xf>
    <xf numFmtId="0" fontId="0" fillId="0" borderId="35"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Stages of Use in 2007 Households: PC Monitors </a:t>
            </a:r>
          </a:p>
        </c:rich>
      </c:tx>
      <c:layout/>
      <c:spPr>
        <a:noFill/>
        <a:ln>
          <a:noFill/>
        </a:ln>
      </c:spPr>
    </c:title>
    <c:plotArea>
      <c:layout/>
      <c:pieChart>
        <c:varyColors val="1"/>
        <c:ser>
          <c:idx val="0"/>
          <c:order val="0"/>
          <c:tx>
            <c:strRef>
              <c:f>'Storage&amp;Reuse'!$R$9</c:f>
              <c:strCache>
                <c:ptCount val="1"/>
                <c:pt idx="0">
                  <c:v>PC monitors </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'Storage&amp;Reuse'!$S$8:$V$8</c:f>
              <c:strCache>
                <c:ptCount val="4"/>
                <c:pt idx="0">
                  <c:v>Managed</c:v>
                </c:pt>
                <c:pt idx="1">
                  <c:v>Storage</c:v>
                </c:pt>
                <c:pt idx="2">
                  <c:v>1st Use</c:v>
                </c:pt>
                <c:pt idx="3">
                  <c:v>Reuse</c:v>
                </c:pt>
              </c:strCache>
            </c:strRef>
          </c:cat>
          <c:val>
            <c:numRef>
              <c:f>'Storage&amp;Reuse'!$S$9:$V$9</c:f>
              <c:numCache>
                <c:ptCount val="4"/>
                <c:pt idx="0">
                  <c:v>121.36225091225806</c:v>
                </c:pt>
                <c:pt idx="1">
                  <c:v>42.44495172</c:v>
                </c:pt>
                <c:pt idx="2">
                  <c:v>75.57375839999999</c:v>
                </c:pt>
                <c:pt idx="3">
                  <c:v>43.18245744</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Stages of Use in 2007 Households: Portable PCs</a:t>
            </a:r>
          </a:p>
        </c:rich>
      </c:tx>
      <c:layout/>
      <c:spPr>
        <a:noFill/>
        <a:ln>
          <a:noFill/>
        </a:ln>
      </c:spPr>
    </c:title>
    <c:plotArea>
      <c:layout/>
      <c:pieChart>
        <c:varyColors val="1"/>
        <c:ser>
          <c:idx val="0"/>
          <c:order val="0"/>
          <c:tx>
            <c:strRef>
              <c:f>'Storage&amp;Reuse'!$R$12</c:f>
              <c:strCache>
                <c:ptCount val="1"/>
                <c:pt idx="0">
                  <c:v>Portable PCs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'Storage&amp;Reuse'!$S$11:$V$11</c:f>
              <c:strCache>
                <c:ptCount val="4"/>
                <c:pt idx="0">
                  <c:v>Managed</c:v>
                </c:pt>
                <c:pt idx="1">
                  <c:v>Storage</c:v>
                </c:pt>
                <c:pt idx="2">
                  <c:v>1st Use</c:v>
                </c:pt>
                <c:pt idx="3">
                  <c:v>Reuse</c:v>
                </c:pt>
              </c:strCache>
            </c:strRef>
          </c:cat>
          <c:val>
            <c:numRef>
              <c:f>'Storage&amp;Reuse'!$S$12:$V$12</c:f>
              <c:numCache>
                <c:ptCount val="4"/>
                <c:pt idx="0">
                  <c:v>27.7585917312</c:v>
                </c:pt>
                <c:pt idx="1">
                  <c:v>2.0682475199999995</c:v>
                </c:pt>
                <c:pt idx="2">
                  <c:v>43.47177264</c:v>
                </c:pt>
                <c:pt idx="3">
                  <c:v>8.69774592</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Stages of Use in 2007 Households: Desktop PCs</a:t>
            </a:r>
          </a:p>
        </c:rich>
      </c:tx>
      <c:layout>
        <c:manualLayout>
          <c:xMode val="factor"/>
          <c:yMode val="factor"/>
          <c:x val="-0.01275"/>
          <c:y val="0.00975"/>
        </c:manualLayout>
      </c:layout>
      <c:spPr>
        <a:noFill/>
        <a:ln>
          <a:noFill/>
        </a:ln>
      </c:spPr>
    </c:title>
    <c:plotArea>
      <c:layout>
        <c:manualLayout>
          <c:xMode val="edge"/>
          <c:yMode val="edge"/>
          <c:x val="0.25275"/>
          <c:y val="0.4125"/>
          <c:w val="0.494"/>
          <c:h val="0.3655"/>
        </c:manualLayout>
      </c:layout>
      <c:pieChart>
        <c:varyColors val="1"/>
        <c:ser>
          <c:idx val="0"/>
          <c:order val="0"/>
          <c:tx>
            <c:strRef>
              <c:f>'Storage&amp;Reuse'!$R$6</c:f>
              <c:strCache>
                <c:ptCount val="1"/>
                <c:pt idx="0">
                  <c:v>Desktop PCs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'Storage&amp;Reuse'!$S$5:$V$5</c:f>
              <c:strCache>
                <c:ptCount val="4"/>
                <c:pt idx="0">
                  <c:v>Managed</c:v>
                </c:pt>
                <c:pt idx="1">
                  <c:v>Storage</c:v>
                </c:pt>
                <c:pt idx="2">
                  <c:v>1st Use</c:v>
                </c:pt>
                <c:pt idx="3">
                  <c:v>Reuse</c:v>
                </c:pt>
              </c:strCache>
            </c:strRef>
          </c:cat>
          <c:val>
            <c:numRef>
              <c:f>'Storage&amp;Reuse'!$S$6:$V$6</c:f>
              <c:numCache>
                <c:ptCount val="4"/>
                <c:pt idx="0">
                  <c:v>75.84609199385807</c:v>
                </c:pt>
                <c:pt idx="1">
                  <c:v>65.7240193872</c:v>
                </c:pt>
                <c:pt idx="2">
                  <c:v>70.57456656000001</c:v>
                </c:pt>
                <c:pt idx="3">
                  <c:v>51.424293119999994</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Stages of Use in 2007 Households: Hard Copy Peripherals</a:t>
            </a:r>
          </a:p>
        </c:rich>
      </c:tx>
      <c:layout/>
      <c:spPr>
        <a:noFill/>
        <a:ln>
          <a:noFill/>
        </a:ln>
      </c:spPr>
    </c:title>
    <c:plotArea>
      <c:layout/>
      <c:pieChart>
        <c:varyColors val="1"/>
        <c:ser>
          <c:idx val="0"/>
          <c:order val="0"/>
          <c:tx>
            <c:strRef>
              <c:f>'Storage&amp;Reuse'!$R$15</c:f>
              <c:strCache>
                <c:ptCount val="1"/>
                <c:pt idx="0">
                  <c:v>Hard copy peripherals</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'Storage&amp;Reuse'!$S$14:$V$14</c:f>
              <c:strCache>
                <c:ptCount val="4"/>
                <c:pt idx="0">
                  <c:v>Managed</c:v>
                </c:pt>
                <c:pt idx="1">
                  <c:v>Storage</c:v>
                </c:pt>
                <c:pt idx="2">
                  <c:v>1st Use</c:v>
                </c:pt>
                <c:pt idx="3">
                  <c:v>Reuse</c:v>
                </c:pt>
              </c:strCache>
            </c:strRef>
          </c:cat>
          <c:val>
            <c:numRef>
              <c:f>'Storage&amp;Reuse'!$S$15:$V$15</c:f>
              <c:numCache>
                <c:ptCount val="4"/>
                <c:pt idx="0">
                  <c:v>74.15032731193548</c:v>
                </c:pt>
                <c:pt idx="1">
                  <c:v>25.217792501999998</c:v>
                </c:pt>
                <c:pt idx="2">
                  <c:v>65.55172305673041</c:v>
                </c:pt>
                <c:pt idx="3">
                  <c:v>31.01792832</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Test of Result Sensitivity to Estimate of Products Recycled</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0"/>
              <c:showBubbleSize val="0"/>
              <c:showCatName val="1"/>
              <c:showSerName val="0"/>
              <c:showPercent val="1"/>
            </c:dLbl>
            <c:dLbl>
              <c:idx val="1"/>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'Storage&amp;Reuse'!$A$65:$A$69</c:f>
              <c:strCache/>
            </c:strRef>
          </c:cat>
          <c:val>
            <c:numRef>
              <c:f>'Storage&amp;Reuse'!$B$65:$B$69</c:f>
              <c:numCache>
                <c:ptCount val="5"/>
                <c:pt idx="0">
                  <c:v>0</c:v>
                </c:pt>
                <c:pt idx="1">
                  <c:v>0</c:v>
                </c:pt>
                <c:pt idx="2">
                  <c:v>0</c:v>
                </c:pt>
                <c:pt idx="3">
                  <c:v>0</c:v>
                </c:pt>
                <c:pt idx="4">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End Markets for EOL TVs and CRT Monitors Collected by U.S. Recyclers
2005 (by Weight)</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numFmt formatCode="0%" sourceLinked="0"/>
              <c:showLegendKey val="0"/>
              <c:showVal val="0"/>
              <c:showBubbleSize val="0"/>
              <c:showCatName val="1"/>
              <c:showSerName val="0"/>
              <c:showPercent val="1"/>
            </c:dLbl>
            <c:dLbl>
              <c:idx val="1"/>
              <c:layout>
                <c:manualLayout>
                  <c:x val="0"/>
                  <c:y val="0"/>
                </c:manualLayout>
              </c:layout>
              <c:numFmt formatCode="0%" sourceLinked="0"/>
              <c:showLegendKey val="0"/>
              <c:showVal val="0"/>
              <c:showBubbleSize val="0"/>
              <c:showCatName val="1"/>
              <c:showSerName val="0"/>
              <c:showPercent val="1"/>
            </c:dLbl>
            <c:dLbl>
              <c:idx val="2"/>
              <c:layout>
                <c:manualLayout>
                  <c:x val="0"/>
                  <c:y val="0"/>
                </c:manualLayout>
              </c:layout>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0"/>
            <c:showPercent val="1"/>
          </c:dLbls>
          <c:cat>
            <c:strRef>
              <c:f>'Storage&amp;Reuse'!$A$90:$A$93</c:f>
              <c:strCache/>
            </c:strRef>
          </c:cat>
          <c:val>
            <c:numRef>
              <c:f>'Storage&amp;Reuse'!$B$90:$B$93</c:f>
              <c:numCache>
                <c:ptCount val="4"/>
                <c:pt idx="0">
                  <c:v>0</c:v>
                </c:pt>
                <c:pt idx="1">
                  <c:v>0</c:v>
                </c:pt>
                <c:pt idx="2">
                  <c:v>0</c:v>
                </c:pt>
                <c:pt idx="3">
                  <c:v>0</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6"/>
          <c:y val="0.2445"/>
          <c:w val="0.379"/>
          <c:h val="0.50125"/>
        </c:manualLayout>
      </c:layout>
      <c:pieChart>
        <c:varyColors val="1"/>
        <c:ser>
          <c:idx val="0"/>
          <c:order val="0"/>
          <c:tx>
            <c:v>series 1</c:v>
          </c:tx>
          <c:explosion val="0"/>
          <c:extLst>
            <c:ext xmlns:c14="http://schemas.microsoft.com/office/drawing/2007/8/2/chart" uri="{6F2FDCE9-48DA-4B69-8628-5D25D57E5C99}">
              <c14:invertSolidFillFmt>
                <c14:spPr>
                  <a:solidFill>
                    <a:srgbClr val="000000"/>
                  </a:solidFill>
                </c14:spPr>
              </c14:invertSolidFillFmt>
            </c:ext>
          </c:extLst>
          <c:val>
            <c:numRef>
              <c:f>'Storage&amp;Reuse'!$V$56:$X$56</c:f>
              <c:numCache>
                <c:ptCount val="3"/>
                <c:pt idx="0">
                  <c:v>0</c:v>
                </c:pt>
                <c:pt idx="1">
                  <c:v>0</c:v>
                </c:pt>
                <c:pt idx="2">
                  <c:v>0</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0.7495</cdr:x>
      <cdr:y>0.1915</cdr:y>
    </cdr:from>
    <cdr:to>
      <cdr:x>0.96775</cdr:x>
      <cdr:y>0.409</cdr:y>
    </cdr:to>
    <cdr:sp>
      <cdr:nvSpPr>
        <cdr:cNvPr id="1" name="TextBox 1"/>
        <cdr:cNvSpPr txBox="1">
          <a:spLocks noChangeArrowheads="1"/>
        </cdr:cNvSpPr>
      </cdr:nvSpPr>
      <cdr:spPr>
        <a:xfrm>
          <a:off x="2962275" y="561975"/>
          <a:ext cx="866775" cy="647700"/>
        </a:xfrm>
        <a:prstGeom prst="rect">
          <a:avLst/>
        </a:prstGeom>
        <a:noFill/>
        <a:ln w="9525" cmpd="sng">
          <a:noFill/>
        </a:ln>
      </cdr:spPr>
      <cdr:txBody>
        <a:bodyPr vertOverflow="clip" wrap="square"/>
        <a:p>
          <a:pPr algn="ctr">
            <a:defRPr/>
          </a:pPr>
          <a:r>
            <a:rPr lang="en-US" cap="none" sz="1100" b="0" i="0" u="none" baseline="0">
              <a:latin typeface="Arial"/>
              <a:ea typeface="Arial"/>
              <a:cs typeface="Arial"/>
            </a:rPr>
            <a:t>Already Managed
49%</a:t>
          </a:r>
        </a:p>
      </cdr:txBody>
    </cdr:sp>
  </cdr:relSizeAnchor>
  <cdr:relSizeAnchor xmlns:cdr="http://schemas.openxmlformats.org/drawingml/2006/chartDrawing">
    <cdr:from>
      <cdr:x>0.27525</cdr:x>
      <cdr:y>0.78875</cdr:y>
    </cdr:from>
    <cdr:to>
      <cdr:x>0.5355</cdr:x>
      <cdr:y>0.921</cdr:y>
    </cdr:to>
    <cdr:sp>
      <cdr:nvSpPr>
        <cdr:cNvPr id="2" name="TextBox 2"/>
        <cdr:cNvSpPr txBox="1">
          <a:spLocks noChangeArrowheads="1"/>
        </cdr:cNvSpPr>
      </cdr:nvSpPr>
      <cdr:spPr>
        <a:xfrm>
          <a:off x="1085850" y="2343150"/>
          <a:ext cx="1028700" cy="390525"/>
        </a:xfrm>
        <a:prstGeom prst="rect">
          <a:avLst/>
        </a:prstGeom>
        <a:noFill/>
        <a:ln w="9525" cmpd="sng">
          <a:noFill/>
        </a:ln>
      </cdr:spPr>
      <cdr:txBody>
        <a:bodyPr vertOverflow="clip" wrap="square"/>
        <a:p>
          <a:pPr algn="ctr">
            <a:defRPr/>
          </a:pPr>
          <a:r>
            <a:rPr lang="en-US" cap="none" sz="1100" b="0" i="0" u="none" baseline="0">
              <a:latin typeface="Arial"/>
              <a:ea typeface="Arial"/>
              <a:cs typeface="Arial"/>
            </a:rPr>
            <a:t>In Storage 10%</a:t>
          </a:r>
        </a:p>
      </cdr:txBody>
    </cdr:sp>
  </cdr:relSizeAnchor>
  <cdr:relSizeAnchor xmlns:cdr="http://schemas.openxmlformats.org/drawingml/2006/chartDrawing">
    <cdr:from>
      <cdr:x>0.1255</cdr:x>
      <cdr:y>0.257</cdr:y>
    </cdr:from>
    <cdr:to>
      <cdr:x>0.31775</cdr:x>
      <cdr:y>0.409</cdr:y>
    </cdr:to>
    <cdr:sp>
      <cdr:nvSpPr>
        <cdr:cNvPr id="3" name="TextBox 3"/>
        <cdr:cNvSpPr txBox="1">
          <a:spLocks noChangeArrowheads="1"/>
        </cdr:cNvSpPr>
      </cdr:nvSpPr>
      <cdr:spPr>
        <a:xfrm>
          <a:off x="495300" y="762000"/>
          <a:ext cx="762000" cy="447675"/>
        </a:xfrm>
        <a:prstGeom prst="rect">
          <a:avLst/>
        </a:prstGeom>
        <a:noFill/>
        <a:ln w="9525" cmpd="sng">
          <a:noFill/>
        </a:ln>
      </cdr:spPr>
      <cdr:txBody>
        <a:bodyPr vertOverflow="clip" wrap="square"/>
        <a:p>
          <a:pPr algn="ctr">
            <a:defRPr/>
          </a:pPr>
          <a:r>
            <a:rPr lang="en-US" cap="none" sz="1100" b="0" i="0" u="none" baseline="0">
              <a:latin typeface="Arial"/>
              <a:ea typeface="Arial"/>
              <a:cs typeface="Arial"/>
            </a:rPr>
            <a:t>Still in Use
41%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438150</xdr:colOff>
      <xdr:row>32</xdr:row>
      <xdr:rowOff>76200</xdr:rowOff>
    </xdr:from>
    <xdr:to>
      <xdr:col>16</xdr:col>
      <xdr:colOff>504825</xdr:colOff>
      <xdr:row>48</xdr:row>
      <xdr:rowOff>133350</xdr:rowOff>
    </xdr:to>
    <xdr:grpSp>
      <xdr:nvGrpSpPr>
        <xdr:cNvPr id="1" name="Group 13"/>
        <xdr:cNvGrpSpPr>
          <a:grpSpLocks/>
        </xdr:cNvGrpSpPr>
      </xdr:nvGrpSpPr>
      <xdr:grpSpPr>
        <a:xfrm>
          <a:off x="6315075" y="6048375"/>
          <a:ext cx="6438900" cy="2647950"/>
          <a:chOff x="663" y="635"/>
          <a:chExt cx="676" cy="278"/>
        </a:xfrm>
        <a:solidFill>
          <a:srgbClr val="FFFFFF"/>
        </a:solidFill>
      </xdr:grpSpPr>
      <xdr:graphicFrame>
        <xdr:nvGraphicFramePr>
          <xdr:cNvPr id="2" name="Chart 4"/>
          <xdr:cNvGraphicFramePr/>
        </xdr:nvGraphicFramePr>
        <xdr:xfrm>
          <a:off x="663" y="635"/>
          <a:ext cx="330" cy="278"/>
        </xdr:xfrm>
        <a:graphic>
          <a:graphicData uri="http://schemas.openxmlformats.org/drawingml/2006/chart">
            <c:chart xmlns:c="http://schemas.openxmlformats.org/drawingml/2006/chart" r:id="rId1"/>
          </a:graphicData>
        </a:graphic>
      </xdr:graphicFrame>
      <xdr:graphicFrame>
        <xdr:nvGraphicFramePr>
          <xdr:cNvPr id="3" name="Chart 5"/>
          <xdr:cNvGraphicFramePr/>
        </xdr:nvGraphicFramePr>
        <xdr:xfrm>
          <a:off x="1006" y="635"/>
          <a:ext cx="333" cy="278"/>
        </xdr:xfrm>
        <a:graphic>
          <a:graphicData uri="http://schemas.openxmlformats.org/drawingml/2006/chart">
            <c:chart xmlns:c="http://schemas.openxmlformats.org/drawingml/2006/chart" r:id="rId2"/>
          </a:graphicData>
        </a:graphic>
      </xdr:graphicFrame>
    </xdr:grpSp>
    <xdr:clientData/>
  </xdr:twoCellAnchor>
  <xdr:twoCellAnchor>
    <xdr:from>
      <xdr:col>10</xdr:col>
      <xdr:colOff>428625</xdr:colOff>
      <xdr:row>14</xdr:row>
      <xdr:rowOff>104775</xdr:rowOff>
    </xdr:from>
    <xdr:to>
      <xdr:col>16</xdr:col>
      <xdr:colOff>485775</xdr:colOff>
      <xdr:row>31</xdr:row>
      <xdr:rowOff>95250</xdr:rowOff>
    </xdr:to>
    <xdr:grpSp>
      <xdr:nvGrpSpPr>
        <xdr:cNvPr id="4" name="Group 12"/>
        <xdr:cNvGrpSpPr>
          <a:grpSpLocks/>
        </xdr:cNvGrpSpPr>
      </xdr:nvGrpSpPr>
      <xdr:grpSpPr>
        <a:xfrm>
          <a:off x="6305550" y="3162300"/>
          <a:ext cx="6429375" cy="2743200"/>
          <a:chOff x="662" y="332"/>
          <a:chExt cx="675" cy="288"/>
        </a:xfrm>
        <a:solidFill>
          <a:srgbClr val="FFFFFF"/>
        </a:solidFill>
      </xdr:grpSpPr>
      <xdr:graphicFrame>
        <xdr:nvGraphicFramePr>
          <xdr:cNvPr id="5" name="Chart 3"/>
          <xdr:cNvGraphicFramePr/>
        </xdr:nvGraphicFramePr>
        <xdr:xfrm>
          <a:off x="662" y="332"/>
          <a:ext cx="333" cy="288"/>
        </xdr:xfrm>
        <a:graphic>
          <a:graphicData uri="http://schemas.openxmlformats.org/drawingml/2006/chart">
            <c:chart xmlns:c="http://schemas.openxmlformats.org/drawingml/2006/chart" r:id="rId3"/>
          </a:graphicData>
        </a:graphic>
      </xdr:graphicFrame>
      <xdr:graphicFrame>
        <xdr:nvGraphicFramePr>
          <xdr:cNvPr id="6" name="Chart 6"/>
          <xdr:cNvGraphicFramePr/>
        </xdr:nvGraphicFramePr>
        <xdr:xfrm>
          <a:off x="1005" y="333"/>
          <a:ext cx="332" cy="286"/>
        </xdr:xfrm>
        <a:graphic>
          <a:graphicData uri="http://schemas.openxmlformats.org/drawingml/2006/chart">
            <c:chart xmlns:c="http://schemas.openxmlformats.org/drawingml/2006/chart" r:id="rId4"/>
          </a:graphicData>
        </a:graphic>
      </xdr:graphicFrame>
    </xdr:grpSp>
    <xdr:clientData/>
  </xdr:twoCellAnchor>
  <xdr:twoCellAnchor>
    <xdr:from>
      <xdr:col>0</xdr:col>
      <xdr:colOff>190500</xdr:colOff>
      <xdr:row>71</xdr:row>
      <xdr:rowOff>19050</xdr:rowOff>
    </xdr:from>
    <xdr:to>
      <xdr:col>8</xdr:col>
      <xdr:colOff>266700</xdr:colOff>
      <xdr:row>87</xdr:row>
      <xdr:rowOff>104775</xdr:rowOff>
    </xdr:to>
    <xdr:graphicFrame>
      <xdr:nvGraphicFramePr>
        <xdr:cNvPr id="7" name="Chart 9"/>
        <xdr:cNvGraphicFramePr/>
      </xdr:nvGraphicFramePr>
      <xdr:xfrm>
        <a:off x="190500" y="12639675"/>
        <a:ext cx="4733925" cy="2676525"/>
      </xdr:xfrm>
      <a:graphic>
        <a:graphicData uri="http://schemas.openxmlformats.org/drawingml/2006/chart">
          <c:chart xmlns:c="http://schemas.openxmlformats.org/drawingml/2006/chart" r:id="rId5"/>
        </a:graphicData>
      </a:graphic>
    </xdr:graphicFrame>
    <xdr:clientData/>
  </xdr:twoCellAnchor>
  <xdr:twoCellAnchor>
    <xdr:from>
      <xdr:col>0</xdr:col>
      <xdr:colOff>361950</xdr:colOff>
      <xdr:row>94</xdr:row>
      <xdr:rowOff>0</xdr:rowOff>
    </xdr:from>
    <xdr:to>
      <xdr:col>8</xdr:col>
      <xdr:colOff>371475</xdr:colOff>
      <xdr:row>110</xdr:row>
      <xdr:rowOff>85725</xdr:rowOff>
    </xdr:to>
    <xdr:graphicFrame>
      <xdr:nvGraphicFramePr>
        <xdr:cNvPr id="8" name="Chart 11"/>
        <xdr:cNvGraphicFramePr/>
      </xdr:nvGraphicFramePr>
      <xdr:xfrm>
        <a:off x="361950" y="16344900"/>
        <a:ext cx="4667250" cy="2676525"/>
      </xdr:xfrm>
      <a:graphic>
        <a:graphicData uri="http://schemas.openxmlformats.org/drawingml/2006/chart">
          <c:chart xmlns:c="http://schemas.openxmlformats.org/drawingml/2006/chart" r:id="rId6"/>
        </a:graphicData>
      </a:graphic>
    </xdr:graphicFrame>
    <xdr:clientData/>
  </xdr:twoCellAnchor>
  <xdr:twoCellAnchor>
    <xdr:from>
      <xdr:col>12</xdr:col>
      <xdr:colOff>114300</xdr:colOff>
      <xdr:row>79</xdr:row>
      <xdr:rowOff>0</xdr:rowOff>
    </xdr:from>
    <xdr:to>
      <xdr:col>16</xdr:col>
      <xdr:colOff>514350</xdr:colOff>
      <xdr:row>97</xdr:row>
      <xdr:rowOff>57150</xdr:rowOff>
    </xdr:to>
    <xdr:graphicFrame>
      <xdr:nvGraphicFramePr>
        <xdr:cNvPr id="9" name="Chart 14"/>
        <xdr:cNvGraphicFramePr/>
      </xdr:nvGraphicFramePr>
      <xdr:xfrm>
        <a:off x="8801100" y="13916025"/>
        <a:ext cx="3962400" cy="29718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V157"/>
  <sheetViews>
    <sheetView tabSelected="1" workbookViewId="0" topLeftCell="A1">
      <selection activeCell="BI118" sqref="BI118"/>
    </sheetView>
  </sheetViews>
  <sheetFormatPr defaultColWidth="9.140625" defaultRowHeight="12.75"/>
  <cols>
    <col min="1" max="1" width="5.8515625" style="0" customWidth="1"/>
    <col min="2" max="2" width="0.85546875" style="0" customWidth="1"/>
    <col min="3" max="3" width="8.28125" style="0" customWidth="1"/>
    <col min="4" max="4" width="1.1484375" style="0" customWidth="1"/>
    <col min="6" max="6" width="1.1484375" style="0" customWidth="1"/>
    <col min="7" max="7" width="1.7109375" style="0" customWidth="1"/>
    <col min="8" max="8" width="7.8515625" style="0" customWidth="1"/>
    <col min="9" max="9" width="1.8515625" style="0" customWidth="1"/>
    <col min="10" max="10" width="8.8515625" style="0" customWidth="1"/>
    <col min="11" max="11" width="1.1484375" style="0" customWidth="1"/>
    <col min="12" max="12" width="0.9921875" style="0" customWidth="1"/>
    <col min="13" max="13" width="8.57421875" style="0" customWidth="1"/>
    <col min="14" max="14" width="1.7109375" style="0" customWidth="1"/>
    <col min="16" max="16" width="1.57421875" style="0" customWidth="1"/>
    <col min="17" max="17" width="0.9921875" style="0" customWidth="1"/>
    <col min="18" max="18" width="8.421875" style="0" customWidth="1"/>
    <col min="19" max="19" width="1.57421875" style="0" customWidth="1"/>
    <col min="20" max="20" width="8.57421875" style="0" customWidth="1"/>
    <col min="21" max="21" width="1.421875" style="0" customWidth="1"/>
    <col min="22" max="22" width="0.85546875" style="0" customWidth="1"/>
    <col min="24" max="24" width="1.7109375" style="0" customWidth="1"/>
    <col min="25" max="25" width="12.421875" style="0" bestFit="1" customWidth="1"/>
    <col min="26" max="26" width="1.57421875" style="0" customWidth="1"/>
    <col min="27" max="27" width="0.5625" style="0" customWidth="1"/>
    <col min="28" max="28" width="10.00390625" style="0" bestFit="1" customWidth="1"/>
    <col min="29" max="29" width="1.8515625" style="0" customWidth="1"/>
    <col min="30" max="30" width="8.140625" style="0" customWidth="1"/>
    <col min="31" max="31" width="1.1484375" style="0" customWidth="1"/>
    <col min="32" max="32" width="2.00390625" style="0" customWidth="1"/>
    <col min="33" max="33" width="11.140625" style="0" customWidth="1"/>
    <col min="34" max="34" width="1.28515625" style="0" customWidth="1"/>
    <col min="36" max="36" width="0.71875" style="0" customWidth="1"/>
    <col min="38" max="38" width="2.00390625" style="0" customWidth="1"/>
    <col min="40" max="40" width="1.421875" style="0" customWidth="1"/>
    <col min="41" max="41" width="0.42578125" style="0" customWidth="1"/>
    <col min="42" max="42" width="10.140625" style="0" customWidth="1"/>
    <col min="44" max="45" width="0.85546875" style="0" customWidth="1"/>
    <col min="46" max="46" width="11.140625" style="0" customWidth="1"/>
    <col min="47" max="47" width="10.8515625" style="0" customWidth="1"/>
    <col min="48" max="48" width="0.85546875" style="0" customWidth="1"/>
    <col min="51" max="51" width="1.57421875" style="0" customWidth="1"/>
    <col min="52" max="52" width="10.57421875" style="0" customWidth="1"/>
    <col min="53" max="53" width="11.7109375" style="0" customWidth="1"/>
    <col min="54" max="54" width="13.00390625" style="0" customWidth="1"/>
    <col min="55" max="55" width="10.7109375" style="0" customWidth="1"/>
    <col min="56" max="56" width="6.7109375" style="0" customWidth="1"/>
    <col min="57" max="58" width="8.7109375" style="0" customWidth="1"/>
    <col min="59" max="59" width="11.7109375" style="0" customWidth="1"/>
    <col min="60" max="60" width="9.8515625" style="0" customWidth="1"/>
    <col min="61" max="66" width="8.7109375" style="0" customWidth="1"/>
  </cols>
  <sheetData>
    <row r="1" ht="12.75">
      <c r="A1" s="374" t="s">
        <v>222</v>
      </c>
    </row>
    <row r="2" spans="3:59" ht="12.75">
      <c r="C2" s="503" t="s">
        <v>16</v>
      </c>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10"/>
      <c r="AZ2" s="510"/>
      <c r="BA2" s="510"/>
      <c r="BB2" s="510"/>
      <c r="BC2" s="510"/>
      <c r="BG2" t="s">
        <v>60</v>
      </c>
    </row>
    <row r="3" spans="1:60" ht="12.75">
      <c r="A3" s="9" t="s">
        <v>0</v>
      </c>
      <c r="B3" s="10"/>
      <c r="C3" s="503" t="s">
        <v>30</v>
      </c>
      <c r="D3" s="503"/>
      <c r="E3" s="503"/>
      <c r="F3" s="45"/>
      <c r="H3" s="503" t="s">
        <v>55</v>
      </c>
      <c r="I3" s="503"/>
      <c r="J3" s="503"/>
      <c r="K3" s="45"/>
      <c r="M3" t="s">
        <v>56</v>
      </c>
      <c r="R3" t="s">
        <v>70</v>
      </c>
      <c r="W3" t="s">
        <v>57</v>
      </c>
      <c r="AB3" t="s">
        <v>58</v>
      </c>
      <c r="AG3" s="510" t="s">
        <v>103</v>
      </c>
      <c r="AH3" s="510"/>
      <c r="AI3" s="510"/>
      <c r="AK3" s="510" t="s">
        <v>104</v>
      </c>
      <c r="AL3" s="510"/>
      <c r="AM3" s="510"/>
      <c r="AP3" s="510" t="s">
        <v>105</v>
      </c>
      <c r="AQ3" s="510"/>
      <c r="AT3" s="510" t="s">
        <v>50</v>
      </c>
      <c r="AU3" s="510"/>
      <c r="AW3" t="s">
        <v>59</v>
      </c>
      <c r="AZ3" t="s">
        <v>197</v>
      </c>
      <c r="BB3" t="s">
        <v>22</v>
      </c>
      <c r="BG3" t="s">
        <v>61</v>
      </c>
      <c r="BH3" t="s">
        <v>62</v>
      </c>
    </row>
    <row r="4" spans="1:60" ht="12.75">
      <c r="A4" s="11"/>
      <c r="B4" s="10"/>
      <c r="C4" s="1" t="s">
        <v>46</v>
      </c>
      <c r="D4" s="1"/>
      <c r="E4" s="1" t="s">
        <v>2</v>
      </c>
      <c r="F4" s="1"/>
      <c r="H4" s="1" t="s">
        <v>46</v>
      </c>
      <c r="I4" s="1"/>
      <c r="J4" s="1" t="s">
        <v>2</v>
      </c>
      <c r="K4" s="1"/>
      <c r="M4" s="1" t="s">
        <v>46</v>
      </c>
      <c r="N4" s="1"/>
      <c r="O4" s="1" t="s">
        <v>2</v>
      </c>
      <c r="P4" s="1"/>
      <c r="R4" s="1" t="s">
        <v>46</v>
      </c>
      <c r="S4" s="1"/>
      <c r="T4" s="1" t="s">
        <v>2</v>
      </c>
      <c r="U4" s="1"/>
      <c r="W4" s="1" t="s">
        <v>46</v>
      </c>
      <c r="X4" s="1"/>
      <c r="Y4" s="1" t="s">
        <v>2</v>
      </c>
      <c r="Z4" s="1"/>
      <c r="AB4" s="1" t="s">
        <v>46</v>
      </c>
      <c r="AC4" s="1"/>
      <c r="AD4" s="1" t="s">
        <v>2</v>
      </c>
      <c r="AE4" s="1"/>
      <c r="AG4" s="1" t="s">
        <v>46</v>
      </c>
      <c r="AH4" s="1"/>
      <c r="AI4" s="1" t="s">
        <v>2</v>
      </c>
      <c r="AJ4" s="1"/>
      <c r="AK4" s="1" t="s">
        <v>46</v>
      </c>
      <c r="AL4" s="1"/>
      <c r="AM4" s="1" t="s">
        <v>2</v>
      </c>
      <c r="AN4" s="1"/>
      <c r="AO4" s="1"/>
      <c r="AP4" t="s">
        <v>46</v>
      </c>
      <c r="AQ4" t="s">
        <v>2</v>
      </c>
      <c r="AT4" t="s">
        <v>46</v>
      </c>
      <c r="AU4" t="s">
        <v>2</v>
      </c>
      <c r="AW4" s="1" t="s">
        <v>46</v>
      </c>
      <c r="AX4" s="1" t="s">
        <v>2</v>
      </c>
      <c r="AZ4" s="1" t="s">
        <v>46</v>
      </c>
      <c r="BA4" s="1" t="s">
        <v>2</v>
      </c>
      <c r="BB4" s="1" t="s">
        <v>46</v>
      </c>
      <c r="BC4" s="1" t="s">
        <v>2</v>
      </c>
      <c r="BG4" s="1" t="s">
        <v>2</v>
      </c>
      <c r="BH4" s="1" t="s">
        <v>2</v>
      </c>
    </row>
    <row r="5" spans="1:55" ht="12.75">
      <c r="A5" s="12">
        <v>1982</v>
      </c>
      <c r="B5" s="10"/>
      <c r="C5" s="32">
        <f>Desktops!AE10</f>
        <v>0</v>
      </c>
      <c r="D5" s="32"/>
      <c r="E5" s="32">
        <f>Desktops!AF10</f>
        <v>0</v>
      </c>
      <c r="F5" s="32"/>
      <c r="G5" s="31"/>
      <c r="H5" s="31">
        <f>Portables!AE10</f>
        <v>0</v>
      </c>
      <c r="I5" s="31"/>
      <c r="J5" s="31">
        <f>Portables!AF10</f>
        <v>0</v>
      </c>
      <c r="K5" s="31"/>
      <c r="L5" s="31"/>
      <c r="M5" s="31">
        <f>'Hard Copy Devices'!AE10</f>
        <v>0</v>
      </c>
      <c r="N5" s="31"/>
      <c r="O5" s="31">
        <f>'Hard Copy Devices'!AF10</f>
        <v>0</v>
      </c>
      <c r="P5" s="31"/>
      <c r="Q5" s="31"/>
      <c r="R5" s="31">
        <f>Mice!G10+Keyboards!G10</f>
        <v>0</v>
      </c>
      <c r="S5" s="31"/>
      <c r="T5" s="31">
        <f>Mice!H10+Keyboards!H10</f>
        <v>0</v>
      </c>
      <c r="U5" s="31"/>
      <c r="V5" s="31"/>
      <c r="W5" s="31">
        <f>'PC CRTs'!AF10</f>
        <v>0</v>
      </c>
      <c r="X5" s="31"/>
      <c r="Y5" s="31">
        <f>'PC CRTs'!AG10</f>
        <v>0</v>
      </c>
      <c r="Z5" s="31"/>
      <c r="AA5" s="31"/>
      <c r="AB5" s="31">
        <f>'PC Flat Panel'!AF10</f>
        <v>0</v>
      </c>
      <c r="AC5" s="31"/>
      <c r="AD5" s="31">
        <f>'PC Flat Panel'!AG10</f>
        <v>0</v>
      </c>
      <c r="AE5" s="31"/>
      <c r="AF5" s="31"/>
      <c r="AG5" s="31">
        <f>'TV CRT &lt;19'!R10</f>
        <v>0</v>
      </c>
      <c r="AH5" s="31"/>
      <c r="AI5" s="31">
        <f>'TV CRT &lt;19'!S10</f>
        <v>0</v>
      </c>
      <c r="AJ5" s="31"/>
      <c r="AK5" s="31">
        <f>'TV CRT &gt;19'!R10</f>
        <v>0</v>
      </c>
      <c r="AL5" s="31"/>
      <c r="AM5" s="31">
        <f>'TV CRT &gt;19'!S10</f>
        <v>0</v>
      </c>
      <c r="AN5" s="31"/>
      <c r="AO5" s="31"/>
      <c r="AP5" s="31">
        <f>'TV Proj'!I10</f>
        <v>0</v>
      </c>
      <c r="AQ5" s="31">
        <f>'TV Proj'!J10</f>
        <v>0</v>
      </c>
      <c r="AR5" s="31"/>
      <c r="AS5" s="31"/>
      <c r="AT5" s="31">
        <f>'Monochrome TV'!R10</f>
        <v>0</v>
      </c>
      <c r="AU5" s="31">
        <f>'Monochrome TV'!S10</f>
        <v>0</v>
      </c>
      <c r="AV5" s="31"/>
      <c r="AW5" s="31">
        <f>'TV Flat Panel'!R10</f>
        <v>0</v>
      </c>
      <c r="AX5" s="31">
        <f>'TV Flat Panel'!S10</f>
        <v>0</v>
      </c>
      <c r="AY5" s="31"/>
      <c r="AZ5" s="31">
        <f>'Cell Phones'!S10</f>
        <v>0</v>
      </c>
      <c r="BA5" s="31">
        <f>'Cell Phones'!T10</f>
        <v>0</v>
      </c>
      <c r="BB5" s="31">
        <f>C5+H5+M5+R5+W5+AB5+AG5+AK5+AP5+AT5+AW5+AZ5</f>
        <v>0</v>
      </c>
      <c r="BC5" s="31">
        <f>E5+J5+O5+T5+Y5+AD5+AI5+AM5+AQ5+AU5+AX5+BA5</f>
        <v>0</v>
      </c>
    </row>
    <row r="6" spans="1:55" ht="12.75">
      <c r="A6" s="12">
        <v>1983</v>
      </c>
      <c r="B6" s="10"/>
      <c r="C6" s="32">
        <f>Desktops!AE11</f>
        <v>203.97419354838712</v>
      </c>
      <c r="D6" s="32"/>
      <c r="E6" s="32">
        <f>Desktops!AF11</f>
        <v>2243.716129032258</v>
      </c>
      <c r="F6" s="32"/>
      <c r="G6" s="31"/>
      <c r="H6" s="31">
        <f>Portables!AE11</f>
        <v>0</v>
      </c>
      <c r="I6" s="31"/>
      <c r="J6" s="31">
        <f>Portables!AF11</f>
        <v>0</v>
      </c>
      <c r="K6" s="31"/>
      <c r="L6" s="31"/>
      <c r="M6" s="31">
        <f>'Hard Copy Devices'!AE11</f>
        <v>107.08645161290323</v>
      </c>
      <c r="N6" s="31"/>
      <c r="O6" s="31">
        <f>'Hard Copy Devices'!AF11</f>
        <v>963.7780645161291</v>
      </c>
      <c r="P6" s="31"/>
      <c r="Q6" s="31"/>
      <c r="R6" s="31">
        <f>Mice!G11+Keyboards!G11</f>
        <v>0</v>
      </c>
      <c r="S6" s="31"/>
      <c r="T6" s="31">
        <f>Mice!H11+Keyboards!H11</f>
        <v>0</v>
      </c>
      <c r="U6" s="31"/>
      <c r="V6" s="31"/>
      <c r="W6" s="31">
        <f>'PC CRTs'!AF11</f>
        <v>203.97419354838712</v>
      </c>
      <c r="X6" s="31"/>
      <c r="Y6" s="31">
        <f>'PC CRTs'!AG11</f>
        <v>2498.6838709677418</v>
      </c>
      <c r="Z6" s="31"/>
      <c r="AA6" s="31"/>
      <c r="AB6" s="31">
        <f>'PC Flat Panel'!AF11</f>
        <v>0</v>
      </c>
      <c r="AC6" s="31"/>
      <c r="AD6" s="31">
        <f>'PC Flat Panel'!AG11</f>
        <v>0</v>
      </c>
      <c r="AE6" s="31"/>
      <c r="AF6" s="31"/>
      <c r="AG6" s="31">
        <f>'TV CRT &lt;19'!R11</f>
        <v>0</v>
      </c>
      <c r="AH6" s="31"/>
      <c r="AI6" s="31">
        <f>'TV CRT &lt;19'!S11</f>
        <v>0</v>
      </c>
      <c r="AJ6" s="31"/>
      <c r="AK6" s="31">
        <f>'TV CRT &gt;19'!R11</f>
        <v>0</v>
      </c>
      <c r="AL6" s="31"/>
      <c r="AM6" s="31">
        <f>'TV CRT &gt;19'!S11</f>
        <v>0</v>
      </c>
      <c r="AN6" s="31"/>
      <c r="AO6" s="31"/>
      <c r="AP6" s="31">
        <f>'TV Proj'!I11</f>
        <v>0</v>
      </c>
      <c r="AQ6" s="31">
        <f>'TV Proj'!J11</f>
        <v>0</v>
      </c>
      <c r="AR6" s="31"/>
      <c r="AS6" s="31"/>
      <c r="AT6" s="31">
        <f>'Monochrome TV'!R11</f>
        <v>0</v>
      </c>
      <c r="AU6" s="31">
        <f>'Monochrome TV'!S11</f>
        <v>0</v>
      </c>
      <c r="AV6" s="31"/>
      <c r="AW6" s="31">
        <f>'TV Flat Panel'!R11</f>
        <v>0</v>
      </c>
      <c r="AX6" s="31">
        <f>'TV Flat Panel'!S11</f>
        <v>0</v>
      </c>
      <c r="AY6" s="31"/>
      <c r="AZ6" s="31">
        <f>'Cell Phones'!S11</f>
        <v>0</v>
      </c>
      <c r="BA6" s="31">
        <f>'Cell Phones'!T11</f>
        <v>0</v>
      </c>
      <c r="BB6" s="31">
        <f aca="true" t="shared" si="0" ref="BB6:BB33">C6+H6+M6+R6+W6+AB6+AG6+AK6+AP6+AT6+AW6+AZ6</f>
        <v>515.0348387096775</v>
      </c>
      <c r="BC6" s="31">
        <f aca="true" t="shared" si="1" ref="BC6:BC33">E6+J6+O6+T6+Y6+AD6+AI6+AM6+AQ6+AU6+AX6+BA6</f>
        <v>5706.178064516129</v>
      </c>
    </row>
    <row r="7" spans="1:55" ht="12.75">
      <c r="A7" s="12">
        <v>1984</v>
      </c>
      <c r="B7" s="10"/>
      <c r="C7" s="32">
        <f>Desktops!AE12</f>
        <v>407.94838709677424</v>
      </c>
      <c r="D7" s="32"/>
      <c r="E7" s="32">
        <f>Desktops!AF12</f>
        <v>4487.432258064516</v>
      </c>
      <c r="F7" s="32"/>
      <c r="G7" s="31"/>
      <c r="H7" s="31">
        <f>Portables!AE12</f>
        <v>0</v>
      </c>
      <c r="I7" s="31"/>
      <c r="J7" s="31">
        <f>Portables!AF12</f>
        <v>0</v>
      </c>
      <c r="K7" s="31"/>
      <c r="L7" s="31"/>
      <c r="M7" s="31">
        <f>'Hard Copy Devices'!AE12</f>
        <v>275.95354838709676</v>
      </c>
      <c r="N7" s="31"/>
      <c r="O7" s="31">
        <f>'Hard Copy Devices'!AF12</f>
        <v>2483.581935483871</v>
      </c>
      <c r="P7" s="31"/>
      <c r="Q7" s="31"/>
      <c r="R7" s="31">
        <f>Mice!G12+Keyboards!G12</f>
        <v>0</v>
      </c>
      <c r="S7" s="31"/>
      <c r="T7" s="31">
        <f>Mice!H12+Keyboards!H12</f>
        <v>0</v>
      </c>
      <c r="U7" s="31"/>
      <c r="V7" s="31"/>
      <c r="W7" s="31">
        <f>'PC CRTs'!AF12</f>
        <v>407.94838709677424</v>
      </c>
      <c r="X7" s="31"/>
      <c r="Y7" s="31">
        <f>'PC CRTs'!AG12</f>
        <v>4997.3677419354835</v>
      </c>
      <c r="Z7" s="31"/>
      <c r="AA7" s="31"/>
      <c r="AB7" s="31">
        <f>'PC Flat Panel'!AF12</f>
        <v>0</v>
      </c>
      <c r="AC7" s="31"/>
      <c r="AD7" s="31">
        <f>'PC Flat Panel'!AG12</f>
        <v>0</v>
      </c>
      <c r="AE7" s="31"/>
      <c r="AF7" s="31"/>
      <c r="AG7" s="31">
        <f>'TV CRT &lt;19'!R12</f>
        <v>0</v>
      </c>
      <c r="AH7" s="31"/>
      <c r="AI7" s="31">
        <f>'TV CRT &lt;19'!S12</f>
        <v>0</v>
      </c>
      <c r="AJ7" s="31"/>
      <c r="AK7" s="31">
        <f>'TV CRT &gt;19'!R12</f>
        <v>0</v>
      </c>
      <c r="AL7" s="31"/>
      <c r="AM7" s="31">
        <f>'TV CRT &gt;19'!S12</f>
        <v>0</v>
      </c>
      <c r="AN7" s="31"/>
      <c r="AO7" s="31"/>
      <c r="AP7" s="31">
        <f>'TV Proj'!I12</f>
        <v>0</v>
      </c>
      <c r="AQ7" s="31">
        <f>'TV Proj'!J12</f>
        <v>0</v>
      </c>
      <c r="AR7" s="31"/>
      <c r="AS7" s="31"/>
      <c r="AT7" s="31">
        <f>'Monochrome TV'!R12</f>
        <v>0</v>
      </c>
      <c r="AU7" s="31">
        <f>'Monochrome TV'!S12</f>
        <v>0</v>
      </c>
      <c r="AV7" s="31"/>
      <c r="AW7" s="31">
        <f>'TV Flat Panel'!R12</f>
        <v>0</v>
      </c>
      <c r="AX7" s="31">
        <f>'TV Flat Panel'!S12</f>
        <v>0</v>
      </c>
      <c r="AY7" s="31"/>
      <c r="AZ7" s="31">
        <f>'Cell Phones'!S12</f>
        <v>0</v>
      </c>
      <c r="BA7" s="31">
        <f>'Cell Phones'!T12</f>
        <v>0</v>
      </c>
      <c r="BB7" s="31">
        <f t="shared" si="0"/>
        <v>1091.8503225806453</v>
      </c>
      <c r="BC7" s="31">
        <f t="shared" si="1"/>
        <v>11968.38193548387</v>
      </c>
    </row>
    <row r="8" spans="1:55" ht="12.75">
      <c r="A8" s="12">
        <v>1985</v>
      </c>
      <c r="B8" s="10"/>
      <c r="C8" s="32">
        <f>Desktops!AE13</f>
        <v>938.2812903225807</v>
      </c>
      <c r="D8" s="32"/>
      <c r="E8" s="32">
        <f>Desktops!AF13</f>
        <v>10321.094193548388</v>
      </c>
      <c r="F8" s="32"/>
      <c r="G8" s="31"/>
      <c r="H8" s="31">
        <f>Portables!AE13</f>
        <v>0</v>
      </c>
      <c r="I8" s="31"/>
      <c r="J8" s="31">
        <f>Portables!AF13</f>
        <v>0</v>
      </c>
      <c r="K8" s="31"/>
      <c r="L8" s="31"/>
      <c r="M8" s="31">
        <f>'Hard Copy Devices'!AE13</f>
        <v>616.1589677419354</v>
      </c>
      <c r="N8" s="31"/>
      <c r="O8" s="31">
        <f>'Hard Copy Devices'!AF13</f>
        <v>5545.430709677419</v>
      </c>
      <c r="P8" s="31"/>
      <c r="Q8" s="31"/>
      <c r="R8" s="31">
        <f>Mice!G13+Keyboards!G13</f>
        <v>1961.2903225806451</v>
      </c>
      <c r="S8" s="31"/>
      <c r="T8" s="31">
        <f>Mice!H13+Keyboards!H13</f>
        <v>1520</v>
      </c>
      <c r="U8" s="31"/>
      <c r="V8" s="31"/>
      <c r="W8" s="31">
        <f>'PC CRTs'!AF13</f>
        <v>1055.9587096774194</v>
      </c>
      <c r="X8" s="31"/>
      <c r="Y8" s="31">
        <f>'PC CRTs'!AG13</f>
        <v>12935.494193548388</v>
      </c>
      <c r="Z8" s="31"/>
      <c r="AA8" s="31"/>
      <c r="AB8" s="31">
        <f>'PC Flat Panel'!AF13</f>
        <v>0</v>
      </c>
      <c r="AC8" s="31"/>
      <c r="AD8" s="31">
        <f>'PC Flat Panel'!AG13</f>
        <v>0</v>
      </c>
      <c r="AE8" s="31"/>
      <c r="AF8" s="31"/>
      <c r="AG8" s="31">
        <f>'TV CRT &lt;19'!R13</f>
        <v>0</v>
      </c>
      <c r="AH8" s="31"/>
      <c r="AI8" s="31">
        <f>'TV CRT &lt;19'!S13</f>
        <v>0</v>
      </c>
      <c r="AJ8" s="31"/>
      <c r="AK8" s="31">
        <f>'TV CRT &gt;19'!R13</f>
        <v>0</v>
      </c>
      <c r="AL8" s="31"/>
      <c r="AM8" s="31">
        <f>'TV CRT &gt;19'!S13</f>
        <v>0</v>
      </c>
      <c r="AN8" s="31"/>
      <c r="AO8" s="31"/>
      <c r="AP8" s="31">
        <f>'TV Proj'!I13</f>
        <v>0</v>
      </c>
      <c r="AQ8" s="31">
        <f>'TV Proj'!J13</f>
        <v>0</v>
      </c>
      <c r="AR8" s="31"/>
      <c r="AS8" s="31"/>
      <c r="AT8" s="31">
        <f>'Monochrome TV'!R13</f>
        <v>0</v>
      </c>
      <c r="AU8" s="31">
        <f>'Monochrome TV'!S13</f>
        <v>0</v>
      </c>
      <c r="AV8" s="31"/>
      <c r="AW8" s="31">
        <f>'TV Flat Panel'!R13</f>
        <v>0</v>
      </c>
      <c r="AX8" s="31">
        <f>'TV Flat Panel'!S13</f>
        <v>0</v>
      </c>
      <c r="AY8" s="31"/>
      <c r="AZ8" s="31">
        <f>'Cell Phones'!S13</f>
        <v>0</v>
      </c>
      <c r="BA8" s="31">
        <f>'Cell Phones'!T13</f>
        <v>0</v>
      </c>
      <c r="BB8" s="31">
        <f t="shared" si="0"/>
        <v>4571.689290322581</v>
      </c>
      <c r="BC8" s="31">
        <f t="shared" si="1"/>
        <v>30322.019096774195</v>
      </c>
    </row>
    <row r="9" spans="1:55" ht="12.75">
      <c r="A9" s="12">
        <v>1986</v>
      </c>
      <c r="B9" s="10"/>
      <c r="C9" s="32">
        <f>Desktops!AE14</f>
        <v>1745.5225806451613</v>
      </c>
      <c r="D9" s="32"/>
      <c r="E9" s="32">
        <f>Desktops!AF14</f>
        <v>19200.748387096774</v>
      </c>
      <c r="F9" s="32"/>
      <c r="G9" s="31"/>
      <c r="H9" s="31">
        <f>Portables!AE14</f>
        <v>0</v>
      </c>
      <c r="I9" s="31"/>
      <c r="J9" s="31">
        <f>Portables!AF14</f>
        <v>0</v>
      </c>
      <c r="K9" s="31"/>
      <c r="L9" s="31"/>
      <c r="M9" s="31">
        <f>'Hard Copy Devices'!AE14</f>
        <v>1107.9193548387098</v>
      </c>
      <c r="N9" s="31"/>
      <c r="O9" s="31">
        <f>'Hard Copy Devices'!AF14</f>
        <v>9971.274193548386</v>
      </c>
      <c r="P9" s="31"/>
      <c r="Q9" s="31"/>
      <c r="R9" s="31">
        <f>Mice!G14+Keyboards!G14</f>
        <v>3922.5806451612902</v>
      </c>
      <c r="S9" s="31"/>
      <c r="T9" s="31">
        <f>Mice!H14+Keyboards!H14</f>
        <v>3040</v>
      </c>
      <c r="U9" s="31"/>
      <c r="V9" s="31"/>
      <c r="W9" s="31">
        <f>'PC CRTs'!AF14</f>
        <v>1980.8774193548386</v>
      </c>
      <c r="X9" s="31"/>
      <c r="Y9" s="31">
        <f>'PC CRTs'!AG14</f>
        <v>24265.748387096774</v>
      </c>
      <c r="Z9" s="31"/>
      <c r="AA9" s="31"/>
      <c r="AB9" s="31">
        <f>'PC Flat Panel'!AF14</f>
        <v>0</v>
      </c>
      <c r="AC9" s="31"/>
      <c r="AD9" s="31">
        <f>'PC Flat Panel'!AG14</f>
        <v>0</v>
      </c>
      <c r="AE9" s="31"/>
      <c r="AF9" s="31"/>
      <c r="AG9" s="31">
        <f>'TV CRT &lt;19'!R14</f>
        <v>0</v>
      </c>
      <c r="AH9" s="31"/>
      <c r="AI9" s="31">
        <f>'TV CRT &lt;19'!S14</f>
        <v>0</v>
      </c>
      <c r="AJ9" s="31"/>
      <c r="AK9" s="31">
        <f>'TV CRT &gt;19'!R14</f>
        <v>0</v>
      </c>
      <c r="AL9" s="31"/>
      <c r="AM9" s="31">
        <f>'TV CRT &gt;19'!S14</f>
        <v>0</v>
      </c>
      <c r="AN9" s="31"/>
      <c r="AO9" s="31"/>
      <c r="AP9" s="31">
        <f>'TV Proj'!I14</f>
        <v>0</v>
      </c>
      <c r="AQ9" s="31">
        <f>'TV Proj'!J14</f>
        <v>0</v>
      </c>
      <c r="AR9" s="31"/>
      <c r="AS9" s="31"/>
      <c r="AT9" s="31">
        <f>'Monochrome TV'!R14</f>
        <v>0</v>
      </c>
      <c r="AU9" s="31">
        <f>'Monochrome TV'!S14</f>
        <v>0</v>
      </c>
      <c r="AV9" s="31"/>
      <c r="AW9" s="31">
        <f>'TV Flat Panel'!R14</f>
        <v>0</v>
      </c>
      <c r="AX9" s="31">
        <f>'TV Flat Panel'!S14</f>
        <v>0</v>
      </c>
      <c r="AY9" s="31"/>
      <c r="AZ9" s="31">
        <f>'Cell Phones'!S14</f>
        <v>22.887323943661976</v>
      </c>
      <c r="BA9" s="31">
        <f>'Cell Phones'!T14</f>
        <v>40.09067058978876</v>
      </c>
      <c r="BB9" s="31">
        <f t="shared" si="0"/>
        <v>8779.787323943661</v>
      </c>
      <c r="BC9" s="31">
        <f t="shared" si="1"/>
        <v>56517.86163833172</v>
      </c>
    </row>
    <row r="10" spans="1:55" ht="12.75">
      <c r="A10" s="12">
        <v>1987</v>
      </c>
      <c r="B10" s="10"/>
      <c r="C10" s="32">
        <f>Desktops!AE15</f>
        <v>2451.4374193548388</v>
      </c>
      <c r="D10" s="32"/>
      <c r="E10" s="32">
        <f>Desktops!AF15</f>
        <v>26965.811612903228</v>
      </c>
      <c r="F10" s="32"/>
      <c r="G10" s="31"/>
      <c r="H10" s="31">
        <f>Portables!AE15</f>
        <v>0</v>
      </c>
      <c r="I10" s="31"/>
      <c r="J10" s="31">
        <f>Portables!AF15</f>
        <v>0</v>
      </c>
      <c r="K10" s="31"/>
      <c r="L10" s="31"/>
      <c r="M10" s="31">
        <f>'Hard Copy Devices'!AE15</f>
        <v>1630.3546451612904</v>
      </c>
      <c r="N10" s="31"/>
      <c r="O10" s="31">
        <f>'Hard Copy Devices'!AF15</f>
        <v>14673.191806451614</v>
      </c>
      <c r="P10" s="31"/>
      <c r="Q10" s="31"/>
      <c r="R10" s="31">
        <f>Mice!G15+Keyboards!G15</f>
        <v>6080</v>
      </c>
      <c r="S10" s="31"/>
      <c r="T10" s="31">
        <f>Mice!H15+Keyboards!H15</f>
        <v>4712</v>
      </c>
      <c r="U10" s="31"/>
      <c r="V10" s="31"/>
      <c r="W10" s="31">
        <f>'PC CRTs'!AF15</f>
        <v>2698.56</v>
      </c>
      <c r="X10" s="31"/>
      <c r="Y10" s="31">
        <f>'PC CRTs'!AG15</f>
        <v>33057.36</v>
      </c>
      <c r="Z10" s="31"/>
      <c r="AA10" s="31"/>
      <c r="AB10" s="31">
        <f>'PC Flat Panel'!AF15</f>
        <v>0</v>
      </c>
      <c r="AC10" s="31"/>
      <c r="AD10" s="31">
        <f>'PC Flat Panel'!AG15</f>
        <v>0</v>
      </c>
      <c r="AE10" s="31"/>
      <c r="AF10" s="31"/>
      <c r="AG10" s="31">
        <f>'TV CRT &lt;19'!R15</f>
        <v>0</v>
      </c>
      <c r="AH10" s="31"/>
      <c r="AI10" s="31">
        <f>'TV CRT &lt;19'!S15</f>
        <v>0</v>
      </c>
      <c r="AJ10" s="31"/>
      <c r="AK10" s="31">
        <f>'TV CRT &gt;19'!R15</f>
        <v>1362.125</v>
      </c>
      <c r="AL10" s="31"/>
      <c r="AM10" s="31">
        <f>'TV CRT &gt;19'!S15</f>
        <v>49717.5625</v>
      </c>
      <c r="AN10" s="31"/>
      <c r="AO10" s="31"/>
      <c r="AP10" s="31">
        <f>'TV Proj'!I15</f>
        <v>0</v>
      </c>
      <c r="AQ10" s="31">
        <f>'TV Proj'!J15</f>
        <v>0</v>
      </c>
      <c r="AR10" s="31"/>
      <c r="AS10" s="31"/>
      <c r="AT10" s="31">
        <f>'Monochrome TV'!R15</f>
        <v>0</v>
      </c>
      <c r="AU10" s="31">
        <f>'Monochrome TV'!S15</f>
        <v>0</v>
      </c>
      <c r="AV10" s="31"/>
      <c r="AW10" s="31">
        <f>'TV Flat Panel'!R15</f>
        <v>0</v>
      </c>
      <c r="AX10" s="31">
        <f>'TV Flat Panel'!S15</f>
        <v>0</v>
      </c>
      <c r="AY10" s="31"/>
      <c r="AZ10" s="31">
        <f>'Cell Phones'!S15</f>
        <v>68.66197183098593</v>
      </c>
      <c r="BA10" s="31">
        <f>'Cell Phones'!T15</f>
        <v>120.27201176936626</v>
      </c>
      <c r="BB10" s="31">
        <f t="shared" si="0"/>
        <v>14291.139036347115</v>
      </c>
      <c r="BC10" s="31">
        <f t="shared" si="1"/>
        <v>129246.1979311242</v>
      </c>
    </row>
    <row r="11" spans="1:55" ht="12.75">
      <c r="A11" s="12">
        <v>1988</v>
      </c>
      <c r="B11" s="10"/>
      <c r="C11" s="32">
        <f>Desktops!AE16</f>
        <v>3133.8348387096776</v>
      </c>
      <c r="D11" s="32"/>
      <c r="E11" s="32">
        <f>Desktops!AF16</f>
        <v>34472.18322580645</v>
      </c>
      <c r="F11" s="32"/>
      <c r="G11" s="31"/>
      <c r="H11" s="31">
        <f>Portables!AE16</f>
        <v>0</v>
      </c>
      <c r="I11" s="31"/>
      <c r="J11" s="31">
        <f>Portables!AF16</f>
        <v>0</v>
      </c>
      <c r="K11" s="31"/>
      <c r="L11" s="31"/>
      <c r="M11" s="31">
        <f>'Hard Copy Devices'!AE16</f>
        <v>2064.8432903225803</v>
      </c>
      <c r="N11" s="31"/>
      <c r="O11" s="31">
        <f>'Hard Copy Devices'!AF16</f>
        <v>18583.589612903226</v>
      </c>
      <c r="P11" s="31"/>
      <c r="Q11" s="31"/>
      <c r="R11" s="31">
        <f>Mice!G16+Keyboards!G16</f>
        <v>10900</v>
      </c>
      <c r="S11" s="31"/>
      <c r="T11" s="31">
        <f>Mice!H16+Keyboards!H16</f>
        <v>8447.5</v>
      </c>
      <c r="U11" s="31"/>
      <c r="V11" s="31"/>
      <c r="W11" s="31">
        <f>'PC CRTs'!AF16</f>
        <v>3670.1574193548386</v>
      </c>
      <c r="X11" s="31"/>
      <c r="Y11" s="31">
        <f>'PC CRTs'!AG16</f>
        <v>44959.42838709678</v>
      </c>
      <c r="Z11" s="31"/>
      <c r="AA11" s="31"/>
      <c r="AB11" s="31">
        <f>'PC Flat Panel'!AF16</f>
        <v>0</v>
      </c>
      <c r="AC11" s="31"/>
      <c r="AD11" s="31">
        <f>'PC Flat Panel'!AG16</f>
        <v>0</v>
      </c>
      <c r="AE11" s="31"/>
      <c r="AF11" s="31"/>
      <c r="AG11" s="31">
        <f>'TV CRT &lt;19'!R16</f>
        <v>1362.125</v>
      </c>
      <c r="AH11" s="31"/>
      <c r="AI11" s="31">
        <f>'TV CRT &lt;19'!S16</f>
        <v>28604.625</v>
      </c>
      <c r="AJ11" s="31"/>
      <c r="AK11" s="31">
        <f>'TV CRT &gt;19'!R16</f>
        <v>1394.625</v>
      </c>
      <c r="AL11" s="31"/>
      <c r="AM11" s="31">
        <f>'TV CRT &gt;19'!S16</f>
        <v>50903.8125</v>
      </c>
      <c r="AN11" s="31"/>
      <c r="AO11" s="31"/>
      <c r="AP11" s="31">
        <f>'TV Proj'!I16</f>
        <v>0</v>
      </c>
      <c r="AQ11" s="31">
        <f>'TV Proj'!J16</f>
        <v>0</v>
      </c>
      <c r="AR11" s="31"/>
      <c r="AS11" s="31"/>
      <c r="AT11" s="31">
        <f>'Monochrome TV'!R16</f>
        <v>1671</v>
      </c>
      <c r="AU11" s="31">
        <f>'Monochrome TV'!S16</f>
        <v>35091</v>
      </c>
      <c r="AV11" s="31"/>
      <c r="AW11" s="31">
        <f>'TV Flat Panel'!R16</f>
        <v>0</v>
      </c>
      <c r="AX11" s="31">
        <f>'TV Flat Panel'!S16</f>
        <v>0</v>
      </c>
      <c r="AY11" s="31"/>
      <c r="AZ11" s="31">
        <f>'Cell Phones'!S16</f>
        <v>260.91549295774655</v>
      </c>
      <c r="BA11" s="31">
        <f>'Cell Phones'!T16</f>
        <v>457.0336447235917</v>
      </c>
      <c r="BB11" s="31">
        <f t="shared" si="0"/>
        <v>24457.501041344844</v>
      </c>
      <c r="BC11" s="31">
        <f t="shared" si="1"/>
        <v>221519.17237053005</v>
      </c>
    </row>
    <row r="12" spans="1:55" ht="12.75">
      <c r="A12" s="12">
        <v>1989</v>
      </c>
      <c r="B12" s="10"/>
      <c r="C12" s="32">
        <f>Desktops!AE17</f>
        <v>3867.728</v>
      </c>
      <c r="D12" s="32"/>
      <c r="E12" s="32">
        <f>Desktops!AF17</f>
        <v>42545.008</v>
      </c>
      <c r="F12" s="32"/>
      <c r="G12" s="31"/>
      <c r="H12" s="31">
        <f>Portables!AE17</f>
        <v>0</v>
      </c>
      <c r="I12" s="31"/>
      <c r="J12" s="31">
        <f>Portables!AF17</f>
        <v>0</v>
      </c>
      <c r="K12" s="31"/>
      <c r="L12" s="31"/>
      <c r="M12" s="31">
        <f>'Hard Copy Devices'!AE17</f>
        <v>2393.4372000000003</v>
      </c>
      <c r="N12" s="31"/>
      <c r="O12" s="31">
        <f>'Hard Copy Devices'!AF17</f>
        <v>21540.934800000003</v>
      </c>
      <c r="P12" s="31"/>
      <c r="Q12" s="31"/>
      <c r="R12" s="31">
        <f>Mice!G17+Keyboards!G17</f>
        <v>13320</v>
      </c>
      <c r="S12" s="31"/>
      <c r="T12" s="31">
        <f>Mice!H17+Keyboards!H17</f>
        <v>10323</v>
      </c>
      <c r="U12" s="31"/>
      <c r="V12" s="31"/>
      <c r="W12" s="31">
        <f>'PC CRTs'!AF17</f>
        <v>4537.482838709678</v>
      </c>
      <c r="X12" s="31"/>
      <c r="Y12" s="31">
        <f>'PC CRTs'!AG17</f>
        <v>55584.164774193545</v>
      </c>
      <c r="Z12" s="31"/>
      <c r="AA12" s="31"/>
      <c r="AB12" s="31">
        <f>'PC Flat Panel'!AF17</f>
        <v>0</v>
      </c>
      <c r="AC12" s="31"/>
      <c r="AD12" s="31">
        <f>'PC Flat Panel'!AG17</f>
        <v>0</v>
      </c>
      <c r="AE12" s="31"/>
      <c r="AF12" s="31"/>
      <c r="AG12" s="31">
        <f>'TV CRT &lt;19'!R17</f>
        <v>1394.625</v>
      </c>
      <c r="AH12" s="31"/>
      <c r="AI12" s="31">
        <f>'TV CRT &lt;19'!S17</f>
        <v>29287.125</v>
      </c>
      <c r="AJ12" s="31"/>
      <c r="AK12" s="31">
        <f>'TV CRT &gt;19'!R17</f>
        <v>1420.75</v>
      </c>
      <c r="AL12" s="31"/>
      <c r="AM12" s="31">
        <f>'TV CRT &gt;19'!S17</f>
        <v>51857.375</v>
      </c>
      <c r="AN12" s="31"/>
      <c r="AO12" s="31"/>
      <c r="AP12" s="31">
        <f>'TV Proj'!I17</f>
        <v>0</v>
      </c>
      <c r="AQ12" s="31">
        <f>'TV Proj'!J17</f>
        <v>0</v>
      </c>
      <c r="AR12" s="31"/>
      <c r="AS12" s="31"/>
      <c r="AT12" s="31">
        <f>'Monochrome TV'!R17</f>
        <v>1413.5</v>
      </c>
      <c r="AU12" s="31">
        <f>'Monochrome TV'!S17</f>
        <v>29683.5</v>
      </c>
      <c r="AV12" s="31"/>
      <c r="AW12" s="31">
        <f>'TV Flat Panel'!R17</f>
        <v>0</v>
      </c>
      <c r="AX12" s="31">
        <f>'TV Flat Panel'!S17</f>
        <v>0</v>
      </c>
      <c r="AY12" s="31"/>
      <c r="AZ12" s="31">
        <f>'Cell Phones'!S17</f>
        <v>529.5774647887325</v>
      </c>
      <c r="BA12" s="31">
        <f>'Cell Phones'!T17</f>
        <v>927.636439492958</v>
      </c>
      <c r="BB12" s="31">
        <f t="shared" si="0"/>
        <v>28877.100503498412</v>
      </c>
      <c r="BC12" s="31">
        <f t="shared" si="1"/>
        <v>241748.74401368652</v>
      </c>
    </row>
    <row r="13" spans="1:55" ht="12.75">
      <c r="A13" s="12">
        <v>1990</v>
      </c>
      <c r="B13" s="10"/>
      <c r="C13" s="32">
        <f>Desktops!AE18</f>
        <v>4274.8134193548385</v>
      </c>
      <c r="D13" s="32"/>
      <c r="E13" s="32">
        <f>Desktops!AF18</f>
        <v>47022.94761290323</v>
      </c>
      <c r="F13" s="32"/>
      <c r="G13" s="31"/>
      <c r="H13" s="31">
        <f>Portables!AE18</f>
        <v>0</v>
      </c>
      <c r="I13" s="31"/>
      <c r="J13" s="31">
        <f>Portables!AF18</f>
        <v>0</v>
      </c>
      <c r="K13" s="31"/>
      <c r="L13" s="31"/>
      <c r="M13" s="31">
        <f>'Hard Copy Devices'!AE18</f>
        <v>2675.8900451612903</v>
      </c>
      <c r="N13" s="31"/>
      <c r="O13" s="31">
        <f>'Hard Copy Devices'!AF18</f>
        <v>24083.010406451613</v>
      </c>
      <c r="P13" s="31"/>
      <c r="Q13" s="31"/>
      <c r="R13" s="31">
        <f>Mice!G18+Keyboards!G18</f>
        <v>11520</v>
      </c>
      <c r="S13" s="31"/>
      <c r="T13" s="31">
        <f>Mice!H18+Keyboards!H18</f>
        <v>8928</v>
      </c>
      <c r="U13" s="31"/>
      <c r="V13" s="31"/>
      <c r="W13" s="31">
        <f>'PC CRTs'!AF18</f>
        <v>4676.813419354839</v>
      </c>
      <c r="X13" s="31"/>
      <c r="Y13" s="31">
        <f>'PC CRTs'!AG18</f>
        <v>57290.96438709678</v>
      </c>
      <c r="Z13" s="31"/>
      <c r="AA13" s="31"/>
      <c r="AB13" s="31">
        <f>'PC Flat Panel'!AF18</f>
        <v>0</v>
      </c>
      <c r="AC13" s="31"/>
      <c r="AD13" s="31">
        <f>'PC Flat Panel'!AG18</f>
        <v>0</v>
      </c>
      <c r="AE13" s="31"/>
      <c r="AF13" s="31"/>
      <c r="AG13" s="31">
        <f>'TV CRT &lt;19'!R18</f>
        <v>1420.75</v>
      </c>
      <c r="AH13" s="31"/>
      <c r="AI13" s="31">
        <f>'TV CRT &lt;19'!S18</f>
        <v>29835.75</v>
      </c>
      <c r="AJ13" s="31"/>
      <c r="AK13" s="31">
        <f>'TV CRT &gt;19'!R18</f>
        <v>1748.25</v>
      </c>
      <c r="AL13" s="31"/>
      <c r="AM13" s="31">
        <f>'TV CRT &gt;19'!S18</f>
        <v>63811.125</v>
      </c>
      <c r="AN13" s="31"/>
      <c r="AO13" s="31"/>
      <c r="AP13" s="31">
        <f>'TV Proj'!I18</f>
        <v>0</v>
      </c>
      <c r="AQ13" s="31">
        <f>'TV Proj'!J18</f>
        <v>0</v>
      </c>
      <c r="AR13" s="31"/>
      <c r="AS13" s="31"/>
      <c r="AT13" s="31">
        <f>'Monochrome TV'!R18</f>
        <v>1423</v>
      </c>
      <c r="AU13" s="31">
        <f>'Monochrome TV'!S18</f>
        <v>29883</v>
      </c>
      <c r="AV13" s="31"/>
      <c r="AW13" s="31">
        <f>'TV Flat Panel'!R18</f>
        <v>0</v>
      </c>
      <c r="AX13" s="31">
        <f>'TV Flat Panel'!S18</f>
        <v>0</v>
      </c>
      <c r="AY13" s="31"/>
      <c r="AZ13" s="31">
        <f>'Cell Phones'!S18</f>
        <v>851.7605633802818</v>
      </c>
      <c r="BA13" s="31">
        <f>'Cell Phones'!T18</f>
        <v>1491.9897254876762</v>
      </c>
      <c r="BB13" s="31">
        <f t="shared" si="0"/>
        <v>28591.27744725125</v>
      </c>
      <c r="BC13" s="31">
        <f t="shared" si="1"/>
        <v>262346.7871319393</v>
      </c>
    </row>
    <row r="14" spans="1:55" ht="12.75">
      <c r="A14" s="12">
        <v>1991</v>
      </c>
      <c r="B14" s="10"/>
      <c r="C14" s="32">
        <f>Desktops!AE19</f>
        <v>4986.658838709678</v>
      </c>
      <c r="D14" s="32"/>
      <c r="E14" s="32">
        <f>Desktops!AF19</f>
        <v>54853.24722580645</v>
      </c>
      <c r="F14" s="32"/>
      <c r="G14" s="31"/>
      <c r="H14" s="31">
        <f>Portables!AE19</f>
        <v>0</v>
      </c>
      <c r="I14" s="31"/>
      <c r="J14" s="31">
        <f>Portables!AF19</f>
        <v>0</v>
      </c>
      <c r="K14" s="31"/>
      <c r="L14" s="31"/>
      <c r="M14" s="31">
        <f>'Hard Copy Devices'!AE19</f>
        <v>3134.7218903225807</v>
      </c>
      <c r="N14" s="31"/>
      <c r="O14" s="31">
        <f>'Hard Copy Devices'!AF19</f>
        <v>28212.497012903223</v>
      </c>
      <c r="P14" s="31"/>
      <c r="Q14" s="31"/>
      <c r="R14" s="31">
        <f>Mice!G19+Keyboards!G19</f>
        <v>13702</v>
      </c>
      <c r="S14" s="31"/>
      <c r="T14" s="31">
        <f>Mice!H19+Keyboards!H19</f>
        <v>10619.050000000001</v>
      </c>
      <c r="U14" s="31"/>
      <c r="V14" s="31"/>
      <c r="W14" s="31">
        <f>'PC CRTs'!AF19</f>
        <v>5663.578838709678</v>
      </c>
      <c r="X14" s="31"/>
      <c r="Y14" s="31">
        <f>'PC CRTs'!AG19</f>
        <v>69378.84077419355</v>
      </c>
      <c r="Z14" s="31"/>
      <c r="AA14" s="31"/>
      <c r="AB14" s="31">
        <f>'PC Flat Panel'!AF19</f>
        <v>0</v>
      </c>
      <c r="AC14" s="31"/>
      <c r="AD14" s="31">
        <f>'PC Flat Panel'!AG19</f>
        <v>0</v>
      </c>
      <c r="AE14" s="31"/>
      <c r="AF14" s="31"/>
      <c r="AG14" s="31">
        <f>'TV CRT &lt;19'!R19</f>
        <v>1748.25</v>
      </c>
      <c r="AH14" s="31"/>
      <c r="AI14" s="31">
        <f>'TV CRT &lt;19'!S19</f>
        <v>36713.25</v>
      </c>
      <c r="AJ14" s="31"/>
      <c r="AK14" s="31">
        <f>'TV CRT &gt;19'!R19</f>
        <v>2010.375</v>
      </c>
      <c r="AL14" s="31"/>
      <c r="AM14" s="31">
        <f>'TV CRT &gt;19'!S19</f>
        <v>73378.6875</v>
      </c>
      <c r="AN14" s="31"/>
      <c r="AO14" s="31"/>
      <c r="AP14" s="31">
        <f>'TV Proj'!I19</f>
        <v>0</v>
      </c>
      <c r="AQ14" s="31">
        <f>'TV Proj'!J19</f>
        <v>0</v>
      </c>
      <c r="AR14" s="31"/>
      <c r="AS14" s="31"/>
      <c r="AT14" s="31">
        <f>'Monochrome TV'!R19</f>
        <v>1433.75</v>
      </c>
      <c r="AU14" s="31">
        <f>'Monochrome TV'!S19</f>
        <v>30108.75</v>
      </c>
      <c r="AV14" s="31"/>
      <c r="AW14" s="31">
        <f>'TV Flat Panel'!R19</f>
        <v>0</v>
      </c>
      <c r="AX14" s="31">
        <f>'TV Flat Panel'!S19</f>
        <v>0</v>
      </c>
      <c r="AY14" s="31"/>
      <c r="AZ14" s="31">
        <f>'Cell Phones'!S19</f>
        <v>1513.7323943661975</v>
      </c>
      <c r="BA14" s="31">
        <f>'Cell Phones'!T19</f>
        <v>2651.5352748538744</v>
      </c>
      <c r="BB14" s="31">
        <f t="shared" si="0"/>
        <v>34193.06696210813</v>
      </c>
      <c r="BC14" s="31">
        <f t="shared" si="1"/>
        <v>305915.8577877571</v>
      </c>
    </row>
    <row r="15" spans="1:55" ht="12.75">
      <c r="A15" s="12">
        <v>1992</v>
      </c>
      <c r="B15" s="10"/>
      <c r="C15" s="32">
        <f>Desktops!AE20</f>
        <v>5467.430608000001</v>
      </c>
      <c r="D15" s="32"/>
      <c r="E15" s="32">
        <f>Desktops!AF20</f>
        <v>60012.068225439994</v>
      </c>
      <c r="F15" s="32"/>
      <c r="G15" s="31"/>
      <c r="H15" s="31">
        <f>Portables!AE20</f>
        <v>0</v>
      </c>
      <c r="I15" s="31"/>
      <c r="J15" s="31">
        <f>Portables!AF20</f>
        <v>0</v>
      </c>
      <c r="K15" s="31"/>
      <c r="L15" s="31"/>
      <c r="M15" s="31">
        <f>'Hard Copy Devices'!AE20</f>
        <v>3420.0130692000002</v>
      </c>
      <c r="N15" s="31"/>
      <c r="O15" s="31">
        <f>'Hard Copy Devices'!AF20</f>
        <v>30713.654273244334</v>
      </c>
      <c r="P15" s="31"/>
      <c r="Q15" s="31"/>
      <c r="R15" s="31">
        <f>Mice!G20+Keyboards!G20</f>
        <v>16404</v>
      </c>
      <c r="S15" s="31"/>
      <c r="T15" s="31">
        <f>Mice!H20+Keyboards!H20</f>
        <v>12713.1</v>
      </c>
      <c r="U15" s="31"/>
      <c r="V15" s="31"/>
      <c r="W15" s="31">
        <f>'PC CRTs'!AF20</f>
        <v>6452.279376</v>
      </c>
      <c r="X15" s="31"/>
      <c r="Y15" s="31">
        <f>'PC CRTs'!AG20</f>
        <v>79040.422356</v>
      </c>
      <c r="Z15" s="31"/>
      <c r="AA15" s="31"/>
      <c r="AB15" s="31">
        <f>'PC Flat Panel'!AF20</f>
        <v>225.388384</v>
      </c>
      <c r="AC15" s="31"/>
      <c r="AD15" s="31">
        <f>'PC Flat Panel'!AG20</f>
        <v>2772.2771232000005</v>
      </c>
      <c r="AE15" s="31"/>
      <c r="AF15" s="31"/>
      <c r="AG15" s="31">
        <f>'TV CRT &lt;19'!R20</f>
        <v>2010.375</v>
      </c>
      <c r="AH15" s="31"/>
      <c r="AI15" s="31">
        <f>'TV CRT &lt;19'!S20</f>
        <v>42196.25806451613</v>
      </c>
      <c r="AJ15" s="31"/>
      <c r="AK15" s="31">
        <f>'TV CRT &gt;19'!R20</f>
        <v>3465.75</v>
      </c>
      <c r="AL15" s="31"/>
      <c r="AM15" s="31">
        <f>'TV CRT &gt;19'!S20</f>
        <v>126102.13077731093</v>
      </c>
      <c r="AN15" s="31"/>
      <c r="AO15" s="31"/>
      <c r="AP15" s="31">
        <f>'TV Proj'!I20</f>
        <v>195</v>
      </c>
      <c r="AQ15" s="31">
        <f>'TV Proj'!J20</f>
        <v>21352.5</v>
      </c>
      <c r="AR15" s="31"/>
      <c r="AS15" s="31"/>
      <c r="AT15" s="31">
        <f>'Monochrome TV'!R20</f>
        <v>1262.5</v>
      </c>
      <c r="AU15" s="31">
        <f>'Monochrome TV'!S20</f>
        <v>26498.924731182797</v>
      </c>
      <c r="AV15" s="31"/>
      <c r="AW15" s="31">
        <f>'TV Flat Panel'!R20</f>
        <v>0</v>
      </c>
      <c r="AX15" s="31">
        <f>'TV Flat Panel'!S20</f>
        <v>0</v>
      </c>
      <c r="AY15" s="31"/>
      <c r="AZ15" s="31">
        <f>'Cell Phones'!S20</f>
        <v>1953.8732394366198</v>
      </c>
      <c r="BA15" s="31">
        <f>'Cell Phones'!T20</f>
        <v>3422.509709272888</v>
      </c>
      <c r="BB15" s="31">
        <f t="shared" si="0"/>
        <v>40856.609676636624</v>
      </c>
      <c r="BC15" s="31">
        <f t="shared" si="1"/>
        <v>404823.8452601671</v>
      </c>
    </row>
    <row r="16" spans="1:55" ht="12.75">
      <c r="A16" s="12">
        <v>1993</v>
      </c>
      <c r="B16" s="10"/>
      <c r="C16" s="32">
        <f>Desktops!AE21</f>
        <v>6170.9980319999995</v>
      </c>
      <c r="D16" s="32"/>
      <c r="E16" s="32">
        <f>Desktops!AF21</f>
        <v>67644.21954816</v>
      </c>
      <c r="F16" s="32"/>
      <c r="G16" s="31"/>
      <c r="H16" s="31">
        <f>Portables!AE21</f>
        <v>0</v>
      </c>
      <c r="I16" s="31"/>
      <c r="J16" s="31">
        <f>Portables!AF21</f>
        <v>0</v>
      </c>
      <c r="K16" s="31"/>
      <c r="L16" s="31"/>
      <c r="M16" s="31">
        <f>'Hard Copy Devices'!AE21</f>
        <v>3800.8394298000003</v>
      </c>
      <c r="N16" s="31"/>
      <c r="O16" s="31">
        <f>'Hard Copy Devices'!AF21</f>
        <v>35006.03356286306</v>
      </c>
      <c r="P16" s="31"/>
      <c r="Q16" s="31"/>
      <c r="R16" s="31">
        <f>Mice!G21+Keyboards!G21</f>
        <v>17448</v>
      </c>
      <c r="S16" s="31"/>
      <c r="T16" s="31">
        <f>Mice!H21+Keyboards!H21</f>
        <v>13522.199999999999</v>
      </c>
      <c r="U16" s="31"/>
      <c r="V16" s="31"/>
      <c r="W16" s="31">
        <f>'PC CRTs'!AF21</f>
        <v>7186.504299354838</v>
      </c>
      <c r="X16" s="31"/>
      <c r="Y16" s="31">
        <f>'PC CRTs'!AG21</f>
        <v>88161.74349429677</v>
      </c>
      <c r="Z16" s="31"/>
      <c r="AA16" s="31"/>
      <c r="AB16" s="31">
        <f>'PC Flat Panel'!AF21</f>
        <v>183.603056</v>
      </c>
      <c r="AC16" s="31"/>
      <c r="AD16" s="31">
        <f>'PC Flat Panel'!AG21</f>
        <v>2258.3175888000005</v>
      </c>
      <c r="AE16" s="31"/>
      <c r="AF16" s="31"/>
      <c r="AG16" s="31">
        <f>'TV CRT &lt;19'!R21</f>
        <v>3465.75</v>
      </c>
      <c r="AH16" s="31"/>
      <c r="AI16" s="31">
        <f>'TV CRT &lt;19'!S21</f>
        <v>71328.24702380953</v>
      </c>
      <c r="AJ16" s="31"/>
      <c r="AK16" s="31">
        <f>'TV CRT &gt;19'!R21</f>
        <v>3670.125</v>
      </c>
      <c r="AL16" s="31"/>
      <c r="AM16" s="31">
        <f>'TV CRT &gt;19'!S21</f>
        <v>133929.42342715233</v>
      </c>
      <c r="AN16" s="31"/>
      <c r="AO16" s="31"/>
      <c r="AP16" s="31">
        <f>'TV Proj'!I21</f>
        <v>266</v>
      </c>
      <c r="AQ16" s="31">
        <f>'TV Proj'!J21</f>
        <v>29393</v>
      </c>
      <c r="AR16" s="31"/>
      <c r="AS16" s="31"/>
      <c r="AT16" s="31">
        <f>'Monochrome TV'!R21</f>
        <v>2592</v>
      </c>
      <c r="AU16" s="31">
        <f>'Monochrome TV'!S21</f>
        <v>53796.07142857143</v>
      </c>
      <c r="AV16" s="31"/>
      <c r="AW16" s="31">
        <f>'TV Flat Panel'!R21</f>
        <v>0</v>
      </c>
      <c r="AX16" s="31">
        <f>'TV Flat Panel'!S21</f>
        <v>0</v>
      </c>
      <c r="AY16" s="31"/>
      <c r="AZ16" s="31">
        <f>'Cell Phones'!S21</f>
        <v>2626.760563380282</v>
      </c>
      <c r="BA16" s="31">
        <f>'Cell Phones'!T21</f>
        <v>4601.175424612677</v>
      </c>
      <c r="BB16" s="31">
        <f t="shared" si="0"/>
        <v>47410.58038053512</v>
      </c>
      <c r="BC16" s="31">
        <f t="shared" si="1"/>
        <v>499640.43149826577</v>
      </c>
    </row>
    <row r="17" spans="1:55" ht="12.75">
      <c r="A17" s="12">
        <v>1994</v>
      </c>
      <c r="B17" s="10"/>
      <c r="C17" s="32">
        <f>Desktops!AE22</f>
        <v>6660.669827354839</v>
      </c>
      <c r="D17" s="32"/>
      <c r="E17" s="32">
        <f>Desktops!AF22</f>
        <v>72884.67586994322</v>
      </c>
      <c r="F17" s="32"/>
      <c r="G17" s="31"/>
      <c r="H17" s="31">
        <f>Portables!AE22</f>
        <v>0</v>
      </c>
      <c r="I17" s="31"/>
      <c r="J17" s="31">
        <f>Portables!AF22</f>
        <v>0</v>
      </c>
      <c r="K17" s="31"/>
      <c r="L17" s="31"/>
      <c r="M17" s="31">
        <f>'Hard Copy Devices'!AE22</f>
        <v>4094.4399863612903</v>
      </c>
      <c r="N17" s="31"/>
      <c r="O17" s="31">
        <f>'Hard Copy Devices'!AF22</f>
        <v>37420.67330290499</v>
      </c>
      <c r="P17" s="31"/>
      <c r="Q17" s="31"/>
      <c r="R17" s="31">
        <f>Mice!G22+Keyboards!G22</f>
        <v>26428.538</v>
      </c>
      <c r="S17" s="31"/>
      <c r="T17" s="31">
        <f>Mice!H22+Keyboards!H22</f>
        <v>26298.548749999998</v>
      </c>
      <c r="U17" s="31"/>
      <c r="V17" s="31"/>
      <c r="W17" s="31">
        <f>'PC CRTs'!AF22</f>
        <v>7659.744614709678</v>
      </c>
      <c r="X17" s="31"/>
      <c r="Y17" s="31">
        <f>'PC CRTs'!AG22</f>
        <v>94104.22241419356</v>
      </c>
      <c r="Z17" s="31"/>
      <c r="AA17" s="31"/>
      <c r="AB17" s="31">
        <f>'PC Flat Panel'!AF22</f>
        <v>650.000416</v>
      </c>
      <c r="AC17" s="31"/>
      <c r="AD17" s="31">
        <f>'PC Flat Panel'!AG22</f>
        <v>7995.005116800001</v>
      </c>
      <c r="AE17" s="31"/>
      <c r="AF17" s="31"/>
      <c r="AG17" s="31">
        <f>'TV CRT &lt;19'!R22</f>
        <v>3670.125</v>
      </c>
      <c r="AH17" s="31"/>
      <c r="AI17" s="31">
        <f>'TV CRT &lt;19'!S22</f>
        <v>76088.03365384616</v>
      </c>
      <c r="AJ17" s="31"/>
      <c r="AK17" s="31">
        <f>'TV CRT &gt;19'!R22</f>
        <v>3837</v>
      </c>
      <c r="AL17" s="31"/>
      <c r="AM17" s="31">
        <f>'TV CRT &gt;19'!S22</f>
        <v>140057.24930167597</v>
      </c>
      <c r="AN17" s="31"/>
      <c r="AO17" s="31"/>
      <c r="AP17" s="31">
        <f>'TV Proj'!I22</f>
        <v>304</v>
      </c>
      <c r="AQ17" s="31">
        <f>'TV Proj'!J22</f>
        <v>33896</v>
      </c>
      <c r="AR17" s="31"/>
      <c r="AS17" s="31"/>
      <c r="AT17" s="31">
        <f>'Monochrome TV'!R22</f>
        <v>2401.75</v>
      </c>
      <c r="AU17" s="31">
        <f>'Monochrome TV'!S22</f>
        <v>50009.14182692308</v>
      </c>
      <c r="AV17" s="31"/>
      <c r="AW17" s="31">
        <f>'TV Flat Panel'!R22</f>
        <v>0</v>
      </c>
      <c r="AX17" s="31">
        <f>'TV Flat Panel'!S22</f>
        <v>0</v>
      </c>
      <c r="AY17" s="31"/>
      <c r="AZ17" s="31">
        <f>'Cell Phones'!S22</f>
        <v>4241.197183098592</v>
      </c>
      <c r="BA17" s="31">
        <f>'Cell Phones'!T22</f>
        <v>2229.039866725353</v>
      </c>
      <c r="BB17" s="31">
        <f t="shared" si="0"/>
        <v>59947.465027524406</v>
      </c>
      <c r="BC17" s="31">
        <f t="shared" si="1"/>
        <v>540982.5901030123</v>
      </c>
    </row>
    <row r="18" spans="1:55" ht="12.75">
      <c r="A18" s="12">
        <v>1995</v>
      </c>
      <c r="B18" s="10"/>
      <c r="C18" s="32">
        <f>Desktops!AE23</f>
        <v>6994.407886709678</v>
      </c>
      <c r="D18" s="32"/>
      <c r="E18" s="32">
        <f>Desktops!AF23</f>
        <v>76779.18990804645</v>
      </c>
      <c r="F18" s="32"/>
      <c r="G18" s="31"/>
      <c r="H18" s="31">
        <f>Portables!AE23</f>
        <v>384.8</v>
      </c>
      <c r="I18" s="31"/>
      <c r="J18" s="31">
        <f>Portables!AF23</f>
        <v>1731.6000000000001</v>
      </c>
      <c r="K18" s="31"/>
      <c r="L18" s="31"/>
      <c r="M18" s="31">
        <f>'Hard Copy Devices'!AE23</f>
        <v>4474.081146522581</v>
      </c>
      <c r="N18" s="31"/>
      <c r="O18" s="31">
        <f>'Hard Copy Devices'!AF23</f>
        <v>41264.29767383312</v>
      </c>
      <c r="P18" s="31"/>
      <c r="Q18" s="31"/>
      <c r="R18" s="31">
        <f>Mice!G23+Keyboards!G23</f>
        <v>31223.233</v>
      </c>
      <c r="S18" s="31"/>
      <c r="T18" s="31">
        <f>Mice!H23+Keyboards!H23</f>
        <v>32468.2237</v>
      </c>
      <c r="U18" s="31"/>
      <c r="V18" s="31"/>
      <c r="W18" s="31">
        <f>'PC CRTs'!AF23</f>
        <v>8887.142768</v>
      </c>
      <c r="X18" s="31"/>
      <c r="Y18" s="31">
        <f>'PC CRTs'!AG23</f>
        <v>109660.89899391998</v>
      </c>
      <c r="Z18" s="31"/>
      <c r="AA18" s="31"/>
      <c r="AB18" s="31">
        <f>'PC Flat Panel'!AF23</f>
        <v>634.519912</v>
      </c>
      <c r="AC18" s="31"/>
      <c r="AD18" s="31">
        <f>'PC Flat Panel'!AG23</f>
        <v>7804.594917600001</v>
      </c>
      <c r="AE18" s="31"/>
      <c r="AF18" s="31"/>
      <c r="AG18" s="31">
        <f>'TV CRT &lt;19'!R23</f>
        <v>3837</v>
      </c>
      <c r="AH18" s="31"/>
      <c r="AI18" s="31">
        <f>'TV CRT &lt;19'!S23</f>
        <v>79127.25</v>
      </c>
      <c r="AJ18" s="31"/>
      <c r="AK18" s="31">
        <f>'TV CRT &gt;19'!R23</f>
        <v>5637.375</v>
      </c>
      <c r="AL18" s="31"/>
      <c r="AM18" s="31">
        <f>'TV CRT &gt;19'!S23</f>
        <v>205670.90897651005</v>
      </c>
      <c r="AN18" s="31"/>
      <c r="AO18" s="31"/>
      <c r="AP18" s="31">
        <f>'TV Proj'!I23</f>
        <v>293</v>
      </c>
      <c r="AQ18" s="31">
        <f>'TV Proj'!J23</f>
        <v>32962.5</v>
      </c>
      <c r="AR18" s="31"/>
      <c r="AS18" s="31"/>
      <c r="AT18" s="31">
        <f>'Monochrome TV'!R23</f>
        <v>2309.75</v>
      </c>
      <c r="AU18" s="31">
        <f>'Monochrome TV'!S23</f>
        <v>47972.7</v>
      </c>
      <c r="AV18" s="31"/>
      <c r="AW18" s="31">
        <f>'TV Flat Panel'!R23</f>
        <v>0</v>
      </c>
      <c r="AX18" s="31">
        <f>'TV Flat Panel'!S23</f>
        <v>0</v>
      </c>
      <c r="AY18" s="31"/>
      <c r="AZ18" s="31">
        <f>'Cell Phones'!S23</f>
        <v>6019.718309859154</v>
      </c>
      <c r="BA18" s="31">
        <f>'Cell Phones'!T23</f>
        <v>2944.884036465963</v>
      </c>
      <c r="BB18" s="31">
        <f t="shared" si="0"/>
        <v>70695.0280230914</v>
      </c>
      <c r="BC18" s="31">
        <f t="shared" si="1"/>
        <v>638387.0482063756</v>
      </c>
    </row>
    <row r="19" spans="1:55" ht="12.75">
      <c r="A19" s="12">
        <v>1996</v>
      </c>
      <c r="B19" s="10"/>
      <c r="C19" s="32">
        <f>Desktops!AE24</f>
        <v>7935.610140480001</v>
      </c>
      <c r="D19" s="32"/>
      <c r="E19" s="32">
        <f>Desktops!AF24</f>
        <v>86853.36110290559</v>
      </c>
      <c r="F19" s="32"/>
      <c r="G19" s="31"/>
      <c r="H19" s="31">
        <f>Portables!AE24</f>
        <v>703.41972352</v>
      </c>
      <c r="I19" s="31"/>
      <c r="J19" s="31">
        <f>Portables!AF24</f>
        <v>3094.4030931648003</v>
      </c>
      <c r="K19" s="31"/>
      <c r="L19" s="31"/>
      <c r="M19" s="31">
        <f>'Hard Copy Devices'!AE24</f>
        <v>5183.193678600001</v>
      </c>
      <c r="N19" s="31"/>
      <c r="O19" s="31">
        <f>'Hard Copy Devices'!AF24</f>
        <v>46478.65968808795</v>
      </c>
      <c r="P19" s="31"/>
      <c r="Q19" s="31"/>
      <c r="R19" s="31">
        <f>Mice!G24+Keyboards!G24</f>
        <v>41256.2</v>
      </c>
      <c r="S19" s="31"/>
      <c r="T19" s="31">
        <f>Mice!H24+Keyboards!H24</f>
        <v>40524.5711</v>
      </c>
      <c r="U19" s="31"/>
      <c r="V19" s="31"/>
      <c r="W19" s="31">
        <f>'PC CRTs'!AF24</f>
        <v>10654.382864</v>
      </c>
      <c r="X19" s="31"/>
      <c r="Y19" s="31">
        <f>'PC CRTs'!AG24</f>
        <v>131983.383964</v>
      </c>
      <c r="Z19" s="31"/>
      <c r="AA19" s="31"/>
      <c r="AB19" s="31">
        <f>'PC Flat Panel'!AF24</f>
        <v>850.497128</v>
      </c>
      <c r="AC19" s="31"/>
      <c r="AD19" s="31">
        <f>'PC Flat Panel'!AG24</f>
        <v>10461.114674400002</v>
      </c>
      <c r="AE19" s="31"/>
      <c r="AF19" s="31"/>
      <c r="AG19" s="31">
        <f>'TV CRT &lt;19'!R24</f>
        <v>4275.25</v>
      </c>
      <c r="AH19" s="31"/>
      <c r="AI19" s="31">
        <f>'TV CRT &lt;19'!S24</f>
        <v>88720.54032258065</v>
      </c>
      <c r="AJ19" s="31"/>
      <c r="AK19" s="31">
        <f>'TV CRT &gt;19'!R24</f>
        <v>6118.25</v>
      </c>
      <c r="AL19" s="31"/>
      <c r="AM19" s="31">
        <f>'TV CRT &gt;19'!S24</f>
        <v>221588.9403935185</v>
      </c>
      <c r="AN19" s="31"/>
      <c r="AO19" s="31"/>
      <c r="AP19" s="31">
        <f>'TV Proj'!I24</f>
        <v>302</v>
      </c>
      <c r="AQ19" s="31">
        <f>'TV Proj'!J24</f>
        <v>34277</v>
      </c>
      <c r="AR19" s="31"/>
      <c r="AS19" s="31"/>
      <c r="AT19" s="31">
        <f>'Monochrome TV'!R24</f>
        <v>2077.25</v>
      </c>
      <c r="AU19" s="31">
        <f>'Monochrome TV'!S24</f>
        <v>43352.395161290326</v>
      </c>
      <c r="AV19" s="31"/>
      <c r="AW19" s="31">
        <f>'TV Flat Panel'!R24</f>
        <v>0</v>
      </c>
      <c r="AX19" s="31">
        <f>'TV Flat Panel'!S24</f>
        <v>0</v>
      </c>
      <c r="AY19" s="31"/>
      <c r="AZ19" s="31">
        <f>'Cell Phones'!S24</f>
        <v>9257.394366197183</v>
      </c>
      <c r="BA19" s="31">
        <f>'Cell Phones'!T24</f>
        <v>4218.20445994953</v>
      </c>
      <c r="BB19" s="31">
        <f t="shared" si="0"/>
        <v>88613.44790079718</v>
      </c>
      <c r="BC19" s="31">
        <f t="shared" si="1"/>
        <v>711552.5739598974</v>
      </c>
    </row>
    <row r="20" spans="1:55" ht="12.75">
      <c r="A20" s="12">
        <v>1997</v>
      </c>
      <c r="B20" s="10"/>
      <c r="C20" s="32">
        <f>Desktops!AE25</f>
        <v>9050.341752</v>
      </c>
      <c r="D20" s="32"/>
      <c r="E20" s="32">
        <f>Desktops!AF25</f>
        <v>99201.87269088</v>
      </c>
      <c r="F20" s="32"/>
      <c r="G20" s="31"/>
      <c r="H20" s="31">
        <f>Portables!AE25</f>
        <v>1618.7825382400001</v>
      </c>
      <c r="I20" s="31"/>
      <c r="J20" s="31">
        <f>Portables!AF25</f>
        <v>7072.020750297601</v>
      </c>
      <c r="K20" s="31"/>
      <c r="L20" s="31"/>
      <c r="M20" s="31">
        <f>'Hard Copy Devices'!AE25</f>
        <v>6383.6000886</v>
      </c>
      <c r="N20" s="31"/>
      <c r="O20" s="31">
        <f>'Hard Copy Devices'!AF25</f>
        <v>57077.83877706672</v>
      </c>
      <c r="P20" s="31"/>
      <c r="Q20" s="31"/>
      <c r="R20" s="31">
        <f>Mice!G25+Keyboards!G25</f>
        <v>58487.763999999996</v>
      </c>
      <c r="S20" s="31"/>
      <c r="T20" s="31">
        <f>Mice!H25+Keyboards!H25</f>
        <v>56651.2339</v>
      </c>
      <c r="U20" s="31"/>
      <c r="V20" s="31"/>
      <c r="W20" s="31">
        <f>'PC CRTs'!AF25</f>
        <v>12335.790408</v>
      </c>
      <c r="X20" s="31"/>
      <c r="Y20" s="31">
        <f>'PC CRTs'!AG25</f>
        <v>160404.75871416</v>
      </c>
      <c r="Z20" s="31"/>
      <c r="AA20" s="31"/>
      <c r="AB20" s="31">
        <f>'PC Flat Panel'!AF25</f>
        <v>1120.093312</v>
      </c>
      <c r="AC20" s="31"/>
      <c r="AD20" s="31">
        <f>'PC Flat Panel'!AG25</f>
        <v>13777.147737600002</v>
      </c>
      <c r="AE20" s="31"/>
      <c r="AF20" s="31"/>
      <c r="AG20" s="31">
        <f>'TV CRT &lt;19'!R25</f>
        <v>6085.75</v>
      </c>
      <c r="AH20" s="31"/>
      <c r="AI20" s="31">
        <f>'TV CRT &lt;19'!S25</f>
        <v>126440.71779605976</v>
      </c>
      <c r="AJ20" s="31"/>
      <c r="AK20" s="31">
        <f>'TV CRT &gt;19'!R25</f>
        <v>6125.375</v>
      </c>
      <c r="AL20" s="31"/>
      <c r="AM20" s="31">
        <f>'TV CRT &gt;19'!S25</f>
        <v>225454.31827731093</v>
      </c>
      <c r="AN20" s="31"/>
      <c r="AO20" s="31"/>
      <c r="AP20" s="31">
        <f>'TV Proj'!I25</f>
        <v>265</v>
      </c>
      <c r="AQ20" s="31">
        <f>'TV Proj'!J25</f>
        <v>30342.5</v>
      </c>
      <c r="AR20" s="31"/>
      <c r="AS20" s="31"/>
      <c r="AT20" s="31">
        <f>'Monochrome TV'!R25</f>
        <v>3347.5</v>
      </c>
      <c r="AU20" s="31">
        <f>'Monochrome TV'!S25</f>
        <v>70079.70325467273</v>
      </c>
      <c r="AV20" s="31"/>
      <c r="AW20" s="31">
        <f>'TV Flat Panel'!R25</f>
        <v>0</v>
      </c>
      <c r="AX20" s="31">
        <f>'TV Flat Panel'!S25</f>
        <v>0</v>
      </c>
      <c r="AY20" s="31"/>
      <c r="AZ20" s="31">
        <f>'Cell Phones'!S25</f>
        <v>11310.56338028169</v>
      </c>
      <c r="BA20" s="31">
        <f>'Cell Phones'!T25</f>
        <v>3016.150234741784</v>
      </c>
      <c r="BB20" s="31">
        <f t="shared" si="0"/>
        <v>116130.56047912169</v>
      </c>
      <c r="BC20" s="31">
        <f t="shared" si="1"/>
        <v>849518.2621327895</v>
      </c>
    </row>
    <row r="21" spans="1:55" ht="12.75">
      <c r="A21" s="12">
        <v>1998</v>
      </c>
      <c r="B21" s="10"/>
      <c r="C21" s="32">
        <f>Desktops!AE26</f>
        <v>11150.569738074839</v>
      </c>
      <c r="D21" s="32"/>
      <c r="E21" s="32">
        <f>Desktops!AF26</f>
        <v>124456.16625622162</v>
      </c>
      <c r="F21" s="32"/>
      <c r="G21" s="31"/>
      <c r="H21" s="31">
        <f>Portables!AE26</f>
        <v>2196.8607129600005</v>
      </c>
      <c r="I21" s="31"/>
      <c r="J21" s="31">
        <f>Portables!AF26</f>
        <v>9375.357901670399</v>
      </c>
      <c r="K21" s="31"/>
      <c r="L21" s="31"/>
      <c r="M21" s="31">
        <f>'Hard Copy Devices'!AE26</f>
        <v>7760.8081572</v>
      </c>
      <c r="N21" s="31"/>
      <c r="O21" s="31">
        <f>'Hard Copy Devices'!AF26</f>
        <v>68095.49386347816</v>
      </c>
      <c r="P21" s="31"/>
      <c r="Q21" s="31"/>
      <c r="R21" s="31">
        <f>Mice!G26+Keyboards!G26</f>
        <v>67334.344</v>
      </c>
      <c r="S21" s="31"/>
      <c r="T21" s="31">
        <f>Mice!H26+Keyboards!H26</f>
        <v>55420.92385</v>
      </c>
      <c r="U21" s="31"/>
      <c r="V21" s="31"/>
      <c r="W21" s="31">
        <f>'PC CRTs'!AF26</f>
        <v>14980.479840000002</v>
      </c>
      <c r="X21" s="31"/>
      <c r="Y21" s="31">
        <f>'PC CRTs'!AG26</f>
        <v>204441.68025528</v>
      </c>
      <c r="Z21" s="31"/>
      <c r="AA21" s="31"/>
      <c r="AB21" s="31">
        <f>'PC Flat Panel'!AF26</f>
        <v>1711.2256240000002</v>
      </c>
      <c r="AC21" s="31"/>
      <c r="AD21" s="31">
        <f>'PC Flat Panel'!AG26</f>
        <v>21048.0751752</v>
      </c>
      <c r="AE21" s="31"/>
      <c r="AF21" s="31"/>
      <c r="AG21" s="31">
        <f>'TV CRT &lt;19'!R26</f>
        <v>6099.25</v>
      </c>
      <c r="AH21" s="31"/>
      <c r="AI21" s="31">
        <f>'TV CRT &lt;19'!S26</f>
        <v>124732.33255012531</v>
      </c>
      <c r="AJ21" s="31"/>
      <c r="AK21" s="31">
        <f>'TV CRT &gt;19'!R26</f>
        <v>6703.133620843413</v>
      </c>
      <c r="AL21" s="31"/>
      <c r="AM21" s="31">
        <f>'TV CRT &gt;19'!S26</f>
        <v>245855.3113526442</v>
      </c>
      <c r="AN21" s="31"/>
      <c r="AO21" s="31"/>
      <c r="AP21" s="31">
        <f>'TV Proj'!I26</f>
        <v>351</v>
      </c>
      <c r="AQ21" s="31">
        <f>'TV Proj'!J26</f>
        <v>40540.5</v>
      </c>
      <c r="AR21" s="31"/>
      <c r="AS21" s="31"/>
      <c r="AT21" s="31">
        <f>'Monochrome TV'!R26</f>
        <v>2687.25</v>
      </c>
      <c r="AU21" s="31">
        <f>'Monochrome TV'!S26</f>
        <v>55538.72109962406</v>
      </c>
      <c r="AV21" s="31"/>
      <c r="AW21" s="31">
        <f>'TV Flat Panel'!R26</f>
        <v>0</v>
      </c>
      <c r="AX21" s="31">
        <f>'TV Flat Panel'!S26</f>
        <v>0</v>
      </c>
      <c r="AY21" s="31"/>
      <c r="AZ21" s="31">
        <f>'Cell Phones'!S26</f>
        <v>13545.633802816901</v>
      </c>
      <c r="BA21" s="31">
        <f>'Cell Phones'!T26</f>
        <v>3612.1690140845067</v>
      </c>
      <c r="BB21" s="31">
        <f t="shared" si="0"/>
        <v>134520.55549589515</v>
      </c>
      <c r="BC21" s="31">
        <f t="shared" si="1"/>
        <v>953116.7313183283</v>
      </c>
    </row>
    <row r="22" spans="1:60" ht="12.75">
      <c r="A22" s="20">
        <v>1999</v>
      </c>
      <c r="B22" s="17"/>
      <c r="C22" s="32">
        <f>Desktops!AE27</f>
        <v>12620.538798709676</v>
      </c>
      <c r="D22" s="32"/>
      <c r="E22" s="32">
        <f>Desktops!AF27</f>
        <v>138263.74249724648</v>
      </c>
      <c r="F22" s="32"/>
      <c r="G22" s="31"/>
      <c r="H22" s="31">
        <f>Portables!AE27</f>
        <v>3242.82420224</v>
      </c>
      <c r="I22" s="31"/>
      <c r="J22" s="31">
        <f>Portables!AF27</f>
        <v>13540.524540697601</v>
      </c>
      <c r="K22" s="31"/>
      <c r="L22" s="31"/>
      <c r="M22" s="31">
        <f>'Hard Copy Devices'!AE27</f>
        <v>9231.1662354</v>
      </c>
      <c r="N22" s="31"/>
      <c r="O22" s="31">
        <f>'Hard Copy Devices'!AF27</f>
        <v>77619.01979305696</v>
      </c>
      <c r="P22" s="31"/>
      <c r="Q22" s="31"/>
      <c r="R22" s="31">
        <f>Mice!G27+Keyboards!G27</f>
        <v>81176.848</v>
      </c>
      <c r="S22" s="31"/>
      <c r="T22" s="31">
        <f>Mice!H27+Keyboards!H27</f>
        <v>64063.83669999999</v>
      </c>
      <c r="U22" s="31"/>
      <c r="V22" s="31"/>
      <c r="W22" s="31">
        <f>'PC CRTs'!AF27</f>
        <v>15687.104152</v>
      </c>
      <c r="X22" s="31"/>
      <c r="Y22" s="31">
        <f>'PC CRTs'!AG27</f>
        <v>238287.1229292</v>
      </c>
      <c r="Z22" s="31"/>
      <c r="AA22" s="31"/>
      <c r="AB22" s="31">
        <f>'PC Flat Panel'!AF27</f>
        <v>1767.246032</v>
      </c>
      <c r="AC22" s="31"/>
      <c r="AD22" s="31">
        <f>'PC Flat Panel'!AG27</f>
        <v>21737.1261936</v>
      </c>
      <c r="AE22" s="31"/>
      <c r="AF22" s="31"/>
      <c r="AG22" s="31">
        <f>'TV CRT &lt;19'!R27</f>
        <v>6050.870879156586</v>
      </c>
      <c r="AH22" s="31"/>
      <c r="AI22" s="31">
        <f>'TV CRT &lt;19'!S27</f>
        <v>124987.89278391161</v>
      </c>
      <c r="AJ22" s="31"/>
      <c r="AK22" s="31">
        <f>'TV CRT &gt;19'!R27</f>
        <v>7491.088583232329</v>
      </c>
      <c r="AL22" s="31"/>
      <c r="AM22" s="31">
        <f>'TV CRT &gt;19'!S27</f>
        <v>274204.14648457355</v>
      </c>
      <c r="AN22" s="31"/>
      <c r="AO22" s="31"/>
      <c r="AP22" s="31">
        <f>'TV Proj'!I27</f>
        <v>380</v>
      </c>
      <c r="AQ22" s="31">
        <f>'TV Proj'!J27</f>
        <v>44270</v>
      </c>
      <c r="AR22" s="31"/>
      <c r="AS22" s="31"/>
      <c r="AT22" s="31">
        <f>'Monochrome TV'!R27</f>
        <v>2607.25</v>
      </c>
      <c r="AU22" s="31">
        <f>'Monochrome TV'!S27</f>
        <v>54233.4264423077</v>
      </c>
      <c r="AV22" s="31"/>
      <c r="AW22" s="31">
        <f>'TV Flat Panel'!R27</f>
        <v>0</v>
      </c>
      <c r="AX22" s="31">
        <f>'TV Flat Panel'!S27</f>
        <v>0</v>
      </c>
      <c r="AY22" s="31"/>
      <c r="AZ22" s="31">
        <f>'Cell Phones'!S27</f>
        <v>18780.352112676057</v>
      </c>
      <c r="BA22" s="31">
        <f>'Cell Phones'!T27</f>
        <v>5008.093896713615</v>
      </c>
      <c r="BB22" s="31">
        <f t="shared" si="0"/>
        <v>159035.28899541465</v>
      </c>
      <c r="BC22" s="31">
        <f t="shared" si="1"/>
        <v>1056214.9322613075</v>
      </c>
      <c r="BG22" s="429">
        <f>156300+1050</f>
        <v>157350</v>
      </c>
      <c r="BH22" s="429"/>
    </row>
    <row r="23" spans="1:60" ht="12.75">
      <c r="A23" s="20">
        <v>2000</v>
      </c>
      <c r="B23" s="17"/>
      <c r="C23" s="32">
        <f>Desktops!AE28</f>
        <v>15427.040491200001</v>
      </c>
      <c r="D23" s="32"/>
      <c r="E23" s="32">
        <f>Desktops!AF28</f>
        <v>174257.620265184</v>
      </c>
      <c r="F23" s="32"/>
      <c r="G23" s="31"/>
      <c r="H23" s="31">
        <f>Portables!AE28</f>
        <v>3944.94349504</v>
      </c>
      <c r="I23" s="31"/>
      <c r="J23" s="31">
        <f>Portables!AF28</f>
        <v>15957.802004969599</v>
      </c>
      <c r="K23" s="31"/>
      <c r="L23" s="31"/>
      <c r="M23" s="31">
        <f>'Hard Copy Devices'!AE28</f>
        <v>10898.4017218</v>
      </c>
      <c r="N23" s="31"/>
      <c r="O23" s="31">
        <f>'Hard Copy Devices'!AF28</f>
        <v>91792.3954514187</v>
      </c>
      <c r="P23" s="31"/>
      <c r="Q23" s="31"/>
      <c r="R23" s="31">
        <f>Mice!G28+Keyboards!G28</f>
        <v>66735.963</v>
      </c>
      <c r="S23" s="31"/>
      <c r="T23" s="31">
        <f>Mice!H28+Keyboards!H28</f>
        <v>70928.33804999999</v>
      </c>
      <c r="U23" s="31"/>
      <c r="V23" s="31"/>
      <c r="W23" s="31">
        <f>'PC CRTs'!AF28</f>
        <v>18854.725768</v>
      </c>
      <c r="X23" s="31"/>
      <c r="Y23" s="31">
        <f>'PC CRTs'!AG28</f>
        <v>314821.53950128</v>
      </c>
      <c r="Z23" s="31"/>
      <c r="AA23" s="31"/>
      <c r="AB23" s="31">
        <f>'PC Flat Panel'!AF28</f>
        <v>1842.562368</v>
      </c>
      <c r="AC23" s="31"/>
      <c r="AD23" s="31">
        <f>'PC Flat Panel'!AG28</f>
        <v>22663.517126400002</v>
      </c>
      <c r="AE23" s="31"/>
      <c r="AF23" s="31"/>
      <c r="AG23" s="31">
        <f>'TV CRT &lt;19'!R28</f>
        <v>6598.100166767671</v>
      </c>
      <c r="AH23" s="31"/>
      <c r="AI23" s="31">
        <f>'TV CRT &lt;19'!S28</f>
        <v>135812.4334131783</v>
      </c>
      <c r="AJ23" s="31"/>
      <c r="AK23" s="31">
        <f>'TV CRT &gt;19'!R28</f>
        <v>9495.844945887919</v>
      </c>
      <c r="AL23" s="31"/>
      <c r="AM23" s="31">
        <f>'TV CRT &gt;19'!S28</f>
        <v>350251.05654740677</v>
      </c>
      <c r="AN23" s="31"/>
      <c r="AO23" s="31"/>
      <c r="AP23" s="31">
        <f>'TV Proj'!I28</f>
        <v>404</v>
      </c>
      <c r="AQ23" s="31">
        <f>'TV Proj'!J28</f>
        <v>47470</v>
      </c>
      <c r="AR23" s="31"/>
      <c r="AS23" s="31"/>
      <c r="AT23" s="31">
        <f>'Monochrome TV'!R28</f>
        <v>2478.75</v>
      </c>
      <c r="AU23" s="31">
        <f>'Monochrome TV'!S28</f>
        <v>51437.3</v>
      </c>
      <c r="AV23" s="31"/>
      <c r="AW23" s="31">
        <f>'TV Flat Panel'!R28</f>
        <v>0</v>
      </c>
      <c r="AX23" s="31">
        <f>'TV Flat Panel'!S28</f>
        <v>0</v>
      </c>
      <c r="AY23" s="31"/>
      <c r="AZ23" s="31">
        <f>'Cell Phones'!S28</f>
        <v>24965</v>
      </c>
      <c r="BA23" s="31">
        <f>'Cell Phones'!T28</f>
        <v>6657.333333333333</v>
      </c>
      <c r="BB23" s="31">
        <f t="shared" si="0"/>
        <v>161645.3319566956</v>
      </c>
      <c r="BC23" s="31">
        <f t="shared" si="1"/>
        <v>1282049.3356931705</v>
      </c>
      <c r="BG23" s="429">
        <f>192500+1200</f>
        <v>193700</v>
      </c>
      <c r="BH23" s="429"/>
    </row>
    <row r="24" spans="1:60" ht="12.75">
      <c r="A24" s="20">
        <v>2001</v>
      </c>
      <c r="B24" s="17"/>
      <c r="C24" s="32">
        <f>Desktops!AE29</f>
        <v>18377.342976</v>
      </c>
      <c r="D24" s="32"/>
      <c r="E24" s="32">
        <f>Desktops!AF29</f>
        <v>204395.05892592</v>
      </c>
      <c r="F24" s="32"/>
      <c r="G24" s="31"/>
      <c r="H24" s="31">
        <f>Portables!AE29</f>
        <v>4842.782784</v>
      </c>
      <c r="I24" s="31"/>
      <c r="J24" s="31">
        <f>Portables!AF29</f>
        <v>18993.384172799997</v>
      </c>
      <c r="K24" s="31"/>
      <c r="L24" s="31"/>
      <c r="M24" s="31">
        <f>'Hard Copy Devices'!AE29</f>
        <v>13570.615110000002</v>
      </c>
      <c r="N24" s="31"/>
      <c r="O24" s="31">
        <f>'Hard Copy Devices'!AF29</f>
        <v>110719.37332151424</v>
      </c>
      <c r="P24" s="31"/>
      <c r="Q24" s="31"/>
      <c r="R24" s="31">
        <f>Mice!G29+Keyboards!G29</f>
        <v>76171.57</v>
      </c>
      <c r="S24" s="31"/>
      <c r="T24" s="31">
        <f>Mice!H29+Keyboards!H29</f>
        <v>80180.48860000001</v>
      </c>
      <c r="U24" s="31"/>
      <c r="V24" s="31"/>
      <c r="W24" s="31">
        <f>'PC CRTs'!AF29</f>
        <v>21123.07844</v>
      </c>
      <c r="X24" s="31"/>
      <c r="Y24" s="31">
        <f>'PC CRTs'!AG29</f>
        <v>386607.68768608</v>
      </c>
      <c r="Z24" s="31"/>
      <c r="AA24" s="31"/>
      <c r="AB24" s="31">
        <f>'PC Flat Panel'!AF29</f>
        <v>1841.2500479999999</v>
      </c>
      <c r="AC24" s="31"/>
      <c r="AD24" s="31">
        <f>'PC Flat Panel'!AG29</f>
        <v>22647.3755904</v>
      </c>
      <c r="AE24" s="31"/>
      <c r="AF24" s="31"/>
      <c r="AG24" s="31">
        <f>'TV CRT &lt;19'!R29</f>
        <v>7192.680554112081</v>
      </c>
      <c r="AH24" s="31"/>
      <c r="AI24" s="31">
        <f>'TV CRT &lt;19'!S29</f>
        <v>148295.21766580333</v>
      </c>
      <c r="AJ24" s="31"/>
      <c r="AK24" s="31">
        <f>'TV CRT &gt;19'!R29</f>
        <v>10145.306715138895</v>
      </c>
      <c r="AL24" s="31"/>
      <c r="AM24" s="31">
        <f>'TV CRT &gt;19'!S29</f>
        <v>369198.56561506103</v>
      </c>
      <c r="AN24" s="31"/>
      <c r="AO24" s="31"/>
      <c r="AP24" s="31">
        <f>'TV Proj'!I29</f>
        <v>465</v>
      </c>
      <c r="AQ24" s="31">
        <f>'TV Proj'!J29</f>
        <v>55102.5</v>
      </c>
      <c r="AR24" s="31"/>
      <c r="AS24" s="31"/>
      <c r="AT24" s="31">
        <f>'Monochrome TV'!R29</f>
        <v>2043.5</v>
      </c>
      <c r="AU24" s="31">
        <f>'Monochrome TV'!S29</f>
        <v>42543.60516854674</v>
      </c>
      <c r="AV24" s="31"/>
      <c r="AW24" s="31">
        <f>'TV Flat Panel'!R29</f>
        <v>0</v>
      </c>
      <c r="AX24" s="31">
        <f>'TV Flat Panel'!S29</f>
        <v>0</v>
      </c>
      <c r="AY24" s="31"/>
      <c r="AZ24" s="31">
        <f>'Cell Phones'!S29</f>
        <v>37855</v>
      </c>
      <c r="BA24" s="31">
        <f>'Cell Phones'!T29</f>
        <v>8899.3984375</v>
      </c>
      <c r="BB24" s="31">
        <f t="shared" si="0"/>
        <v>193628.12662725098</v>
      </c>
      <c r="BC24" s="31">
        <f t="shared" si="1"/>
        <v>1447582.6551836252</v>
      </c>
      <c r="BG24" s="429">
        <f>204500+1100</f>
        <v>205600</v>
      </c>
      <c r="BH24" s="429"/>
    </row>
    <row r="25" spans="1:60" ht="12.75">
      <c r="A25" s="20">
        <v>2002</v>
      </c>
      <c r="B25" s="17"/>
      <c r="C25" s="32">
        <f>Desktops!AE30</f>
        <v>21897.119296</v>
      </c>
      <c r="D25" s="32"/>
      <c r="E25" s="32">
        <f>Desktops!AF30</f>
        <v>244781.95996920002</v>
      </c>
      <c r="F25" s="32"/>
      <c r="G25" s="31"/>
      <c r="H25" s="31">
        <f>Portables!AE30</f>
        <v>5801.288688000001</v>
      </c>
      <c r="I25" s="31"/>
      <c r="J25" s="31">
        <f>Portables!AF30</f>
        <v>21974.022650159997</v>
      </c>
      <c r="K25" s="31"/>
      <c r="L25" s="31"/>
      <c r="M25" s="31">
        <f>'Hard Copy Devices'!AE30</f>
        <v>16209.750038000002</v>
      </c>
      <c r="N25" s="31"/>
      <c r="O25" s="31">
        <f>'Hard Copy Devices'!AF30</f>
        <v>134722.43808036076</v>
      </c>
      <c r="P25" s="31"/>
      <c r="Q25" s="31"/>
      <c r="R25" s="31">
        <f>Mice!G30+Keyboards!G30</f>
        <v>80475.988</v>
      </c>
      <c r="S25" s="31"/>
      <c r="T25" s="31">
        <f>Mice!H30+Keyboards!H30</f>
        <v>83113.74130000001</v>
      </c>
      <c r="U25" s="31"/>
      <c r="V25" s="31"/>
      <c r="W25" s="31">
        <f>'PC CRTs'!AF30</f>
        <v>23949.756672</v>
      </c>
      <c r="X25" s="31"/>
      <c r="Y25" s="31">
        <f>'PC CRTs'!AG30</f>
        <v>480702.87536735996</v>
      </c>
      <c r="Z25" s="31"/>
      <c r="AA25" s="31"/>
      <c r="AB25" s="31">
        <f>'PC Flat Panel'!AF30</f>
        <v>1767.0250959999998</v>
      </c>
      <c r="AC25" s="31"/>
      <c r="AD25" s="31">
        <f>'PC Flat Panel'!AG30</f>
        <v>21734.4086808</v>
      </c>
      <c r="AE25" s="31"/>
      <c r="AF25" s="31"/>
      <c r="AG25" s="31">
        <f>'TV CRT &lt;19'!R30</f>
        <v>7737.907534861106</v>
      </c>
      <c r="AH25" s="31"/>
      <c r="AI25" s="31">
        <f>'TV CRT &lt;19'!S30</f>
        <v>158421.1696424425</v>
      </c>
      <c r="AJ25" s="31"/>
      <c r="AK25" s="31">
        <f>'TV CRT &gt;19'!R30</f>
        <v>10085.230440387037</v>
      </c>
      <c r="AL25" s="31"/>
      <c r="AM25" s="31">
        <f>'TV CRT &gt;19'!S30</f>
        <v>371378.9672028639</v>
      </c>
      <c r="AN25" s="31"/>
      <c r="AO25" s="31"/>
      <c r="AP25" s="31">
        <f>'TV Proj'!I30</f>
        <v>636</v>
      </c>
      <c r="AQ25" s="31">
        <f>'TV Proj'!J30</f>
        <v>76002</v>
      </c>
      <c r="AR25" s="31"/>
      <c r="AS25" s="31"/>
      <c r="AT25" s="31">
        <f>'Monochrome TV'!R30</f>
        <v>1470</v>
      </c>
      <c r="AU25" s="31">
        <f>'Monochrome TV'!S30</f>
        <v>29970.5092927207</v>
      </c>
      <c r="AV25" s="31"/>
      <c r="AW25" s="31">
        <f>'TV Flat Panel'!R30</f>
        <v>0</v>
      </c>
      <c r="AX25" s="31">
        <f>'TV Flat Panel'!S30</f>
        <v>0</v>
      </c>
      <c r="AY25" s="31"/>
      <c r="AZ25" s="31">
        <f>'Cell Phones'!S30</f>
        <v>55155</v>
      </c>
      <c r="BA25" s="31">
        <f>'Cell Phones'!T30</f>
        <v>11173.109375</v>
      </c>
      <c r="BB25" s="31">
        <f t="shared" si="0"/>
        <v>225185.06576524812</v>
      </c>
      <c r="BC25" s="31">
        <f t="shared" si="1"/>
        <v>1633975.201560908</v>
      </c>
      <c r="BG25" s="429">
        <f>248900+1100</f>
        <v>250000</v>
      </c>
      <c r="BH25" s="429"/>
    </row>
    <row r="26" spans="1:60" ht="12.75">
      <c r="A26" s="20">
        <v>2003</v>
      </c>
      <c r="B26" s="17"/>
      <c r="C26" s="32">
        <f>Desktops!AE31</f>
        <v>24652.1591632</v>
      </c>
      <c r="D26" s="32"/>
      <c r="E26" s="32">
        <f>Desktops!AF31</f>
        <v>275003.522738864</v>
      </c>
      <c r="F26" s="32"/>
      <c r="G26" s="31"/>
      <c r="H26" s="31">
        <f>Portables!AE31</f>
        <v>6862.84688</v>
      </c>
      <c r="I26" s="31"/>
      <c r="J26" s="31">
        <f>Portables!AF31</f>
        <v>25366.187731039994</v>
      </c>
      <c r="K26" s="31"/>
      <c r="L26" s="31"/>
      <c r="M26" s="31">
        <f>'Hard Copy Devices'!AE31</f>
        <v>19615.900071</v>
      </c>
      <c r="N26" s="31"/>
      <c r="O26" s="31">
        <f>'Hard Copy Devices'!AF31</f>
        <v>166667.47907909672</v>
      </c>
      <c r="P26" s="31"/>
      <c r="Q26" s="31"/>
      <c r="R26" s="31">
        <f>Mice!G31+Keyboards!G31</f>
        <v>92849.547</v>
      </c>
      <c r="S26" s="31"/>
      <c r="T26" s="31">
        <f>Mice!H31+Keyboards!H31</f>
        <v>96976.7319</v>
      </c>
      <c r="U26" s="31"/>
      <c r="V26" s="31"/>
      <c r="W26" s="31">
        <f>'PC CRTs'!AF31</f>
        <v>27742.481184</v>
      </c>
      <c r="X26" s="31"/>
      <c r="Y26" s="31">
        <f>'PC CRTs'!AG31</f>
        <v>597798.6015248401</v>
      </c>
      <c r="Z26" s="31"/>
      <c r="AA26" s="31"/>
      <c r="AB26" s="31">
        <f>'PC Flat Panel'!AF31</f>
        <v>2791.8935680000004</v>
      </c>
      <c r="AC26" s="31"/>
      <c r="AD26" s="31">
        <f>'PC Flat Panel'!AG31</f>
        <v>34340.2908864</v>
      </c>
      <c r="AE26" s="31"/>
      <c r="AF26" s="31"/>
      <c r="AG26" s="31">
        <f>'TV CRT &lt;19'!R31</f>
        <v>8950.423559612964</v>
      </c>
      <c r="AH26" s="31"/>
      <c r="AI26" s="31">
        <f>'TV CRT &lt;19'!S31</f>
        <v>183632.44288968685</v>
      </c>
      <c r="AJ26" s="31"/>
      <c r="AK26" s="31">
        <f>'TV CRT &gt;19'!R31</f>
        <v>10572.62448551432</v>
      </c>
      <c r="AL26" s="31"/>
      <c r="AM26" s="31">
        <f>'TV CRT &gt;19'!S31</f>
        <v>386615.51076534257</v>
      </c>
      <c r="AN26" s="31"/>
      <c r="AO26" s="31"/>
      <c r="AP26" s="31">
        <f>'TV Proj'!I31</f>
        <v>820</v>
      </c>
      <c r="AQ26" s="31">
        <f>'TV Proj'!J31</f>
        <v>98810</v>
      </c>
      <c r="AR26" s="31"/>
      <c r="AS26" s="31"/>
      <c r="AT26" s="31">
        <f>'Monochrome TV'!R31</f>
        <v>3132</v>
      </c>
      <c r="AU26" s="31">
        <f>'Monochrome TV'!S31</f>
        <v>65022.96171074167</v>
      </c>
      <c r="AV26" s="31"/>
      <c r="AW26" s="31">
        <f>'TV Flat Panel'!R31</f>
        <v>0</v>
      </c>
      <c r="AX26" s="31">
        <f>'TV Flat Panel'!S31</f>
        <v>0</v>
      </c>
      <c r="AY26" s="31"/>
      <c r="AZ26" s="31">
        <f>'Cell Phones'!S31</f>
        <v>75775</v>
      </c>
      <c r="BA26" s="31">
        <f>'Cell Phones'!T31</f>
        <v>14460.971354166664</v>
      </c>
      <c r="BB26" s="31">
        <f t="shared" si="0"/>
        <v>273764.8759113273</v>
      </c>
      <c r="BC26" s="31">
        <f t="shared" si="1"/>
        <v>1944694.7005801788</v>
      </c>
      <c r="BG26" s="429">
        <f>289000+1000</f>
        <v>290000</v>
      </c>
      <c r="BH26" s="429">
        <v>1368000</v>
      </c>
    </row>
    <row r="27" spans="1:60" ht="12.75">
      <c r="A27" s="12">
        <v>2004</v>
      </c>
      <c r="B27" s="10"/>
      <c r="C27" s="32">
        <f>Desktops!AE32</f>
        <v>26627.589863999998</v>
      </c>
      <c r="D27" s="32"/>
      <c r="E27" s="32">
        <f>Desktops!AF32</f>
        <v>293576.09341416</v>
      </c>
      <c r="F27" s="32"/>
      <c r="G27" s="31"/>
      <c r="H27" s="31">
        <f>Portables!AE32</f>
        <v>7849.089744</v>
      </c>
      <c r="I27" s="31"/>
      <c r="J27" s="31">
        <f>Portables!AF32</f>
        <v>28226.175888479997</v>
      </c>
      <c r="K27" s="31"/>
      <c r="L27" s="31"/>
      <c r="M27" s="31">
        <f>'Hard Copy Devices'!AE32</f>
        <v>21297.855247</v>
      </c>
      <c r="N27" s="31"/>
      <c r="O27" s="31">
        <f>'Hard Copy Devices'!AF32</f>
        <v>181738.79552821783</v>
      </c>
      <c r="P27" s="31"/>
      <c r="Q27" s="31"/>
      <c r="R27" s="31">
        <f>Mice!G32+Keyboards!G32</f>
        <v>103163.381</v>
      </c>
      <c r="S27" s="31"/>
      <c r="T27" s="31">
        <f>Mice!H32+Keyboards!H32</f>
        <v>96277.68664999999</v>
      </c>
      <c r="U27" s="31"/>
      <c r="V27" s="31"/>
      <c r="W27" s="31">
        <f>'PC CRTs'!AF32</f>
        <v>27815.901816000005</v>
      </c>
      <c r="X27" s="31"/>
      <c r="Y27" s="31">
        <f>'PC CRTs'!AG32</f>
        <v>627779.2193622</v>
      </c>
      <c r="Z27" s="31"/>
      <c r="AA27" s="31"/>
      <c r="AB27" s="31">
        <f>'PC Flat Panel'!AF32</f>
        <v>3679.4581120000003</v>
      </c>
      <c r="AC27" s="31"/>
      <c r="AD27" s="31">
        <f>'PC Flat Panel'!AG32</f>
        <v>45257.33477760001</v>
      </c>
      <c r="AE27" s="31"/>
      <c r="AF27" s="31"/>
      <c r="AG27" s="31">
        <f>'TV CRT &lt;19'!R32</f>
        <v>8693.08001448568</v>
      </c>
      <c r="AH27" s="31"/>
      <c r="AI27" s="31">
        <f>'TV CRT &lt;19'!S32</f>
        <v>179077.9107642236</v>
      </c>
      <c r="AJ27" s="31"/>
      <c r="AK27" s="31">
        <f>'TV CRT &gt;19'!R32</f>
        <v>11296.165901671122</v>
      </c>
      <c r="AL27" s="31"/>
      <c r="AM27" s="31">
        <f>'TV CRT &gt;19'!S32</f>
        <v>412790.6572387933</v>
      </c>
      <c r="AN27" s="31"/>
      <c r="AO27" s="31"/>
      <c r="AP27" s="31">
        <f>'TV Proj'!I32</f>
        <v>887</v>
      </c>
      <c r="AQ27" s="31">
        <f>'TV Proj'!J32</f>
        <v>107770.5</v>
      </c>
      <c r="AR27" s="31"/>
      <c r="AS27" s="31"/>
      <c r="AT27" s="31">
        <f>'Monochrome TV'!R32</f>
        <v>2602.5</v>
      </c>
      <c r="AU27" s="31">
        <f>'Monochrome TV'!S32</f>
        <v>53990.08987854251</v>
      </c>
      <c r="AV27" s="31"/>
      <c r="AW27" s="31">
        <f>'TV Flat Panel'!R32</f>
        <v>0</v>
      </c>
      <c r="AX27" s="31">
        <f>'TV Flat Panel'!S32</f>
        <v>0</v>
      </c>
      <c r="AY27" s="31"/>
      <c r="AZ27" s="31">
        <f>'Cell Phones'!S32</f>
        <v>96750</v>
      </c>
      <c r="BA27" s="31">
        <f>'Cell Phones'!T32</f>
        <v>17046.73926854395</v>
      </c>
      <c r="BB27" s="31">
        <f t="shared" si="0"/>
        <v>310662.02169915684</v>
      </c>
      <c r="BC27" s="31">
        <f t="shared" si="1"/>
        <v>2043531.2027707612</v>
      </c>
      <c r="BG27" s="429">
        <v>320000</v>
      </c>
      <c r="BH27" s="429"/>
    </row>
    <row r="28" spans="1:55" ht="12.75">
      <c r="A28" s="12">
        <v>2005</v>
      </c>
      <c r="B28" s="10"/>
      <c r="C28" s="32">
        <f>Desktops!AE33</f>
        <v>28360.618735999997</v>
      </c>
      <c r="D28" s="32"/>
      <c r="E28" s="32">
        <f>Desktops!AF33</f>
        <v>322568.67424528004</v>
      </c>
      <c r="F28" s="32"/>
      <c r="G28" s="31"/>
      <c r="H28" s="31">
        <f>Portables!AE33</f>
        <v>9017.835232</v>
      </c>
      <c r="I28" s="31"/>
      <c r="J28" s="31">
        <f>Portables!AF33</f>
        <v>31849.635345119994</v>
      </c>
      <c r="K28" s="31"/>
      <c r="L28" s="31"/>
      <c r="M28" s="31">
        <f>'Hard Copy Devices'!AE33</f>
        <v>22863.236731999998</v>
      </c>
      <c r="N28" s="31"/>
      <c r="O28" s="31">
        <f>'Hard Copy Devices'!AF33</f>
        <v>198296.45549121746</v>
      </c>
      <c r="P28" s="31"/>
      <c r="Q28" s="31"/>
      <c r="R28" s="31">
        <f>Mice!G33+Keyboards!G33</f>
        <v>107895.928</v>
      </c>
      <c r="S28" s="31"/>
      <c r="T28" s="31">
        <f>Mice!H33+Keyboards!H33</f>
        <v>80629.48435</v>
      </c>
      <c r="U28" s="31"/>
      <c r="V28" s="31"/>
      <c r="W28" s="31">
        <f>'PC CRTs'!AF33</f>
        <v>28497.449752</v>
      </c>
      <c r="X28" s="31"/>
      <c r="Y28" s="31">
        <f>'PC CRTs'!AG33</f>
        <v>673126.0183244001</v>
      </c>
      <c r="Z28" s="31"/>
      <c r="AA28" s="31"/>
      <c r="AB28" s="31">
        <f>'PC Flat Panel'!AF33</f>
        <v>5000.199408</v>
      </c>
      <c r="AC28" s="31"/>
      <c r="AD28" s="31">
        <f>'PC Flat Panel'!AG33</f>
        <v>61502.4527184</v>
      </c>
      <c r="AE28" s="31"/>
      <c r="AF28" s="31"/>
      <c r="AG28" s="31">
        <f>'TV CRT &lt;19'!R33</f>
        <v>8774.423848328877</v>
      </c>
      <c r="AH28" s="31"/>
      <c r="AI28" s="31">
        <f>'TV CRT &lt;19'!S33</f>
        <v>180309.88859417016</v>
      </c>
      <c r="AJ28" s="31"/>
      <c r="AK28" s="31">
        <f>'TV CRT &gt;19'!R33</f>
        <v>11970.877064566908</v>
      </c>
      <c r="AL28" s="31"/>
      <c r="AM28" s="31">
        <f>'TV CRT &gt;19'!S33</f>
        <v>444974.8594305436</v>
      </c>
      <c r="AN28" s="31"/>
      <c r="AO28" s="31"/>
      <c r="AP28" s="31">
        <f>'TV Proj'!I33</f>
        <v>917</v>
      </c>
      <c r="AQ28" s="31">
        <f>'TV Proj'!J33</f>
        <v>112332.5</v>
      </c>
      <c r="AR28" s="31"/>
      <c r="AS28" s="31"/>
      <c r="AT28" s="31">
        <f>'Monochrome TV'!R33</f>
        <v>2324.75</v>
      </c>
      <c r="AU28" s="31">
        <f>'Monochrome TV'!S33</f>
        <v>48398.82849462365</v>
      </c>
      <c r="AV28" s="31"/>
      <c r="AW28" s="31">
        <f>'TV Flat Panel'!R33</f>
        <v>0</v>
      </c>
      <c r="AX28" s="31">
        <f>'TV Flat Panel'!S33</f>
        <v>0</v>
      </c>
      <c r="AY28" s="31"/>
      <c r="AZ28" s="31">
        <f>'Cell Phones'!S33</f>
        <v>116515</v>
      </c>
      <c r="BA28" s="31">
        <f>'Cell Phones'!T33</f>
        <v>18636.534855769227</v>
      </c>
      <c r="BB28" s="31">
        <f t="shared" si="0"/>
        <v>342137.3187728957</v>
      </c>
      <c r="BC28" s="31">
        <f t="shared" si="1"/>
        <v>2172625.3318495243</v>
      </c>
    </row>
    <row r="29" spans="1:55" ht="12.75">
      <c r="A29" s="12">
        <v>2006</v>
      </c>
      <c r="B29" s="10"/>
      <c r="C29" s="32">
        <f>Desktops!AE34</f>
        <v>28301.722896000003</v>
      </c>
      <c r="D29" s="32"/>
      <c r="E29" s="32">
        <f>Desktops!AF34</f>
        <v>311573.4912324</v>
      </c>
      <c r="F29" s="32"/>
      <c r="G29" s="31"/>
      <c r="H29" s="31">
        <f>Portables!AE34</f>
        <v>10217.607976</v>
      </c>
      <c r="I29" s="31"/>
      <c r="J29" s="31">
        <f>Portables!AF34</f>
        <v>35165.29293428</v>
      </c>
      <c r="K29" s="31"/>
      <c r="L29" s="31"/>
      <c r="M29" s="31">
        <f>'Hard Copy Devices'!AE34</f>
        <v>24007.761288</v>
      </c>
      <c r="N29" s="31"/>
      <c r="O29" s="31">
        <f>'Hard Copy Devices'!AF34</f>
        <v>199132.22066111214</v>
      </c>
      <c r="P29" s="31"/>
      <c r="Q29" s="31"/>
      <c r="R29" s="31">
        <f>Mice!G34+Keyboards!G34</f>
        <v>96806.527</v>
      </c>
      <c r="S29" s="31"/>
      <c r="T29" s="31">
        <f>Mice!H34+Keyboards!H34</f>
        <v>68817.77125</v>
      </c>
      <c r="U29" s="31"/>
      <c r="V29" s="31"/>
      <c r="W29" s="31">
        <f>'PC CRTs'!AF34</f>
        <v>23803.076848</v>
      </c>
      <c r="X29" s="31"/>
      <c r="Y29" s="31">
        <f>'PC CRTs'!AG34</f>
        <v>550284.8498906799</v>
      </c>
      <c r="Z29" s="31"/>
      <c r="AA29" s="31"/>
      <c r="AB29" s="31">
        <f>'PC Flat Panel'!AF34</f>
        <v>6267.33432</v>
      </c>
      <c r="AC29" s="31"/>
      <c r="AD29" s="31">
        <f>'PC Flat Panel'!AG34</f>
        <v>77088.21213600002</v>
      </c>
      <c r="AE29" s="31"/>
      <c r="AF29" s="31"/>
      <c r="AG29" s="31">
        <f>'TV CRT &lt;19'!R34</f>
        <v>9691.954435433092</v>
      </c>
      <c r="AH29" s="31"/>
      <c r="AI29" s="31">
        <f>'TV CRT &lt;19'!S34</f>
        <v>199950.62521103115</v>
      </c>
      <c r="AJ29" s="31"/>
      <c r="AK29" s="31">
        <f>'TV CRT &gt;19'!R34</f>
        <v>12825.104443922599</v>
      </c>
      <c r="AL29" s="31"/>
      <c r="AM29" s="31">
        <f>'TV CRT &gt;19'!S34</f>
        <v>469979.19197679707</v>
      </c>
      <c r="AN29" s="31"/>
      <c r="AO29" s="31"/>
      <c r="AP29" s="31">
        <f>'TV Proj'!I34</f>
        <v>1081.97</v>
      </c>
      <c r="AQ29" s="31">
        <f>'TV Proj'!J34</f>
        <v>133623.295</v>
      </c>
      <c r="AR29" s="31"/>
      <c r="AS29" s="31"/>
      <c r="AT29" s="31">
        <f>'Monochrome TV'!R34</f>
        <v>2072</v>
      </c>
      <c r="AU29" s="31">
        <f>'Monochrome TV'!S34</f>
        <v>43202.036021785774</v>
      </c>
      <c r="AV29" s="31"/>
      <c r="AW29" s="31">
        <f>'TV Flat Panel'!R34</f>
        <v>0</v>
      </c>
      <c r="AX29" s="31">
        <f>'TV Flat Panel'!S34</f>
        <v>0</v>
      </c>
      <c r="AY29" s="31"/>
      <c r="AZ29" s="31">
        <f>'Cell Phones'!S34</f>
        <v>127790</v>
      </c>
      <c r="BA29" s="31">
        <f>'Cell Phones'!T34</f>
        <v>18978.2228422619</v>
      </c>
      <c r="BB29" s="31">
        <f t="shared" si="0"/>
        <v>342865.0592073557</v>
      </c>
      <c r="BC29" s="31">
        <f t="shared" si="1"/>
        <v>2107795.209156348</v>
      </c>
    </row>
    <row r="30" spans="1:55" ht="12.75">
      <c r="A30" s="12">
        <v>2007</v>
      </c>
      <c r="B30" s="10"/>
      <c r="C30" s="32">
        <f>Desktops!AE35</f>
        <v>29872.9449712</v>
      </c>
      <c r="D30" s="32"/>
      <c r="E30" s="32">
        <f>Desktops!AF35</f>
        <v>341264.420415584</v>
      </c>
      <c r="F30" s="32"/>
      <c r="G30" s="31"/>
      <c r="H30" s="31">
        <f>Portables!AE35</f>
        <v>11960.17864</v>
      </c>
      <c r="I30" s="31"/>
      <c r="J30" s="31">
        <f>Portables!AF35</f>
        <v>40286.40111688</v>
      </c>
      <c r="K30" s="31"/>
      <c r="L30" s="31"/>
      <c r="M30" s="31">
        <f>'Hard Copy Devices'!AE35</f>
        <v>25713.984544000003</v>
      </c>
      <c r="N30" s="31"/>
      <c r="O30" s="31">
        <f>'Hard Copy Devices'!AF35</f>
        <v>219163.33278291833</v>
      </c>
      <c r="P30" s="31"/>
      <c r="Q30" s="31"/>
      <c r="R30" s="31">
        <f>Mice!G35+Keyboards!G35</f>
        <v>106128.488</v>
      </c>
      <c r="S30" s="31"/>
      <c r="T30" s="31">
        <f>Mice!H35+Keyboards!H35</f>
        <v>76206.1682</v>
      </c>
      <c r="U30" s="31"/>
      <c r="V30" s="31"/>
      <c r="W30" s="31">
        <f>'PC CRTs'!AF35</f>
        <v>22755.925600000002</v>
      </c>
      <c r="X30" s="31"/>
      <c r="Y30" s="31">
        <f>'PC CRTs'!AG35</f>
        <v>533612.4845054</v>
      </c>
      <c r="Z30" s="31"/>
      <c r="AA30" s="31"/>
      <c r="AB30" s="31">
        <f>'PC Flat Panel'!AF35</f>
        <v>9055.883055999999</v>
      </c>
      <c r="AC30" s="31"/>
      <c r="AD30" s="31">
        <f>'PC Flat Panel'!AG35</f>
        <v>111387.3615888</v>
      </c>
      <c r="AE30" s="31"/>
      <c r="AF30" s="31"/>
      <c r="AG30" s="31">
        <f>'TV CRT &lt;19'!R35</f>
        <v>10338.546176920816</v>
      </c>
      <c r="AH30" s="31"/>
      <c r="AI30" s="31">
        <f>'TV CRT &lt;19'!S35</f>
        <v>212820.27803128844</v>
      </c>
      <c r="AJ30" s="31"/>
      <c r="AK30" s="31">
        <f>'TV CRT &gt;19'!R35</f>
        <v>13393.146684484274</v>
      </c>
      <c r="AL30" s="31"/>
      <c r="AM30" s="31">
        <f>'TV CRT &gt;19'!S35</f>
        <v>493851.2351441046</v>
      </c>
      <c r="AN30" s="31"/>
      <c r="AO30" s="31"/>
      <c r="AP30" s="31">
        <f>'TV Proj'!I35</f>
        <v>1332.015</v>
      </c>
      <c r="AQ30" s="31">
        <f>'TV Proj'!J35</f>
        <v>165835.8675</v>
      </c>
      <c r="AR30" s="31"/>
      <c r="AS30" s="31"/>
      <c r="AT30" s="31">
        <f>'Monochrome TV'!R35</f>
        <v>1830.25</v>
      </c>
      <c r="AU30" s="31">
        <f>'Monochrome TV'!S35</f>
        <v>38073.82465198568</v>
      </c>
      <c r="AV30" s="31"/>
      <c r="AW30" s="31">
        <f>'TV Flat Panel'!R35</f>
        <v>0</v>
      </c>
      <c r="AX30" s="31">
        <f>'TV Flat Panel'!S35</f>
        <v>0</v>
      </c>
      <c r="AY30" s="31"/>
      <c r="AZ30" s="31">
        <f>'Cell Phones'!S35</f>
        <v>140305</v>
      </c>
      <c r="BA30" s="31">
        <f>'Cell Phones'!T35</f>
        <v>19235.429487179485</v>
      </c>
      <c r="BB30" s="31">
        <f>C30+H30+M30+R30+W30+AB30+AG30+AK30+AP30+AT30+AW30+AZ30</f>
        <v>372686.3626726051</v>
      </c>
      <c r="BC30" s="31">
        <f>E30+J30+O30+T30+Y30+AD30+AI30+AM30+AQ30+AU30+AX30+BA30</f>
        <v>2251736.803424141</v>
      </c>
    </row>
    <row r="31" spans="1:55" ht="12.75">
      <c r="A31" s="12">
        <v>2008</v>
      </c>
      <c r="B31" s="10"/>
      <c r="C31" s="32">
        <f>Desktops!AE36</f>
        <v>30533.282952</v>
      </c>
      <c r="D31" s="32"/>
      <c r="E31" s="32">
        <f>Desktops!AF36</f>
        <v>336821.43430920003</v>
      </c>
      <c r="F31" s="32"/>
      <c r="G31" s="31"/>
      <c r="H31" s="31">
        <f>Portables!AE36</f>
        <v>14091.815935999999</v>
      </c>
      <c r="I31" s="31"/>
      <c r="J31" s="31">
        <f>Portables!AF36</f>
        <v>46531.34921552</v>
      </c>
      <c r="K31" s="31"/>
      <c r="L31" s="31"/>
      <c r="M31" s="31">
        <f>'Hard Copy Devices'!AE36</f>
        <v>27399.48953224747</v>
      </c>
      <c r="N31" s="31"/>
      <c r="O31" s="31">
        <f>'Hard Copy Devices'!AF36</f>
        <v>232430.6623713127</v>
      </c>
      <c r="P31" s="31"/>
      <c r="Q31" s="31"/>
      <c r="R31" s="31">
        <f>Mice!G36+Keyboards!G36</f>
        <v>88219.004</v>
      </c>
      <c r="S31" s="31"/>
      <c r="T31" s="31">
        <f>Mice!H36+Keyboards!H36</f>
        <v>78022.463</v>
      </c>
      <c r="U31" s="31"/>
      <c r="V31" s="31"/>
      <c r="W31" s="31">
        <f>'PC CRTs'!AF36</f>
        <v>19494.643751999996</v>
      </c>
      <c r="X31" s="31"/>
      <c r="Y31" s="31">
        <f>'PC CRTs'!AG36</f>
        <v>460999.89362700004</v>
      </c>
      <c r="Z31" s="31"/>
      <c r="AA31" s="31"/>
      <c r="AB31" s="31">
        <f>'PC Flat Panel'!AF36</f>
        <v>13853.985224000002</v>
      </c>
      <c r="AC31" s="31"/>
      <c r="AD31" s="31">
        <f>'PC Flat Panel'!AG36</f>
        <v>170404.01825520003</v>
      </c>
      <c r="AE31" s="31"/>
      <c r="AF31" s="31"/>
      <c r="AG31" s="31">
        <f>'TV CRT &lt;19'!R36</f>
        <v>10226.75827790464</v>
      </c>
      <c r="AH31" s="31"/>
      <c r="AI31" s="31">
        <f>'TV CRT &lt;19'!S36</f>
        <v>207425.30803969703</v>
      </c>
      <c r="AJ31" s="31"/>
      <c r="AK31" s="31">
        <f>'TV CRT &gt;19'!R36</f>
        <v>13744.298238202751</v>
      </c>
      <c r="AL31" s="31"/>
      <c r="AM31" s="31">
        <f>'TV CRT &gt;19'!S36</f>
        <v>503603.9536498329</v>
      </c>
      <c r="AN31" s="31"/>
      <c r="AO31" s="31"/>
      <c r="AP31" s="31">
        <f>'TV Proj'!I36</f>
        <v>1703.031</v>
      </c>
      <c r="AQ31" s="31">
        <f>'TV Proj'!J36</f>
        <v>213730.3905</v>
      </c>
      <c r="AR31" s="31"/>
      <c r="AS31" s="31"/>
      <c r="AT31" s="31">
        <f>'Monochrome TV'!R36</f>
        <v>1303.25</v>
      </c>
      <c r="AU31" s="31">
        <f>'Monochrome TV'!S36</f>
        <v>26504.759364830108</v>
      </c>
      <c r="AV31" s="31"/>
      <c r="AW31" s="31">
        <f>'TV Flat Panel'!R36</f>
        <v>1.631</v>
      </c>
      <c r="AX31" s="31">
        <f>'TV Flat Panel'!S36</f>
        <v>23.6495</v>
      </c>
      <c r="AY31" s="31"/>
      <c r="AZ31" s="31">
        <f>'Cell Phones'!S36</f>
        <v>156315</v>
      </c>
      <c r="BA31" s="31">
        <f>'Cell Phones'!T36</f>
        <v>19200.924038461533</v>
      </c>
      <c r="BB31" s="31">
        <f t="shared" si="0"/>
        <v>376886.18991235486</v>
      </c>
      <c r="BC31" s="31">
        <f t="shared" si="1"/>
        <v>2295698.8058710545</v>
      </c>
    </row>
    <row r="32" spans="1:55" ht="12.75">
      <c r="A32" s="12">
        <v>2009</v>
      </c>
      <c r="B32" s="10"/>
      <c r="C32" s="32">
        <f>Desktops!AE37</f>
        <v>32033.041984</v>
      </c>
      <c r="D32" s="32"/>
      <c r="E32" s="32">
        <f>Desktops!AF37</f>
        <v>357957.12604039995</v>
      </c>
      <c r="F32" s="32"/>
      <c r="G32" s="31"/>
      <c r="H32" s="31">
        <f>Portables!AE37</f>
        <v>16997.562672</v>
      </c>
      <c r="I32" s="31"/>
      <c r="J32" s="31">
        <f>Portables!AF37</f>
        <v>55244.45728128001</v>
      </c>
      <c r="K32" s="31"/>
      <c r="L32" s="31"/>
      <c r="M32" s="31">
        <f>'Hard Copy Devices'!AE37</f>
        <v>29340.595837108805</v>
      </c>
      <c r="N32" s="31"/>
      <c r="O32" s="31">
        <f>'Hard Copy Devices'!AF37</f>
        <v>251509.866868862</v>
      </c>
      <c r="P32" s="31"/>
      <c r="Q32" s="31"/>
      <c r="R32" s="31">
        <f>Mice!G37+Keyboards!G37</f>
        <v>86567.506</v>
      </c>
      <c r="S32" s="31"/>
      <c r="T32" s="31">
        <f>Mice!H37+Keyboards!H37</f>
        <v>72397.45689999999</v>
      </c>
      <c r="U32" s="31"/>
      <c r="V32" s="31"/>
      <c r="W32" s="31">
        <f>'PC CRTs'!AF37</f>
        <v>17219.958024</v>
      </c>
      <c r="X32" s="31"/>
      <c r="Y32" s="31">
        <f>'PC CRTs'!AG37</f>
        <v>412128.59497379995</v>
      </c>
      <c r="Z32" s="31"/>
      <c r="AA32" s="31"/>
      <c r="AB32" s="31">
        <f>'PC Flat Panel'!AF37</f>
        <v>17381.68532</v>
      </c>
      <c r="AC32" s="31"/>
      <c r="AD32" s="31">
        <f>'PC Flat Panel'!AG37</f>
        <v>213794.72943600005</v>
      </c>
      <c r="AE32" s="31"/>
      <c r="AF32" s="31"/>
      <c r="AG32" s="31">
        <f>'TV CRT &lt;19'!R37</f>
        <v>9679.839874452839</v>
      </c>
      <c r="AH32" s="31"/>
      <c r="AI32" s="31">
        <f>'TV CRT &lt;19'!S37</f>
        <v>198931.82017790273</v>
      </c>
      <c r="AJ32" s="31"/>
      <c r="AK32" s="31">
        <f>'TV CRT &gt;19'!R37</f>
        <v>14235.31178928939</v>
      </c>
      <c r="AL32" s="31"/>
      <c r="AM32" s="31">
        <f>'TV CRT &gt;19'!S37</f>
        <v>519476.56212757295</v>
      </c>
      <c r="AN32" s="31"/>
      <c r="AO32" s="31"/>
      <c r="AP32" s="31">
        <f>'TV Proj'!I37</f>
        <v>1969.551</v>
      </c>
      <c r="AQ32" s="31">
        <f>'TV Proj'!J37</f>
        <v>247178.6505</v>
      </c>
      <c r="AR32" s="31"/>
      <c r="AS32" s="31"/>
      <c r="AT32" s="31">
        <f>'Monochrome TV'!R37</f>
        <v>1315.25</v>
      </c>
      <c r="AU32" s="31">
        <f>'Monochrome TV'!S37</f>
        <v>27040.161904895787</v>
      </c>
      <c r="AV32" s="31"/>
      <c r="AW32" s="31">
        <f>'TV Flat Panel'!R37</f>
        <v>7.552</v>
      </c>
      <c r="AX32" s="31">
        <f>'TV Flat Panel'!S37</f>
        <v>109.504</v>
      </c>
      <c r="AY32" s="31"/>
      <c r="AZ32" s="31">
        <f>'Cell Phones'!S37</f>
        <v>168180</v>
      </c>
      <c r="BA32" s="31">
        <f>'Cell Phones'!T37</f>
        <v>19860.138060897432</v>
      </c>
      <c r="BB32" s="31">
        <f t="shared" si="0"/>
        <v>394927.854500851</v>
      </c>
      <c r="BC32" s="31">
        <f t="shared" si="1"/>
        <v>2375629.0682716114</v>
      </c>
    </row>
    <row r="33" spans="1:55" ht="12.75">
      <c r="A33" s="12">
        <v>2010</v>
      </c>
      <c r="B33" s="10"/>
      <c r="C33" s="32">
        <f>Desktops!AE38</f>
        <v>32200.594032</v>
      </c>
      <c r="D33" s="32"/>
      <c r="E33" s="32">
        <f>Desktops!AF38</f>
        <v>354560.6482116</v>
      </c>
      <c r="F33" s="32"/>
      <c r="G33" s="31"/>
      <c r="H33" s="31">
        <f>Portables!AE38</f>
        <v>20689.758960000003</v>
      </c>
      <c r="I33" s="31"/>
      <c r="J33" s="31">
        <f>Portables!AF38</f>
        <v>66874.53325992</v>
      </c>
      <c r="K33" s="31"/>
      <c r="L33" s="31"/>
      <c r="M33" s="31">
        <f>'Hard Copy Devices'!AE38</f>
        <v>31046.4931174777</v>
      </c>
      <c r="N33" s="31"/>
      <c r="O33" s="31">
        <f>'Hard Copy Devices'!AF38</f>
        <v>268600.9906972301</v>
      </c>
      <c r="P33" s="31"/>
      <c r="Q33" s="31"/>
      <c r="R33" s="393">
        <f>Mice!G38+Keyboards!G38</f>
        <v>82194.902</v>
      </c>
      <c r="S33" s="393"/>
      <c r="T33" s="393">
        <f>Mice!H38+Keyboards!H38</f>
        <v>67817.9402</v>
      </c>
      <c r="U33" s="31"/>
      <c r="V33" s="31"/>
      <c r="W33" s="31">
        <f>'PC CRTs'!AF38</f>
        <v>14044.353664</v>
      </c>
      <c r="X33" s="31"/>
      <c r="Y33" s="31">
        <f>'PC CRTs'!AG38</f>
        <v>342978.3956564</v>
      </c>
      <c r="Z33" s="31"/>
      <c r="AA33" s="31"/>
      <c r="AB33" s="31">
        <f>'PC Flat Panel'!AF38</f>
        <v>21161.645632</v>
      </c>
      <c r="AC33" s="31"/>
      <c r="AD33" s="31">
        <f>'PC Flat Panel'!AG38</f>
        <v>260288.24127360003</v>
      </c>
      <c r="AE33" s="31"/>
      <c r="AF33" s="31"/>
      <c r="AG33" s="31">
        <f>'TV CRT &lt;19'!R38</f>
        <v>10383.982979961587</v>
      </c>
      <c r="AH33" s="31"/>
      <c r="AI33" s="31">
        <f>'TV CRT &lt;19'!S38</f>
        <v>211037.60771961045</v>
      </c>
      <c r="AJ33" s="31"/>
      <c r="AK33" s="31">
        <f>'TV CRT &gt;19'!R38</f>
        <v>14402.046711077046</v>
      </c>
      <c r="AL33" s="31"/>
      <c r="AM33" s="31">
        <f>'TV CRT &gt;19'!S38</f>
        <v>530951.988809237</v>
      </c>
      <c r="AN33" s="31"/>
      <c r="AO33" s="31"/>
      <c r="AP33" s="31">
        <f>'TV Proj'!I38</f>
        <v>2485.596</v>
      </c>
      <c r="AQ33" s="31">
        <f>'TV Proj'!J38</f>
        <v>277565.86979829543</v>
      </c>
      <c r="AR33" s="31"/>
      <c r="AS33" s="31"/>
      <c r="AT33" s="31">
        <f>'Monochrome TV'!R38</f>
        <v>1180.5</v>
      </c>
      <c r="AU33" s="31">
        <f>'Monochrome TV'!S38</f>
        <v>24060.787359406953</v>
      </c>
      <c r="AV33" s="31"/>
      <c r="AW33" s="31">
        <f>'TV Flat Panel'!R38</f>
        <v>54.077</v>
      </c>
      <c r="AX33" s="31">
        <f>'TV Flat Panel'!S38</f>
        <v>784.1165</v>
      </c>
      <c r="AY33" s="31"/>
      <c r="AZ33" s="31">
        <f>'Cell Phones'!S38</f>
        <v>52500</v>
      </c>
      <c r="BA33" s="31">
        <f>'Cell Phones'!T38</f>
        <v>6562.5</v>
      </c>
      <c r="BB33" s="31">
        <f t="shared" si="0"/>
        <v>282343.9500965163</v>
      </c>
      <c r="BC33" s="31">
        <f t="shared" si="1"/>
        <v>2412083.6194852996</v>
      </c>
    </row>
    <row r="42" spans="1:69" ht="15.75" customHeight="1" thickBot="1">
      <c r="A42" s="512" t="s">
        <v>92</v>
      </c>
      <c r="B42" s="512"/>
      <c r="C42" s="512"/>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3"/>
      <c r="AK42" s="73"/>
      <c r="AL42" s="73"/>
      <c r="AM42" s="73"/>
      <c r="AN42" s="73"/>
      <c r="AO42" s="43"/>
      <c r="AP42" s="39"/>
      <c r="AQ42" s="39"/>
      <c r="AR42" s="39"/>
      <c r="AS42" s="39"/>
      <c r="AT42" s="39"/>
      <c r="AU42" s="39"/>
      <c r="AV42" s="39"/>
      <c r="AX42" s="46"/>
      <c r="AY42" s="516"/>
      <c r="AZ42" s="516"/>
      <c r="BA42" s="516"/>
      <c r="BB42" s="516"/>
      <c r="BC42" s="516"/>
      <c r="BD42" s="516"/>
      <c r="BE42" s="516"/>
      <c r="BF42" s="516"/>
      <c r="BG42" s="516"/>
      <c r="BH42" s="516"/>
      <c r="BI42" s="516"/>
      <c r="BJ42" s="516"/>
      <c r="BK42" s="516"/>
      <c r="BL42" s="516"/>
      <c r="BM42" s="516"/>
      <c r="BN42" s="516"/>
      <c r="BO42" s="39"/>
      <c r="BP42" s="39"/>
      <c r="BQ42" s="39"/>
    </row>
    <row r="43" spans="1:69" ht="15.75" customHeight="1" thickBot="1">
      <c r="A43" s="233" t="s">
        <v>0</v>
      </c>
      <c r="B43" s="74"/>
      <c r="C43" s="511" t="s">
        <v>30</v>
      </c>
      <c r="D43" s="511"/>
      <c r="E43" s="511"/>
      <c r="F43" s="511"/>
      <c r="G43" s="74"/>
      <c r="H43" s="511" t="s">
        <v>55</v>
      </c>
      <c r="I43" s="511"/>
      <c r="J43" s="511"/>
      <c r="K43" s="511"/>
      <c r="L43" s="74"/>
      <c r="M43" s="511" t="s">
        <v>56</v>
      </c>
      <c r="N43" s="511"/>
      <c r="O43" s="511"/>
      <c r="P43" s="511"/>
      <c r="Q43" s="74"/>
      <c r="R43" s="511" t="s">
        <v>70</v>
      </c>
      <c r="S43" s="511"/>
      <c r="T43" s="511"/>
      <c r="U43" s="511"/>
      <c r="V43" s="74"/>
      <c r="W43" s="511" t="s">
        <v>107</v>
      </c>
      <c r="X43" s="511"/>
      <c r="Y43" s="511"/>
      <c r="Z43" s="511"/>
      <c r="AA43" s="74"/>
      <c r="AB43" s="511" t="s">
        <v>185</v>
      </c>
      <c r="AC43" s="511"/>
      <c r="AD43" s="511"/>
      <c r="AE43" s="511"/>
      <c r="AF43" s="74"/>
      <c r="AG43" s="511" t="s">
        <v>22</v>
      </c>
      <c r="AH43" s="511"/>
      <c r="AI43" s="511"/>
      <c r="AJ43" s="511"/>
      <c r="AO43" s="42"/>
      <c r="AP43" s="39"/>
      <c r="AQ43" s="39"/>
      <c r="AR43" s="39"/>
      <c r="AS43" s="39"/>
      <c r="AT43" s="39"/>
      <c r="AU43" s="39"/>
      <c r="AV43" s="39"/>
      <c r="AX43" s="46"/>
      <c r="AY43" s="73"/>
      <c r="AZ43" s="73"/>
      <c r="BA43" s="73"/>
      <c r="BB43" s="48"/>
      <c r="BC43" s="66"/>
      <c r="BD43" s="66"/>
      <c r="BE43" s="66"/>
      <c r="BF43" s="66"/>
      <c r="BG43" s="66"/>
      <c r="BH43" s="66"/>
      <c r="BI43" s="66"/>
      <c r="BJ43" s="66"/>
      <c r="BK43" s="66"/>
      <c r="BL43" s="66"/>
      <c r="BM43" s="66"/>
      <c r="BN43" s="66"/>
      <c r="BO43" s="39"/>
      <c r="BP43" s="39"/>
      <c r="BQ43" s="39"/>
    </row>
    <row r="44" spans="1:69" ht="15.75" customHeight="1" thickBot="1">
      <c r="A44" s="55"/>
      <c r="B44" s="54"/>
      <c r="C44" s="523" t="s">
        <v>138</v>
      </c>
      <c r="D44" s="523"/>
      <c r="E44" s="523" t="s">
        <v>139</v>
      </c>
      <c r="F44" s="523"/>
      <c r="G44" s="55"/>
      <c r="H44" s="523" t="s">
        <v>138</v>
      </c>
      <c r="I44" s="523"/>
      <c r="J44" s="523" t="s">
        <v>139</v>
      </c>
      <c r="K44" s="523"/>
      <c r="L44" s="54"/>
      <c r="M44" s="523" t="s">
        <v>138</v>
      </c>
      <c r="N44" s="523"/>
      <c r="O44" s="523" t="s">
        <v>139</v>
      </c>
      <c r="P44" s="523"/>
      <c r="Q44" s="54"/>
      <c r="R44" s="523" t="s">
        <v>138</v>
      </c>
      <c r="S44" s="523"/>
      <c r="T44" s="523" t="s">
        <v>139</v>
      </c>
      <c r="U44" s="523"/>
      <c r="V44" s="54"/>
      <c r="W44" s="523" t="s">
        <v>138</v>
      </c>
      <c r="X44" s="523"/>
      <c r="Y44" s="523" t="s">
        <v>139</v>
      </c>
      <c r="Z44" s="523"/>
      <c r="AA44" s="54"/>
      <c r="AB44" s="523" t="s">
        <v>138</v>
      </c>
      <c r="AC44" s="523"/>
      <c r="AD44" s="523" t="s">
        <v>139</v>
      </c>
      <c r="AE44" s="523"/>
      <c r="AF44" s="54"/>
      <c r="AG44" s="523" t="s">
        <v>138</v>
      </c>
      <c r="AH44" s="523"/>
      <c r="AI44" s="523" t="s">
        <v>139</v>
      </c>
      <c r="AJ44" s="523"/>
      <c r="AO44" s="10"/>
      <c r="AP44" s="39"/>
      <c r="AQ44" s="39"/>
      <c r="AR44" s="39"/>
      <c r="AS44" s="39"/>
      <c r="AT44" s="39"/>
      <c r="AU44" s="39"/>
      <c r="AV44" s="39"/>
      <c r="AX44" s="46"/>
      <c r="AY44" s="66"/>
      <c r="AZ44" s="66"/>
      <c r="BA44" s="66"/>
      <c r="BB44" s="48"/>
      <c r="BC44" s="48"/>
      <c r="BD44" s="48"/>
      <c r="BE44" s="48"/>
      <c r="BF44" s="48"/>
      <c r="BG44" s="48"/>
      <c r="BH44" s="48"/>
      <c r="BI44" s="48"/>
      <c r="BJ44" s="48"/>
      <c r="BK44" s="48"/>
      <c r="BL44" s="48"/>
      <c r="BM44" s="48"/>
      <c r="BN44" s="48"/>
      <c r="BO44" s="39"/>
      <c r="BP44" s="39"/>
      <c r="BQ44" s="39"/>
    </row>
    <row r="45" spans="1:69" ht="15.75" customHeight="1">
      <c r="A45" s="76">
        <v>1999</v>
      </c>
      <c r="B45" s="75"/>
      <c r="C45" s="280">
        <f>C22/1000</f>
        <v>12.620538798709676</v>
      </c>
      <c r="D45" s="280"/>
      <c r="E45" s="280">
        <f>E22/1000</f>
        <v>138.26374249724648</v>
      </c>
      <c r="F45" s="280"/>
      <c r="G45" s="280"/>
      <c r="H45" s="280">
        <f>H22/1000</f>
        <v>3.24282420224</v>
      </c>
      <c r="I45" s="280"/>
      <c r="J45" s="280">
        <f>J22/1000</f>
        <v>13.540524540697602</v>
      </c>
      <c r="K45" s="280"/>
      <c r="L45" s="280"/>
      <c r="M45" s="280">
        <f>M22/1000</f>
        <v>9.2311662354</v>
      </c>
      <c r="N45" s="280"/>
      <c r="O45" s="280">
        <f>O22/1000</f>
        <v>77.61901979305695</v>
      </c>
      <c r="P45" s="280"/>
      <c r="Q45" s="280">
        <f aca="true" t="shared" si="2" ref="Q45:Q53">Q22</f>
        <v>0</v>
      </c>
      <c r="R45" s="280">
        <f>R22/1000</f>
        <v>81.17684799999999</v>
      </c>
      <c r="S45" s="280"/>
      <c r="T45" s="280">
        <f>T22/1000</f>
        <v>64.0638367</v>
      </c>
      <c r="U45" s="280"/>
      <c r="V45" s="280">
        <f aca="true" t="shared" si="3" ref="V45:V53">V22</f>
        <v>0</v>
      </c>
      <c r="W45" s="280">
        <f>W22/1000</f>
        <v>15.687104152</v>
      </c>
      <c r="X45" s="280"/>
      <c r="Y45" s="280">
        <f>Y22/1000</f>
        <v>238.2871229292</v>
      </c>
      <c r="Z45" s="280"/>
      <c r="AA45" s="280">
        <f aca="true" t="shared" si="4" ref="AA45:AA53">AA22</f>
        <v>0</v>
      </c>
      <c r="AB45" s="280">
        <f>AB22/1000</f>
        <v>1.767246032</v>
      </c>
      <c r="AC45" s="280"/>
      <c r="AD45" s="280">
        <f>AD22/1000</f>
        <v>21.7371261936</v>
      </c>
      <c r="AE45" s="280"/>
      <c r="AF45" s="280"/>
      <c r="AG45" s="280">
        <f aca="true" t="shared" si="5" ref="AG45:AG52">C45+H45+M45+R45+W45+AB45</f>
        <v>123.72572742034967</v>
      </c>
      <c r="AH45" s="280"/>
      <c r="AI45" s="280">
        <f aca="true" t="shared" si="6" ref="AI45:AI52">E45+J45+O45+T45+Y45+AD45</f>
        <v>553.511372653801</v>
      </c>
      <c r="AJ45" s="280"/>
      <c r="AO45" s="40"/>
      <c r="AP45" s="39"/>
      <c r="AQ45" s="39"/>
      <c r="AR45" s="39"/>
      <c r="AS45" s="39"/>
      <c r="AT45" s="39"/>
      <c r="AU45" s="39"/>
      <c r="AV45" s="39"/>
      <c r="AX45" s="46"/>
      <c r="AY45" s="48"/>
      <c r="AZ45" s="48"/>
      <c r="BA45" s="48"/>
      <c r="BB45" s="48"/>
      <c r="BC45" s="49"/>
      <c r="BD45" s="49"/>
      <c r="BE45" s="49"/>
      <c r="BF45" s="49"/>
      <c r="BG45" s="49"/>
      <c r="BH45" s="49"/>
      <c r="BI45" s="49"/>
      <c r="BJ45" s="49"/>
      <c r="BK45" s="49"/>
      <c r="BL45" s="49"/>
      <c r="BM45" s="49"/>
      <c r="BN45" s="49"/>
      <c r="BO45" s="39"/>
      <c r="BP45" s="39"/>
      <c r="BQ45" s="39"/>
    </row>
    <row r="46" spans="1:69" ht="15.75" customHeight="1">
      <c r="A46" s="77">
        <v>2000</v>
      </c>
      <c r="B46" s="59"/>
      <c r="C46" s="279">
        <f aca="true" t="shared" si="7" ref="C46:C53">C23/1000</f>
        <v>15.427040491200001</v>
      </c>
      <c r="D46" s="279"/>
      <c r="E46" s="279">
        <f aca="true" t="shared" si="8" ref="E46:E53">E23/1000</f>
        <v>174.257620265184</v>
      </c>
      <c r="F46" s="279"/>
      <c r="G46" s="279"/>
      <c r="H46" s="279">
        <f aca="true" t="shared" si="9" ref="H46:H53">H23/1000</f>
        <v>3.94494349504</v>
      </c>
      <c r="I46" s="279"/>
      <c r="J46" s="279">
        <f aca="true" t="shared" si="10" ref="J46:J53">J23/1000</f>
        <v>15.957802004969599</v>
      </c>
      <c r="K46" s="279"/>
      <c r="L46" s="279"/>
      <c r="M46" s="279">
        <f aca="true" t="shared" si="11" ref="M46:M53">M23/1000</f>
        <v>10.8984017218</v>
      </c>
      <c r="N46" s="279"/>
      <c r="O46" s="279">
        <f aca="true" t="shared" si="12" ref="O46:O53">O23/1000</f>
        <v>91.79239545141871</v>
      </c>
      <c r="P46" s="279"/>
      <c r="Q46" s="279">
        <f t="shared" si="2"/>
        <v>0</v>
      </c>
      <c r="R46" s="279">
        <f aca="true" t="shared" si="13" ref="R46:R53">R23/1000</f>
        <v>66.735963</v>
      </c>
      <c r="S46" s="279"/>
      <c r="T46" s="279">
        <f aca="true" t="shared" si="14" ref="T46:T53">T23/1000</f>
        <v>70.92833805</v>
      </c>
      <c r="U46" s="279"/>
      <c r="V46" s="279">
        <f t="shared" si="3"/>
        <v>0</v>
      </c>
      <c r="W46" s="279">
        <f aca="true" t="shared" si="15" ref="W46:W53">W23/1000</f>
        <v>18.854725768</v>
      </c>
      <c r="X46" s="279"/>
      <c r="Y46" s="279">
        <f aca="true" t="shared" si="16" ref="Y46:Y53">Y23/1000</f>
        <v>314.82153950128</v>
      </c>
      <c r="Z46" s="279"/>
      <c r="AA46" s="279">
        <f t="shared" si="4"/>
        <v>0</v>
      </c>
      <c r="AB46" s="279">
        <f aca="true" t="shared" si="17" ref="AB46:AB53">AB23/1000</f>
        <v>1.842562368</v>
      </c>
      <c r="AC46" s="279"/>
      <c r="AD46" s="279">
        <f aca="true" t="shared" si="18" ref="AD46:AD53">AD23/1000</f>
        <v>22.663517126400002</v>
      </c>
      <c r="AE46" s="279"/>
      <c r="AF46" s="279"/>
      <c r="AG46" s="279">
        <f t="shared" si="5"/>
        <v>117.70363684404002</v>
      </c>
      <c r="AH46" s="279"/>
      <c r="AI46" s="279">
        <f t="shared" si="6"/>
        <v>690.4212123992523</v>
      </c>
      <c r="AJ46" s="279"/>
      <c r="AO46" s="40"/>
      <c r="AP46" s="39"/>
      <c r="AQ46" s="39"/>
      <c r="AR46" s="39"/>
      <c r="AS46" s="39"/>
      <c r="AT46" s="39"/>
      <c r="AU46" s="39"/>
      <c r="AV46" s="39"/>
      <c r="AX46" s="46"/>
      <c r="AY46" s="48"/>
      <c r="AZ46" s="48"/>
      <c r="BA46" s="48"/>
      <c r="BB46" s="48"/>
      <c r="BC46" s="49"/>
      <c r="BD46" s="49"/>
      <c r="BE46" s="49"/>
      <c r="BF46" s="49"/>
      <c r="BG46" s="49"/>
      <c r="BH46" s="49"/>
      <c r="BI46" s="49"/>
      <c r="BJ46" s="49"/>
      <c r="BK46" s="49"/>
      <c r="BL46" s="49"/>
      <c r="BM46" s="49"/>
      <c r="BN46" s="49"/>
      <c r="BO46" s="39"/>
      <c r="BP46" s="39"/>
      <c r="BQ46" s="39"/>
    </row>
    <row r="47" spans="1:69" ht="15.75" customHeight="1">
      <c r="A47" s="77">
        <v>2001</v>
      </c>
      <c r="B47" s="59"/>
      <c r="C47" s="279">
        <f t="shared" si="7"/>
        <v>18.377342976</v>
      </c>
      <c r="D47" s="279"/>
      <c r="E47" s="279">
        <f t="shared" si="8"/>
        <v>204.39505892591998</v>
      </c>
      <c r="F47" s="279"/>
      <c r="G47" s="279"/>
      <c r="H47" s="279">
        <f t="shared" si="9"/>
        <v>4.842782784</v>
      </c>
      <c r="I47" s="279"/>
      <c r="J47" s="279">
        <f t="shared" si="10"/>
        <v>18.993384172799995</v>
      </c>
      <c r="K47" s="279"/>
      <c r="L47" s="279"/>
      <c r="M47" s="279">
        <f t="shared" si="11"/>
        <v>13.570615110000002</v>
      </c>
      <c r="N47" s="279"/>
      <c r="O47" s="279">
        <f t="shared" si="12"/>
        <v>110.71937332151424</v>
      </c>
      <c r="P47" s="279"/>
      <c r="Q47" s="279">
        <f t="shared" si="2"/>
        <v>0</v>
      </c>
      <c r="R47" s="279">
        <f t="shared" si="13"/>
        <v>76.17157</v>
      </c>
      <c r="S47" s="279"/>
      <c r="T47" s="279">
        <f t="shared" si="14"/>
        <v>80.18048860000002</v>
      </c>
      <c r="U47" s="279"/>
      <c r="V47" s="279">
        <f t="shared" si="3"/>
        <v>0</v>
      </c>
      <c r="W47" s="279">
        <f t="shared" si="15"/>
        <v>21.12307844</v>
      </c>
      <c r="X47" s="279"/>
      <c r="Y47" s="279">
        <f t="shared" si="16"/>
        <v>386.60768768608</v>
      </c>
      <c r="Z47" s="279"/>
      <c r="AA47" s="279">
        <f t="shared" si="4"/>
        <v>0</v>
      </c>
      <c r="AB47" s="279">
        <f t="shared" si="17"/>
        <v>1.8412500479999998</v>
      </c>
      <c r="AC47" s="279"/>
      <c r="AD47" s="279">
        <f t="shared" si="18"/>
        <v>22.6473755904</v>
      </c>
      <c r="AE47" s="279"/>
      <c r="AF47" s="279"/>
      <c r="AG47" s="279">
        <f t="shared" si="5"/>
        <v>135.92663935800002</v>
      </c>
      <c r="AH47" s="279"/>
      <c r="AI47" s="279">
        <f t="shared" si="6"/>
        <v>823.5433682967142</v>
      </c>
      <c r="AJ47" s="279"/>
      <c r="AO47" s="40"/>
      <c r="AP47" s="39"/>
      <c r="AQ47" s="39"/>
      <c r="AR47" s="39"/>
      <c r="AS47" s="39"/>
      <c r="AT47" s="39"/>
      <c r="AU47" s="39"/>
      <c r="AV47" s="39"/>
      <c r="AX47" s="46"/>
      <c r="AY47" s="66"/>
      <c r="AZ47" s="66"/>
      <c r="BA47" s="66"/>
      <c r="BB47" s="48"/>
      <c r="BC47" s="49"/>
      <c r="BD47" s="49"/>
      <c r="BE47" s="49"/>
      <c r="BF47" s="49"/>
      <c r="BG47" s="49"/>
      <c r="BH47" s="49"/>
      <c r="BI47" s="49"/>
      <c r="BJ47" s="49"/>
      <c r="BK47" s="49"/>
      <c r="BL47" s="49"/>
      <c r="BM47" s="49"/>
      <c r="BN47" s="49"/>
      <c r="BO47" s="39"/>
      <c r="BP47" s="39"/>
      <c r="BQ47" s="39"/>
    </row>
    <row r="48" spans="1:69" ht="15.75" customHeight="1">
      <c r="A48" s="77">
        <v>2002</v>
      </c>
      <c r="B48" s="59"/>
      <c r="C48" s="279">
        <f t="shared" si="7"/>
        <v>21.897119296</v>
      </c>
      <c r="D48" s="279"/>
      <c r="E48" s="279">
        <f t="shared" si="8"/>
        <v>244.78195996920002</v>
      </c>
      <c r="F48" s="279"/>
      <c r="G48" s="279"/>
      <c r="H48" s="279">
        <f t="shared" si="9"/>
        <v>5.8012886880000005</v>
      </c>
      <c r="I48" s="279"/>
      <c r="J48" s="279">
        <f t="shared" si="10"/>
        <v>21.97402265016</v>
      </c>
      <c r="K48" s="279"/>
      <c r="L48" s="279"/>
      <c r="M48" s="279">
        <f t="shared" si="11"/>
        <v>16.209750038000003</v>
      </c>
      <c r="N48" s="279"/>
      <c r="O48" s="279">
        <f t="shared" si="12"/>
        <v>134.72243808036077</v>
      </c>
      <c r="P48" s="279"/>
      <c r="Q48" s="279">
        <f t="shared" si="2"/>
        <v>0</v>
      </c>
      <c r="R48" s="279">
        <f t="shared" si="13"/>
        <v>80.475988</v>
      </c>
      <c r="S48" s="279"/>
      <c r="T48" s="279">
        <f t="shared" si="14"/>
        <v>83.11374130000002</v>
      </c>
      <c r="U48" s="279"/>
      <c r="V48" s="279">
        <f t="shared" si="3"/>
        <v>0</v>
      </c>
      <c r="W48" s="279">
        <f t="shared" si="15"/>
        <v>23.949756672</v>
      </c>
      <c r="X48" s="279"/>
      <c r="Y48" s="279">
        <f t="shared" si="16"/>
        <v>480.70287536736</v>
      </c>
      <c r="Z48" s="279"/>
      <c r="AA48" s="279">
        <f t="shared" si="4"/>
        <v>0</v>
      </c>
      <c r="AB48" s="279">
        <f t="shared" si="17"/>
        <v>1.7670250959999998</v>
      </c>
      <c r="AC48" s="279"/>
      <c r="AD48" s="279">
        <f t="shared" si="18"/>
        <v>21.734408680799998</v>
      </c>
      <c r="AE48" s="279"/>
      <c r="AF48" s="279"/>
      <c r="AG48" s="279">
        <f t="shared" si="5"/>
        <v>150.10092779000001</v>
      </c>
      <c r="AH48" s="279"/>
      <c r="AI48" s="279">
        <f t="shared" si="6"/>
        <v>987.0294460478808</v>
      </c>
      <c r="AJ48" s="279"/>
      <c r="AO48" s="40"/>
      <c r="AP48" s="39"/>
      <c r="AQ48" s="39"/>
      <c r="AR48" s="39"/>
      <c r="AS48" s="39"/>
      <c r="AT48" s="39"/>
      <c r="AU48" s="39"/>
      <c r="AV48" s="39"/>
      <c r="AX48" s="46"/>
      <c r="AY48" s="66"/>
      <c r="AZ48" s="66"/>
      <c r="BA48" s="66"/>
      <c r="BB48" s="48"/>
      <c r="BC48" s="49"/>
      <c r="BD48" s="49"/>
      <c r="BE48" s="49"/>
      <c r="BF48" s="49"/>
      <c r="BG48" s="49"/>
      <c r="BH48" s="49"/>
      <c r="BI48" s="49"/>
      <c r="BJ48" s="49"/>
      <c r="BK48" s="49"/>
      <c r="BL48" s="49"/>
      <c r="BM48" s="49"/>
      <c r="BN48" s="49"/>
      <c r="BO48" s="39"/>
      <c r="BP48" s="39"/>
      <c r="BQ48" s="39"/>
    </row>
    <row r="49" spans="1:69" ht="15.75" customHeight="1">
      <c r="A49" s="77">
        <v>2003</v>
      </c>
      <c r="B49" s="59"/>
      <c r="C49" s="279">
        <f t="shared" si="7"/>
        <v>24.6521591632</v>
      </c>
      <c r="D49" s="279"/>
      <c r="E49" s="279">
        <f t="shared" si="8"/>
        <v>275.003522738864</v>
      </c>
      <c r="F49" s="279"/>
      <c r="G49" s="279"/>
      <c r="H49" s="279">
        <f t="shared" si="9"/>
        <v>6.86284688</v>
      </c>
      <c r="I49" s="279"/>
      <c r="J49" s="279">
        <f t="shared" si="10"/>
        <v>25.366187731039993</v>
      </c>
      <c r="K49" s="279"/>
      <c r="L49" s="279"/>
      <c r="M49" s="279">
        <f t="shared" si="11"/>
        <v>19.615900071</v>
      </c>
      <c r="N49" s="279"/>
      <c r="O49" s="279">
        <f t="shared" si="12"/>
        <v>166.66747907909672</v>
      </c>
      <c r="P49" s="279"/>
      <c r="Q49" s="279">
        <f t="shared" si="2"/>
        <v>0</v>
      </c>
      <c r="R49" s="279">
        <f t="shared" si="13"/>
        <v>92.849547</v>
      </c>
      <c r="S49" s="279"/>
      <c r="T49" s="279">
        <f t="shared" si="14"/>
        <v>96.9767319</v>
      </c>
      <c r="U49" s="279"/>
      <c r="V49" s="279">
        <f t="shared" si="3"/>
        <v>0</v>
      </c>
      <c r="W49" s="279">
        <f t="shared" si="15"/>
        <v>27.742481184</v>
      </c>
      <c r="X49" s="279"/>
      <c r="Y49" s="279">
        <f t="shared" si="16"/>
        <v>597.7986015248401</v>
      </c>
      <c r="Z49" s="279"/>
      <c r="AA49" s="279">
        <f t="shared" si="4"/>
        <v>0</v>
      </c>
      <c r="AB49" s="279">
        <f t="shared" si="17"/>
        <v>2.7918935680000003</v>
      </c>
      <c r="AC49" s="279"/>
      <c r="AD49" s="279">
        <f t="shared" si="18"/>
        <v>34.3402908864</v>
      </c>
      <c r="AE49" s="279"/>
      <c r="AF49" s="279"/>
      <c r="AG49" s="279">
        <f t="shared" si="5"/>
        <v>174.51482786620002</v>
      </c>
      <c r="AH49" s="279"/>
      <c r="AI49" s="279">
        <f t="shared" si="6"/>
        <v>1196.1528138602407</v>
      </c>
      <c r="AJ49" s="279"/>
      <c r="AO49" s="40"/>
      <c r="AP49" s="39"/>
      <c r="AQ49" s="39"/>
      <c r="AR49" s="39"/>
      <c r="AS49" s="39"/>
      <c r="AT49" s="39"/>
      <c r="AU49" s="39"/>
      <c r="AV49" s="39"/>
      <c r="AX49" s="46"/>
      <c r="AY49" s="48"/>
      <c r="AZ49" s="48"/>
      <c r="BA49" s="48"/>
      <c r="BB49" s="48"/>
      <c r="BC49" s="49"/>
      <c r="BD49" s="49"/>
      <c r="BE49" s="49"/>
      <c r="BF49" s="49"/>
      <c r="BG49" s="49"/>
      <c r="BH49" s="49"/>
      <c r="BI49" s="49"/>
      <c r="BJ49" s="49"/>
      <c r="BK49" s="49"/>
      <c r="BL49" s="49"/>
      <c r="BM49" s="49"/>
      <c r="BN49" s="49"/>
      <c r="BO49" s="39"/>
      <c r="BP49" s="39"/>
      <c r="BQ49" s="39"/>
    </row>
    <row r="50" spans="1:69" ht="15.75" customHeight="1">
      <c r="A50" s="77">
        <v>2004</v>
      </c>
      <c r="B50" s="59"/>
      <c r="C50" s="279">
        <f t="shared" si="7"/>
        <v>26.627589863999997</v>
      </c>
      <c r="D50" s="279"/>
      <c r="E50" s="279">
        <f t="shared" si="8"/>
        <v>293.57609341416</v>
      </c>
      <c r="F50" s="279"/>
      <c r="G50" s="279"/>
      <c r="H50" s="279">
        <f t="shared" si="9"/>
        <v>7.849089744</v>
      </c>
      <c r="I50" s="279"/>
      <c r="J50" s="279">
        <f t="shared" si="10"/>
        <v>28.226175888479997</v>
      </c>
      <c r="K50" s="279"/>
      <c r="L50" s="279"/>
      <c r="M50" s="279">
        <f t="shared" si="11"/>
        <v>21.297855247</v>
      </c>
      <c r="N50" s="279"/>
      <c r="O50" s="279">
        <f t="shared" si="12"/>
        <v>181.73879552821782</v>
      </c>
      <c r="P50" s="279"/>
      <c r="Q50" s="279">
        <f t="shared" si="2"/>
        <v>0</v>
      </c>
      <c r="R50" s="279">
        <f t="shared" si="13"/>
        <v>103.16338099999999</v>
      </c>
      <c r="S50" s="279"/>
      <c r="T50" s="279">
        <f t="shared" si="14"/>
        <v>96.27768664999999</v>
      </c>
      <c r="U50" s="279"/>
      <c r="V50" s="279">
        <f t="shared" si="3"/>
        <v>0</v>
      </c>
      <c r="W50" s="279">
        <f t="shared" si="15"/>
        <v>27.815901816000004</v>
      </c>
      <c r="X50" s="279"/>
      <c r="Y50" s="279">
        <f t="shared" si="16"/>
        <v>627.7792193622</v>
      </c>
      <c r="Z50" s="279"/>
      <c r="AA50" s="279">
        <f t="shared" si="4"/>
        <v>0</v>
      </c>
      <c r="AB50" s="279">
        <f t="shared" si="17"/>
        <v>3.6794581120000003</v>
      </c>
      <c r="AC50" s="279"/>
      <c r="AD50" s="279">
        <f t="shared" si="18"/>
        <v>45.25733477760001</v>
      </c>
      <c r="AE50" s="279"/>
      <c r="AF50" s="279"/>
      <c r="AG50" s="279">
        <f t="shared" si="5"/>
        <v>190.43327578299997</v>
      </c>
      <c r="AH50" s="279"/>
      <c r="AI50" s="279">
        <f t="shared" si="6"/>
        <v>1272.8553056206576</v>
      </c>
      <c r="AJ50" s="279"/>
      <c r="AO50" s="40"/>
      <c r="AP50" s="39"/>
      <c r="AQ50" s="39"/>
      <c r="AR50" s="39"/>
      <c r="AS50" s="39"/>
      <c r="AT50" s="39"/>
      <c r="AU50" s="39"/>
      <c r="AV50" s="39"/>
      <c r="AX50" s="46"/>
      <c r="AY50" s="66"/>
      <c r="AZ50" s="66"/>
      <c r="BA50" s="66"/>
      <c r="BB50" s="48"/>
      <c r="BC50" s="49"/>
      <c r="BD50" s="49"/>
      <c r="BE50" s="49"/>
      <c r="BF50" s="49"/>
      <c r="BG50" s="49"/>
      <c r="BH50" s="49"/>
      <c r="BI50" s="49"/>
      <c r="BJ50" s="49"/>
      <c r="BK50" s="49"/>
      <c r="BL50" s="49"/>
      <c r="BM50" s="49"/>
      <c r="BN50" s="49"/>
      <c r="BO50" s="39"/>
      <c r="BP50" s="39"/>
      <c r="BQ50" s="39"/>
    </row>
    <row r="51" spans="1:69" ht="15.75" customHeight="1">
      <c r="A51" s="77">
        <v>2005</v>
      </c>
      <c r="B51" s="59"/>
      <c r="C51" s="279">
        <f t="shared" si="7"/>
        <v>28.360618735999996</v>
      </c>
      <c r="D51" s="279"/>
      <c r="E51" s="279">
        <f t="shared" si="8"/>
        <v>322.56867424528</v>
      </c>
      <c r="F51" s="279"/>
      <c r="G51" s="279"/>
      <c r="H51" s="279">
        <f t="shared" si="9"/>
        <v>9.017835232</v>
      </c>
      <c r="I51" s="279"/>
      <c r="J51" s="279">
        <f t="shared" si="10"/>
        <v>31.849635345119992</v>
      </c>
      <c r="K51" s="279"/>
      <c r="L51" s="279"/>
      <c r="M51" s="279">
        <f t="shared" si="11"/>
        <v>22.863236731999997</v>
      </c>
      <c r="N51" s="279"/>
      <c r="O51" s="279">
        <f t="shared" si="12"/>
        <v>198.29645549121747</v>
      </c>
      <c r="P51" s="279"/>
      <c r="Q51" s="279">
        <f t="shared" si="2"/>
        <v>0</v>
      </c>
      <c r="R51" s="279">
        <f t="shared" si="13"/>
        <v>107.895928</v>
      </c>
      <c r="S51" s="279"/>
      <c r="T51" s="279">
        <f t="shared" si="14"/>
        <v>80.62948435</v>
      </c>
      <c r="U51" s="279"/>
      <c r="V51" s="279">
        <f t="shared" si="3"/>
        <v>0</v>
      </c>
      <c r="W51" s="279">
        <f t="shared" si="15"/>
        <v>28.497449752</v>
      </c>
      <c r="X51" s="279"/>
      <c r="Y51" s="279">
        <f t="shared" si="16"/>
        <v>673.1260183244001</v>
      </c>
      <c r="Z51" s="279"/>
      <c r="AA51" s="279">
        <f t="shared" si="4"/>
        <v>0</v>
      </c>
      <c r="AB51" s="279">
        <f t="shared" si="17"/>
        <v>5.000199408</v>
      </c>
      <c r="AC51" s="279"/>
      <c r="AD51" s="279">
        <f t="shared" si="18"/>
        <v>61.5024527184</v>
      </c>
      <c r="AE51" s="279"/>
      <c r="AF51" s="279"/>
      <c r="AG51" s="279">
        <f t="shared" si="5"/>
        <v>201.63526786</v>
      </c>
      <c r="AH51" s="279"/>
      <c r="AI51" s="279">
        <f t="shared" si="6"/>
        <v>1367.9727204744177</v>
      </c>
      <c r="AJ51" s="279"/>
      <c r="AO51" s="40"/>
      <c r="AP51" s="39"/>
      <c r="AQ51" s="39"/>
      <c r="AR51" s="39"/>
      <c r="AS51" s="39"/>
      <c r="AT51" s="39"/>
      <c r="AU51" s="39"/>
      <c r="AV51" s="39"/>
      <c r="AX51" s="46"/>
      <c r="AY51" s="48"/>
      <c r="AZ51" s="48"/>
      <c r="BA51" s="48"/>
      <c r="BB51" s="48"/>
      <c r="BC51" s="49"/>
      <c r="BD51" s="49"/>
      <c r="BE51" s="49"/>
      <c r="BF51" s="49"/>
      <c r="BG51" s="49"/>
      <c r="BH51" s="49"/>
      <c r="BI51" s="49"/>
      <c r="BJ51" s="49"/>
      <c r="BK51" s="49"/>
      <c r="BL51" s="49"/>
      <c r="BM51" s="49"/>
      <c r="BN51" s="49"/>
      <c r="BO51" s="39"/>
      <c r="BP51" s="39"/>
      <c r="BQ51" s="39"/>
    </row>
    <row r="52" spans="1:69" ht="15.75" customHeight="1">
      <c r="A52" s="77">
        <v>2006</v>
      </c>
      <c r="B52" s="59"/>
      <c r="C52" s="279">
        <f t="shared" si="7"/>
        <v>28.301722896000005</v>
      </c>
      <c r="D52" s="279"/>
      <c r="E52" s="279">
        <f t="shared" si="8"/>
        <v>311.5734912324</v>
      </c>
      <c r="F52" s="279"/>
      <c r="G52" s="279"/>
      <c r="H52" s="279">
        <f t="shared" si="9"/>
        <v>10.217607976</v>
      </c>
      <c r="I52" s="279"/>
      <c r="J52" s="279">
        <f t="shared" si="10"/>
        <v>35.16529293428</v>
      </c>
      <c r="K52" s="279"/>
      <c r="L52" s="279"/>
      <c r="M52" s="279">
        <f t="shared" si="11"/>
        <v>24.007761288</v>
      </c>
      <c r="N52" s="279"/>
      <c r="O52" s="279">
        <f t="shared" si="12"/>
        <v>199.13222066111214</v>
      </c>
      <c r="P52" s="279"/>
      <c r="Q52" s="279">
        <f t="shared" si="2"/>
        <v>0</v>
      </c>
      <c r="R52" s="279">
        <f t="shared" si="13"/>
        <v>96.806527</v>
      </c>
      <c r="S52" s="279"/>
      <c r="T52" s="279">
        <f t="shared" si="14"/>
        <v>68.81777125</v>
      </c>
      <c r="U52" s="279"/>
      <c r="V52" s="279">
        <f t="shared" si="3"/>
        <v>0</v>
      </c>
      <c r="W52" s="279">
        <f t="shared" si="15"/>
        <v>23.803076848</v>
      </c>
      <c r="X52" s="279"/>
      <c r="Y52" s="279">
        <f t="shared" si="16"/>
        <v>550.2848498906799</v>
      </c>
      <c r="Z52" s="279"/>
      <c r="AA52" s="279">
        <f t="shared" si="4"/>
        <v>0</v>
      </c>
      <c r="AB52" s="431">
        <f t="shared" si="17"/>
        <v>6.26733432</v>
      </c>
      <c r="AC52" s="279"/>
      <c r="AD52" s="279">
        <f t="shared" si="18"/>
        <v>77.08821213600001</v>
      </c>
      <c r="AE52" s="279"/>
      <c r="AF52" s="279"/>
      <c r="AG52" s="279">
        <f t="shared" si="5"/>
        <v>189.404030328</v>
      </c>
      <c r="AH52" s="279"/>
      <c r="AI52" s="279">
        <f t="shared" si="6"/>
        <v>1242.061838104472</v>
      </c>
      <c r="AJ52" s="279"/>
      <c r="AO52" s="40"/>
      <c r="AP52" s="39"/>
      <c r="AQ52" s="39"/>
      <c r="AR52" s="39"/>
      <c r="AS52" s="39"/>
      <c r="AT52" s="39"/>
      <c r="AU52" s="39"/>
      <c r="AV52" s="39"/>
      <c r="AX52" s="46"/>
      <c r="AY52" s="48"/>
      <c r="AZ52" s="48"/>
      <c r="BA52" s="48"/>
      <c r="BB52" s="48"/>
      <c r="BC52" s="49"/>
      <c r="BD52" s="49"/>
      <c r="BE52" s="49"/>
      <c r="BF52" s="49"/>
      <c r="BG52" s="49"/>
      <c r="BH52" s="49"/>
      <c r="BI52" s="49"/>
      <c r="BJ52" s="49"/>
      <c r="BK52" s="49"/>
      <c r="BL52" s="49"/>
      <c r="BM52" s="49"/>
      <c r="BN52" s="49"/>
      <c r="BO52" s="39"/>
      <c r="BP52" s="39"/>
      <c r="BQ52" s="39"/>
    </row>
    <row r="53" spans="1:69" ht="15.75" customHeight="1">
      <c r="A53" s="77">
        <v>2007</v>
      </c>
      <c r="B53" s="59"/>
      <c r="C53" s="279">
        <f t="shared" si="7"/>
        <v>29.8729449712</v>
      </c>
      <c r="D53" s="279"/>
      <c r="E53" s="279">
        <f t="shared" si="8"/>
        <v>341.26442041558397</v>
      </c>
      <c r="F53" s="279"/>
      <c r="G53" s="279"/>
      <c r="H53" s="279">
        <f t="shared" si="9"/>
        <v>11.96017864</v>
      </c>
      <c r="I53" s="279"/>
      <c r="J53" s="279">
        <f t="shared" si="10"/>
        <v>40.28640111688</v>
      </c>
      <c r="K53" s="279"/>
      <c r="L53" s="279"/>
      <c r="M53" s="279">
        <f t="shared" si="11"/>
        <v>25.713984544000002</v>
      </c>
      <c r="N53" s="279"/>
      <c r="O53" s="279">
        <f t="shared" si="12"/>
        <v>219.16333278291833</v>
      </c>
      <c r="P53" s="279"/>
      <c r="Q53" s="279">
        <f t="shared" si="2"/>
        <v>0</v>
      </c>
      <c r="R53" s="279">
        <f t="shared" si="13"/>
        <v>106.128488</v>
      </c>
      <c r="S53" s="279"/>
      <c r="T53" s="279">
        <f t="shared" si="14"/>
        <v>76.2061682</v>
      </c>
      <c r="U53" s="279"/>
      <c r="V53" s="279">
        <f t="shared" si="3"/>
        <v>0</v>
      </c>
      <c r="W53" s="279">
        <f t="shared" si="15"/>
        <v>22.7559256</v>
      </c>
      <c r="X53" s="279"/>
      <c r="Y53" s="279">
        <f t="shared" si="16"/>
        <v>533.6124845054</v>
      </c>
      <c r="Z53" s="279"/>
      <c r="AA53" s="279">
        <f t="shared" si="4"/>
        <v>0</v>
      </c>
      <c r="AB53" s="279">
        <f t="shared" si="17"/>
        <v>9.055883055999999</v>
      </c>
      <c r="AC53" s="279"/>
      <c r="AD53" s="279">
        <f t="shared" si="18"/>
        <v>111.3873615888</v>
      </c>
      <c r="AE53" s="279"/>
      <c r="AF53" s="279"/>
      <c r="AG53" s="279">
        <f>C53+H53+M53+R53+W53+AB53</f>
        <v>205.48740481120004</v>
      </c>
      <c r="AH53" s="279"/>
      <c r="AI53" s="279">
        <f>E53+J53+O53+T53+Y53+AD53</f>
        <v>1321.9201686095823</v>
      </c>
      <c r="AJ53" s="279"/>
      <c r="AO53" s="40"/>
      <c r="AP53" s="39"/>
      <c r="AQ53" s="39"/>
      <c r="AR53" s="39"/>
      <c r="AS53" s="39"/>
      <c r="AT53" s="39"/>
      <c r="AU53" s="39"/>
      <c r="AV53" s="39"/>
      <c r="AX53" s="46"/>
      <c r="AY53" s="48"/>
      <c r="AZ53" s="48"/>
      <c r="BA53" s="48"/>
      <c r="BB53" s="48"/>
      <c r="BC53" s="49"/>
      <c r="BD53" s="49"/>
      <c r="BE53" s="49"/>
      <c r="BF53" s="49"/>
      <c r="BG53" s="49"/>
      <c r="BH53" s="49"/>
      <c r="BI53" s="49"/>
      <c r="BJ53" s="49"/>
      <c r="BK53" s="49"/>
      <c r="BL53" s="49"/>
      <c r="BM53" s="49"/>
      <c r="BN53" s="49"/>
      <c r="BO53" s="39"/>
      <c r="BP53" s="39"/>
      <c r="BQ53" s="39"/>
    </row>
    <row r="54" spans="1:69" ht="15.75" customHeight="1">
      <c r="A54" s="63" t="s">
        <v>74</v>
      </c>
      <c r="B54" s="259"/>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O54" s="40"/>
      <c r="AP54" s="39"/>
      <c r="AQ54" s="39"/>
      <c r="AR54" s="39"/>
      <c r="AS54" s="39"/>
      <c r="AT54" s="39"/>
      <c r="AU54" s="39"/>
      <c r="AV54" s="39"/>
      <c r="AX54" s="46"/>
      <c r="AY54" s="66"/>
      <c r="AZ54" s="66"/>
      <c r="BA54" s="66"/>
      <c r="BB54" s="48"/>
      <c r="BC54" s="49"/>
      <c r="BD54" s="49"/>
      <c r="BE54" s="49"/>
      <c r="BF54" s="49"/>
      <c r="BG54" s="49"/>
      <c r="BH54" s="49"/>
      <c r="BI54" s="49"/>
      <c r="BJ54" s="49"/>
      <c r="BK54" s="49"/>
      <c r="BL54" s="49"/>
      <c r="BM54" s="49"/>
      <c r="BN54" s="49"/>
      <c r="BO54" s="39"/>
      <c r="BP54" s="39"/>
      <c r="BQ54" s="39"/>
    </row>
    <row r="55" spans="1:69" ht="15.75" customHeight="1">
      <c r="A55" s="359"/>
      <c r="B55" s="49"/>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56"/>
      <c r="AH55" s="356"/>
      <c r="AI55" s="356"/>
      <c r="AJ55" s="356"/>
      <c r="AO55" s="40"/>
      <c r="AP55" s="39"/>
      <c r="AQ55" s="39"/>
      <c r="AR55" s="39"/>
      <c r="AS55" s="39"/>
      <c r="AT55" s="39"/>
      <c r="AU55" s="39"/>
      <c r="AV55" s="39"/>
      <c r="AX55" s="46"/>
      <c r="AY55" s="48"/>
      <c r="AZ55" s="48"/>
      <c r="BA55" s="48"/>
      <c r="BB55" s="48"/>
      <c r="BC55" s="49"/>
      <c r="BD55" s="49"/>
      <c r="BE55" s="49"/>
      <c r="BF55" s="49"/>
      <c r="BG55" s="49"/>
      <c r="BH55" s="49"/>
      <c r="BI55" s="49"/>
      <c r="BJ55" s="49"/>
      <c r="BK55" s="49"/>
      <c r="BL55" s="49"/>
      <c r="BM55" s="49"/>
      <c r="BN55" s="49"/>
      <c r="BO55" s="39"/>
      <c r="BP55" s="39"/>
      <c r="BQ55" s="39"/>
    </row>
    <row r="56" spans="2:69" ht="15.75" customHeight="1">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X56" s="46"/>
      <c r="AY56" s="48"/>
      <c r="AZ56" s="48"/>
      <c r="BA56" s="48"/>
      <c r="BB56" s="48"/>
      <c r="BC56" s="49"/>
      <c r="BD56" s="49"/>
      <c r="BE56" s="49"/>
      <c r="BF56" s="49"/>
      <c r="BG56" s="49"/>
      <c r="BH56" s="49"/>
      <c r="BI56" s="49"/>
      <c r="BJ56" s="49"/>
      <c r="BK56" s="49"/>
      <c r="BL56" s="49"/>
      <c r="BM56" s="49"/>
      <c r="BN56" s="49"/>
      <c r="BO56" s="39"/>
      <c r="BP56" s="39"/>
      <c r="BQ56" s="39"/>
    </row>
    <row r="57" spans="3:69" ht="15.75" customHeight="1">
      <c r="C57" s="40"/>
      <c r="D57" s="40"/>
      <c r="E57" s="40"/>
      <c r="F57" s="40"/>
      <c r="G57" s="40"/>
      <c r="H57" s="40"/>
      <c r="I57" s="40"/>
      <c r="J57" s="40"/>
      <c r="K57" s="40"/>
      <c r="L57" s="40"/>
      <c r="M57" s="39"/>
      <c r="N57" s="40"/>
      <c r="O57" s="40"/>
      <c r="P57" s="40"/>
      <c r="Q57" s="40"/>
      <c r="AX57" s="46"/>
      <c r="AY57" s="66"/>
      <c r="AZ57" s="66"/>
      <c r="BA57" s="66"/>
      <c r="BB57" s="48"/>
      <c r="BC57" s="49"/>
      <c r="BD57" s="49"/>
      <c r="BE57" s="49"/>
      <c r="BF57" s="49"/>
      <c r="BG57" s="49"/>
      <c r="BH57" s="49"/>
      <c r="BI57" s="49"/>
      <c r="BJ57" s="49"/>
      <c r="BK57" s="49"/>
      <c r="BL57" s="49"/>
      <c r="BM57" s="49"/>
      <c r="BN57" s="49"/>
      <c r="BO57" s="48"/>
      <c r="BP57" s="39"/>
      <c r="BQ57" s="39"/>
    </row>
    <row r="58" spans="3:69" ht="15.75" customHeight="1">
      <c r="C58" s="40"/>
      <c r="D58" s="40"/>
      <c r="E58" s="40"/>
      <c r="F58" s="40"/>
      <c r="G58" s="40"/>
      <c r="H58" s="40"/>
      <c r="I58" s="40"/>
      <c r="J58" s="40"/>
      <c r="K58" s="40"/>
      <c r="L58" s="40"/>
      <c r="M58" s="39"/>
      <c r="N58" s="40"/>
      <c r="O58" s="40"/>
      <c r="P58" s="40"/>
      <c r="Q58" s="40"/>
      <c r="AX58" s="46"/>
      <c r="AY58" s="48"/>
      <c r="AZ58" s="48"/>
      <c r="BA58" s="48"/>
      <c r="BB58" s="48"/>
      <c r="BC58" s="49"/>
      <c r="BD58" s="49"/>
      <c r="BE58" s="49"/>
      <c r="BF58" s="49"/>
      <c r="BG58" s="49"/>
      <c r="BH58" s="49"/>
      <c r="BI58" s="49"/>
      <c r="BJ58" s="49"/>
      <c r="BK58" s="49"/>
      <c r="BL58" s="49"/>
      <c r="BM58" s="49"/>
      <c r="BN58" s="49"/>
      <c r="BO58" s="49"/>
      <c r="BP58" s="39"/>
      <c r="BQ58" s="39"/>
    </row>
    <row r="59" spans="3:69" ht="7.5" customHeight="1">
      <c r="C59" s="39"/>
      <c r="D59" s="39"/>
      <c r="E59" s="39"/>
      <c r="F59" s="39"/>
      <c r="G59" s="39"/>
      <c r="H59" s="39"/>
      <c r="I59" s="39"/>
      <c r="J59" s="39"/>
      <c r="K59" s="39"/>
      <c r="L59" s="39"/>
      <c r="M59" s="39"/>
      <c r="N59" s="39"/>
      <c r="O59" s="39"/>
      <c r="P59" s="39"/>
      <c r="Q59" s="39"/>
      <c r="AX59" s="39"/>
      <c r="AY59" s="39"/>
      <c r="AZ59" s="39"/>
      <c r="BA59" s="39"/>
      <c r="BB59" s="39"/>
      <c r="BC59" s="39"/>
      <c r="BD59" s="39"/>
      <c r="BE59" s="39"/>
      <c r="BF59" s="39"/>
      <c r="BG59" s="39"/>
      <c r="BH59" s="39"/>
      <c r="BI59" s="39"/>
      <c r="BJ59" s="39"/>
      <c r="BK59" s="39"/>
      <c r="BL59" s="39"/>
      <c r="BM59" s="39"/>
      <c r="BN59" s="39"/>
      <c r="BO59" s="39"/>
      <c r="BP59" s="39"/>
      <c r="BQ59" s="39"/>
    </row>
    <row r="60" spans="3:69" ht="12.75">
      <c r="C60" s="39"/>
      <c r="D60" s="39"/>
      <c r="E60" s="39"/>
      <c r="F60" s="39"/>
      <c r="G60" s="39"/>
      <c r="H60" s="39"/>
      <c r="I60" s="39"/>
      <c r="J60" s="39"/>
      <c r="K60" s="39"/>
      <c r="L60" s="39"/>
      <c r="M60" s="39"/>
      <c r="N60" s="39"/>
      <c r="O60" s="39"/>
      <c r="P60" s="39"/>
      <c r="Q60" s="39"/>
      <c r="AX60" s="39"/>
      <c r="AY60" s="39"/>
      <c r="AZ60" s="39"/>
      <c r="BA60" s="39"/>
      <c r="BB60" s="39"/>
      <c r="BC60" s="39"/>
      <c r="BD60" s="39"/>
      <c r="BE60" s="39"/>
      <c r="BF60" s="39"/>
      <c r="BG60" s="39"/>
      <c r="BH60" s="39"/>
      <c r="BI60" s="39"/>
      <c r="BJ60" s="39"/>
      <c r="BK60" s="39"/>
      <c r="BL60" s="39"/>
      <c r="BM60" s="39"/>
      <c r="BN60" s="39"/>
      <c r="BO60" s="39"/>
      <c r="BP60" s="39"/>
      <c r="BQ60" s="39"/>
    </row>
    <row r="61" spans="1:69" ht="15">
      <c r="A61" s="48"/>
      <c r="B61" s="48"/>
      <c r="C61" s="48"/>
      <c r="D61" s="48"/>
      <c r="E61" s="48"/>
      <c r="F61" s="48"/>
      <c r="G61" s="48"/>
      <c r="H61" s="48"/>
      <c r="I61" s="48"/>
      <c r="J61" s="48"/>
      <c r="K61" s="48"/>
      <c r="L61" s="48"/>
      <c r="M61" s="48"/>
      <c r="N61" s="48"/>
      <c r="O61" s="48"/>
      <c r="P61" s="39"/>
      <c r="Q61" s="39"/>
      <c r="AX61" s="39"/>
      <c r="AY61" s="39"/>
      <c r="AZ61" s="39"/>
      <c r="BA61" s="39"/>
      <c r="BB61" s="39"/>
      <c r="BC61" s="39"/>
      <c r="BD61" s="39"/>
      <c r="BE61" s="39"/>
      <c r="BF61" s="39"/>
      <c r="BG61" s="39"/>
      <c r="BH61" s="39"/>
      <c r="BI61" s="39"/>
      <c r="BJ61" s="39"/>
      <c r="BK61" s="39"/>
      <c r="BL61" s="39"/>
      <c r="BM61" s="39"/>
      <c r="BN61" s="39"/>
      <c r="BO61" s="39"/>
      <c r="BP61" s="39"/>
      <c r="BQ61" s="39"/>
    </row>
    <row r="62" spans="1:69" ht="15" thickBot="1">
      <c r="A62" s="516" t="s">
        <v>200</v>
      </c>
      <c r="B62" s="516"/>
      <c r="C62" s="516"/>
      <c r="D62" s="516"/>
      <c r="E62" s="516"/>
      <c r="F62" s="516"/>
      <c r="G62" s="516"/>
      <c r="H62" s="516"/>
      <c r="I62" s="516"/>
      <c r="J62" s="516"/>
      <c r="K62" s="516"/>
      <c r="L62" s="516"/>
      <c r="M62" s="516"/>
      <c r="N62" s="516"/>
      <c r="O62" s="516"/>
      <c r="P62" s="502"/>
      <c r="Q62" s="502"/>
      <c r="R62" s="502"/>
      <c r="S62" s="502"/>
      <c r="T62" s="502"/>
      <c r="U62" s="502"/>
      <c r="V62" s="502"/>
      <c r="W62" s="502"/>
      <c r="X62" s="502"/>
      <c r="Y62" s="502"/>
      <c r="Z62" s="502"/>
      <c r="AA62" s="502"/>
      <c r="AB62" s="502"/>
      <c r="AC62" s="502"/>
      <c r="AD62" s="502"/>
      <c r="AE62" s="502"/>
      <c r="AF62" s="503"/>
      <c r="AG62" s="503"/>
      <c r="AH62" s="503"/>
      <c r="AI62" s="503"/>
      <c r="AJ62" s="38"/>
      <c r="AK62" s="38"/>
      <c r="AL62" s="38"/>
      <c r="AM62" s="38"/>
      <c r="AN62" s="38"/>
      <c r="AO62" s="38"/>
      <c r="AX62" s="39"/>
      <c r="AY62" s="39"/>
      <c r="AZ62" s="39"/>
      <c r="BA62" s="39"/>
      <c r="BB62" s="39"/>
      <c r="BC62" s="39"/>
      <c r="BD62" s="39"/>
      <c r="BE62" s="39"/>
      <c r="BF62" s="39"/>
      <c r="BG62" s="39"/>
      <c r="BH62" s="39"/>
      <c r="BI62" s="39"/>
      <c r="BJ62" s="39"/>
      <c r="BK62" s="39"/>
      <c r="BL62" s="39"/>
      <c r="BM62" s="39"/>
      <c r="BN62" s="39"/>
      <c r="BO62" s="39"/>
      <c r="BP62" s="39"/>
      <c r="BQ62" s="39"/>
    </row>
    <row r="63" spans="1:41" ht="15.75" thickBot="1">
      <c r="A63" s="233" t="s">
        <v>0</v>
      </c>
      <c r="B63" s="74"/>
      <c r="C63" s="511" t="s">
        <v>102</v>
      </c>
      <c r="D63" s="511"/>
      <c r="E63" s="511"/>
      <c r="F63" s="62"/>
      <c r="G63" s="74"/>
      <c r="H63" s="511" t="s">
        <v>101</v>
      </c>
      <c r="I63" s="511"/>
      <c r="J63" s="511"/>
      <c r="K63" s="62"/>
      <c r="L63" s="74"/>
      <c r="M63" s="511" t="s">
        <v>184</v>
      </c>
      <c r="N63" s="511"/>
      <c r="O63" s="511"/>
      <c r="P63" s="511"/>
      <c r="Q63" s="261"/>
      <c r="R63" s="509" t="s">
        <v>106</v>
      </c>
      <c r="S63" s="509"/>
      <c r="T63" s="509"/>
      <c r="U63" s="262"/>
      <c r="V63" s="261"/>
      <c r="W63" s="509" t="s">
        <v>50</v>
      </c>
      <c r="X63" s="509"/>
      <c r="Y63" s="509"/>
      <c r="Z63" s="262"/>
      <c r="AA63" s="261"/>
      <c r="AB63" s="490" t="s">
        <v>82</v>
      </c>
      <c r="AC63" s="490"/>
      <c r="AD63" s="491"/>
      <c r="AE63" s="491"/>
      <c r="AF63" s="261"/>
      <c r="AG63" s="489" t="s">
        <v>197</v>
      </c>
      <c r="AH63" s="489"/>
      <c r="AI63" s="489"/>
      <c r="AJ63" s="261"/>
      <c r="AK63" s="508"/>
      <c r="AL63" s="508"/>
      <c r="AM63" s="508"/>
      <c r="AN63" s="42"/>
      <c r="AO63" s="42"/>
    </row>
    <row r="64" spans="1:41" ht="15.75" thickBot="1">
      <c r="A64" s="55"/>
      <c r="B64" s="54"/>
      <c r="C64" s="523" t="s">
        <v>138</v>
      </c>
      <c r="D64" s="523"/>
      <c r="E64" s="523" t="s">
        <v>139</v>
      </c>
      <c r="F64" s="523"/>
      <c r="G64" s="54"/>
      <c r="H64" s="523" t="s">
        <v>138</v>
      </c>
      <c r="I64" s="523"/>
      <c r="J64" s="523" t="s">
        <v>139</v>
      </c>
      <c r="K64" s="523"/>
      <c r="L64" s="54"/>
      <c r="M64" s="523" t="s">
        <v>138</v>
      </c>
      <c r="N64" s="523"/>
      <c r="O64" s="523" t="s">
        <v>139</v>
      </c>
      <c r="P64" s="523"/>
      <c r="Q64" s="263"/>
      <c r="R64" s="523" t="s">
        <v>138</v>
      </c>
      <c r="S64" s="523"/>
      <c r="T64" s="523" t="s">
        <v>139</v>
      </c>
      <c r="U64" s="523"/>
      <c r="V64" s="263"/>
      <c r="W64" s="523" t="s">
        <v>138</v>
      </c>
      <c r="X64" s="523"/>
      <c r="Y64" s="523" t="s">
        <v>139</v>
      </c>
      <c r="Z64" s="523"/>
      <c r="AA64" s="263"/>
      <c r="AB64" s="523" t="s">
        <v>138</v>
      </c>
      <c r="AC64" s="523"/>
      <c r="AD64" s="523" t="s">
        <v>139</v>
      </c>
      <c r="AE64" s="523"/>
      <c r="AF64" s="263"/>
      <c r="AG64" s="523" t="s">
        <v>138</v>
      </c>
      <c r="AH64" s="523"/>
      <c r="AI64" s="523" t="s">
        <v>139</v>
      </c>
      <c r="AJ64" s="523"/>
      <c r="AK64" s="10"/>
      <c r="AL64" s="10"/>
      <c r="AM64" s="10"/>
      <c r="AN64" s="10"/>
      <c r="AO64" s="10"/>
    </row>
    <row r="65" spans="1:41" ht="15">
      <c r="A65" s="260">
        <v>1999</v>
      </c>
      <c r="B65" s="75"/>
      <c r="C65" s="280">
        <f>AG22/1000</f>
        <v>6.0508708791565855</v>
      </c>
      <c r="D65" s="280"/>
      <c r="E65" s="280">
        <f>AI22/1000</f>
        <v>124.9878927839116</v>
      </c>
      <c r="F65" s="280"/>
      <c r="G65" s="280"/>
      <c r="H65" s="282">
        <f>AK22/1000</f>
        <v>7.4910885832323295</v>
      </c>
      <c r="I65" s="282"/>
      <c r="J65" s="282">
        <f>AM22/1000</f>
        <v>274.2041464845735</v>
      </c>
      <c r="K65" s="282"/>
      <c r="L65" s="280">
        <f>AY22</f>
        <v>0</v>
      </c>
      <c r="M65" s="280">
        <f>AW22/1000</f>
        <v>0</v>
      </c>
      <c r="N65" s="280"/>
      <c r="O65" s="280">
        <f>AX22/1000</f>
        <v>0</v>
      </c>
      <c r="P65" s="280"/>
      <c r="Q65" s="282">
        <f aca="true" t="shared" si="19" ref="Q65:Q73">Q43</f>
        <v>0</v>
      </c>
      <c r="R65" s="282">
        <f>AP22/1000</f>
        <v>0.38</v>
      </c>
      <c r="S65" s="282"/>
      <c r="T65" s="282">
        <f>AQ22/1000</f>
        <v>44.27</v>
      </c>
      <c r="U65" s="282"/>
      <c r="V65" s="282"/>
      <c r="W65" s="282">
        <f>AT22/1000</f>
        <v>2.60725</v>
      </c>
      <c r="X65" s="282"/>
      <c r="Y65" s="282">
        <f>AU22/1000</f>
        <v>54.233426442307696</v>
      </c>
      <c r="Z65" s="282"/>
      <c r="AA65" s="282"/>
      <c r="AB65" s="280">
        <f>C65+H65+M65+R65+W65</f>
        <v>16.529209462388916</v>
      </c>
      <c r="AC65" s="280"/>
      <c r="AD65" s="504">
        <f>E65+J65+O65+T65+Y65</f>
        <v>497.6954657107928</v>
      </c>
      <c r="AE65" s="505"/>
      <c r="AF65" s="39"/>
      <c r="AG65" s="282">
        <f>AZ22/1000</f>
        <v>18.780352112676056</v>
      </c>
      <c r="AH65" s="282"/>
      <c r="AI65" s="282">
        <f>BA22/1000</f>
        <v>5.008093896713615</v>
      </c>
      <c r="AJ65" s="39"/>
      <c r="AK65" s="40"/>
      <c r="AL65" s="40"/>
      <c r="AM65" s="40"/>
      <c r="AN65" s="40"/>
      <c r="AO65" s="40"/>
    </row>
    <row r="66" spans="1:41" ht="15">
      <c r="A66" s="61">
        <v>2000</v>
      </c>
      <c r="B66" s="64"/>
      <c r="C66" s="279">
        <f>AG23/1000</f>
        <v>6.598100166767671</v>
      </c>
      <c r="D66" s="279"/>
      <c r="E66" s="279">
        <f>AI23/1000</f>
        <v>135.8124334131783</v>
      </c>
      <c r="F66" s="279"/>
      <c r="G66" s="279"/>
      <c r="H66" s="281">
        <f>AK23/1000</f>
        <v>9.495844945887919</v>
      </c>
      <c r="I66" s="281"/>
      <c r="J66" s="281">
        <f>AM23/1000</f>
        <v>350.2510565474068</v>
      </c>
      <c r="K66" s="281"/>
      <c r="L66" s="279">
        <f>AY23</f>
        <v>0</v>
      </c>
      <c r="M66" s="279">
        <f>AW23/1000</f>
        <v>0</v>
      </c>
      <c r="N66" s="279"/>
      <c r="O66" s="279">
        <f>AX23/1000</f>
        <v>0</v>
      </c>
      <c r="P66" s="279"/>
      <c r="Q66" s="281">
        <f t="shared" si="19"/>
        <v>0</v>
      </c>
      <c r="R66" s="281">
        <f>AP23/1000</f>
        <v>0.404</v>
      </c>
      <c r="S66" s="281"/>
      <c r="T66" s="281">
        <f>AQ23/1000</f>
        <v>47.47</v>
      </c>
      <c r="U66" s="281"/>
      <c r="V66" s="281"/>
      <c r="W66" s="281">
        <f>AT23/1000</f>
        <v>2.47875</v>
      </c>
      <c r="X66" s="281"/>
      <c r="Y66" s="281">
        <f>AU23/1000</f>
        <v>51.4373</v>
      </c>
      <c r="Z66" s="281"/>
      <c r="AA66" s="281"/>
      <c r="AB66" s="279">
        <f aca="true" t="shared" si="20" ref="AB66:AB72">C66+H66+M66+R66+W66</f>
        <v>18.97669511265559</v>
      </c>
      <c r="AC66" s="279"/>
      <c r="AD66" s="500">
        <f aca="true" t="shared" si="21" ref="AD66:AD72">E66+J66+O66+T66+Y66</f>
        <v>584.9707899605852</v>
      </c>
      <c r="AE66" s="501"/>
      <c r="AF66" s="225"/>
      <c r="AG66" s="282">
        <f aca="true" t="shared" si="22" ref="AG66:AG72">AZ23/1000</f>
        <v>24.965</v>
      </c>
      <c r="AH66" s="282"/>
      <c r="AI66" s="282">
        <f aca="true" t="shared" si="23" ref="AI66:AI72">BA23/1000</f>
        <v>6.657333333333333</v>
      </c>
      <c r="AJ66" s="39"/>
      <c r="AK66" s="40"/>
      <c r="AL66" s="40"/>
      <c r="AM66" s="40"/>
      <c r="AN66" s="40"/>
      <c r="AO66" s="40"/>
    </row>
    <row r="67" spans="1:41" ht="15">
      <c r="A67" s="260">
        <v>2001</v>
      </c>
      <c r="B67" s="75"/>
      <c r="C67" s="279">
        <f aca="true" t="shared" si="24" ref="C67:C72">AG24/1000</f>
        <v>7.192680554112081</v>
      </c>
      <c r="D67" s="279"/>
      <c r="E67" s="279">
        <f aca="true" t="shared" si="25" ref="E67:E72">AI24/1000</f>
        <v>148.29521766580334</v>
      </c>
      <c r="F67" s="279"/>
      <c r="G67" s="279"/>
      <c r="H67" s="281">
        <f aca="true" t="shared" si="26" ref="H67:H72">AK24/1000</f>
        <v>10.145306715138895</v>
      </c>
      <c r="I67" s="281"/>
      <c r="J67" s="281">
        <f aca="true" t="shared" si="27" ref="J67:J72">AM24/1000</f>
        <v>369.19856561506106</v>
      </c>
      <c r="K67" s="281"/>
      <c r="L67" s="279">
        <f aca="true" t="shared" si="28" ref="L67:L72">AY24</f>
        <v>0</v>
      </c>
      <c r="M67" s="279">
        <f aca="true" t="shared" si="29" ref="M67:M72">AW24/1000</f>
        <v>0</v>
      </c>
      <c r="N67" s="279"/>
      <c r="O67" s="279">
        <f aca="true" t="shared" si="30" ref="O67:O72">AX24/1000</f>
        <v>0</v>
      </c>
      <c r="P67" s="279"/>
      <c r="Q67" s="281">
        <f t="shared" si="19"/>
        <v>0</v>
      </c>
      <c r="R67" s="281">
        <f aca="true" t="shared" si="31" ref="R67:R72">AP24/1000</f>
        <v>0.465</v>
      </c>
      <c r="S67" s="281"/>
      <c r="T67" s="281">
        <f aca="true" t="shared" si="32" ref="T67:T72">AQ24/1000</f>
        <v>55.1025</v>
      </c>
      <c r="U67" s="281"/>
      <c r="V67" s="281"/>
      <c r="W67" s="281">
        <f aca="true" t="shared" si="33" ref="W67:W72">AT24/1000</f>
        <v>2.0435</v>
      </c>
      <c r="X67" s="281"/>
      <c r="Y67" s="281">
        <f aca="true" t="shared" si="34" ref="Y67:Y72">AU24/1000</f>
        <v>42.54360516854674</v>
      </c>
      <c r="Z67" s="281"/>
      <c r="AA67" s="281"/>
      <c r="AB67" s="279">
        <f t="shared" si="20"/>
        <v>19.84648726925098</v>
      </c>
      <c r="AC67" s="279"/>
      <c r="AD67" s="500">
        <f t="shared" si="21"/>
        <v>615.139888449411</v>
      </c>
      <c r="AE67" s="501"/>
      <c r="AF67" s="225"/>
      <c r="AG67" s="282">
        <f t="shared" si="22"/>
        <v>37.855</v>
      </c>
      <c r="AH67" s="282"/>
      <c r="AI67" s="282">
        <f t="shared" si="23"/>
        <v>8.8993984375</v>
      </c>
      <c r="AJ67" s="39"/>
      <c r="AK67" s="40"/>
      <c r="AL67" s="40"/>
      <c r="AM67" s="40"/>
      <c r="AN67" s="40"/>
      <c r="AO67" s="40"/>
    </row>
    <row r="68" spans="1:41" ht="15">
      <c r="A68" s="61">
        <v>2002</v>
      </c>
      <c r="B68" s="64"/>
      <c r="C68" s="279">
        <f t="shared" si="24"/>
        <v>7.7379075348611055</v>
      </c>
      <c r="D68" s="279"/>
      <c r="E68" s="279">
        <f t="shared" si="25"/>
        <v>158.4211696424425</v>
      </c>
      <c r="F68" s="279"/>
      <c r="G68" s="279"/>
      <c r="H68" s="281">
        <f t="shared" si="26"/>
        <v>10.085230440387036</v>
      </c>
      <c r="I68" s="281"/>
      <c r="J68" s="281">
        <f t="shared" si="27"/>
        <v>371.37896720286386</v>
      </c>
      <c r="K68" s="281"/>
      <c r="L68" s="279">
        <f t="shared" si="28"/>
        <v>0</v>
      </c>
      <c r="M68" s="279">
        <f t="shared" si="29"/>
        <v>0</v>
      </c>
      <c r="N68" s="279"/>
      <c r="O68" s="279">
        <f t="shared" si="30"/>
        <v>0</v>
      </c>
      <c r="P68" s="279"/>
      <c r="Q68" s="281">
        <f t="shared" si="19"/>
        <v>0</v>
      </c>
      <c r="R68" s="281">
        <f t="shared" si="31"/>
        <v>0.636</v>
      </c>
      <c r="S68" s="281"/>
      <c r="T68" s="281">
        <f t="shared" si="32"/>
        <v>76.002</v>
      </c>
      <c r="U68" s="281"/>
      <c r="V68" s="281"/>
      <c r="W68" s="281">
        <f t="shared" si="33"/>
        <v>1.47</v>
      </c>
      <c r="X68" s="281"/>
      <c r="Y68" s="281">
        <f t="shared" si="34"/>
        <v>29.9705092927207</v>
      </c>
      <c r="Z68" s="281"/>
      <c r="AA68" s="281"/>
      <c r="AB68" s="279">
        <f t="shared" si="20"/>
        <v>19.92913797524814</v>
      </c>
      <c r="AC68" s="279"/>
      <c r="AD68" s="500">
        <f t="shared" si="21"/>
        <v>635.7726461380271</v>
      </c>
      <c r="AE68" s="501"/>
      <c r="AF68" s="225"/>
      <c r="AG68" s="282">
        <f t="shared" si="22"/>
        <v>55.155</v>
      </c>
      <c r="AH68" s="282"/>
      <c r="AI68" s="282">
        <f t="shared" si="23"/>
        <v>11.173109375</v>
      </c>
      <c r="AJ68" s="39"/>
      <c r="AK68" s="40"/>
      <c r="AL68" s="40"/>
      <c r="AM68" s="40"/>
      <c r="AN68" s="40"/>
      <c r="AO68" s="40"/>
    </row>
    <row r="69" spans="1:41" ht="15">
      <c r="A69" s="260">
        <v>2003</v>
      </c>
      <c r="B69" s="75"/>
      <c r="C69" s="279">
        <f t="shared" si="24"/>
        <v>8.950423559612965</v>
      </c>
      <c r="D69" s="279"/>
      <c r="E69" s="279">
        <f t="shared" si="25"/>
        <v>183.63244288968684</v>
      </c>
      <c r="F69" s="279"/>
      <c r="G69" s="279"/>
      <c r="H69" s="281">
        <f t="shared" si="26"/>
        <v>10.57262448551432</v>
      </c>
      <c r="I69" s="281"/>
      <c r="J69" s="281">
        <f t="shared" si="27"/>
        <v>386.61551076534255</v>
      </c>
      <c r="K69" s="281"/>
      <c r="L69" s="279">
        <f t="shared" si="28"/>
        <v>0</v>
      </c>
      <c r="M69" s="279">
        <f t="shared" si="29"/>
        <v>0</v>
      </c>
      <c r="N69" s="279"/>
      <c r="O69" s="279">
        <f t="shared" si="30"/>
        <v>0</v>
      </c>
      <c r="P69" s="279"/>
      <c r="Q69" s="281">
        <f t="shared" si="19"/>
        <v>0</v>
      </c>
      <c r="R69" s="281">
        <f t="shared" si="31"/>
        <v>0.82</v>
      </c>
      <c r="S69" s="281"/>
      <c r="T69" s="281">
        <f t="shared" si="32"/>
        <v>98.81</v>
      </c>
      <c r="U69" s="281"/>
      <c r="V69" s="281"/>
      <c r="W69" s="281">
        <f t="shared" si="33"/>
        <v>3.132</v>
      </c>
      <c r="X69" s="281"/>
      <c r="Y69" s="281">
        <f t="shared" si="34"/>
        <v>65.02296171074167</v>
      </c>
      <c r="Z69" s="281"/>
      <c r="AA69" s="281"/>
      <c r="AB69" s="279">
        <f t="shared" si="20"/>
        <v>23.475048045127284</v>
      </c>
      <c r="AC69" s="279"/>
      <c r="AD69" s="500">
        <f t="shared" si="21"/>
        <v>734.0809153657711</v>
      </c>
      <c r="AE69" s="501"/>
      <c r="AF69" s="225"/>
      <c r="AG69" s="282">
        <f t="shared" si="22"/>
        <v>75.775</v>
      </c>
      <c r="AH69" s="282"/>
      <c r="AI69" s="282">
        <f t="shared" si="23"/>
        <v>14.460971354166665</v>
      </c>
      <c r="AJ69" s="39"/>
      <c r="AK69" s="40"/>
      <c r="AL69" s="40"/>
      <c r="AM69" s="40"/>
      <c r="AN69" s="40"/>
      <c r="AO69" s="40"/>
    </row>
    <row r="70" spans="1:41" ht="15">
      <c r="A70" s="58">
        <v>2004</v>
      </c>
      <c r="B70" s="60"/>
      <c r="C70" s="279">
        <f t="shared" si="24"/>
        <v>8.69308001448568</v>
      </c>
      <c r="D70" s="279"/>
      <c r="E70" s="279">
        <f t="shared" si="25"/>
        <v>179.07791076422362</v>
      </c>
      <c r="F70" s="279"/>
      <c r="G70" s="279"/>
      <c r="H70" s="281">
        <f t="shared" si="26"/>
        <v>11.296165901671122</v>
      </c>
      <c r="I70" s="281"/>
      <c r="J70" s="281">
        <f t="shared" si="27"/>
        <v>412.7906572387933</v>
      </c>
      <c r="K70" s="281"/>
      <c r="L70" s="279">
        <f t="shared" si="28"/>
        <v>0</v>
      </c>
      <c r="M70" s="279">
        <f t="shared" si="29"/>
        <v>0</v>
      </c>
      <c r="N70" s="279"/>
      <c r="O70" s="279">
        <f t="shared" si="30"/>
        <v>0</v>
      </c>
      <c r="P70" s="279"/>
      <c r="Q70" s="281">
        <f t="shared" si="19"/>
        <v>0</v>
      </c>
      <c r="R70" s="281">
        <f t="shared" si="31"/>
        <v>0.887</v>
      </c>
      <c r="S70" s="281"/>
      <c r="T70" s="281">
        <f t="shared" si="32"/>
        <v>107.7705</v>
      </c>
      <c r="U70" s="281"/>
      <c r="V70" s="281"/>
      <c r="W70" s="281">
        <f t="shared" si="33"/>
        <v>2.6025</v>
      </c>
      <c r="X70" s="281"/>
      <c r="Y70" s="281">
        <f t="shared" si="34"/>
        <v>53.990089878542506</v>
      </c>
      <c r="Z70" s="281"/>
      <c r="AA70" s="281"/>
      <c r="AB70" s="279">
        <f t="shared" si="20"/>
        <v>23.478745916156804</v>
      </c>
      <c r="AC70" s="279"/>
      <c r="AD70" s="500">
        <f t="shared" si="21"/>
        <v>753.6291578815594</v>
      </c>
      <c r="AE70" s="501"/>
      <c r="AF70" s="225"/>
      <c r="AG70" s="282">
        <f t="shared" si="22"/>
        <v>96.75</v>
      </c>
      <c r="AH70" s="282"/>
      <c r="AI70" s="282">
        <f t="shared" si="23"/>
        <v>17.046739268543952</v>
      </c>
      <c r="AJ70" s="39"/>
      <c r="AK70" s="40"/>
      <c r="AL70" s="40"/>
      <c r="AM70" s="40"/>
      <c r="AN70" s="40"/>
      <c r="AO70" s="40"/>
    </row>
    <row r="71" spans="1:41" ht="15">
      <c r="A71" s="51">
        <v>2005</v>
      </c>
      <c r="B71" s="48"/>
      <c r="C71" s="279">
        <f t="shared" si="24"/>
        <v>8.774423848328878</v>
      </c>
      <c r="D71" s="279"/>
      <c r="E71" s="279">
        <f t="shared" si="25"/>
        <v>180.30988859417016</v>
      </c>
      <c r="F71" s="279"/>
      <c r="G71" s="279"/>
      <c r="H71" s="281">
        <f t="shared" si="26"/>
        <v>11.970877064566908</v>
      </c>
      <c r="I71" s="281"/>
      <c r="J71" s="281">
        <f t="shared" si="27"/>
        <v>444.97485943054363</v>
      </c>
      <c r="K71" s="281"/>
      <c r="L71" s="279">
        <f t="shared" si="28"/>
        <v>0</v>
      </c>
      <c r="M71" s="279">
        <f t="shared" si="29"/>
        <v>0</v>
      </c>
      <c r="N71" s="279"/>
      <c r="O71" s="279">
        <f t="shared" si="30"/>
        <v>0</v>
      </c>
      <c r="P71" s="279"/>
      <c r="Q71" s="281">
        <f t="shared" si="19"/>
        <v>0</v>
      </c>
      <c r="R71" s="281">
        <f t="shared" si="31"/>
        <v>0.917</v>
      </c>
      <c r="S71" s="281"/>
      <c r="T71" s="281">
        <f t="shared" si="32"/>
        <v>112.3325</v>
      </c>
      <c r="U71" s="281"/>
      <c r="V71" s="281"/>
      <c r="W71" s="281">
        <f t="shared" si="33"/>
        <v>2.32475</v>
      </c>
      <c r="X71" s="281"/>
      <c r="Y71" s="281">
        <f t="shared" si="34"/>
        <v>48.39882849462365</v>
      </c>
      <c r="Z71" s="281"/>
      <c r="AA71" s="281"/>
      <c r="AB71" s="279">
        <f t="shared" si="20"/>
        <v>23.98705091289579</v>
      </c>
      <c r="AC71" s="279"/>
      <c r="AD71" s="500">
        <f t="shared" si="21"/>
        <v>786.0160765193374</v>
      </c>
      <c r="AE71" s="501"/>
      <c r="AF71" s="225"/>
      <c r="AG71" s="282">
        <f t="shared" si="22"/>
        <v>116.515</v>
      </c>
      <c r="AH71" s="282"/>
      <c r="AI71" s="282">
        <f t="shared" si="23"/>
        <v>18.636534855769227</v>
      </c>
      <c r="AJ71" s="39"/>
      <c r="AK71" s="40"/>
      <c r="AL71" s="40"/>
      <c r="AM71" s="40"/>
      <c r="AN71" s="40"/>
      <c r="AO71" s="40"/>
    </row>
    <row r="72" spans="1:41" ht="15">
      <c r="A72" s="58">
        <v>2006</v>
      </c>
      <c r="B72" s="60"/>
      <c r="C72" s="279">
        <f t="shared" si="24"/>
        <v>9.691954435433091</v>
      </c>
      <c r="D72" s="279"/>
      <c r="E72" s="279">
        <f t="shared" si="25"/>
        <v>199.95062521103114</v>
      </c>
      <c r="F72" s="279"/>
      <c r="G72" s="279"/>
      <c r="H72" s="281">
        <f t="shared" si="26"/>
        <v>12.8251044439226</v>
      </c>
      <c r="I72" s="281"/>
      <c r="J72" s="281">
        <f t="shared" si="27"/>
        <v>469.9791919767971</v>
      </c>
      <c r="K72" s="281"/>
      <c r="L72" s="279">
        <f t="shared" si="28"/>
        <v>0</v>
      </c>
      <c r="M72" s="279">
        <f t="shared" si="29"/>
        <v>0</v>
      </c>
      <c r="N72" s="279"/>
      <c r="O72" s="279">
        <f t="shared" si="30"/>
        <v>0</v>
      </c>
      <c r="P72" s="279"/>
      <c r="Q72" s="281">
        <f t="shared" si="19"/>
        <v>0</v>
      </c>
      <c r="R72" s="281">
        <f t="shared" si="31"/>
        <v>1.08197</v>
      </c>
      <c r="S72" s="281"/>
      <c r="T72" s="281">
        <f t="shared" si="32"/>
        <v>133.623295</v>
      </c>
      <c r="U72" s="281"/>
      <c r="V72" s="281"/>
      <c r="W72" s="281">
        <f t="shared" si="33"/>
        <v>2.072</v>
      </c>
      <c r="X72" s="281"/>
      <c r="Y72" s="281">
        <f t="shared" si="34"/>
        <v>43.20203602178577</v>
      </c>
      <c r="Z72" s="281"/>
      <c r="AA72" s="281"/>
      <c r="AB72" s="279">
        <f t="shared" si="20"/>
        <v>25.671028879355692</v>
      </c>
      <c r="AC72" s="279"/>
      <c r="AD72" s="500">
        <f t="shared" si="21"/>
        <v>846.7551482096139</v>
      </c>
      <c r="AE72" s="501"/>
      <c r="AF72" s="225"/>
      <c r="AG72" s="430">
        <f t="shared" si="22"/>
        <v>127.79</v>
      </c>
      <c r="AH72" s="430"/>
      <c r="AI72" s="430">
        <f t="shared" si="23"/>
        <v>18.9782228422619</v>
      </c>
      <c r="AJ72" s="39"/>
      <c r="AK72" s="40"/>
      <c r="AL72" s="40"/>
      <c r="AM72" s="40"/>
      <c r="AN72" s="40"/>
      <c r="AO72" s="40"/>
    </row>
    <row r="73" spans="1:41" ht="15">
      <c r="A73" s="58">
        <v>2007</v>
      </c>
      <c r="B73" s="60"/>
      <c r="C73" s="279">
        <f>AG30/1000</f>
        <v>10.338546176920817</v>
      </c>
      <c r="D73" s="279"/>
      <c r="E73" s="279">
        <f>AI30/1000</f>
        <v>212.82027803128844</v>
      </c>
      <c r="F73" s="279"/>
      <c r="G73" s="279"/>
      <c r="H73" s="281">
        <f>AK30/1000</f>
        <v>13.393146684484275</v>
      </c>
      <c r="I73" s="281"/>
      <c r="J73" s="281">
        <f>AM30/1000</f>
        <v>493.8512351441046</v>
      </c>
      <c r="K73" s="281"/>
      <c r="L73" s="279">
        <f>AY30</f>
        <v>0</v>
      </c>
      <c r="M73" s="279">
        <f>AW30/1000</f>
        <v>0</v>
      </c>
      <c r="N73" s="279"/>
      <c r="O73" s="279">
        <f>AX30/1000</f>
        <v>0</v>
      </c>
      <c r="P73" s="279"/>
      <c r="Q73" s="281">
        <f t="shared" si="19"/>
        <v>0</v>
      </c>
      <c r="R73" s="281">
        <f>AP30/1000</f>
        <v>1.3320150000000002</v>
      </c>
      <c r="S73" s="281"/>
      <c r="T73" s="281">
        <f>AQ30/1000</f>
        <v>165.8358675</v>
      </c>
      <c r="U73" s="281"/>
      <c r="V73" s="281"/>
      <c r="W73" s="281">
        <f>AT30/1000</f>
        <v>1.83025</v>
      </c>
      <c r="X73" s="281"/>
      <c r="Y73" s="281">
        <f>AU30/1000</f>
        <v>38.073824651985674</v>
      </c>
      <c r="Z73" s="281"/>
      <c r="AA73" s="281"/>
      <c r="AB73" s="279">
        <f>C73+H73+M73+R73+W73</f>
        <v>26.89395786140509</v>
      </c>
      <c r="AC73" s="279"/>
      <c r="AD73" s="500">
        <f>E73+J73+O73+T73+Y73</f>
        <v>910.5812053273787</v>
      </c>
      <c r="AE73" s="501"/>
      <c r="AF73" s="225"/>
      <c r="AG73" s="282">
        <f>AZ30/1000</f>
        <v>140.305</v>
      </c>
      <c r="AH73" s="282"/>
      <c r="AI73" s="282">
        <f>BA30/1000</f>
        <v>19.235429487179484</v>
      </c>
      <c r="AJ73" s="39"/>
      <c r="AK73" s="40"/>
      <c r="AL73" s="40"/>
      <c r="AM73" s="40"/>
      <c r="AN73" s="40"/>
      <c r="AO73" s="40"/>
    </row>
    <row r="74" spans="1:41" ht="15">
      <c r="A74" s="48" t="s">
        <v>74</v>
      </c>
      <c r="B74" s="67"/>
      <c r="C74" s="331"/>
      <c r="D74" s="331"/>
      <c r="E74" s="331"/>
      <c r="F74" s="331"/>
      <c r="G74" s="331"/>
      <c r="H74" s="358"/>
      <c r="I74" s="358"/>
      <c r="J74" s="358"/>
      <c r="K74" s="358"/>
      <c r="L74" s="331"/>
      <c r="M74" s="331"/>
      <c r="N74" s="331"/>
      <c r="O74" s="331"/>
      <c r="P74" s="331"/>
      <c r="Q74" s="358"/>
      <c r="R74" s="358"/>
      <c r="S74" s="358"/>
      <c r="T74" s="358"/>
      <c r="U74" s="358"/>
      <c r="V74" s="358"/>
      <c r="W74" s="358"/>
      <c r="X74" s="358"/>
      <c r="Y74" s="358"/>
      <c r="Z74" s="358"/>
      <c r="AA74" s="358"/>
      <c r="AB74" s="331"/>
      <c r="AC74" s="331"/>
      <c r="AD74" s="506"/>
      <c r="AE74" s="507"/>
      <c r="AF74" s="307"/>
      <c r="AG74" s="358"/>
      <c r="AH74" s="358"/>
      <c r="AI74" s="358"/>
      <c r="AJ74" s="39"/>
      <c r="AK74" s="40"/>
      <c r="AL74" s="40"/>
      <c r="AM74" s="40"/>
      <c r="AN74" s="40"/>
      <c r="AO74" s="40"/>
    </row>
    <row r="75" spans="1:41" ht="15">
      <c r="A75" s="51"/>
      <c r="B75" s="48"/>
      <c r="C75" s="356"/>
      <c r="D75" s="356"/>
      <c r="E75" s="356"/>
      <c r="F75" s="356"/>
      <c r="G75" s="356"/>
      <c r="H75" s="357"/>
      <c r="I75" s="357"/>
      <c r="J75" s="357"/>
      <c r="K75" s="357"/>
      <c r="L75" s="356"/>
      <c r="M75" s="356"/>
      <c r="N75" s="356"/>
      <c r="O75" s="356"/>
      <c r="P75" s="356"/>
      <c r="Q75" s="357"/>
      <c r="R75" s="357"/>
      <c r="S75" s="357"/>
      <c r="T75" s="357"/>
      <c r="U75" s="357"/>
      <c r="V75" s="357"/>
      <c r="W75" s="357"/>
      <c r="X75" s="357"/>
      <c r="Y75" s="357"/>
      <c r="Z75" s="357"/>
      <c r="AA75" s="357"/>
      <c r="AB75" s="356"/>
      <c r="AC75" s="356"/>
      <c r="AD75" s="492"/>
      <c r="AE75" s="493"/>
      <c r="AF75" s="39"/>
      <c r="AG75" s="357"/>
      <c r="AH75" s="357"/>
      <c r="AI75" s="357"/>
      <c r="AJ75" s="39"/>
      <c r="AK75" s="40"/>
      <c r="AL75" s="40"/>
      <c r="AM75" s="40"/>
      <c r="AN75" s="40"/>
      <c r="AO75" s="40"/>
    </row>
    <row r="76" spans="2:41" ht="15">
      <c r="B76" s="48"/>
      <c r="C76" s="48"/>
      <c r="D76" s="48"/>
      <c r="E76" s="48"/>
      <c r="F76" s="48"/>
      <c r="G76" s="48"/>
      <c r="H76" s="48"/>
      <c r="I76" s="48"/>
      <c r="J76" s="48"/>
      <c r="K76" s="48"/>
      <c r="L76" s="48"/>
      <c r="M76" s="48"/>
      <c r="N76" s="48"/>
      <c r="O76" s="48"/>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row>
    <row r="77" spans="1:70" ht="15">
      <c r="A77" s="48"/>
      <c r="B77" s="48"/>
      <c r="C77" s="48"/>
      <c r="D77" s="48"/>
      <c r="E77" s="48"/>
      <c r="F77" s="48"/>
      <c r="G77" s="48"/>
      <c r="H77" s="48"/>
      <c r="I77" s="48"/>
      <c r="J77" s="48"/>
      <c r="K77" s="48"/>
      <c r="L77" s="48"/>
      <c r="M77" s="48"/>
      <c r="N77" s="48"/>
      <c r="O77" s="48"/>
      <c r="BH77" t="s">
        <v>233</v>
      </c>
      <c r="BI77" s="395"/>
      <c r="BJ77" s="395"/>
      <c r="BK77" s="395"/>
      <c r="BL77" s="395"/>
      <c r="BM77" s="395"/>
      <c r="BN77" s="395"/>
      <c r="BO77" s="395"/>
      <c r="BP77" s="395"/>
      <c r="BQ77" s="395"/>
      <c r="BR77" s="395"/>
    </row>
    <row r="78" spans="60:70" ht="12.75">
      <c r="BH78" s="432" t="s">
        <v>230</v>
      </c>
      <c r="BI78" s="395"/>
      <c r="BJ78" s="395"/>
      <c r="BK78" s="395"/>
      <c r="BL78" s="395"/>
      <c r="BM78" s="395"/>
      <c r="BN78" s="395"/>
      <c r="BO78" s="395"/>
      <c r="BP78" s="395"/>
      <c r="BQ78" s="395"/>
      <c r="BR78" s="395"/>
    </row>
    <row r="79" spans="60:70" ht="12.75">
      <c r="BH79" s="432" t="s">
        <v>231</v>
      </c>
      <c r="BI79" s="395"/>
      <c r="BJ79" s="395"/>
      <c r="BK79" s="395"/>
      <c r="BL79" s="395"/>
      <c r="BM79" s="395"/>
      <c r="BN79" s="395"/>
      <c r="BO79" s="395"/>
      <c r="BP79" s="395"/>
      <c r="BQ79" s="395"/>
      <c r="BR79" s="395"/>
    </row>
    <row r="80" spans="53:60" ht="12.75">
      <c r="BA80" t="s">
        <v>221</v>
      </c>
      <c r="BE80" t="s">
        <v>221</v>
      </c>
      <c r="BH80" s="432" t="s">
        <v>232</v>
      </c>
    </row>
    <row r="81" ht="12.75">
      <c r="BH81" t="s">
        <v>229</v>
      </c>
    </row>
    <row r="82" spans="1:59" ht="15" customHeight="1" thickBot="1">
      <c r="A82" s="512" t="s">
        <v>93</v>
      </c>
      <c r="B82" s="512"/>
      <c r="C82" s="512"/>
      <c r="D82" s="512"/>
      <c r="E82" s="512"/>
      <c r="F82" s="512"/>
      <c r="G82" s="512"/>
      <c r="H82" s="512"/>
      <c r="I82" s="512"/>
      <c r="J82" s="512"/>
      <c r="K82" s="512"/>
      <c r="L82" s="512"/>
      <c r="M82" s="512"/>
      <c r="N82" s="512"/>
      <c r="O82" s="512"/>
      <c r="P82" s="512"/>
      <c r="Q82" s="512"/>
      <c r="R82" s="512"/>
      <c r="S82" s="488"/>
      <c r="T82" s="488"/>
      <c r="BE82" t="s">
        <v>0</v>
      </c>
      <c r="BG82" t="s">
        <v>86</v>
      </c>
    </row>
    <row r="83" spans="1:59" ht="15.75" thickBot="1">
      <c r="A83" s="234"/>
      <c r="B83" s="74"/>
      <c r="C83" s="511" t="s">
        <v>71</v>
      </c>
      <c r="D83" s="511"/>
      <c r="E83" s="511"/>
      <c r="F83" s="233"/>
      <c r="G83" s="74"/>
      <c r="H83" s="511" t="s">
        <v>94</v>
      </c>
      <c r="I83" s="511"/>
      <c r="J83" s="511"/>
      <c r="K83" s="499"/>
      <c r="L83" s="499"/>
      <c r="M83" s="499"/>
      <c r="N83" s="234"/>
      <c r="O83" s="511" t="s">
        <v>95</v>
      </c>
      <c r="P83" s="511"/>
      <c r="Q83" s="511"/>
      <c r="R83" s="511"/>
      <c r="S83" s="511"/>
      <c r="T83" s="511"/>
      <c r="BA83" t="s">
        <v>72</v>
      </c>
      <c r="BE83" s="61">
        <v>1999</v>
      </c>
      <c r="BG83">
        <v>272691000</v>
      </c>
    </row>
    <row r="84" spans="1:59" ht="15.75" thickBot="1">
      <c r="A84" s="54" t="s">
        <v>0</v>
      </c>
      <c r="B84" s="54"/>
      <c r="C84" s="523" t="s">
        <v>138</v>
      </c>
      <c r="D84" s="523"/>
      <c r="E84" s="523" t="s">
        <v>139</v>
      </c>
      <c r="F84" s="523"/>
      <c r="G84" s="54"/>
      <c r="H84" s="523" t="s">
        <v>166</v>
      </c>
      <c r="I84" s="523"/>
      <c r="J84" s="54" t="s">
        <v>139</v>
      </c>
      <c r="K84" s="54"/>
      <c r="L84" s="54"/>
      <c r="M84" s="263" t="s">
        <v>75</v>
      </c>
      <c r="N84" s="263"/>
      <c r="O84" s="54" t="s">
        <v>166</v>
      </c>
      <c r="P84" s="54"/>
      <c r="R84" s="55" t="s">
        <v>139</v>
      </c>
      <c r="S84" s="54"/>
      <c r="T84" s="69" t="s">
        <v>75</v>
      </c>
      <c r="BA84" t="s">
        <v>176</v>
      </c>
      <c r="BE84" s="61">
        <v>2000</v>
      </c>
      <c r="BG84">
        <v>282194308</v>
      </c>
    </row>
    <row r="85" spans="1:59" ht="15">
      <c r="A85" s="68">
        <v>1999</v>
      </c>
      <c r="B85" s="68"/>
      <c r="C85" s="299">
        <f aca="true" t="shared" si="35" ref="C85:C90">BB22/1000</f>
        <v>159.03528899541465</v>
      </c>
      <c r="D85" s="299"/>
      <c r="E85" s="299">
        <f aca="true" t="shared" si="36" ref="E85:E90">BC22/1000</f>
        <v>1056.2149322613075</v>
      </c>
      <c r="F85" s="299"/>
      <c r="G85" s="299"/>
      <c r="H85" s="299">
        <f>(BA85*J85)</f>
        <v>23.639639631702238</v>
      </c>
      <c r="I85" s="299"/>
      <c r="J85" s="299">
        <f aca="true" t="shared" si="37" ref="J85:J91">C120</f>
        <v>157</v>
      </c>
      <c r="K85" s="299"/>
      <c r="L85" s="299">
        <f>AY43</f>
        <v>0</v>
      </c>
      <c r="M85" s="421">
        <f aca="true" t="shared" si="38" ref="M85:M90">J85/E85</f>
        <v>0.1486439882684391</v>
      </c>
      <c r="N85" s="285"/>
      <c r="O85" s="299">
        <f aca="true" t="shared" si="39" ref="O85:O90">C85-H85</f>
        <v>135.3956493637124</v>
      </c>
      <c r="P85" s="299"/>
      <c r="R85" s="299">
        <f aca="true" t="shared" si="40" ref="R85:R90">E85-J85</f>
        <v>899.2149322613075</v>
      </c>
      <c r="S85" s="47"/>
      <c r="T85" s="72">
        <f aca="true" t="shared" si="41" ref="T85:T90">R85/E85</f>
        <v>0.8513560117315608</v>
      </c>
      <c r="BA85">
        <f aca="true" t="shared" si="42" ref="BA85:BA93">C85/E85</f>
        <v>0.15057095306816712</v>
      </c>
      <c r="BE85" s="61">
        <v>2001</v>
      </c>
      <c r="BG85">
        <v>285112030</v>
      </c>
    </row>
    <row r="86" spans="1:59" ht="15">
      <c r="A86" s="64">
        <v>2000</v>
      </c>
      <c r="B86" s="64"/>
      <c r="C86" s="299">
        <f t="shared" si="35"/>
        <v>161.6453319566956</v>
      </c>
      <c r="D86" s="299"/>
      <c r="E86" s="299">
        <f t="shared" si="36"/>
        <v>1282.0493356931706</v>
      </c>
      <c r="F86" s="59"/>
      <c r="G86" s="59"/>
      <c r="H86" s="300">
        <f aca="true" t="shared" si="43" ref="H86:H93">BA86*J86</f>
        <v>23.955874564816693</v>
      </c>
      <c r="I86" s="300"/>
      <c r="J86" s="299">
        <f t="shared" si="37"/>
        <v>190</v>
      </c>
      <c r="K86" s="300"/>
      <c r="L86" s="300">
        <f>L64</f>
        <v>0</v>
      </c>
      <c r="M86" s="422">
        <f t="shared" si="38"/>
        <v>0.14820022499155383</v>
      </c>
      <c r="N86" s="225"/>
      <c r="O86" s="300">
        <f t="shared" si="39"/>
        <v>137.6894573918789</v>
      </c>
      <c r="P86" s="300"/>
      <c r="R86" s="300">
        <f t="shared" si="40"/>
        <v>1092.0493356931706</v>
      </c>
      <c r="S86" s="60"/>
      <c r="T86" s="70">
        <f t="shared" si="41"/>
        <v>0.8517997750084462</v>
      </c>
      <c r="BA86">
        <f t="shared" si="42"/>
        <v>0.1260835503411405</v>
      </c>
      <c r="BE86" s="61">
        <v>2002</v>
      </c>
      <c r="BG86">
        <v>287888021</v>
      </c>
    </row>
    <row r="87" spans="1:59" ht="15">
      <c r="A87" s="64">
        <v>2001</v>
      </c>
      <c r="B87" s="64"/>
      <c r="C87" s="299">
        <f t="shared" si="35"/>
        <v>193.628126627251</v>
      </c>
      <c r="D87" s="299"/>
      <c r="E87" s="299">
        <f t="shared" si="36"/>
        <v>1447.582655183625</v>
      </c>
      <c r="F87" s="59"/>
      <c r="G87" s="59"/>
      <c r="H87" s="300">
        <f t="shared" si="43"/>
        <v>28.089523210379145</v>
      </c>
      <c r="I87" s="300"/>
      <c r="J87" s="299">
        <f t="shared" si="37"/>
        <v>210</v>
      </c>
      <c r="K87" s="300"/>
      <c r="L87" s="300">
        <f>L65</f>
        <v>0</v>
      </c>
      <c r="M87" s="422">
        <f t="shared" si="38"/>
        <v>0.14506943644842277</v>
      </c>
      <c r="N87" s="225"/>
      <c r="O87" s="300">
        <f t="shared" si="39"/>
        <v>165.53860341687184</v>
      </c>
      <c r="P87" s="300"/>
      <c r="R87" s="300">
        <f t="shared" si="40"/>
        <v>1237.582655183625</v>
      </c>
      <c r="S87" s="60"/>
      <c r="T87" s="70">
        <f t="shared" si="41"/>
        <v>0.8549305635515773</v>
      </c>
      <c r="BA87">
        <f t="shared" si="42"/>
        <v>0.1337596343351388</v>
      </c>
      <c r="BE87" s="61">
        <v>2003</v>
      </c>
      <c r="BG87">
        <v>290447644</v>
      </c>
    </row>
    <row r="88" spans="1:59" ht="15">
      <c r="A88" s="64">
        <v>2002</v>
      </c>
      <c r="B88" s="64"/>
      <c r="C88" s="299">
        <f t="shared" si="35"/>
        <v>225.1850657652481</v>
      </c>
      <c r="D88" s="299"/>
      <c r="E88" s="299">
        <f t="shared" si="36"/>
        <v>1633.975201560908</v>
      </c>
      <c r="F88" s="59"/>
      <c r="G88" s="59"/>
      <c r="H88" s="300">
        <f t="shared" si="43"/>
        <v>34.45356232305924</v>
      </c>
      <c r="I88" s="300"/>
      <c r="J88" s="299">
        <f t="shared" si="37"/>
        <v>250</v>
      </c>
      <c r="K88" s="300"/>
      <c r="L88" s="300">
        <f>L66</f>
        <v>0</v>
      </c>
      <c r="M88" s="422">
        <f t="shared" si="38"/>
        <v>0.15300109803452303</v>
      </c>
      <c r="N88" s="225"/>
      <c r="O88" s="300">
        <f t="shared" si="39"/>
        <v>190.73150344218888</v>
      </c>
      <c r="P88" s="300"/>
      <c r="R88" s="300">
        <f t="shared" si="40"/>
        <v>1383.975201560908</v>
      </c>
      <c r="S88" s="60"/>
      <c r="T88" s="70">
        <f t="shared" si="41"/>
        <v>0.846998901965477</v>
      </c>
      <c r="BA88">
        <f t="shared" si="42"/>
        <v>0.13781424929223696</v>
      </c>
      <c r="BE88" s="58">
        <v>2004</v>
      </c>
      <c r="BG88">
        <v>293191511</v>
      </c>
    </row>
    <row r="89" spans="1:59" ht="15">
      <c r="A89" s="64">
        <v>2003</v>
      </c>
      <c r="B89" s="64"/>
      <c r="C89" s="299">
        <f t="shared" si="35"/>
        <v>273.7648759113273</v>
      </c>
      <c r="D89" s="299"/>
      <c r="E89" s="299">
        <f t="shared" si="36"/>
        <v>1944.6947005801787</v>
      </c>
      <c r="F89" s="59"/>
      <c r="G89" s="59"/>
      <c r="H89" s="300">
        <f t="shared" si="43"/>
        <v>40.824821495425084</v>
      </c>
      <c r="I89" s="300"/>
      <c r="J89" s="299">
        <f t="shared" si="37"/>
        <v>290</v>
      </c>
      <c r="K89" s="300"/>
      <c r="L89" s="300">
        <f>L67</f>
        <v>0</v>
      </c>
      <c r="M89" s="422">
        <f t="shared" si="38"/>
        <v>0.1491236644566788</v>
      </c>
      <c r="N89" s="225"/>
      <c r="O89" s="300">
        <f t="shared" si="39"/>
        <v>232.9400544159022</v>
      </c>
      <c r="P89" s="300"/>
      <c r="R89" s="300">
        <f t="shared" si="40"/>
        <v>1654.6947005801787</v>
      </c>
      <c r="S89" s="60"/>
      <c r="T89" s="70">
        <f t="shared" si="41"/>
        <v>0.8508763355433212</v>
      </c>
      <c r="BA89">
        <f t="shared" si="42"/>
        <v>0.14077524653594856</v>
      </c>
      <c r="BE89" s="58">
        <v>2005</v>
      </c>
      <c r="BG89">
        <v>295895897</v>
      </c>
    </row>
    <row r="90" spans="1:59" ht="15">
      <c r="A90" s="67">
        <v>2004</v>
      </c>
      <c r="B90" s="67"/>
      <c r="C90" s="308">
        <f t="shared" si="35"/>
        <v>310.66202169915687</v>
      </c>
      <c r="D90" s="308"/>
      <c r="E90" s="308">
        <f t="shared" si="36"/>
        <v>2043.5312027707612</v>
      </c>
      <c r="F90" s="259"/>
      <c r="G90" s="259"/>
      <c r="H90" s="306">
        <f t="shared" si="43"/>
        <v>48.647090295925366</v>
      </c>
      <c r="I90" s="306"/>
      <c r="J90" s="308">
        <f t="shared" si="37"/>
        <v>320</v>
      </c>
      <c r="K90" s="306"/>
      <c r="L90" s="306">
        <f>L68</f>
        <v>0</v>
      </c>
      <c r="M90" s="423">
        <f t="shared" si="38"/>
        <v>0.15659168774429372</v>
      </c>
      <c r="N90" s="307"/>
      <c r="O90" s="306">
        <f t="shared" si="39"/>
        <v>262.0149314032315</v>
      </c>
      <c r="P90" s="306"/>
      <c r="R90" s="306">
        <f t="shared" si="40"/>
        <v>1723.5312027707612</v>
      </c>
      <c r="S90" s="67"/>
      <c r="T90" s="351">
        <f t="shared" si="41"/>
        <v>0.8434083122557063</v>
      </c>
      <c r="BA90">
        <f t="shared" si="42"/>
        <v>0.15202215717476678</v>
      </c>
      <c r="BE90" s="58">
        <v>2006</v>
      </c>
      <c r="BG90" s="380">
        <v>298754819</v>
      </c>
    </row>
    <row r="91" spans="1:61" ht="15">
      <c r="A91" s="64">
        <v>2005</v>
      </c>
      <c r="B91" s="60"/>
      <c r="C91" s="300">
        <f>BB28/1000</f>
        <v>342.13731877289575</v>
      </c>
      <c r="D91" s="300"/>
      <c r="E91" s="300">
        <f>BC28/1000</f>
        <v>2172.625331849524</v>
      </c>
      <c r="F91" s="60"/>
      <c r="G91" s="60"/>
      <c r="H91" s="300">
        <f t="shared" si="43"/>
        <v>54.32937435013958</v>
      </c>
      <c r="I91" s="60"/>
      <c r="J91" s="300">
        <f t="shared" si="37"/>
        <v>345</v>
      </c>
      <c r="K91" s="60"/>
      <c r="L91" s="60"/>
      <c r="M91" s="422">
        <f>J91/E91</f>
        <v>0.15879406124124795</v>
      </c>
      <c r="N91" s="225"/>
      <c r="O91" s="300">
        <f>C91-H91</f>
        <v>287.8079444227562</v>
      </c>
      <c r="P91" s="300"/>
      <c r="Q91" s="225"/>
      <c r="R91" s="300">
        <f>E91-J91</f>
        <v>1827.6253318495242</v>
      </c>
      <c r="S91" s="60"/>
      <c r="T91" s="70">
        <f>R91/E91</f>
        <v>0.841205938758752</v>
      </c>
      <c r="BA91">
        <f t="shared" si="42"/>
        <v>0.15747644739170893</v>
      </c>
      <c r="BE91" s="58">
        <v>2007</v>
      </c>
      <c r="BG91" s="396">
        <v>301621157</v>
      </c>
      <c r="BI91">
        <f>(BG94-BG89)/5</f>
        <v>2608020.6</v>
      </c>
    </row>
    <row r="92" spans="1:62" ht="15">
      <c r="A92" s="64">
        <v>2006</v>
      </c>
      <c r="B92" s="60"/>
      <c r="C92" s="300">
        <f>BB29/1000</f>
        <v>342.8650592073557</v>
      </c>
      <c r="D92" s="300"/>
      <c r="E92" s="300">
        <f>BC29/1000</f>
        <v>2107.795209156348</v>
      </c>
      <c r="F92" s="60"/>
      <c r="G92" s="60"/>
      <c r="H92" s="405">
        <f t="shared" si="43"/>
        <v>61.32480364300188</v>
      </c>
      <c r="I92" s="64"/>
      <c r="J92" s="405">
        <f>ROUND(C127,-0.1)</f>
        <v>377</v>
      </c>
      <c r="K92" s="60"/>
      <c r="L92" s="60"/>
      <c r="M92" s="422">
        <f>J92/E92</f>
        <v>0.17885988086617557</v>
      </c>
      <c r="N92" s="225"/>
      <c r="O92" s="300">
        <f>C92-H92</f>
        <v>281.54025556435386</v>
      </c>
      <c r="P92" s="300"/>
      <c r="Q92" s="225"/>
      <c r="R92" s="300">
        <f>E92-J92</f>
        <v>1730.795209156348</v>
      </c>
      <c r="S92" s="60"/>
      <c r="T92" s="70">
        <f>R92/E92</f>
        <v>0.8211401191338245</v>
      </c>
      <c r="BA92">
        <f t="shared" si="42"/>
        <v>0.16266526165252487</v>
      </c>
      <c r="BE92" s="58">
        <v>2008</v>
      </c>
      <c r="BG92" s="389">
        <f>BG91+$BI$91</f>
        <v>304229177.6</v>
      </c>
      <c r="BH92" s="40"/>
      <c r="BI92" s="394"/>
      <c r="BJ92" s="23"/>
    </row>
    <row r="93" spans="1:59" ht="15">
      <c r="A93" s="64">
        <v>2007</v>
      </c>
      <c r="B93" s="60"/>
      <c r="C93" s="300">
        <f>BB30/1000</f>
        <v>372.68636267260507</v>
      </c>
      <c r="D93" s="300"/>
      <c r="E93" s="300">
        <f>BC30/1000</f>
        <v>2251.736803424141</v>
      </c>
      <c r="F93" s="60"/>
      <c r="G93" s="60"/>
      <c r="H93" s="405">
        <f t="shared" si="43"/>
        <v>68.52139819886213</v>
      </c>
      <c r="I93" s="64"/>
      <c r="J93" s="405">
        <f>ROUND(C128,-0.1)</f>
        <v>414</v>
      </c>
      <c r="K93" s="60"/>
      <c r="L93" s="60"/>
      <c r="M93" s="422">
        <f>J93/E93</f>
        <v>0.18385807762720938</v>
      </c>
      <c r="N93" s="225"/>
      <c r="O93" s="300">
        <f>C93-H93</f>
        <v>304.16496447374294</v>
      </c>
      <c r="P93" s="300"/>
      <c r="Q93" s="225"/>
      <c r="R93" s="300">
        <f>E93-J93</f>
        <v>1837.7368034241408</v>
      </c>
      <c r="S93" s="60"/>
      <c r="T93" s="70">
        <f>R93/E93</f>
        <v>0.8161419223727906</v>
      </c>
      <c r="BA93">
        <f t="shared" si="42"/>
        <v>0.1655106236687491</v>
      </c>
      <c r="BE93" s="58">
        <v>2009</v>
      </c>
      <c r="BG93">
        <f>BG92+$BI$91</f>
        <v>306837198.20000005</v>
      </c>
    </row>
    <row r="94" spans="1:59" ht="15">
      <c r="A94" s="71" t="s">
        <v>73</v>
      </c>
      <c r="B94" s="48"/>
      <c r="C94" s="48"/>
      <c r="D94" s="48"/>
      <c r="E94" s="48"/>
      <c r="F94" s="48"/>
      <c r="G94" s="48"/>
      <c r="H94" s="48"/>
      <c r="I94" s="48"/>
      <c r="J94" s="48"/>
      <c r="K94" s="48"/>
      <c r="L94" s="48"/>
      <c r="M94" s="48"/>
      <c r="N94" s="48"/>
      <c r="O94" s="48"/>
      <c r="P94" s="48"/>
      <c r="Q94" s="48"/>
      <c r="R94" s="48"/>
      <c r="BE94" s="58">
        <v>2010</v>
      </c>
      <c r="BG94">
        <v>308936000</v>
      </c>
    </row>
    <row r="101" spans="1:23" s="1" customFormat="1" ht="15" thickBot="1">
      <c r="A101" s="512" t="s">
        <v>83</v>
      </c>
      <c r="B101" s="512"/>
      <c r="C101" s="512"/>
      <c r="D101" s="512"/>
      <c r="E101" s="512"/>
      <c r="F101" s="512"/>
      <c r="G101" s="512"/>
      <c r="H101" s="512"/>
      <c r="I101" s="512"/>
      <c r="J101" s="512"/>
      <c r="K101" s="512"/>
      <c r="L101" s="512"/>
      <c r="M101" s="512"/>
      <c r="N101" s="512"/>
      <c r="O101" s="512"/>
      <c r="P101" s="485"/>
      <c r="Q101" s="485"/>
      <c r="R101" s="485"/>
      <c r="S101" s="485"/>
      <c r="T101" s="485"/>
      <c r="U101" s="485"/>
      <c r="V101" s="485"/>
      <c r="W101" s="485"/>
    </row>
    <row r="102" spans="1:23" s="1" customFormat="1" ht="15.75" thickBot="1">
      <c r="A102" s="233" t="s">
        <v>0</v>
      </c>
      <c r="B102" s="74"/>
      <c r="C102" s="511" t="s">
        <v>49</v>
      </c>
      <c r="D102" s="511"/>
      <c r="E102" s="511"/>
      <c r="F102" s="62"/>
      <c r="G102" s="74"/>
      <c r="H102" s="511" t="s">
        <v>84</v>
      </c>
      <c r="I102" s="511"/>
      <c r="J102" s="511"/>
      <c r="K102" s="62"/>
      <c r="L102" s="74"/>
      <c r="M102" s="486" t="s">
        <v>197</v>
      </c>
      <c r="N102" s="486"/>
      <c r="O102" s="486"/>
      <c r="P102" s="469"/>
      <c r="Q102" s="469"/>
      <c r="R102" s="511" t="s">
        <v>22</v>
      </c>
      <c r="S102" s="486"/>
      <c r="T102" s="486"/>
      <c r="U102" s="486"/>
      <c r="V102" s="486"/>
      <c r="W102" s="486"/>
    </row>
    <row r="103" spans="1:23" s="1" customFormat="1" ht="15.75" thickBot="1">
      <c r="A103" s="55"/>
      <c r="B103" s="54"/>
      <c r="C103" s="54" t="s">
        <v>138</v>
      </c>
      <c r="D103" s="54"/>
      <c r="E103" s="523" t="s">
        <v>139</v>
      </c>
      <c r="F103" s="523"/>
      <c r="G103" s="54"/>
      <c r="H103" s="54" t="s">
        <v>138</v>
      </c>
      <c r="I103" s="54"/>
      <c r="J103" s="523" t="s">
        <v>139</v>
      </c>
      <c r="K103" s="523"/>
      <c r="L103" s="54"/>
      <c r="M103" s="54" t="s">
        <v>138</v>
      </c>
      <c r="N103" s="54"/>
      <c r="O103" s="523" t="s">
        <v>139</v>
      </c>
      <c r="P103" s="511"/>
      <c r="Q103" s="25"/>
      <c r="R103" s="54" t="s">
        <v>138</v>
      </c>
      <c r="S103" s="54"/>
      <c r="T103" s="511" t="s">
        <v>139</v>
      </c>
      <c r="U103" s="511"/>
      <c r="V103" s="470"/>
      <c r="W103" s="470" t="s">
        <v>85</v>
      </c>
    </row>
    <row r="104" spans="1:23" s="63" customFormat="1" ht="15">
      <c r="A104" s="228">
        <v>1999</v>
      </c>
      <c r="B104" s="68"/>
      <c r="C104" s="299">
        <f aca="true" t="shared" si="44" ref="C104:C111">AB65</f>
        <v>16.529209462388916</v>
      </c>
      <c r="D104" s="299"/>
      <c r="E104" s="299">
        <f aca="true" t="shared" si="45" ref="E104:E111">AD65</f>
        <v>497.6954657107928</v>
      </c>
      <c r="F104" s="299"/>
      <c r="G104" s="299"/>
      <c r="H104" s="299">
        <f aca="true" t="shared" si="46" ref="H104:H111">AG45</f>
        <v>123.72572742034967</v>
      </c>
      <c r="I104" s="299"/>
      <c r="J104" s="299">
        <f aca="true" t="shared" si="47" ref="J104:J111">AI45</f>
        <v>553.511372653801</v>
      </c>
      <c r="K104" s="299"/>
      <c r="L104" s="308"/>
      <c r="M104" s="462">
        <f>AG65</f>
        <v>18.780352112676056</v>
      </c>
      <c r="O104" s="462">
        <f>AI65</f>
        <v>5.008093896713615</v>
      </c>
      <c r="R104" s="308">
        <f>C104+H104+M104</f>
        <v>159.03528899541465</v>
      </c>
      <c r="S104" s="299"/>
      <c r="T104" s="299">
        <f>E104+J104+O104</f>
        <v>1056.2149322613075</v>
      </c>
      <c r="U104" s="53"/>
      <c r="V104" s="47"/>
      <c r="W104" s="474">
        <f aca="true" t="shared" si="48" ref="W104:W111">T104*2000*1000/BG83</f>
        <v>7.746606468576576</v>
      </c>
    </row>
    <row r="105" spans="1:23" s="63" customFormat="1" ht="15">
      <c r="A105" s="61">
        <v>2000</v>
      </c>
      <c r="B105" s="64"/>
      <c r="C105" s="300">
        <f t="shared" si="44"/>
        <v>18.97669511265559</v>
      </c>
      <c r="D105" s="300"/>
      <c r="E105" s="300">
        <f t="shared" si="45"/>
        <v>584.9707899605852</v>
      </c>
      <c r="F105" s="300"/>
      <c r="G105" s="300"/>
      <c r="H105" s="299">
        <f t="shared" si="46"/>
        <v>117.70363684404002</v>
      </c>
      <c r="I105" s="299"/>
      <c r="J105" s="299">
        <f t="shared" si="47"/>
        <v>690.4212123992523</v>
      </c>
      <c r="K105" s="300"/>
      <c r="L105" s="300"/>
      <c r="M105" s="300">
        <f aca="true" t="shared" si="49" ref="M105:M111">AG66</f>
        <v>24.965</v>
      </c>
      <c r="N105" s="60"/>
      <c r="O105" s="300">
        <f aca="true" t="shared" si="50" ref="O105:O111">AI66</f>
        <v>6.657333333333333</v>
      </c>
      <c r="P105" s="60"/>
      <c r="Q105" s="60"/>
      <c r="R105" s="300">
        <f aca="true" t="shared" si="51" ref="R105:R111">C105+H105+M105</f>
        <v>161.64533195669563</v>
      </c>
      <c r="S105" s="299"/>
      <c r="T105" s="299">
        <f aca="true" t="shared" si="52" ref="T105:T111">E105+J105+O105</f>
        <v>1282.0493356931709</v>
      </c>
      <c r="U105" s="59"/>
      <c r="V105" s="60"/>
      <c r="W105" s="474">
        <f t="shared" si="48"/>
        <v>9.08628770565543</v>
      </c>
    </row>
    <row r="106" spans="1:23" s="63" customFormat="1" ht="15">
      <c r="A106" s="61">
        <v>2001</v>
      </c>
      <c r="B106" s="64"/>
      <c r="C106" s="300">
        <f t="shared" si="44"/>
        <v>19.84648726925098</v>
      </c>
      <c r="D106" s="300"/>
      <c r="E106" s="300">
        <f t="shared" si="45"/>
        <v>615.139888449411</v>
      </c>
      <c r="F106" s="300"/>
      <c r="G106" s="300"/>
      <c r="H106" s="299">
        <f t="shared" si="46"/>
        <v>135.92663935800002</v>
      </c>
      <c r="I106" s="299"/>
      <c r="J106" s="299">
        <f>AI47</f>
        <v>823.5433682967142</v>
      </c>
      <c r="K106" s="300"/>
      <c r="L106" s="300"/>
      <c r="M106" s="300">
        <f t="shared" si="49"/>
        <v>37.855</v>
      </c>
      <c r="N106" s="60"/>
      <c r="O106" s="300">
        <f t="shared" si="50"/>
        <v>8.8993984375</v>
      </c>
      <c r="P106" s="60"/>
      <c r="Q106" s="60"/>
      <c r="R106" s="300">
        <f t="shared" si="51"/>
        <v>193.628126627251</v>
      </c>
      <c r="S106" s="299"/>
      <c r="T106" s="299">
        <f t="shared" si="52"/>
        <v>1447.582655183625</v>
      </c>
      <c r="U106" s="59"/>
      <c r="V106" s="60"/>
      <c r="W106" s="474">
        <f t="shared" si="48"/>
        <v>10.154483170588243</v>
      </c>
    </row>
    <row r="107" spans="1:23" s="63" customFormat="1" ht="15">
      <c r="A107" s="61">
        <v>2002</v>
      </c>
      <c r="B107" s="64"/>
      <c r="C107" s="300">
        <f t="shared" si="44"/>
        <v>19.92913797524814</v>
      </c>
      <c r="D107" s="300"/>
      <c r="E107" s="300">
        <f t="shared" si="45"/>
        <v>635.7726461380271</v>
      </c>
      <c r="F107" s="300"/>
      <c r="G107" s="300"/>
      <c r="H107" s="299">
        <f t="shared" si="46"/>
        <v>150.10092779000001</v>
      </c>
      <c r="I107" s="299"/>
      <c r="J107" s="299">
        <f t="shared" si="47"/>
        <v>987.0294460478808</v>
      </c>
      <c r="K107" s="300"/>
      <c r="L107" s="300"/>
      <c r="M107" s="300">
        <f t="shared" si="49"/>
        <v>55.155</v>
      </c>
      <c r="N107" s="60"/>
      <c r="O107" s="300">
        <f t="shared" si="50"/>
        <v>11.173109375</v>
      </c>
      <c r="P107" s="60"/>
      <c r="Q107" s="60"/>
      <c r="R107" s="300">
        <f t="shared" si="51"/>
        <v>225.18506576524814</v>
      </c>
      <c r="S107" s="299"/>
      <c r="T107" s="299">
        <f t="shared" si="52"/>
        <v>1633.9752015609079</v>
      </c>
      <c r="U107" s="59"/>
      <c r="V107" s="60"/>
      <c r="W107" s="474">
        <f t="shared" si="48"/>
        <v>11.35146364121144</v>
      </c>
    </row>
    <row r="108" spans="1:23" s="63" customFormat="1" ht="15">
      <c r="A108" s="61">
        <v>2003</v>
      </c>
      <c r="B108" s="64"/>
      <c r="C108" s="300">
        <f t="shared" si="44"/>
        <v>23.475048045127284</v>
      </c>
      <c r="D108" s="300"/>
      <c r="E108" s="300">
        <f t="shared" si="45"/>
        <v>734.0809153657711</v>
      </c>
      <c r="F108" s="300"/>
      <c r="G108" s="300"/>
      <c r="H108" s="299">
        <f t="shared" si="46"/>
        <v>174.51482786620002</v>
      </c>
      <c r="I108" s="299"/>
      <c r="J108" s="299">
        <f t="shared" si="47"/>
        <v>1196.1528138602407</v>
      </c>
      <c r="K108" s="300"/>
      <c r="L108" s="300"/>
      <c r="M108" s="300">
        <f t="shared" si="49"/>
        <v>75.775</v>
      </c>
      <c r="N108" s="60"/>
      <c r="O108" s="300">
        <f t="shared" si="50"/>
        <v>14.460971354166665</v>
      </c>
      <c r="P108" s="60"/>
      <c r="Q108" s="60"/>
      <c r="R108" s="300">
        <f t="shared" si="51"/>
        <v>273.7648759113273</v>
      </c>
      <c r="S108" s="299"/>
      <c r="T108" s="299">
        <f t="shared" si="52"/>
        <v>1944.6947005801785</v>
      </c>
      <c r="U108" s="59"/>
      <c r="V108" s="60"/>
      <c r="W108" s="474">
        <f t="shared" si="48"/>
        <v>13.391017216033458</v>
      </c>
    </row>
    <row r="109" spans="1:23" s="63" customFormat="1" ht="15">
      <c r="A109" s="58">
        <v>2004</v>
      </c>
      <c r="B109" s="60"/>
      <c r="C109" s="300">
        <f t="shared" si="44"/>
        <v>23.478745916156804</v>
      </c>
      <c r="D109" s="300"/>
      <c r="E109" s="300">
        <f t="shared" si="45"/>
        <v>753.6291578815594</v>
      </c>
      <c r="F109" s="300"/>
      <c r="G109" s="300"/>
      <c r="H109" s="299">
        <f t="shared" si="46"/>
        <v>190.43327578299997</v>
      </c>
      <c r="I109" s="299"/>
      <c r="J109" s="299">
        <f t="shared" si="47"/>
        <v>1272.8553056206576</v>
      </c>
      <c r="K109" s="300"/>
      <c r="L109" s="300"/>
      <c r="M109" s="300">
        <f t="shared" si="49"/>
        <v>96.75</v>
      </c>
      <c r="N109" s="60"/>
      <c r="O109" s="300">
        <f t="shared" si="50"/>
        <v>17.046739268543952</v>
      </c>
      <c r="P109" s="60"/>
      <c r="Q109" s="60"/>
      <c r="R109" s="300">
        <f t="shared" si="51"/>
        <v>310.66202169915675</v>
      </c>
      <c r="S109" s="299"/>
      <c r="T109" s="299">
        <f t="shared" si="52"/>
        <v>2043.531202770761</v>
      </c>
      <c r="U109" s="59"/>
      <c r="V109" s="60"/>
      <c r="W109" s="474">
        <f t="shared" si="48"/>
        <v>13.939907030737743</v>
      </c>
    </row>
    <row r="110" spans="1:23" s="63" customFormat="1" ht="15">
      <c r="A110" s="58">
        <v>2005</v>
      </c>
      <c r="B110" s="60"/>
      <c r="C110" s="300">
        <f t="shared" si="44"/>
        <v>23.98705091289579</v>
      </c>
      <c r="D110" s="300"/>
      <c r="E110" s="300">
        <f t="shared" si="45"/>
        <v>786.0160765193374</v>
      </c>
      <c r="F110" s="300"/>
      <c r="G110" s="300"/>
      <c r="H110" s="299">
        <f t="shared" si="46"/>
        <v>201.63526786</v>
      </c>
      <c r="I110" s="299"/>
      <c r="J110" s="299">
        <f t="shared" si="47"/>
        <v>1367.9727204744177</v>
      </c>
      <c r="K110" s="300"/>
      <c r="L110" s="300"/>
      <c r="M110" s="300">
        <f t="shared" si="49"/>
        <v>116.515</v>
      </c>
      <c r="N110" s="60"/>
      <c r="O110" s="300">
        <f t="shared" si="50"/>
        <v>18.636534855769227</v>
      </c>
      <c r="P110" s="60"/>
      <c r="Q110" s="60"/>
      <c r="R110" s="300">
        <f t="shared" si="51"/>
        <v>342.1373187728958</v>
      </c>
      <c r="S110" s="299"/>
      <c r="T110" s="299">
        <f t="shared" si="52"/>
        <v>2172.625331849524</v>
      </c>
      <c r="U110" s="59"/>
      <c r="V110" s="60"/>
      <c r="W110" s="474">
        <f t="shared" si="48"/>
        <v>14.685065618530862</v>
      </c>
    </row>
    <row r="111" spans="1:23" s="63" customFormat="1" ht="15">
      <c r="A111" s="58">
        <v>2006</v>
      </c>
      <c r="B111" s="60"/>
      <c r="C111" s="300">
        <f t="shared" si="44"/>
        <v>25.671028879355692</v>
      </c>
      <c r="D111" s="300"/>
      <c r="E111" s="300">
        <f t="shared" si="45"/>
        <v>846.7551482096139</v>
      </c>
      <c r="F111" s="300"/>
      <c r="G111" s="300"/>
      <c r="H111" s="299">
        <f t="shared" si="46"/>
        <v>189.404030328</v>
      </c>
      <c r="I111" s="299"/>
      <c r="J111" s="299">
        <f t="shared" si="47"/>
        <v>1242.061838104472</v>
      </c>
      <c r="K111" s="300"/>
      <c r="L111" s="300"/>
      <c r="M111" s="300">
        <f t="shared" si="49"/>
        <v>127.79</v>
      </c>
      <c r="N111" s="60"/>
      <c r="O111" s="300">
        <f t="shared" si="50"/>
        <v>18.9782228422619</v>
      </c>
      <c r="P111" s="60"/>
      <c r="Q111" s="60"/>
      <c r="R111" s="300">
        <f t="shared" si="51"/>
        <v>342.8650592073557</v>
      </c>
      <c r="S111" s="299"/>
      <c r="T111" s="299">
        <f t="shared" si="52"/>
        <v>2107.7952091563475</v>
      </c>
      <c r="U111" s="59"/>
      <c r="V111" s="60"/>
      <c r="W111" s="474">
        <f t="shared" si="48"/>
        <v>14.110535295876499</v>
      </c>
    </row>
    <row r="112" spans="1:25" s="63" customFormat="1" ht="15">
      <c r="A112" s="58">
        <v>2007</v>
      </c>
      <c r="B112" s="60"/>
      <c r="C112" s="300">
        <f>AB73</f>
        <v>26.89395786140509</v>
      </c>
      <c r="D112" s="300"/>
      <c r="E112" s="300">
        <f>AD73</f>
        <v>910.5812053273787</v>
      </c>
      <c r="F112" s="300"/>
      <c r="G112" s="300"/>
      <c r="H112" s="299">
        <f>AG53</f>
        <v>205.48740481120004</v>
      </c>
      <c r="I112" s="299"/>
      <c r="J112" s="299">
        <f>AI53</f>
        <v>1321.9201686095823</v>
      </c>
      <c r="K112" s="300"/>
      <c r="L112" s="300"/>
      <c r="M112" s="300">
        <f>AG73</f>
        <v>140.305</v>
      </c>
      <c r="N112" s="60"/>
      <c r="O112" s="300">
        <f>AI73</f>
        <v>19.235429487179484</v>
      </c>
      <c r="P112" s="60"/>
      <c r="Q112" s="60"/>
      <c r="R112" s="300">
        <f>C112+H112+M112</f>
        <v>372.6863626726051</v>
      </c>
      <c r="S112" s="299"/>
      <c r="T112" s="299">
        <f>E112+J112+O112</f>
        <v>2251.7368034241404</v>
      </c>
      <c r="U112" s="59"/>
      <c r="V112" s="60"/>
      <c r="W112" s="474">
        <f>T112*2000*1000/BG91</f>
        <v>14.930894276916659</v>
      </c>
      <c r="Y112" s="475"/>
    </row>
    <row r="113" spans="1:23" s="1" customFormat="1" ht="15">
      <c r="A113" s="10" t="s">
        <v>74</v>
      </c>
      <c r="B113" s="67"/>
      <c r="C113" s="306"/>
      <c r="D113" s="306"/>
      <c r="E113" s="306"/>
      <c r="F113" s="306"/>
      <c r="G113" s="306"/>
      <c r="H113" s="306"/>
      <c r="I113" s="306"/>
      <c r="J113" s="306"/>
      <c r="K113" s="306"/>
      <c r="L113" s="306"/>
      <c r="M113" s="471"/>
      <c r="N113" s="3"/>
      <c r="O113" s="471"/>
      <c r="P113" s="3"/>
      <c r="Q113" s="3"/>
      <c r="R113" s="306"/>
      <c r="S113" s="306"/>
      <c r="T113" s="306"/>
      <c r="U113" s="472"/>
      <c r="V113" s="3"/>
      <c r="W113" s="473"/>
    </row>
    <row r="114" spans="2:15" ht="15">
      <c r="B114" s="48"/>
      <c r="C114" s="48"/>
      <c r="D114" s="48"/>
      <c r="E114" s="48"/>
      <c r="F114" s="48"/>
      <c r="G114" s="48"/>
      <c r="H114" s="48"/>
      <c r="I114" s="48"/>
      <c r="J114" s="48"/>
      <c r="K114" s="48"/>
      <c r="L114" s="48"/>
      <c r="N114" s="48"/>
      <c r="O114" s="48"/>
    </row>
    <row r="115" ht="12.75">
      <c r="BA115" t="s">
        <v>220</v>
      </c>
    </row>
    <row r="116" ht="15">
      <c r="BA116" s="58"/>
    </row>
    <row r="117" spans="1:56" ht="15.75" thickBot="1">
      <c r="A117" s="516" t="s">
        <v>91</v>
      </c>
      <c r="B117" s="516"/>
      <c r="C117" s="516"/>
      <c r="D117" s="516"/>
      <c r="E117" s="516"/>
      <c r="F117" s="516"/>
      <c r="G117" s="516"/>
      <c r="H117" s="516"/>
      <c r="I117" s="516"/>
      <c r="J117" s="516"/>
      <c r="K117" s="516"/>
      <c r="L117" s="516"/>
      <c r="M117" s="73"/>
      <c r="N117" s="73"/>
      <c r="O117" s="73"/>
      <c r="P117" s="43"/>
      <c r="BA117" s="51" t="s">
        <v>0</v>
      </c>
      <c r="BB117" s="48"/>
      <c r="BC117" s="48"/>
      <c r="BD117" t="s">
        <v>88</v>
      </c>
    </row>
    <row r="118" spans="1:55" ht="15">
      <c r="A118" s="233" t="s">
        <v>0</v>
      </c>
      <c r="B118" s="74"/>
      <c r="C118" s="517" t="s">
        <v>87</v>
      </c>
      <c r="D118" s="517"/>
      <c r="E118" s="517"/>
      <c r="F118" s="233"/>
      <c r="G118" s="74"/>
      <c r="H118" s="517" t="s">
        <v>89</v>
      </c>
      <c r="I118" s="517"/>
      <c r="J118" s="517"/>
      <c r="K118" s="233"/>
      <c r="L118" s="67"/>
      <c r="BA118" s="61">
        <v>1999</v>
      </c>
      <c r="BB118" s="64"/>
      <c r="BC118" s="59"/>
    </row>
    <row r="119" spans="1:56" ht="15.75" thickBot="1">
      <c r="A119" s="55"/>
      <c r="B119" s="54"/>
      <c r="C119" s="523" t="s">
        <v>165</v>
      </c>
      <c r="D119" s="513"/>
      <c r="E119" s="513"/>
      <c r="F119" s="513"/>
      <c r="G119" s="54"/>
      <c r="H119" s="523" t="s">
        <v>90</v>
      </c>
      <c r="I119" s="513"/>
      <c r="J119" s="513"/>
      <c r="K119" s="55"/>
      <c r="L119" s="48"/>
      <c r="BA119" s="61">
        <v>2000</v>
      </c>
      <c r="BB119" s="64"/>
      <c r="BC119" s="59"/>
      <c r="BD119">
        <f>C121/C120</f>
        <v>1.2101910828025477</v>
      </c>
    </row>
    <row r="120" spans="1:56" ht="15">
      <c r="A120" s="228">
        <v>1999</v>
      </c>
      <c r="B120" s="68"/>
      <c r="C120" s="528">
        <v>157</v>
      </c>
      <c r="D120" s="528"/>
      <c r="E120" s="529"/>
      <c r="F120" s="53"/>
      <c r="G120" s="53"/>
      <c r="H120" s="524">
        <f aca="true" t="shared" si="53" ref="H120:H128">(C120*2000*1000)/BG83</f>
        <v>1.151486481035311</v>
      </c>
      <c r="I120" s="525"/>
      <c r="J120" s="525"/>
      <c r="K120" s="53"/>
      <c r="L120" s="53"/>
      <c r="AK120" s="419"/>
      <c r="BA120" s="61">
        <v>2001</v>
      </c>
      <c r="BB120" s="64"/>
      <c r="BC120" s="59"/>
      <c r="BD120">
        <f aca="true" t="shared" si="54" ref="BD120:BD125">C122/C121</f>
        <v>1.105263157894737</v>
      </c>
    </row>
    <row r="121" spans="1:56" ht="15">
      <c r="A121" s="61">
        <v>2000</v>
      </c>
      <c r="B121" s="64"/>
      <c r="C121" s="535">
        <v>190</v>
      </c>
      <c r="D121" s="535"/>
      <c r="E121" s="536"/>
      <c r="F121" s="59"/>
      <c r="G121" s="59"/>
      <c r="H121" s="530">
        <f t="shared" si="53"/>
        <v>1.3465898823161238</v>
      </c>
      <c r="I121" s="531"/>
      <c r="J121" s="531"/>
      <c r="K121" s="59"/>
      <c r="L121" s="59"/>
      <c r="AK121" s="419"/>
      <c r="BA121" s="61">
        <v>2002</v>
      </c>
      <c r="BB121" s="64"/>
      <c r="BC121" s="59"/>
      <c r="BD121">
        <f t="shared" si="54"/>
        <v>1.1904761904761905</v>
      </c>
    </row>
    <row r="122" spans="1:56" ht="15">
      <c r="A122" s="61">
        <v>2001</v>
      </c>
      <c r="B122" s="64"/>
      <c r="C122" s="535">
        <v>210</v>
      </c>
      <c r="D122" s="535"/>
      <c r="E122" s="536"/>
      <c r="F122" s="59"/>
      <c r="G122" s="59"/>
      <c r="H122" s="532">
        <f t="shared" si="53"/>
        <v>1.4731051509822297</v>
      </c>
      <c r="I122" s="533"/>
      <c r="J122" s="533"/>
      <c r="K122" s="59"/>
      <c r="L122" s="59"/>
      <c r="AK122" s="419"/>
      <c r="BA122" s="61">
        <v>2003</v>
      </c>
      <c r="BB122" s="64"/>
      <c r="BC122" s="59"/>
      <c r="BD122">
        <f t="shared" si="54"/>
        <v>1.16</v>
      </c>
    </row>
    <row r="123" spans="1:56" ht="15">
      <c r="A123" s="61">
        <v>2002</v>
      </c>
      <c r="B123" s="64"/>
      <c r="C123" s="535">
        <v>250</v>
      </c>
      <c r="D123" s="535"/>
      <c r="E123" s="536"/>
      <c r="F123" s="59"/>
      <c r="G123" s="59"/>
      <c r="H123" s="518">
        <f t="shared" si="53"/>
        <v>1.7367864014043155</v>
      </c>
      <c r="I123" s="519"/>
      <c r="J123" s="519"/>
      <c r="K123" s="59"/>
      <c r="L123" s="59"/>
      <c r="AK123" s="419"/>
      <c r="BA123" s="58">
        <v>2004</v>
      </c>
      <c r="BB123" s="60"/>
      <c r="BC123" s="59"/>
      <c r="BD123">
        <f t="shared" si="54"/>
        <v>1.103448275862069</v>
      </c>
    </row>
    <row r="124" spans="1:58" ht="15">
      <c r="A124" s="61">
        <v>2003</v>
      </c>
      <c r="B124" s="64"/>
      <c r="C124" s="535">
        <v>290</v>
      </c>
      <c r="D124" s="535"/>
      <c r="E124" s="536"/>
      <c r="F124" s="59"/>
      <c r="G124" s="59"/>
      <c r="H124" s="518">
        <f t="shared" si="53"/>
        <v>1.9969175580573826</v>
      </c>
      <c r="I124" s="519"/>
      <c r="J124" s="519"/>
      <c r="K124" s="59"/>
      <c r="L124" s="59"/>
      <c r="AK124" s="419"/>
      <c r="BA124" s="58">
        <v>2005</v>
      </c>
      <c r="BB124" s="60"/>
      <c r="BC124" s="59"/>
      <c r="BD124">
        <f t="shared" si="54"/>
        <v>1.078125</v>
      </c>
      <c r="BF124">
        <f>AVERAGE(BD119:BD126)</f>
        <v>1.1299002425929026</v>
      </c>
    </row>
    <row r="125" spans="1:56" ht="15">
      <c r="A125" s="58">
        <v>2004</v>
      </c>
      <c r="B125" s="60"/>
      <c r="C125" s="520">
        <v>320</v>
      </c>
      <c r="D125" s="520"/>
      <c r="E125" s="534"/>
      <c r="F125" s="420"/>
      <c r="G125" s="420"/>
      <c r="H125" s="526">
        <f t="shared" si="53"/>
        <v>2.182873568941769</v>
      </c>
      <c r="I125" s="527"/>
      <c r="J125" s="527"/>
      <c r="K125" s="59"/>
      <c r="L125" s="59"/>
      <c r="AK125" s="419"/>
      <c r="BA125" s="58">
        <v>2006</v>
      </c>
      <c r="BB125" s="60"/>
      <c r="BC125" s="59"/>
      <c r="BD125">
        <f t="shared" si="54"/>
        <v>1.0918840579710145</v>
      </c>
    </row>
    <row r="126" spans="1:56" ht="15">
      <c r="A126" s="58">
        <v>2005</v>
      </c>
      <c r="B126" s="60"/>
      <c r="C126" s="520">
        <v>345</v>
      </c>
      <c r="D126" s="521"/>
      <c r="E126" s="521"/>
      <c r="F126" s="420"/>
      <c r="G126" s="420"/>
      <c r="H126" s="538">
        <f t="shared" si="53"/>
        <v>2.331901209160734</v>
      </c>
      <c r="I126" s="539"/>
      <c r="J126" s="539"/>
      <c r="K126" s="59"/>
      <c r="L126" s="59"/>
      <c r="AK126" s="419"/>
      <c r="BA126" s="58">
        <v>2007</v>
      </c>
      <c r="BB126" s="60"/>
      <c r="BC126" s="59"/>
      <c r="BD126">
        <f>C128/C127</f>
        <v>1.0998141757366606</v>
      </c>
    </row>
    <row r="127" spans="1:37" ht="15">
      <c r="A127" s="58">
        <v>2006</v>
      </c>
      <c r="B127" s="60"/>
      <c r="C127" s="520">
        <f>C126+31.7</f>
        <v>376.7</v>
      </c>
      <c r="D127" s="521"/>
      <c r="E127" s="521"/>
      <c r="F127" s="420"/>
      <c r="G127" s="420"/>
      <c r="H127" s="538">
        <f>(C127*2000*1000)/BG90</f>
        <v>2.5218003261731488</v>
      </c>
      <c r="I127" s="539"/>
      <c r="J127" s="539"/>
      <c r="K127" s="59"/>
      <c r="L127" s="59"/>
      <c r="AK127" s="419"/>
    </row>
    <row r="128" spans="1:37" ht="15">
      <c r="A128" s="58">
        <v>2007</v>
      </c>
      <c r="B128" s="60"/>
      <c r="C128" s="520">
        <f>C127+37.6</f>
        <v>414.3</v>
      </c>
      <c r="D128" s="520"/>
      <c r="E128" s="534"/>
      <c r="F128" s="420"/>
      <c r="G128" s="420"/>
      <c r="H128" s="526">
        <f t="shared" si="53"/>
        <v>2.747154769385093</v>
      </c>
      <c r="I128" s="527"/>
      <c r="J128" s="527"/>
      <c r="K128" s="59"/>
      <c r="L128" s="59"/>
      <c r="AK128" s="419"/>
    </row>
    <row r="129" spans="1:15" ht="37.5" customHeight="1">
      <c r="A129" s="537" t="s">
        <v>258</v>
      </c>
      <c r="B129" s="537"/>
      <c r="C129" s="537"/>
      <c r="D129" s="537"/>
      <c r="E129" s="537"/>
      <c r="F129" s="537"/>
      <c r="G129" s="537"/>
      <c r="H129" s="537"/>
      <c r="I129" s="537"/>
      <c r="J129" s="537"/>
      <c r="K129" s="48"/>
      <c r="L129" s="48"/>
      <c r="M129" s="48"/>
      <c r="N129" s="48"/>
      <c r="O129" s="48"/>
    </row>
    <row r="130" ht="12.75">
      <c r="AZ130" t="s">
        <v>220</v>
      </c>
    </row>
    <row r="131" spans="1:62" ht="15" thickBot="1">
      <c r="A131" s="512" t="s">
        <v>175</v>
      </c>
      <c r="B131" s="512"/>
      <c r="C131" s="512"/>
      <c r="D131" s="512"/>
      <c r="E131" s="512"/>
      <c r="F131" s="512"/>
      <c r="G131" s="512"/>
      <c r="H131" s="512"/>
      <c r="I131" s="512"/>
      <c r="J131" s="512"/>
      <c r="K131" s="512"/>
      <c r="L131" s="512"/>
      <c r="M131" s="512"/>
      <c r="N131" s="512"/>
      <c r="O131" s="512"/>
      <c r="P131" s="488"/>
      <c r="Q131" s="488"/>
      <c r="R131" s="488"/>
      <c r="S131" s="488"/>
      <c r="T131" s="488"/>
      <c r="U131" s="488"/>
      <c r="V131" s="488"/>
      <c r="W131" s="488"/>
      <c r="AZ131" s="39" t="s">
        <v>177</v>
      </c>
      <c r="BA131" s="39"/>
      <c r="BB131" s="39"/>
      <c r="BC131" s="39"/>
      <c r="BD131" s="39"/>
      <c r="BE131" s="39"/>
      <c r="BF131" s="39"/>
      <c r="BG131" s="39"/>
      <c r="BH131" s="39"/>
      <c r="BI131" s="39"/>
      <c r="BJ131" s="39"/>
    </row>
    <row r="132" spans="1:72" s="63" customFormat="1" ht="15.75" thickBot="1">
      <c r="A132" s="233" t="s">
        <v>0</v>
      </c>
      <c r="B132" s="74"/>
      <c r="C132" s="511" t="s">
        <v>49</v>
      </c>
      <c r="D132" s="511"/>
      <c r="E132" s="511"/>
      <c r="F132" s="62"/>
      <c r="G132" s="74"/>
      <c r="H132" s="511" t="s">
        <v>84</v>
      </c>
      <c r="I132" s="511"/>
      <c r="J132" s="511"/>
      <c r="K132" s="62"/>
      <c r="L132" s="74"/>
      <c r="M132" s="511" t="s">
        <v>197</v>
      </c>
      <c r="N132" s="511"/>
      <c r="O132" s="511"/>
      <c r="P132" s="74"/>
      <c r="Q132" s="424"/>
      <c r="R132" s="511" t="s">
        <v>22</v>
      </c>
      <c r="S132" s="487"/>
      <c r="T132" s="487"/>
      <c r="U132" s="487"/>
      <c r="V132" s="487"/>
      <c r="W132" s="487"/>
      <c r="AZ132" s="233" t="s">
        <v>0</v>
      </c>
      <c r="BA132" s="511" t="s">
        <v>259</v>
      </c>
      <c r="BB132" s="511"/>
      <c r="BC132" s="74"/>
      <c r="BD132" s="511" t="s">
        <v>197</v>
      </c>
      <c r="BE132" s="511"/>
      <c r="BF132" s="233"/>
      <c r="BG132" s="517" t="s">
        <v>262</v>
      </c>
      <c r="BH132" s="517"/>
      <c r="BI132" s="74"/>
      <c r="BJ132" s="424" t="s">
        <v>263</v>
      </c>
      <c r="BK132" s="424"/>
      <c r="BL132" s="424"/>
      <c r="BM132" s="62"/>
      <c r="BN132" s="360"/>
      <c r="BO132" s="332" t="s">
        <v>264</v>
      </c>
      <c r="BP132" s="62"/>
      <c r="BQ132" s="62"/>
      <c r="BR132" s="62"/>
      <c r="BT132" s="63" t="s">
        <v>197</v>
      </c>
    </row>
    <row r="133" spans="1:74" s="63" customFormat="1" ht="15.75" thickBot="1">
      <c r="A133" s="55"/>
      <c r="B133" s="54"/>
      <c r="C133" s="54" t="s">
        <v>138</v>
      </c>
      <c r="D133" s="54"/>
      <c r="E133" s="523" t="s">
        <v>139</v>
      </c>
      <c r="F133" s="523"/>
      <c r="G133" s="54"/>
      <c r="H133" s="54" t="s">
        <v>138</v>
      </c>
      <c r="I133" s="54"/>
      <c r="J133" s="523" t="s">
        <v>139</v>
      </c>
      <c r="K133" s="523"/>
      <c r="L133" s="54"/>
      <c r="M133" s="54" t="s">
        <v>138</v>
      </c>
      <c r="N133" s="54"/>
      <c r="O133" s="523" t="s">
        <v>139</v>
      </c>
      <c r="P133" s="523"/>
      <c r="Q133" s="360"/>
      <c r="R133" s="360" t="s">
        <v>138</v>
      </c>
      <c r="S133" s="360"/>
      <c r="T133" s="511" t="s">
        <v>139</v>
      </c>
      <c r="U133" s="511"/>
      <c r="V133" s="360"/>
      <c r="W133" s="360" t="s">
        <v>85</v>
      </c>
      <c r="AV133" s="51"/>
      <c r="AZ133" s="55"/>
      <c r="BA133" s="54" t="s">
        <v>260</v>
      </c>
      <c r="BB133" s="54" t="s">
        <v>261</v>
      </c>
      <c r="BC133" s="54"/>
      <c r="BD133" s="54" t="s">
        <v>260</v>
      </c>
      <c r="BE133" s="54" t="s">
        <v>261</v>
      </c>
      <c r="BF133" s="54"/>
      <c r="BG133" s="54" t="s">
        <v>260</v>
      </c>
      <c r="BH133" s="54" t="s">
        <v>261</v>
      </c>
      <c r="BI133" s="54"/>
      <c r="BJ133" s="54" t="s">
        <v>138</v>
      </c>
      <c r="BK133" s="54"/>
      <c r="BL133" s="511" t="s">
        <v>139</v>
      </c>
      <c r="BM133" s="511"/>
      <c r="BN133" s="54"/>
      <c r="BO133" s="54" t="s">
        <v>138</v>
      </c>
      <c r="BP133" s="54"/>
      <c r="BQ133" s="62" t="s">
        <v>139</v>
      </c>
      <c r="BR133" s="62"/>
      <c r="BT133" s="425" t="s">
        <v>138</v>
      </c>
      <c r="BU133" s="425"/>
      <c r="BV133" s="426" t="s">
        <v>139</v>
      </c>
    </row>
    <row r="134" spans="1:74" s="63" customFormat="1" ht="15">
      <c r="A134" s="228">
        <v>1999</v>
      </c>
      <c r="B134" s="68"/>
      <c r="C134" s="299">
        <f aca="true" t="shared" si="55" ref="C134:C141">BJ134*(R134-M134)</f>
        <v>2.564630705325865</v>
      </c>
      <c r="D134" s="299"/>
      <c r="E134" s="299">
        <f>BM134*(T134-O134)</f>
        <v>74.09477822209062</v>
      </c>
      <c r="F134" s="299"/>
      <c r="G134" s="299"/>
      <c r="H134" s="299">
        <f>BO134*(R134-M134)</f>
        <v>19.196973715108765</v>
      </c>
      <c r="I134" s="299"/>
      <c r="J134" s="299">
        <f>BQ134*(T134-O134)</f>
        <v>82.40441238823803</v>
      </c>
      <c r="K134" s="299"/>
      <c r="L134" s="299"/>
      <c r="M134" s="447">
        <f>BD134*0.1</f>
        <v>1.8780352112676058</v>
      </c>
      <c r="N134" s="448"/>
      <c r="O134" s="449">
        <f>BE134*0.1</f>
        <v>0.5008093896713616</v>
      </c>
      <c r="Q134" s="48"/>
      <c r="R134" s="299">
        <f>BA85*T134</f>
        <v>23.639639631702238</v>
      </c>
      <c r="S134" s="299"/>
      <c r="T134" s="310">
        <f aca="true" t="shared" si="56" ref="T134:T140">C120</f>
        <v>157</v>
      </c>
      <c r="U134" s="57"/>
      <c r="V134" s="450"/>
      <c r="W134" s="461">
        <f aca="true" t="shared" si="57" ref="W134:W142">T134*2000*1000/BG83</f>
        <v>1.151486481035311</v>
      </c>
      <c r="Y134" s="462"/>
      <c r="AB134" s="462"/>
      <c r="AZ134" s="228">
        <v>1999</v>
      </c>
      <c r="BA134" s="406">
        <f>R104</f>
        <v>159.03528899541465</v>
      </c>
      <c r="BB134" s="406">
        <f>T104</f>
        <v>1056.2149322613075</v>
      </c>
      <c r="BC134" s="406"/>
      <c r="BD134" s="406">
        <f>M104</f>
        <v>18.780352112676056</v>
      </c>
      <c r="BE134" s="406">
        <f>O104</f>
        <v>5.008093896713615</v>
      </c>
      <c r="BF134" s="406"/>
      <c r="BG134" s="406">
        <f>BA134-BD134</f>
        <v>140.2549368827386</v>
      </c>
      <c r="BH134" s="406">
        <f>BB134-BE134</f>
        <v>1051.2068383645938</v>
      </c>
      <c r="BI134" s="406"/>
      <c r="BJ134" s="305">
        <f>C104/BG134</f>
        <v>0.11785117750406397</v>
      </c>
      <c r="BK134" s="305"/>
      <c r="BL134" s="305"/>
      <c r="BM134" s="305">
        <f>E104/BH134</f>
        <v>0.47345151072749714</v>
      </c>
      <c r="BN134" s="305"/>
      <c r="BO134" s="305">
        <f>H104/BG134</f>
        <v>0.8821488224959358</v>
      </c>
      <c r="BP134" s="305"/>
      <c r="BQ134" s="305">
        <f>J104/BH134</f>
        <v>0.526548489272503</v>
      </c>
      <c r="BR134" s="463"/>
      <c r="BT134" s="464">
        <f>1-(BJ134+BO134)</f>
        <v>0</v>
      </c>
      <c r="BU134" s="465"/>
      <c r="BV134" s="464">
        <f aca="true" t="shared" si="58" ref="BV134:BV142">1-(BM134+BQ134)</f>
        <v>0</v>
      </c>
    </row>
    <row r="135" spans="1:74" s="63" customFormat="1" ht="15">
      <c r="A135" s="61">
        <v>2000</v>
      </c>
      <c r="B135" s="64"/>
      <c r="C135" s="299">
        <f t="shared" si="55"/>
        <v>2.9794192229049052</v>
      </c>
      <c r="D135" s="299"/>
      <c r="E135" s="299">
        <f aca="true" t="shared" si="59" ref="E135:E142">BM135*(T135-O135)</f>
        <v>86.8399796561997</v>
      </c>
      <c r="F135" s="299"/>
      <c r="G135" s="299"/>
      <c r="H135" s="299">
        <f aca="true" t="shared" si="60" ref="H135:H142">BO135*(R135-M135)</f>
        <v>18.479955341911783</v>
      </c>
      <c r="I135" s="299"/>
      <c r="J135" s="299">
        <f aca="true" t="shared" si="61" ref="J135:J142">BQ135*(T135-O135)</f>
        <v>102.49428701046698</v>
      </c>
      <c r="K135" s="299"/>
      <c r="L135" s="299"/>
      <c r="M135" s="449">
        <f aca="true" t="shared" si="62" ref="M135:M140">BD135*0.1</f>
        <v>2.4965</v>
      </c>
      <c r="N135" s="64"/>
      <c r="O135" s="449">
        <f aca="true" t="shared" si="63" ref="O135:O142">BE135*0.1</f>
        <v>0.6657333333333333</v>
      </c>
      <c r="P135" s="60"/>
      <c r="Q135" s="60"/>
      <c r="R135" s="299">
        <f aca="true" t="shared" si="64" ref="R135:R142">BA86*T135</f>
        <v>23.955874564816693</v>
      </c>
      <c r="S135" s="299"/>
      <c r="T135" s="300">
        <f t="shared" si="56"/>
        <v>190</v>
      </c>
      <c r="U135" s="59"/>
      <c r="V135" s="60"/>
      <c r="W135" s="466">
        <f t="shared" si="57"/>
        <v>1.3465898823161238</v>
      </c>
      <c r="Y135" s="462"/>
      <c r="AB135" s="462"/>
      <c r="AZ135" s="61">
        <v>2000</v>
      </c>
      <c r="BA135" s="406">
        <f aca="true" t="shared" si="65" ref="BA135:BA141">R105</f>
        <v>161.64533195669563</v>
      </c>
      <c r="BB135" s="406">
        <f aca="true" t="shared" si="66" ref="BB135:BB142">T105</f>
        <v>1282.0493356931709</v>
      </c>
      <c r="BC135" s="406"/>
      <c r="BD135" s="406">
        <f aca="true" t="shared" si="67" ref="BD135:BD142">M105</f>
        <v>24.965</v>
      </c>
      <c r="BE135" s="406">
        <f aca="true" t="shared" si="68" ref="BE135:BE142">O105</f>
        <v>6.657333333333333</v>
      </c>
      <c r="BF135" s="406"/>
      <c r="BG135" s="406">
        <f aca="true" t="shared" si="69" ref="BG135:BG142">BA135-BD135</f>
        <v>136.68033195669562</v>
      </c>
      <c r="BH135" s="406">
        <f aca="true" t="shared" si="70" ref="BH135:BH142">BB135-BE135</f>
        <v>1275.3920023598375</v>
      </c>
      <c r="BI135" s="406"/>
      <c r="BJ135" s="305">
        <f aca="true" t="shared" si="71" ref="BJ135:BJ142">C105/BG135</f>
        <v>0.13883998407808937</v>
      </c>
      <c r="BK135" s="305"/>
      <c r="BL135" s="305"/>
      <c r="BM135" s="305">
        <f aca="true" t="shared" si="72" ref="BM135:BM141">E105/BH135</f>
        <v>0.4586596033832916</v>
      </c>
      <c r="BN135" s="305"/>
      <c r="BO135" s="305">
        <f aca="true" t="shared" si="73" ref="BO135:BO142">H105/BG135</f>
        <v>0.8611600159219105</v>
      </c>
      <c r="BP135" s="305"/>
      <c r="BQ135" s="305">
        <f aca="true" t="shared" si="74" ref="BQ135:BQ142">J105/BH135</f>
        <v>0.5413403966167084</v>
      </c>
      <c r="BR135" s="463"/>
      <c r="BT135" s="464">
        <f aca="true" t="shared" si="75" ref="BT135:BT140">1-(BJ135+BO135)</f>
        <v>0</v>
      </c>
      <c r="BU135" s="465"/>
      <c r="BV135" s="464">
        <f t="shared" si="58"/>
        <v>0</v>
      </c>
    </row>
    <row r="136" spans="1:74" s="63" customFormat="1" ht="15">
      <c r="A136" s="61">
        <v>2001</v>
      </c>
      <c r="B136" s="64"/>
      <c r="C136" s="299">
        <f t="shared" si="55"/>
        <v>3.096487164891943</v>
      </c>
      <c r="D136" s="299"/>
      <c r="E136" s="299">
        <f t="shared" si="59"/>
        <v>89.4094919607896</v>
      </c>
      <c r="F136" s="299"/>
      <c r="G136" s="299"/>
      <c r="H136" s="299">
        <f t="shared" si="60"/>
        <v>21.207536045487203</v>
      </c>
      <c r="I136" s="299"/>
      <c r="J136" s="299">
        <f t="shared" si="61"/>
        <v>119.70056819546042</v>
      </c>
      <c r="K136" s="299"/>
      <c r="L136" s="299"/>
      <c r="M136" s="449">
        <f t="shared" si="62"/>
        <v>3.7855</v>
      </c>
      <c r="N136" s="64"/>
      <c r="O136" s="449">
        <f t="shared" si="63"/>
        <v>0.8899398437500001</v>
      </c>
      <c r="P136" s="60"/>
      <c r="Q136" s="60"/>
      <c r="R136" s="299">
        <f t="shared" si="64"/>
        <v>28.089523210379145</v>
      </c>
      <c r="S136" s="299"/>
      <c r="T136" s="300">
        <f t="shared" si="56"/>
        <v>210</v>
      </c>
      <c r="U136" s="59"/>
      <c r="V136" s="60"/>
      <c r="W136" s="466">
        <f t="shared" si="57"/>
        <v>1.4731051509822297</v>
      </c>
      <c r="Y136" s="462"/>
      <c r="AB136" s="462"/>
      <c r="AZ136" s="61">
        <v>2001</v>
      </c>
      <c r="BA136" s="406">
        <f t="shared" si="65"/>
        <v>193.628126627251</v>
      </c>
      <c r="BB136" s="406">
        <f t="shared" si="66"/>
        <v>1447.582655183625</v>
      </c>
      <c r="BC136" s="406"/>
      <c r="BD136" s="406">
        <f t="shared" si="67"/>
        <v>37.855</v>
      </c>
      <c r="BE136" s="406">
        <f t="shared" si="68"/>
        <v>8.8993984375</v>
      </c>
      <c r="BF136" s="406"/>
      <c r="BG136" s="406">
        <f t="shared" si="69"/>
        <v>155.773126627251</v>
      </c>
      <c r="BH136" s="406">
        <f t="shared" si="70"/>
        <v>1438.6832567461252</v>
      </c>
      <c r="BI136" s="406"/>
      <c r="BJ136" s="305">
        <f t="shared" si="71"/>
        <v>0.12740636141137215</v>
      </c>
      <c r="BK136" s="305"/>
      <c r="BL136" s="305"/>
      <c r="BM136" s="305">
        <f t="shared" si="72"/>
        <v>0.4275714515790467</v>
      </c>
      <c r="BN136" s="305"/>
      <c r="BO136" s="305">
        <f t="shared" si="73"/>
        <v>0.8725936385886278</v>
      </c>
      <c r="BP136" s="305"/>
      <c r="BQ136" s="305">
        <f t="shared" si="74"/>
        <v>0.5724285484209534</v>
      </c>
      <c r="BR136" s="463"/>
      <c r="BT136" s="464">
        <f t="shared" si="75"/>
        <v>0</v>
      </c>
      <c r="BU136" s="465"/>
      <c r="BV136" s="464">
        <f t="shared" si="58"/>
        <v>0</v>
      </c>
    </row>
    <row r="137" spans="1:74" s="63" customFormat="1" ht="15">
      <c r="A137" s="61">
        <v>2002</v>
      </c>
      <c r="B137" s="64"/>
      <c r="C137" s="299">
        <f t="shared" si="55"/>
        <v>3.3918156425864843</v>
      </c>
      <c r="D137" s="299"/>
      <c r="E137" s="299">
        <f t="shared" si="59"/>
        <v>97.50591681211999</v>
      </c>
      <c r="F137" s="299"/>
      <c r="G137" s="299"/>
      <c r="H137" s="299">
        <f t="shared" si="60"/>
        <v>25.54624668047276</v>
      </c>
      <c r="I137" s="299"/>
      <c r="J137" s="299">
        <f t="shared" si="61"/>
        <v>151.37677225038</v>
      </c>
      <c r="K137" s="299"/>
      <c r="L137" s="299"/>
      <c r="M137" s="449">
        <f t="shared" si="62"/>
        <v>5.5155</v>
      </c>
      <c r="N137" s="64"/>
      <c r="O137" s="449">
        <f t="shared" si="63"/>
        <v>1.1173109374999999</v>
      </c>
      <c r="P137" s="60"/>
      <c r="Q137" s="60"/>
      <c r="R137" s="299">
        <f t="shared" si="64"/>
        <v>34.45356232305924</v>
      </c>
      <c r="S137" s="299"/>
      <c r="T137" s="300">
        <f t="shared" si="56"/>
        <v>250</v>
      </c>
      <c r="U137" s="59"/>
      <c r="V137" s="60"/>
      <c r="W137" s="466">
        <f t="shared" si="57"/>
        <v>1.7367864014043155</v>
      </c>
      <c r="Y137" s="462"/>
      <c r="AB137" s="462"/>
      <c r="AZ137" s="61">
        <v>2002</v>
      </c>
      <c r="BA137" s="406">
        <f t="shared" si="65"/>
        <v>225.18506576524814</v>
      </c>
      <c r="BB137" s="406">
        <f t="shared" si="66"/>
        <v>1633.9752015609079</v>
      </c>
      <c r="BC137" s="406"/>
      <c r="BD137" s="406">
        <f t="shared" si="67"/>
        <v>55.155</v>
      </c>
      <c r="BE137" s="406">
        <f t="shared" si="68"/>
        <v>11.173109375</v>
      </c>
      <c r="BF137" s="406"/>
      <c r="BG137" s="406">
        <f t="shared" si="69"/>
        <v>170.03006576524814</v>
      </c>
      <c r="BH137" s="406">
        <f t="shared" si="70"/>
        <v>1622.802092185908</v>
      </c>
      <c r="BI137" s="406"/>
      <c r="BJ137" s="305">
        <f t="shared" si="71"/>
        <v>0.11720949401244887</v>
      </c>
      <c r="BK137" s="305"/>
      <c r="BL137" s="305"/>
      <c r="BM137" s="305">
        <f t="shared" si="72"/>
        <v>0.3917746034463413</v>
      </c>
      <c r="BN137" s="305"/>
      <c r="BO137" s="305">
        <f t="shared" si="73"/>
        <v>0.8827905059875513</v>
      </c>
      <c r="BP137" s="305"/>
      <c r="BQ137" s="305">
        <f t="shared" si="74"/>
        <v>0.6082253965536587</v>
      </c>
      <c r="BR137" s="463"/>
      <c r="BT137" s="464">
        <f t="shared" si="75"/>
        <v>0</v>
      </c>
      <c r="BU137" s="465"/>
      <c r="BV137" s="464">
        <f t="shared" si="58"/>
        <v>0</v>
      </c>
    </row>
    <row r="138" spans="1:74" s="63" customFormat="1" ht="15">
      <c r="A138" s="61">
        <v>2003</v>
      </c>
      <c r="B138" s="64"/>
      <c r="C138" s="299">
        <f t="shared" si="55"/>
        <v>3.9420322169727893</v>
      </c>
      <c r="D138" s="299"/>
      <c r="E138" s="299">
        <f t="shared" si="59"/>
        <v>109.73899685823842</v>
      </c>
      <c r="F138" s="299"/>
      <c r="G138" s="299"/>
      <c r="H138" s="299">
        <f t="shared" si="60"/>
        <v>29.305289278452296</v>
      </c>
      <c r="I138" s="299"/>
      <c r="J138" s="299">
        <f t="shared" si="61"/>
        <v>178.8149060063449</v>
      </c>
      <c r="K138" s="299"/>
      <c r="L138" s="299"/>
      <c r="M138" s="449">
        <f t="shared" si="62"/>
        <v>7.577500000000001</v>
      </c>
      <c r="N138" s="64"/>
      <c r="O138" s="449">
        <f t="shared" si="63"/>
        <v>1.4460971354166665</v>
      </c>
      <c r="P138" s="60"/>
      <c r="Q138" s="60"/>
      <c r="R138" s="299">
        <f t="shared" si="64"/>
        <v>40.824821495425084</v>
      </c>
      <c r="S138" s="299"/>
      <c r="T138" s="300">
        <f t="shared" si="56"/>
        <v>290</v>
      </c>
      <c r="U138" s="59"/>
      <c r="V138" s="60"/>
      <c r="W138" s="466">
        <f t="shared" si="57"/>
        <v>1.9969175580573826</v>
      </c>
      <c r="Y138" s="462"/>
      <c r="AB138" s="462"/>
      <c r="AZ138" s="61">
        <v>2003</v>
      </c>
      <c r="BA138" s="406">
        <f t="shared" si="65"/>
        <v>273.7648759113273</v>
      </c>
      <c r="BB138" s="406">
        <f t="shared" si="66"/>
        <v>1944.6947005801785</v>
      </c>
      <c r="BC138" s="406"/>
      <c r="BD138" s="406">
        <f t="shared" si="67"/>
        <v>75.775</v>
      </c>
      <c r="BE138" s="406">
        <f t="shared" si="68"/>
        <v>14.460971354166665</v>
      </c>
      <c r="BF138" s="406"/>
      <c r="BG138" s="406">
        <f t="shared" si="69"/>
        <v>197.9898759113273</v>
      </c>
      <c r="BH138" s="406">
        <f t="shared" si="70"/>
        <v>1930.2337292260117</v>
      </c>
      <c r="BI138" s="406"/>
      <c r="BJ138" s="305">
        <f t="shared" si="71"/>
        <v>0.11856691124772932</v>
      </c>
      <c r="BK138" s="305"/>
      <c r="BL138" s="305"/>
      <c r="BM138" s="305">
        <f t="shared" si="72"/>
        <v>0.3803067495147979</v>
      </c>
      <c r="BN138" s="305"/>
      <c r="BO138" s="305">
        <f t="shared" si="73"/>
        <v>0.8814330887522708</v>
      </c>
      <c r="BP138" s="305"/>
      <c r="BQ138" s="305">
        <f t="shared" si="74"/>
        <v>0.6196932504852021</v>
      </c>
      <c r="BR138" s="463"/>
      <c r="BT138" s="464">
        <f t="shared" si="75"/>
        <v>0</v>
      </c>
      <c r="BU138" s="465"/>
      <c r="BV138" s="464">
        <f t="shared" si="58"/>
        <v>0</v>
      </c>
    </row>
    <row r="139" spans="1:74" s="63" customFormat="1" ht="15">
      <c r="A139" s="58">
        <v>2004</v>
      </c>
      <c r="B139" s="60"/>
      <c r="C139" s="299">
        <f t="shared" si="55"/>
        <v>4.277533345771557</v>
      </c>
      <c r="D139" s="299"/>
      <c r="E139" s="299">
        <f t="shared" si="59"/>
        <v>118.37082537093856</v>
      </c>
      <c r="F139" s="299"/>
      <c r="G139" s="299"/>
      <c r="H139" s="299">
        <f t="shared" si="60"/>
        <v>34.69455695015382</v>
      </c>
      <c r="I139" s="299"/>
      <c r="J139" s="299">
        <f t="shared" si="61"/>
        <v>199.924500702207</v>
      </c>
      <c r="K139" s="299"/>
      <c r="L139" s="299"/>
      <c r="M139" s="449">
        <f t="shared" si="62"/>
        <v>9.675</v>
      </c>
      <c r="N139" s="64"/>
      <c r="O139" s="449">
        <f t="shared" si="63"/>
        <v>1.7046739268543953</v>
      </c>
      <c r="P139" s="60"/>
      <c r="Q139" s="60"/>
      <c r="R139" s="299">
        <f t="shared" si="64"/>
        <v>48.647090295925366</v>
      </c>
      <c r="S139" s="299"/>
      <c r="T139" s="300">
        <f t="shared" si="56"/>
        <v>320</v>
      </c>
      <c r="U139" s="59"/>
      <c r="V139" s="60"/>
      <c r="W139" s="466">
        <f t="shared" si="57"/>
        <v>2.182873568941769</v>
      </c>
      <c r="Y139" s="462"/>
      <c r="AB139" s="462"/>
      <c r="AZ139" s="58">
        <v>2004</v>
      </c>
      <c r="BA139" s="406">
        <f t="shared" si="65"/>
        <v>310.66202169915675</v>
      </c>
      <c r="BB139" s="406">
        <f t="shared" si="66"/>
        <v>2043.531202770761</v>
      </c>
      <c r="BC139" s="406"/>
      <c r="BD139" s="406">
        <f t="shared" si="67"/>
        <v>96.75</v>
      </c>
      <c r="BE139" s="406">
        <f t="shared" si="68"/>
        <v>17.046739268543952</v>
      </c>
      <c r="BF139" s="406"/>
      <c r="BG139" s="406">
        <f t="shared" si="69"/>
        <v>213.91202169915675</v>
      </c>
      <c r="BH139" s="406">
        <f t="shared" si="70"/>
        <v>2026.484463502217</v>
      </c>
      <c r="BI139" s="406"/>
      <c r="BJ139" s="305">
        <f t="shared" si="71"/>
        <v>0.10975888933057266</v>
      </c>
      <c r="BK139" s="305"/>
      <c r="BL139" s="305"/>
      <c r="BM139" s="305">
        <f t="shared" si="72"/>
        <v>0.37188992635014834</v>
      </c>
      <c r="BN139" s="305"/>
      <c r="BO139" s="305">
        <f t="shared" si="73"/>
        <v>0.8902411106694275</v>
      </c>
      <c r="BP139" s="305"/>
      <c r="BQ139" s="305">
        <f t="shared" si="74"/>
        <v>0.6281100736498516</v>
      </c>
      <c r="BR139" s="463"/>
      <c r="BT139" s="464">
        <f t="shared" si="75"/>
        <v>0</v>
      </c>
      <c r="BU139" s="465"/>
      <c r="BV139" s="464">
        <f t="shared" si="58"/>
        <v>0</v>
      </c>
    </row>
    <row r="140" spans="1:74" s="63" customFormat="1" ht="15">
      <c r="A140" s="61">
        <v>2005</v>
      </c>
      <c r="B140" s="60"/>
      <c r="C140" s="299">
        <f t="shared" si="55"/>
        <v>4.537300877230179</v>
      </c>
      <c r="D140" s="300"/>
      <c r="E140" s="299">
        <f t="shared" si="59"/>
        <v>125.21452533776971</v>
      </c>
      <c r="F140" s="300"/>
      <c r="G140" s="300"/>
      <c r="H140" s="299">
        <f t="shared" si="60"/>
        <v>38.140573472909395</v>
      </c>
      <c r="I140" s="300"/>
      <c r="J140" s="299">
        <f t="shared" si="61"/>
        <v>217.92182117665337</v>
      </c>
      <c r="K140" s="300"/>
      <c r="L140" s="300"/>
      <c r="M140" s="467">
        <f t="shared" si="62"/>
        <v>11.6515</v>
      </c>
      <c r="N140" s="64"/>
      <c r="O140" s="449">
        <f t="shared" si="63"/>
        <v>1.863653485576923</v>
      </c>
      <c r="P140" s="64"/>
      <c r="Q140" s="64"/>
      <c r="R140" s="300">
        <f t="shared" si="64"/>
        <v>54.32937435013958</v>
      </c>
      <c r="S140" s="60"/>
      <c r="T140" s="300">
        <f t="shared" si="56"/>
        <v>345</v>
      </c>
      <c r="U140" s="60"/>
      <c r="V140" s="60"/>
      <c r="W140" s="466">
        <f t="shared" si="57"/>
        <v>2.331901209160734</v>
      </c>
      <c r="Y140" s="462"/>
      <c r="AB140" s="462"/>
      <c r="AZ140" s="58">
        <v>2005</v>
      </c>
      <c r="BA140" s="406">
        <f t="shared" si="65"/>
        <v>342.1373187728958</v>
      </c>
      <c r="BB140" s="406">
        <f t="shared" si="66"/>
        <v>2172.625331849524</v>
      </c>
      <c r="BC140" s="406"/>
      <c r="BD140" s="406">
        <f t="shared" si="67"/>
        <v>116.515</v>
      </c>
      <c r="BE140" s="406">
        <f t="shared" si="68"/>
        <v>18.636534855769227</v>
      </c>
      <c r="BF140" s="406"/>
      <c r="BG140" s="406">
        <f t="shared" si="69"/>
        <v>225.62231877289582</v>
      </c>
      <c r="BH140" s="406">
        <f t="shared" si="70"/>
        <v>2153.988796993755</v>
      </c>
      <c r="BI140" s="406"/>
      <c r="BJ140" s="305">
        <f t="shared" si="71"/>
        <v>0.10631506246082145</v>
      </c>
      <c r="BK140" s="305"/>
      <c r="BL140" s="305"/>
      <c r="BM140" s="305">
        <f t="shared" si="72"/>
        <v>0.364911868444419</v>
      </c>
      <c r="BN140" s="305"/>
      <c r="BO140" s="305">
        <f t="shared" si="73"/>
        <v>0.8936849375391784</v>
      </c>
      <c r="BP140" s="305"/>
      <c r="BQ140" s="305">
        <f t="shared" si="74"/>
        <v>0.6350881315555811</v>
      </c>
      <c r="BR140" s="463"/>
      <c r="BT140" s="464">
        <f t="shared" si="75"/>
        <v>0</v>
      </c>
      <c r="BU140" s="465"/>
      <c r="BV140" s="464">
        <f t="shared" si="58"/>
        <v>0</v>
      </c>
    </row>
    <row r="141" spans="1:74" s="63" customFormat="1" ht="15">
      <c r="A141" s="61">
        <v>2006</v>
      </c>
      <c r="B141" s="60"/>
      <c r="C141" s="299">
        <f t="shared" si="55"/>
        <v>5.794352594317037</v>
      </c>
      <c r="D141" s="405"/>
      <c r="E141" s="299">
        <f t="shared" si="59"/>
        <v>152.0572181126978</v>
      </c>
      <c r="F141" s="405"/>
      <c r="G141" s="405"/>
      <c r="H141" s="406">
        <f t="shared" si="60"/>
        <v>42.751451048684835</v>
      </c>
      <c r="I141" s="405"/>
      <c r="J141" s="299">
        <f t="shared" si="61"/>
        <v>223.04495960307605</v>
      </c>
      <c r="K141" s="405"/>
      <c r="L141" s="405"/>
      <c r="M141" s="449">
        <f>BD141*0.1</f>
        <v>12.779000000000002</v>
      </c>
      <c r="N141" s="64"/>
      <c r="O141" s="449">
        <f t="shared" si="63"/>
        <v>1.89782228422619</v>
      </c>
      <c r="P141" s="64"/>
      <c r="Q141" s="64"/>
      <c r="R141" s="405">
        <f>BA92*T141</f>
        <v>61.32480364300188</v>
      </c>
      <c r="S141" s="64"/>
      <c r="T141" s="405">
        <f>ROUND(C127,-0.1)</f>
        <v>377</v>
      </c>
      <c r="U141" s="64"/>
      <c r="V141" s="64"/>
      <c r="W141" s="449">
        <f t="shared" si="57"/>
        <v>2.523808661978437</v>
      </c>
      <c r="Y141" s="462"/>
      <c r="AB141" s="462"/>
      <c r="AZ141" s="58">
        <v>2006</v>
      </c>
      <c r="BA141" s="406">
        <f t="shared" si="65"/>
        <v>342.8650592073557</v>
      </c>
      <c r="BB141" s="406">
        <f t="shared" si="66"/>
        <v>2107.7952091563475</v>
      </c>
      <c r="BC141" s="406"/>
      <c r="BD141" s="406">
        <f t="shared" si="67"/>
        <v>127.79</v>
      </c>
      <c r="BE141" s="406">
        <f t="shared" si="68"/>
        <v>18.9782228422619</v>
      </c>
      <c r="BF141" s="406"/>
      <c r="BG141" s="406">
        <f t="shared" si="69"/>
        <v>215.0750592073557</v>
      </c>
      <c r="BH141" s="406">
        <f t="shared" si="70"/>
        <v>2088.8169863140856</v>
      </c>
      <c r="BI141" s="406"/>
      <c r="BJ141" s="305">
        <f t="shared" si="71"/>
        <v>0.11935846477952626</v>
      </c>
      <c r="BK141" s="305"/>
      <c r="BL141" s="305"/>
      <c r="BM141" s="305">
        <f t="shared" si="72"/>
        <v>0.40537546073090547</v>
      </c>
      <c r="BN141" s="305"/>
      <c r="BO141" s="305">
        <f t="shared" si="73"/>
        <v>0.8806415352204737</v>
      </c>
      <c r="BP141" s="305"/>
      <c r="BQ141" s="305">
        <f t="shared" si="74"/>
        <v>0.5946245392690946</v>
      </c>
      <c r="BR141" s="463"/>
      <c r="BT141" s="464">
        <f>1-(BJ141+BO141)</f>
        <v>0</v>
      </c>
      <c r="BU141" s="465"/>
      <c r="BV141" s="464">
        <f t="shared" si="58"/>
        <v>0</v>
      </c>
    </row>
    <row r="142" spans="1:74" s="63" customFormat="1" ht="15">
      <c r="A142" s="61">
        <v>2007</v>
      </c>
      <c r="B142" s="60"/>
      <c r="C142" s="299">
        <f>BJ142*(R142-M142)</f>
        <v>6.306340160570347</v>
      </c>
      <c r="D142" s="405"/>
      <c r="E142" s="299">
        <f t="shared" si="59"/>
        <v>168.07563091756802</v>
      </c>
      <c r="F142" s="405"/>
      <c r="G142" s="405"/>
      <c r="H142" s="406">
        <f t="shared" si="60"/>
        <v>48.184558038291776</v>
      </c>
      <c r="I142" s="405"/>
      <c r="J142" s="299">
        <f t="shared" si="61"/>
        <v>244.000826133714</v>
      </c>
      <c r="K142" s="405"/>
      <c r="L142" s="405"/>
      <c r="M142" s="449">
        <f>BD142*0.1</f>
        <v>14.030500000000002</v>
      </c>
      <c r="N142" s="64"/>
      <c r="O142" s="449">
        <f t="shared" si="63"/>
        <v>1.9235429487179485</v>
      </c>
      <c r="P142" s="64"/>
      <c r="Q142" s="64"/>
      <c r="R142" s="405">
        <f t="shared" si="64"/>
        <v>68.52139819886213</v>
      </c>
      <c r="S142" s="64"/>
      <c r="T142" s="405">
        <f>ROUND(C128,-0.1)</f>
        <v>414</v>
      </c>
      <c r="U142" s="64"/>
      <c r="V142" s="64"/>
      <c r="W142" s="449">
        <f t="shared" si="57"/>
        <v>2.745165519009</v>
      </c>
      <c r="Y142" s="462"/>
      <c r="AB142" s="462"/>
      <c r="AZ142" s="58">
        <v>2007</v>
      </c>
      <c r="BA142" s="406">
        <f>R112</f>
        <v>372.6863626726051</v>
      </c>
      <c r="BB142" s="406">
        <f t="shared" si="66"/>
        <v>2251.7368034241404</v>
      </c>
      <c r="BC142" s="406"/>
      <c r="BD142" s="406">
        <f t="shared" si="67"/>
        <v>140.305</v>
      </c>
      <c r="BE142" s="406">
        <f t="shared" si="68"/>
        <v>19.235429487179484</v>
      </c>
      <c r="BF142" s="406"/>
      <c r="BG142" s="406">
        <f t="shared" si="69"/>
        <v>232.38136267260512</v>
      </c>
      <c r="BH142" s="406">
        <f t="shared" si="70"/>
        <v>2232.501373936961</v>
      </c>
      <c r="BI142" s="406"/>
      <c r="BJ142" s="305">
        <f t="shared" si="71"/>
        <v>0.11573199137873699</v>
      </c>
      <c r="BK142" s="305"/>
      <c r="BL142" s="305"/>
      <c r="BM142" s="305">
        <f>E112/BH142</f>
        <v>0.40787486895096114</v>
      </c>
      <c r="BN142" s="305"/>
      <c r="BO142" s="305">
        <f t="shared" si="73"/>
        <v>0.884268008621263</v>
      </c>
      <c r="BP142" s="305"/>
      <c r="BQ142" s="305">
        <f t="shared" si="74"/>
        <v>0.5921251310490389</v>
      </c>
      <c r="BR142" s="463"/>
      <c r="BT142" s="464">
        <f>1-(BJ142+BO142)</f>
        <v>0</v>
      </c>
      <c r="BU142" s="465"/>
      <c r="BV142" s="464">
        <f t="shared" si="58"/>
        <v>0</v>
      </c>
    </row>
    <row r="143" spans="1:71" s="63" customFormat="1" ht="15">
      <c r="A143" s="10" t="s">
        <v>269</v>
      </c>
      <c r="B143" s="48"/>
      <c r="C143" s="49"/>
      <c r="D143" s="49"/>
      <c r="E143" s="49"/>
      <c r="F143" s="49"/>
      <c r="G143" s="49"/>
      <c r="H143" s="49"/>
      <c r="I143" s="49"/>
      <c r="J143" s="49"/>
      <c r="K143" s="49"/>
      <c r="L143" s="49"/>
      <c r="M143" s="308"/>
      <c r="N143" s="49"/>
      <c r="O143" s="49"/>
      <c r="P143" s="49"/>
      <c r="Q143" s="48"/>
      <c r="R143" s="468"/>
      <c r="W143" s="468"/>
      <c r="AZ143" s="58">
        <v>2008</v>
      </c>
      <c r="BA143" s="60"/>
      <c r="BB143" s="47"/>
      <c r="BC143" s="47"/>
      <c r="BD143" s="47"/>
      <c r="BE143" s="47"/>
      <c r="BF143" s="47"/>
      <c r="BG143" s="305"/>
      <c r="BH143" s="305"/>
      <c r="BI143" s="305"/>
      <c r="BJ143" s="305"/>
      <c r="BK143" s="305"/>
      <c r="BL143" s="305"/>
      <c r="BM143" s="305"/>
      <c r="BN143" s="305"/>
      <c r="BO143" s="305"/>
      <c r="BQ143" s="463"/>
      <c r="BS143" s="463"/>
    </row>
    <row r="144" spans="1:71" ht="15">
      <c r="A144" s="51"/>
      <c r="B144" s="48"/>
      <c r="AZ144" s="58">
        <v>2009</v>
      </c>
      <c r="BA144" s="60"/>
      <c r="BB144" s="47"/>
      <c r="BC144" s="47"/>
      <c r="BD144" s="47"/>
      <c r="BE144" s="47"/>
      <c r="BF144" s="47"/>
      <c r="BG144" s="305"/>
      <c r="BH144" s="305"/>
      <c r="BI144" s="305"/>
      <c r="BJ144" s="305"/>
      <c r="BK144" s="305"/>
      <c r="BL144" s="305"/>
      <c r="BM144" s="305"/>
      <c r="BN144" s="305"/>
      <c r="BO144" s="305"/>
      <c r="BQ144" s="341"/>
      <c r="BS144" s="341"/>
    </row>
    <row r="145" spans="1:33" ht="15">
      <c r="A145" s="260">
        <v>2006</v>
      </c>
      <c r="B145" s="48"/>
      <c r="C145" s="375">
        <f>C141/C111</f>
        <v>0.22571563537824463</v>
      </c>
      <c r="D145" s="49"/>
      <c r="E145" s="375">
        <f>E141/E111</f>
        <v>0.17957637273798552</v>
      </c>
      <c r="F145" s="49"/>
      <c r="G145" s="49"/>
      <c r="H145" s="375">
        <f>H141/H111</f>
        <v>0.22571563537824463</v>
      </c>
      <c r="I145" s="49"/>
      <c r="J145" s="375">
        <f>J141/J111</f>
        <v>0.1795763727379855</v>
      </c>
      <c r="K145" s="49"/>
      <c r="L145" s="49"/>
      <c r="M145" s="375">
        <f>M141/M111</f>
        <v>0.1</v>
      </c>
      <c r="N145" s="49"/>
      <c r="O145" s="375">
        <f>O141/O111</f>
        <v>0.1</v>
      </c>
      <c r="P145" s="40"/>
      <c r="Q145" s="39"/>
      <c r="R145" s="375">
        <f>R141/R111</f>
        <v>0.17885988086617557</v>
      </c>
      <c r="T145" s="375">
        <f>T141/T111</f>
        <v>0.1788598808661756</v>
      </c>
      <c r="W145" s="39"/>
      <c r="X145" s="39"/>
      <c r="Y145" s="39"/>
      <c r="Z145" s="39"/>
      <c r="AA145" s="39"/>
      <c r="AB145" s="39"/>
      <c r="AC145" s="39"/>
      <c r="AD145" s="39"/>
      <c r="AE145" s="39"/>
      <c r="AF145" s="39"/>
      <c r="AG145" s="39"/>
    </row>
    <row r="146" spans="1:66" ht="15">
      <c r="A146" s="260">
        <v>2007</v>
      </c>
      <c r="C146" s="375">
        <f>C142/C112</f>
        <v>0.2344891069239174</v>
      </c>
      <c r="E146" s="375">
        <f>E142/E112</f>
        <v>0.18458060624822611</v>
      </c>
      <c r="H146" s="375">
        <f>H142/H112</f>
        <v>0.23448910692391736</v>
      </c>
      <c r="I146" s="49"/>
      <c r="J146" s="375">
        <f>J142/J112</f>
        <v>0.18458060624822614</v>
      </c>
      <c r="K146" s="49"/>
      <c r="L146" s="49"/>
      <c r="M146" s="375">
        <f>M142/M112</f>
        <v>0.1</v>
      </c>
      <c r="N146" s="49"/>
      <c r="O146" s="375">
        <f>O142/O112</f>
        <v>0.1</v>
      </c>
      <c r="P146" s="40"/>
      <c r="Q146" s="39"/>
      <c r="R146" s="375">
        <f>R142/R112</f>
        <v>0.18385807762720935</v>
      </c>
      <c r="T146" s="375">
        <f>T142/T112</f>
        <v>0.18385807762720943</v>
      </c>
      <c r="BG146" s="39"/>
      <c r="BH146" s="39"/>
      <c r="BI146" s="39"/>
      <c r="BJ146" s="39"/>
      <c r="BK146" s="39"/>
      <c r="BL146" s="39"/>
      <c r="BM146" s="39"/>
      <c r="BN146" s="39"/>
    </row>
    <row r="147" spans="52:66" ht="15">
      <c r="AZ147" s="514"/>
      <c r="BA147" s="514"/>
      <c r="BB147" s="514"/>
      <c r="BC147" s="514"/>
      <c r="BD147" s="515"/>
      <c r="BE147" s="515"/>
      <c r="BG147" s="39"/>
      <c r="BH147" s="39"/>
      <c r="BI147" s="39"/>
      <c r="BJ147" s="39"/>
      <c r="BK147" s="427"/>
      <c r="BL147" s="39"/>
      <c r="BM147" s="39"/>
      <c r="BN147" s="39"/>
    </row>
    <row r="148" spans="52:66" ht="15">
      <c r="AZ148" s="48"/>
      <c r="BA148" s="48"/>
      <c r="BB148" s="522"/>
      <c r="BC148" s="522"/>
      <c r="BD148" s="39"/>
      <c r="BE148" s="227"/>
      <c r="BG148" s="39"/>
      <c r="BH148" s="39"/>
      <c r="BI148" s="39"/>
      <c r="BJ148" s="428"/>
      <c r="BK148" s="39"/>
      <c r="BL148" s="428"/>
      <c r="BM148" s="39"/>
      <c r="BN148" s="39"/>
    </row>
    <row r="149" spans="52:66" ht="15">
      <c r="AZ149" s="49"/>
      <c r="BA149" s="49"/>
      <c r="BB149" s="49"/>
      <c r="BC149" s="40"/>
      <c r="BD149" s="39"/>
      <c r="BE149" s="227"/>
      <c r="BG149" s="39"/>
      <c r="BH149" s="39"/>
      <c r="BI149" s="39"/>
      <c r="BJ149" s="428"/>
      <c r="BK149" s="39"/>
      <c r="BL149" s="428"/>
      <c r="BM149" s="39"/>
      <c r="BN149" s="39"/>
    </row>
    <row r="150" spans="52:66" ht="15">
      <c r="AZ150" s="49"/>
      <c r="BA150" s="49"/>
      <c r="BB150" s="49"/>
      <c r="BC150" s="40"/>
      <c r="BD150" s="39"/>
      <c r="BE150" s="227"/>
      <c r="BG150" s="39"/>
      <c r="BH150" s="39"/>
      <c r="BI150" s="39"/>
      <c r="BJ150" s="39"/>
      <c r="BK150" s="39"/>
      <c r="BL150" s="39"/>
      <c r="BM150" s="39"/>
      <c r="BN150" s="39"/>
    </row>
    <row r="151" spans="52:66" ht="15">
      <c r="AZ151" s="49"/>
      <c r="BA151" s="49"/>
      <c r="BB151" s="49"/>
      <c r="BC151" s="40"/>
      <c r="BD151" s="39"/>
      <c r="BE151" s="40"/>
      <c r="BG151" s="39"/>
      <c r="BH151" s="39"/>
      <c r="BI151" s="39"/>
      <c r="BJ151" s="39"/>
      <c r="BK151" s="39"/>
      <c r="BL151" s="39"/>
      <c r="BM151" s="39"/>
      <c r="BN151" s="39"/>
    </row>
    <row r="152" spans="52:66" ht="15">
      <c r="AZ152" s="49"/>
      <c r="BA152" s="49"/>
      <c r="BB152" s="49"/>
      <c r="BC152" s="40"/>
      <c r="BD152" s="39"/>
      <c r="BE152" s="227"/>
      <c r="BG152" s="39"/>
      <c r="BH152" s="39"/>
      <c r="BI152" s="39"/>
      <c r="BJ152" s="39"/>
      <c r="BK152" s="39"/>
      <c r="BL152" s="39"/>
      <c r="BM152" s="39"/>
      <c r="BN152" s="39"/>
    </row>
    <row r="153" spans="52:56" ht="15">
      <c r="AZ153" s="49"/>
      <c r="BA153" s="49"/>
      <c r="BB153" s="49"/>
      <c r="BC153" s="40"/>
      <c r="BD153" s="39"/>
    </row>
    <row r="154" spans="52:57" ht="15">
      <c r="AZ154" s="49"/>
      <c r="BA154" s="49"/>
      <c r="BB154" s="49"/>
      <c r="BC154" s="40"/>
      <c r="BD154" s="39"/>
      <c r="BE154" s="227"/>
    </row>
    <row r="155" spans="52:57" ht="15">
      <c r="AZ155" s="49"/>
      <c r="BA155" s="49"/>
      <c r="BB155" s="49"/>
      <c r="BC155" s="40"/>
      <c r="BD155" s="39"/>
      <c r="BE155" s="227"/>
    </row>
    <row r="156" spans="52:57" ht="15">
      <c r="AZ156" s="49"/>
      <c r="BA156" s="49"/>
      <c r="BB156" s="49"/>
      <c r="BC156" s="40"/>
      <c r="BD156" s="39"/>
      <c r="BE156" s="227"/>
    </row>
    <row r="157" spans="52:57" ht="15">
      <c r="AZ157" s="49"/>
      <c r="BA157" s="49"/>
      <c r="BB157" s="49"/>
      <c r="BC157" s="40"/>
      <c r="BD157" s="39"/>
      <c r="BE157" s="227"/>
    </row>
  </sheetData>
  <mergeCells count="119">
    <mergeCell ref="A131:W131"/>
    <mergeCell ref="AG63:AI63"/>
    <mergeCell ref="A82:T82"/>
    <mergeCell ref="AB64:AC64"/>
    <mergeCell ref="W64:X64"/>
    <mergeCell ref="Y64:Z64"/>
    <mergeCell ref="AB63:AE63"/>
    <mergeCell ref="W63:Y63"/>
    <mergeCell ref="AD73:AE73"/>
    <mergeCell ref="AD75:AE75"/>
    <mergeCell ref="E103:F103"/>
    <mergeCell ref="J103:K103"/>
    <mergeCell ref="T103:U103"/>
    <mergeCell ref="C102:E102"/>
    <mergeCell ref="H102:J102"/>
    <mergeCell ref="M102:O102"/>
    <mergeCell ref="O103:P103"/>
    <mergeCell ref="A101:W101"/>
    <mergeCell ref="R102:W102"/>
    <mergeCell ref="E133:F133"/>
    <mergeCell ref="J133:K133"/>
    <mergeCell ref="T133:U133"/>
    <mergeCell ref="C132:E132"/>
    <mergeCell ref="H132:J132"/>
    <mergeCell ref="M132:O132"/>
    <mergeCell ref="O133:P133"/>
    <mergeCell ref="R132:W132"/>
    <mergeCell ref="C2:BC2"/>
    <mergeCell ref="E64:F64"/>
    <mergeCell ref="O64:P64"/>
    <mergeCell ref="M63:P63"/>
    <mergeCell ref="AD64:AE64"/>
    <mergeCell ref="Y44:Z44"/>
    <mergeCell ref="AK63:AM63"/>
    <mergeCell ref="R63:T63"/>
    <mergeCell ref="J44:K44"/>
    <mergeCell ref="AG64:AH64"/>
    <mergeCell ref="AD71:AE71"/>
    <mergeCell ref="AD69:AE69"/>
    <mergeCell ref="AD74:AE74"/>
    <mergeCell ref="AD72:AE72"/>
    <mergeCell ref="AD70:AE70"/>
    <mergeCell ref="AD68:AE68"/>
    <mergeCell ref="AD65:AE65"/>
    <mergeCell ref="C3:E3"/>
    <mergeCell ref="H3:J3"/>
    <mergeCell ref="C63:E63"/>
    <mergeCell ref="H63:J63"/>
    <mergeCell ref="C44:D44"/>
    <mergeCell ref="H43:K43"/>
    <mergeCell ref="H44:I44"/>
    <mergeCell ref="AD66:AE66"/>
    <mergeCell ref="E44:F44"/>
    <mergeCell ref="AG44:AH44"/>
    <mergeCell ref="AI44:AJ44"/>
    <mergeCell ref="AD67:AE67"/>
    <mergeCell ref="A62:AI62"/>
    <mergeCell ref="AI64:AJ64"/>
    <mergeCell ref="M44:N44"/>
    <mergeCell ref="O44:P44"/>
    <mergeCell ref="R64:S64"/>
    <mergeCell ref="M64:N64"/>
    <mergeCell ref="AB44:AC44"/>
    <mergeCell ref="AD44:AE44"/>
    <mergeCell ref="M43:P43"/>
    <mergeCell ref="R44:S44"/>
    <mergeCell ref="T44:U44"/>
    <mergeCell ref="W44:X44"/>
    <mergeCell ref="R43:U43"/>
    <mergeCell ref="E84:F84"/>
    <mergeCell ref="H84:I84"/>
    <mergeCell ref="C84:D84"/>
    <mergeCell ref="C64:D64"/>
    <mergeCell ref="H64:I64"/>
    <mergeCell ref="O83:T83"/>
    <mergeCell ref="H83:M83"/>
    <mergeCell ref="C83:E83"/>
    <mergeCell ref="J64:K64"/>
    <mergeCell ref="T64:U64"/>
    <mergeCell ref="A129:J129"/>
    <mergeCell ref="C128:E128"/>
    <mergeCell ref="H126:J126"/>
    <mergeCell ref="H128:J128"/>
    <mergeCell ref="H127:J127"/>
    <mergeCell ref="C120:E120"/>
    <mergeCell ref="H123:J123"/>
    <mergeCell ref="C127:E127"/>
    <mergeCell ref="H121:J121"/>
    <mergeCell ref="H122:J122"/>
    <mergeCell ref="C125:E125"/>
    <mergeCell ref="C121:E121"/>
    <mergeCell ref="C122:E122"/>
    <mergeCell ref="C123:E123"/>
    <mergeCell ref="C124:E124"/>
    <mergeCell ref="H124:J124"/>
    <mergeCell ref="C126:E126"/>
    <mergeCell ref="BB148:BC148"/>
    <mergeCell ref="A117:L117"/>
    <mergeCell ref="C119:F119"/>
    <mergeCell ref="C118:E118"/>
    <mergeCell ref="H118:J118"/>
    <mergeCell ref="H119:J119"/>
    <mergeCell ref="H120:J120"/>
    <mergeCell ref="H125:J125"/>
    <mergeCell ref="AZ147:BE147"/>
    <mergeCell ref="AP3:AQ3"/>
    <mergeCell ref="AT3:AU3"/>
    <mergeCell ref="AY42:BN42"/>
    <mergeCell ref="BL133:BM133"/>
    <mergeCell ref="BA132:BB132"/>
    <mergeCell ref="BD132:BE132"/>
    <mergeCell ref="BG132:BH132"/>
    <mergeCell ref="AK3:AM3"/>
    <mergeCell ref="W43:Z43"/>
    <mergeCell ref="AG3:AI3"/>
    <mergeCell ref="AB43:AE43"/>
    <mergeCell ref="AG43:AJ43"/>
    <mergeCell ref="A42:AJ42"/>
    <mergeCell ref="C43:F43"/>
  </mergeCells>
  <printOptions/>
  <pageMargins left="0.75" right="0.75" top="1" bottom="1" header="0.5" footer="0.5"/>
  <pageSetup fitToHeight="1" fitToWidth="1" horizontalDpi="600" verticalDpi="600" orientation="landscape" r:id="rId3"/>
  <legacyDrawing r:id="rId2"/>
</worksheet>
</file>

<file path=xl/worksheets/sheet10.xml><?xml version="1.0" encoding="utf-8"?>
<worksheet xmlns="http://schemas.openxmlformats.org/spreadsheetml/2006/main" xmlns:r="http://schemas.openxmlformats.org/officeDocument/2006/relationships">
  <dimension ref="A1:AF80"/>
  <sheetViews>
    <sheetView workbookViewId="0" topLeftCell="A1">
      <selection activeCell="O47" sqref="O47"/>
    </sheetView>
  </sheetViews>
  <sheetFormatPr defaultColWidth="9.140625" defaultRowHeight="12.75"/>
  <cols>
    <col min="1" max="1" width="9.140625" style="21" customWidth="1"/>
    <col min="2" max="2" width="5.28125" style="21" customWidth="1"/>
    <col min="3" max="3" width="9.57421875" style="21" customWidth="1"/>
    <col min="4" max="4" width="8.8515625" style="21" customWidth="1"/>
    <col min="5" max="5" width="13.7109375" style="21" customWidth="1"/>
    <col min="6" max="6" width="7.140625" style="21" customWidth="1"/>
    <col min="7" max="8" width="7.140625" style="26" customWidth="1"/>
    <col min="9" max="9" width="7.140625" style="21" customWidth="1"/>
    <col min="10" max="10" width="9.140625" style="21" customWidth="1"/>
    <col min="11" max="11" width="10.00390625" style="21" customWidth="1"/>
    <col min="12" max="12" width="11.28125" style="21" bestFit="1" customWidth="1"/>
    <col min="13" max="13" width="10.28125" style="21" customWidth="1"/>
    <col min="14" max="14" width="9.140625" style="21" customWidth="1"/>
    <col min="15" max="15" width="10.8515625" style="21" customWidth="1"/>
    <col min="16" max="16" width="9.140625" style="21" customWidth="1"/>
    <col min="17" max="17" width="10.00390625" style="21" customWidth="1"/>
    <col min="18" max="18" width="9.140625" style="21" customWidth="1"/>
    <col min="19" max="19" width="11.140625" style="21" customWidth="1"/>
    <col min="20" max="16384" width="9.140625" style="21" customWidth="1"/>
  </cols>
  <sheetData>
    <row r="1" spans="2:20" ht="12.75">
      <c r="B1" s="456" t="s">
        <v>113</v>
      </c>
      <c r="C1" s="456"/>
      <c r="D1" s="456"/>
      <c r="E1" s="456"/>
      <c r="F1" s="456"/>
      <c r="G1" s="456"/>
      <c r="H1" s="456"/>
      <c r="I1" s="456"/>
      <c r="J1" s="456"/>
      <c r="K1" s="456"/>
      <c r="L1" s="456"/>
      <c r="M1" s="456"/>
      <c r="N1" s="456"/>
      <c r="O1" s="456"/>
      <c r="P1" s="456"/>
      <c r="Q1" s="456"/>
      <c r="R1" s="456"/>
      <c r="S1" s="456"/>
      <c r="T1" s="17"/>
    </row>
    <row r="2" spans="2:20" ht="7.5" customHeight="1" hidden="1" thickBot="1">
      <c r="B2" s="17"/>
      <c r="C2" s="133"/>
      <c r="D2" s="133"/>
      <c r="E2" s="151"/>
      <c r="F2" s="24"/>
      <c r="G2" s="133"/>
      <c r="H2" s="133"/>
      <c r="I2" s="17"/>
      <c r="J2" s="17"/>
      <c r="K2" s="17"/>
      <c r="L2" s="17"/>
      <c r="M2" s="17"/>
      <c r="N2" s="17"/>
      <c r="O2" s="17"/>
      <c r="P2" s="17"/>
      <c r="Q2" s="17"/>
      <c r="R2" s="17"/>
      <c r="S2" s="17"/>
      <c r="T2" s="17"/>
    </row>
    <row r="3" spans="2:32" ht="16.5" customHeight="1" thickBot="1">
      <c r="B3" s="565"/>
      <c r="C3" s="565"/>
      <c r="D3" s="565"/>
      <c r="E3" s="565"/>
      <c r="F3" s="143"/>
      <c r="G3" s="143"/>
      <c r="H3" s="143"/>
      <c r="I3" s="143"/>
      <c r="J3" s="143"/>
      <c r="K3" s="143"/>
      <c r="L3" s="143"/>
      <c r="M3" s="143"/>
      <c r="N3" s="143"/>
      <c r="O3" s="143"/>
      <c r="P3" s="143"/>
      <c r="Q3" s="143"/>
      <c r="R3" s="143"/>
      <c r="S3" s="143"/>
      <c r="T3" s="17"/>
      <c r="U3" s="17"/>
      <c r="V3" s="17"/>
      <c r="W3" s="17"/>
      <c r="X3" s="17"/>
      <c r="Y3" s="17"/>
      <c r="Z3" s="17"/>
      <c r="AA3" s="17"/>
      <c r="AB3" s="17"/>
      <c r="AC3" s="17"/>
      <c r="AD3" s="17"/>
      <c r="AE3" s="17"/>
      <c r="AF3" s="17"/>
    </row>
    <row r="4" spans="2:19" ht="21.75" customHeight="1" hidden="1" thickBot="1">
      <c r="B4" s="128"/>
      <c r="C4" s="129"/>
      <c r="D4" s="129"/>
      <c r="E4" s="129"/>
      <c r="F4" s="129"/>
      <c r="G4" s="132"/>
      <c r="H4" s="132"/>
      <c r="I4" s="129"/>
      <c r="J4" s="129"/>
      <c r="K4" s="129"/>
      <c r="L4" s="129"/>
      <c r="M4" s="129"/>
      <c r="N4" s="129"/>
      <c r="O4" s="129"/>
      <c r="P4" s="129"/>
      <c r="Q4" s="129"/>
      <c r="R4" s="129"/>
      <c r="S4" s="130"/>
    </row>
    <row r="5" spans="2:19" ht="26.25" customHeight="1">
      <c r="B5" s="457" t="s">
        <v>6</v>
      </c>
      <c r="C5" s="458"/>
      <c r="D5" s="458"/>
      <c r="E5" s="459"/>
      <c r="F5" s="460" t="s">
        <v>14</v>
      </c>
      <c r="G5" s="445"/>
      <c r="H5" s="445"/>
      <c r="I5" s="445"/>
      <c r="J5" s="457" t="s">
        <v>48</v>
      </c>
      <c r="K5" s="458"/>
      <c r="L5" s="458"/>
      <c r="M5" s="458"/>
      <c r="N5" s="458"/>
      <c r="O5" s="458"/>
      <c r="P5" s="458"/>
      <c r="Q5" s="458"/>
      <c r="R5" s="458"/>
      <c r="S5" s="459"/>
    </row>
    <row r="6" spans="2:19" ht="12.75">
      <c r="B6" s="120" t="s">
        <v>0</v>
      </c>
      <c r="C6" s="121" t="s">
        <v>1</v>
      </c>
      <c r="D6" s="121" t="s">
        <v>3</v>
      </c>
      <c r="E6" s="122" t="s">
        <v>2</v>
      </c>
      <c r="F6" s="546" t="s">
        <v>15</v>
      </c>
      <c r="G6" s="547"/>
      <c r="H6" s="547"/>
      <c r="I6" s="547"/>
      <c r="J6" s="546" t="s">
        <v>7</v>
      </c>
      <c r="K6" s="541"/>
      <c r="L6" s="540" t="s">
        <v>54</v>
      </c>
      <c r="M6" s="541"/>
      <c r="N6" s="540" t="s">
        <v>98</v>
      </c>
      <c r="O6" s="541"/>
      <c r="P6" s="540" t="s">
        <v>99</v>
      </c>
      <c r="Q6" s="541"/>
      <c r="R6" s="542" t="s">
        <v>16</v>
      </c>
      <c r="S6" s="564"/>
    </row>
    <row r="7" spans="2:19" ht="12.75">
      <c r="B7" s="123"/>
      <c r="C7" s="124"/>
      <c r="D7" s="124" t="s">
        <v>4</v>
      </c>
      <c r="E7" s="125"/>
      <c r="F7" s="17">
        <v>7</v>
      </c>
      <c r="G7" s="207">
        <v>12</v>
      </c>
      <c r="H7" s="207">
        <v>15</v>
      </c>
      <c r="I7" s="17">
        <v>20</v>
      </c>
      <c r="J7" s="140" t="s">
        <v>46</v>
      </c>
      <c r="K7" s="131" t="s">
        <v>2</v>
      </c>
      <c r="L7" s="131" t="s">
        <v>46</v>
      </c>
      <c r="M7" s="131" t="s">
        <v>2</v>
      </c>
      <c r="N7" s="131" t="s">
        <v>46</v>
      </c>
      <c r="O7" s="131" t="s">
        <v>2</v>
      </c>
      <c r="P7" s="131" t="s">
        <v>46</v>
      </c>
      <c r="Q7" s="131" t="s">
        <v>2</v>
      </c>
      <c r="R7" s="131" t="s">
        <v>46</v>
      </c>
      <c r="S7" s="141" t="s">
        <v>2</v>
      </c>
    </row>
    <row r="8" spans="2:19" ht="12.75">
      <c r="B8" s="102">
        <v>1980</v>
      </c>
      <c r="C8" s="108">
        <v>5448500</v>
      </c>
      <c r="D8" s="258">
        <v>73</v>
      </c>
      <c r="E8" s="107">
        <f>C8*D8/2000</f>
        <v>198870.25</v>
      </c>
      <c r="F8" s="106">
        <v>0.25</v>
      </c>
      <c r="G8" s="134">
        <v>0.25</v>
      </c>
      <c r="H8" s="134">
        <v>0.25</v>
      </c>
      <c r="I8" s="101">
        <v>0.25</v>
      </c>
      <c r="J8" s="102"/>
      <c r="K8" s="98"/>
      <c r="L8" s="98"/>
      <c r="M8" s="98"/>
      <c r="N8" s="98"/>
      <c r="O8" s="98"/>
      <c r="P8" s="98"/>
      <c r="Q8" s="98"/>
      <c r="R8" s="98"/>
      <c r="S8" s="103"/>
    </row>
    <row r="9" spans="2:19" ht="12.75">
      <c r="B9" s="102">
        <v>1981</v>
      </c>
      <c r="C9" s="108">
        <v>5578500</v>
      </c>
      <c r="D9" s="258">
        <v>73</v>
      </c>
      <c r="E9" s="107">
        <f>C9*D9/2000</f>
        <v>203615.25</v>
      </c>
      <c r="F9" s="106">
        <v>0.25</v>
      </c>
      <c r="G9" s="134">
        <v>0.25</v>
      </c>
      <c r="H9" s="134">
        <v>0.25</v>
      </c>
      <c r="I9" s="101">
        <v>0.25</v>
      </c>
      <c r="J9" s="102"/>
      <c r="K9" s="98"/>
      <c r="L9" s="98"/>
      <c r="M9" s="98"/>
      <c r="N9" s="98"/>
      <c r="O9" s="98"/>
      <c r="P9" s="98"/>
      <c r="Q9" s="98"/>
      <c r="R9" s="98"/>
      <c r="S9" s="103"/>
    </row>
    <row r="10" spans="2:19" ht="12.75">
      <c r="B10" s="102">
        <v>1982</v>
      </c>
      <c r="C10" s="108">
        <v>5683000</v>
      </c>
      <c r="D10" s="258">
        <v>73</v>
      </c>
      <c r="E10" s="107">
        <f>C10*D10/2000</f>
        <v>207429.5</v>
      </c>
      <c r="F10" s="106">
        <v>0.25</v>
      </c>
      <c r="G10" s="134">
        <v>0.25</v>
      </c>
      <c r="H10" s="134">
        <v>0.25</v>
      </c>
      <c r="I10" s="101">
        <v>0.25</v>
      </c>
      <c r="J10" s="109"/>
      <c r="K10" s="100"/>
      <c r="L10" s="100"/>
      <c r="M10" s="100"/>
      <c r="N10" s="100"/>
      <c r="O10" s="100"/>
      <c r="P10" s="100"/>
      <c r="Q10" s="100"/>
      <c r="R10" s="100">
        <f>J10+L10+N10+P10</f>
        <v>0</v>
      </c>
      <c r="S10" s="107">
        <f>K10+M10+O10+Q10</f>
        <v>0</v>
      </c>
    </row>
    <row r="11" spans="2:19" ht="12.75">
      <c r="B11" s="102">
        <v>1983</v>
      </c>
      <c r="C11" s="108">
        <v>6993000</v>
      </c>
      <c r="D11" s="258">
        <v>73</v>
      </c>
      <c r="E11" s="107">
        <f>C11*D11/2000</f>
        <v>255244.5</v>
      </c>
      <c r="F11" s="106">
        <v>0.25</v>
      </c>
      <c r="G11" s="134">
        <v>0.25</v>
      </c>
      <c r="H11" s="134">
        <v>0.25</v>
      </c>
      <c r="I11" s="101">
        <v>0.25</v>
      </c>
      <c r="J11" s="109"/>
      <c r="K11" s="100"/>
      <c r="L11" s="100"/>
      <c r="M11" s="100"/>
      <c r="N11" s="100"/>
      <c r="O11" s="100"/>
      <c r="P11" s="100"/>
      <c r="Q11" s="100"/>
      <c r="R11" s="100">
        <f aca="true" t="shared" si="0" ref="R11:S38">J11+L11+N11+P11</f>
        <v>0</v>
      </c>
      <c r="S11" s="107">
        <f t="shared" si="0"/>
        <v>0</v>
      </c>
    </row>
    <row r="12" spans="2:19" ht="12.75">
      <c r="B12" s="102">
        <v>1984</v>
      </c>
      <c r="C12" s="108">
        <v>8041500</v>
      </c>
      <c r="D12" s="443">
        <v>73</v>
      </c>
      <c r="E12" s="107">
        <f>C12*D12/2000</f>
        <v>293514.75</v>
      </c>
      <c r="F12" s="106">
        <v>0.25</v>
      </c>
      <c r="G12" s="134">
        <v>0.25</v>
      </c>
      <c r="H12" s="134">
        <v>0.25</v>
      </c>
      <c r="I12" s="101">
        <v>0.25</v>
      </c>
      <c r="J12" s="109"/>
      <c r="K12" s="100"/>
      <c r="L12" s="100"/>
      <c r="M12" s="100"/>
      <c r="N12" s="100"/>
      <c r="O12" s="100"/>
      <c r="P12" s="100"/>
      <c r="Q12" s="100"/>
      <c r="R12" s="100">
        <f t="shared" si="0"/>
        <v>0</v>
      </c>
      <c r="S12" s="107">
        <f t="shared" si="0"/>
        <v>0</v>
      </c>
    </row>
    <row r="13" spans="2:19" ht="12.75">
      <c r="B13" s="102">
        <v>1985</v>
      </c>
      <c r="C13" s="108">
        <v>8414500</v>
      </c>
      <c r="D13" s="436">
        <v>72.6218487394958</v>
      </c>
      <c r="E13" s="107">
        <f aca="true" t="shared" si="1" ref="E13:E33">C13*D13/2000</f>
        <v>305538.2731092437</v>
      </c>
      <c r="F13" s="106">
        <v>0.25</v>
      </c>
      <c r="G13" s="134">
        <v>0.25</v>
      </c>
      <c r="H13" s="134">
        <v>0.25</v>
      </c>
      <c r="I13" s="101">
        <v>0.25</v>
      </c>
      <c r="J13" s="109"/>
      <c r="K13" s="100"/>
      <c r="L13" s="100"/>
      <c r="M13" s="100"/>
      <c r="N13" s="100"/>
      <c r="O13" s="100"/>
      <c r="P13" s="100"/>
      <c r="Q13" s="100"/>
      <c r="R13" s="100">
        <f t="shared" si="0"/>
        <v>0</v>
      </c>
      <c r="S13" s="107">
        <f t="shared" si="0"/>
        <v>0</v>
      </c>
    </row>
    <row r="14" spans="2:19" ht="12.75">
      <c r="B14" s="102">
        <v>1986</v>
      </c>
      <c r="C14" s="108">
        <v>9102000</v>
      </c>
      <c r="D14" s="436">
        <v>72.97350993377484</v>
      </c>
      <c r="E14" s="107">
        <f t="shared" si="1"/>
        <v>332102.44370860927</v>
      </c>
      <c r="F14" s="106">
        <v>0.25</v>
      </c>
      <c r="G14" s="134">
        <v>0.25</v>
      </c>
      <c r="H14" s="134">
        <v>0.25</v>
      </c>
      <c r="I14" s="101">
        <v>0.25</v>
      </c>
      <c r="J14" s="109"/>
      <c r="K14" s="100"/>
      <c r="L14" s="100"/>
      <c r="M14" s="100"/>
      <c r="N14" s="100"/>
      <c r="O14" s="100"/>
      <c r="P14" s="100"/>
      <c r="Q14" s="100"/>
      <c r="R14" s="100">
        <f t="shared" si="0"/>
        <v>0</v>
      </c>
      <c r="S14" s="107">
        <f t="shared" si="0"/>
        <v>0</v>
      </c>
    </row>
    <row r="15" spans="2:19" ht="12.75">
      <c r="B15" s="102">
        <v>1987</v>
      </c>
      <c r="C15" s="108">
        <v>9665000</v>
      </c>
      <c r="D15" s="436">
        <v>73.00558659217877</v>
      </c>
      <c r="E15" s="107">
        <f t="shared" si="1"/>
        <v>352799.4972067039</v>
      </c>
      <c r="F15" s="106">
        <v>0.25</v>
      </c>
      <c r="G15" s="134">
        <v>0.25</v>
      </c>
      <c r="H15" s="134">
        <v>0.25</v>
      </c>
      <c r="I15" s="101">
        <v>0.25</v>
      </c>
      <c r="J15" s="109">
        <f>C8*F8/1000</f>
        <v>1362.125</v>
      </c>
      <c r="K15" s="100">
        <f>E8*F8</f>
        <v>49717.5625</v>
      </c>
      <c r="L15" s="100"/>
      <c r="M15" s="100"/>
      <c r="N15" s="100"/>
      <c r="O15" s="100"/>
      <c r="P15" s="100"/>
      <c r="Q15" s="100"/>
      <c r="R15" s="100">
        <f t="shared" si="0"/>
        <v>1362.125</v>
      </c>
      <c r="S15" s="107">
        <f t="shared" si="0"/>
        <v>49717.5625</v>
      </c>
    </row>
    <row r="16" spans="2:19" ht="12.75">
      <c r="B16" s="102">
        <v>1988</v>
      </c>
      <c r="C16" s="108">
        <v>10108000</v>
      </c>
      <c r="D16" s="436">
        <v>72.9261744966443</v>
      </c>
      <c r="E16" s="107">
        <f t="shared" si="1"/>
        <v>368568.88590604026</v>
      </c>
      <c r="F16" s="106">
        <v>0.25</v>
      </c>
      <c r="G16" s="134">
        <v>0.25</v>
      </c>
      <c r="H16" s="134">
        <v>0.25</v>
      </c>
      <c r="I16" s="101">
        <v>0.25</v>
      </c>
      <c r="J16" s="109">
        <f>C9*F9/1000</f>
        <v>1394.625</v>
      </c>
      <c r="K16" s="100">
        <f>E9*F9</f>
        <v>50903.8125</v>
      </c>
      <c r="L16" s="100"/>
      <c r="M16" s="100"/>
      <c r="N16" s="100"/>
      <c r="O16" s="100"/>
      <c r="P16" s="100"/>
      <c r="Q16" s="100"/>
      <c r="R16" s="100">
        <f t="shared" si="0"/>
        <v>1394.625</v>
      </c>
      <c r="S16" s="107">
        <f t="shared" si="0"/>
        <v>50903.8125</v>
      </c>
    </row>
    <row r="17" spans="2:19" ht="12.75">
      <c r="B17" s="102">
        <v>1989</v>
      </c>
      <c r="C17" s="108">
        <v>10853000</v>
      </c>
      <c r="D17" s="436">
        <v>71.72685185185185</v>
      </c>
      <c r="E17" s="107">
        <f t="shared" si="1"/>
        <v>389225.76157407404</v>
      </c>
      <c r="F17" s="106">
        <v>0.25</v>
      </c>
      <c r="G17" s="134">
        <v>0.25</v>
      </c>
      <c r="H17" s="134">
        <v>0.25</v>
      </c>
      <c r="I17" s="101">
        <v>0.25</v>
      </c>
      <c r="J17" s="109">
        <f>C10*F10/1000</f>
        <v>1420.75</v>
      </c>
      <c r="K17" s="100">
        <f>E10*F10</f>
        <v>51857.375</v>
      </c>
      <c r="L17" s="100"/>
      <c r="M17" s="100"/>
      <c r="N17" s="100"/>
      <c r="O17" s="100"/>
      <c r="P17" s="100"/>
      <c r="Q17" s="100"/>
      <c r="R17" s="100">
        <f t="shared" si="0"/>
        <v>1420.75</v>
      </c>
      <c r="S17" s="107">
        <f t="shared" si="0"/>
        <v>51857.375</v>
      </c>
    </row>
    <row r="18" spans="2:19" ht="12.75">
      <c r="B18" s="102">
        <v>1990</v>
      </c>
      <c r="C18" s="108">
        <v>10404000</v>
      </c>
      <c r="D18" s="436">
        <v>74.75</v>
      </c>
      <c r="E18" s="107">
        <f t="shared" si="1"/>
        <v>388849.5</v>
      </c>
      <c r="F18" s="106">
        <v>0.25</v>
      </c>
      <c r="G18" s="134">
        <v>0.25</v>
      </c>
      <c r="H18" s="134">
        <v>0.25</v>
      </c>
      <c r="I18" s="101">
        <v>0.25</v>
      </c>
      <c r="J18" s="109">
        <f>C11*F11/1000</f>
        <v>1748.25</v>
      </c>
      <c r="K18" s="100">
        <f>E11*F11</f>
        <v>63811.125</v>
      </c>
      <c r="L18" s="100"/>
      <c r="M18" s="100"/>
      <c r="N18" s="100"/>
      <c r="O18" s="100"/>
      <c r="P18" s="100"/>
      <c r="Q18" s="100"/>
      <c r="R18" s="100">
        <f t="shared" si="0"/>
        <v>1748.25</v>
      </c>
      <c r="S18" s="107">
        <f t="shared" si="0"/>
        <v>63811.125</v>
      </c>
    </row>
    <row r="19" spans="2:19" ht="12.75">
      <c r="B19" s="102">
        <v>1991</v>
      </c>
      <c r="C19" s="108">
        <v>10717534.483373655</v>
      </c>
      <c r="D19" s="436">
        <v>73.91145833333333</v>
      </c>
      <c r="E19" s="107">
        <f t="shared" si="1"/>
        <v>396074.30170196755</v>
      </c>
      <c r="F19" s="106">
        <v>0.25</v>
      </c>
      <c r="G19" s="134">
        <v>0.25</v>
      </c>
      <c r="H19" s="134">
        <v>0.25</v>
      </c>
      <c r="I19" s="101">
        <v>0.25</v>
      </c>
      <c r="J19" s="109">
        <f>C12*F12/1000</f>
        <v>2010.375</v>
      </c>
      <c r="K19" s="100">
        <f>E12*F12</f>
        <v>73378.6875</v>
      </c>
      <c r="L19" s="100"/>
      <c r="M19" s="100"/>
      <c r="N19" s="100"/>
      <c r="O19" s="100"/>
      <c r="P19" s="100"/>
      <c r="Q19" s="100"/>
      <c r="R19" s="100">
        <f t="shared" si="0"/>
        <v>2010.375</v>
      </c>
      <c r="S19" s="107">
        <f t="shared" si="0"/>
        <v>73378.6875</v>
      </c>
    </row>
    <row r="20" spans="2:19" ht="12.75">
      <c r="B20" s="102">
        <v>1992</v>
      </c>
      <c r="C20" s="108">
        <v>12257854.332929317</v>
      </c>
      <c r="D20" s="436">
        <v>73.5042735042735</v>
      </c>
      <c r="E20" s="107">
        <f t="shared" si="1"/>
        <v>450502.33873159025</v>
      </c>
      <c r="F20" s="106">
        <v>0.25</v>
      </c>
      <c r="G20" s="134">
        <v>0.25</v>
      </c>
      <c r="H20" s="134">
        <v>0.25</v>
      </c>
      <c r="I20" s="101">
        <v>0.25</v>
      </c>
      <c r="J20" s="109">
        <f aca="true" t="shared" si="2" ref="J20:J38">C13*F13/1000</f>
        <v>2103.625</v>
      </c>
      <c r="K20" s="100">
        <f aca="true" t="shared" si="3" ref="K20:K38">E13*F13</f>
        <v>76384.56827731093</v>
      </c>
      <c r="L20" s="100">
        <f>C8*G8/1000</f>
        <v>1362.125</v>
      </c>
      <c r="M20" s="100">
        <f>E8*G8</f>
        <v>49717.5625</v>
      </c>
      <c r="N20" s="100"/>
      <c r="O20" s="100"/>
      <c r="P20" s="100"/>
      <c r="Q20" s="100"/>
      <c r="R20" s="100">
        <f t="shared" si="0"/>
        <v>3465.75</v>
      </c>
      <c r="S20" s="107">
        <f t="shared" si="0"/>
        <v>126102.13077731093</v>
      </c>
    </row>
    <row r="21" spans="2:19" ht="12.75">
      <c r="B21" s="102">
        <v>1993</v>
      </c>
      <c r="C21" s="108">
        <v>14012379.783551674</v>
      </c>
      <c r="D21" s="436">
        <v>75.36575875486382</v>
      </c>
      <c r="E21" s="107">
        <f t="shared" si="1"/>
        <v>528026.8171743432</v>
      </c>
      <c r="F21" s="106">
        <v>0.25</v>
      </c>
      <c r="G21" s="134">
        <v>0.25</v>
      </c>
      <c r="H21" s="134">
        <v>0.25</v>
      </c>
      <c r="I21" s="101">
        <v>0.25</v>
      </c>
      <c r="J21" s="109">
        <f>C14*F14/1000</f>
        <v>2275.5</v>
      </c>
      <c r="K21" s="100">
        <f t="shared" si="3"/>
        <v>83025.61092715232</v>
      </c>
      <c r="L21" s="100">
        <f>C9*G9/1000</f>
        <v>1394.625</v>
      </c>
      <c r="M21" s="100">
        <f>E9*G9</f>
        <v>50903.8125</v>
      </c>
      <c r="N21" s="100"/>
      <c r="O21" s="100"/>
      <c r="P21" s="100"/>
      <c r="Q21" s="100"/>
      <c r="R21" s="100">
        <f t="shared" si="0"/>
        <v>3670.125</v>
      </c>
      <c r="S21" s="107">
        <f t="shared" si="0"/>
        <v>133929.42342715233</v>
      </c>
    </row>
    <row r="22" spans="2:19" ht="12.75">
      <c r="B22" s="102">
        <v>1994</v>
      </c>
      <c r="C22" s="108">
        <v>15047726.860555578</v>
      </c>
      <c r="D22" s="436">
        <v>73.34673366834171</v>
      </c>
      <c r="E22" s="107">
        <f t="shared" si="1"/>
        <v>551850.8071775609</v>
      </c>
      <c r="F22" s="106">
        <v>0.25</v>
      </c>
      <c r="G22" s="134">
        <v>0.25</v>
      </c>
      <c r="H22" s="134">
        <v>0.25</v>
      </c>
      <c r="I22" s="101">
        <v>0.25</v>
      </c>
      <c r="J22" s="109">
        <f>C15*F15/1000</f>
        <v>2416.25</v>
      </c>
      <c r="K22" s="100">
        <f t="shared" si="3"/>
        <v>88199.87430167597</v>
      </c>
      <c r="L22" s="100">
        <f>C10*G10/1000</f>
        <v>1420.75</v>
      </c>
      <c r="M22" s="100">
        <f>E10*G10</f>
        <v>51857.375</v>
      </c>
      <c r="N22" s="100"/>
      <c r="O22" s="100"/>
      <c r="P22" s="100"/>
      <c r="Q22" s="100"/>
      <c r="R22" s="100">
        <f t="shared" si="0"/>
        <v>3837</v>
      </c>
      <c r="S22" s="107">
        <f t="shared" si="0"/>
        <v>140057.24930167597</v>
      </c>
    </row>
    <row r="23" spans="2:19" ht="12.75">
      <c r="B23" s="102">
        <v>1995</v>
      </c>
      <c r="C23" s="108">
        <v>14588921.761548147</v>
      </c>
      <c r="D23" s="436">
        <v>73.54037267080746</v>
      </c>
      <c r="E23" s="107">
        <f t="shared" si="1"/>
        <v>536437.3716047518</v>
      </c>
      <c r="F23" s="106">
        <v>0.25</v>
      </c>
      <c r="G23" s="134">
        <v>0.25</v>
      </c>
      <c r="H23" s="134">
        <v>0.25</v>
      </c>
      <c r="I23" s="101">
        <v>0.25</v>
      </c>
      <c r="J23" s="109">
        <f t="shared" si="2"/>
        <v>2527</v>
      </c>
      <c r="K23" s="100">
        <f t="shared" si="3"/>
        <v>92142.22147651007</v>
      </c>
      <c r="L23" s="100">
        <f>C11*G11/1000</f>
        <v>1748.25</v>
      </c>
      <c r="M23" s="100">
        <f>E11*G11</f>
        <v>63811.125</v>
      </c>
      <c r="N23" s="100">
        <f>C8*H8/1000</f>
        <v>1362.125</v>
      </c>
      <c r="O23" s="100">
        <f>E8*H8</f>
        <v>49717.5625</v>
      </c>
      <c r="P23" s="100"/>
      <c r="Q23" s="100"/>
      <c r="R23" s="100">
        <f t="shared" si="0"/>
        <v>5637.375</v>
      </c>
      <c r="S23" s="107">
        <f t="shared" si="0"/>
        <v>205670.90897651005</v>
      </c>
    </row>
    <row r="24" spans="2:19" ht="12.75">
      <c r="B24" s="102">
        <v>1996</v>
      </c>
      <c r="C24" s="108">
        <v>14471963.458683625</v>
      </c>
      <c r="D24" s="436">
        <v>72.77165354330708</v>
      </c>
      <c r="E24" s="107">
        <f t="shared" si="1"/>
        <v>526574.3554533625</v>
      </c>
      <c r="F24" s="106">
        <v>0.25</v>
      </c>
      <c r="G24" s="134">
        <v>0.25</v>
      </c>
      <c r="H24" s="134">
        <v>0.25</v>
      </c>
      <c r="I24" s="101">
        <v>0.25</v>
      </c>
      <c r="J24" s="109">
        <f t="shared" si="2"/>
        <v>2713.25</v>
      </c>
      <c r="K24" s="100">
        <f t="shared" si="3"/>
        <v>97306.44039351851</v>
      </c>
      <c r="L24" s="100">
        <f>C12*G12/1000</f>
        <v>2010.375</v>
      </c>
      <c r="M24" s="100">
        <f>E12*G12</f>
        <v>73378.6875</v>
      </c>
      <c r="N24" s="100">
        <f aca="true" t="shared" si="4" ref="N24:N38">C9*H9/1000</f>
        <v>1394.625</v>
      </c>
      <c r="O24" s="100">
        <f aca="true" t="shared" si="5" ref="O24:O38">E9*H9</f>
        <v>50903.8125</v>
      </c>
      <c r="P24" s="100"/>
      <c r="Q24" s="100"/>
      <c r="R24" s="100">
        <f t="shared" si="0"/>
        <v>6118.25</v>
      </c>
      <c r="S24" s="107">
        <f t="shared" si="0"/>
        <v>221588.9403935185</v>
      </c>
    </row>
    <row r="25" spans="2:19" ht="12.75">
      <c r="B25" s="102">
        <v>1997</v>
      </c>
      <c r="C25" s="108">
        <v>14032309.273755172</v>
      </c>
      <c r="D25" s="436">
        <v>73.81818181818181</v>
      </c>
      <c r="E25" s="107">
        <f t="shared" si="1"/>
        <v>517919.77864950907</v>
      </c>
      <c r="F25" s="106">
        <v>0.25</v>
      </c>
      <c r="G25" s="134">
        <v>0.25</v>
      </c>
      <c r="H25" s="134">
        <v>0.25</v>
      </c>
      <c r="I25" s="101">
        <v>0.25</v>
      </c>
      <c r="J25" s="109">
        <f t="shared" si="2"/>
        <v>2601</v>
      </c>
      <c r="K25" s="100">
        <f t="shared" si="3"/>
        <v>97212.375</v>
      </c>
      <c r="L25" s="100">
        <f aca="true" t="shared" si="6" ref="L25:L38">C13*G13/1000</f>
        <v>2103.625</v>
      </c>
      <c r="M25" s="100">
        <f aca="true" t="shared" si="7" ref="M25:M38">E13*G13</f>
        <v>76384.56827731093</v>
      </c>
      <c r="N25" s="100">
        <f t="shared" si="4"/>
        <v>1420.75</v>
      </c>
      <c r="O25" s="100">
        <f t="shared" si="5"/>
        <v>51857.375</v>
      </c>
      <c r="P25" s="100"/>
      <c r="Q25" s="100"/>
      <c r="R25" s="100">
        <f t="shared" si="0"/>
        <v>6125.375</v>
      </c>
      <c r="S25" s="107">
        <f t="shared" si="0"/>
        <v>225454.31827731093</v>
      </c>
    </row>
    <row r="26" spans="2:19" ht="12.75">
      <c r="B26" s="102">
        <v>1998</v>
      </c>
      <c r="C26" s="108">
        <v>15052628.474715961</v>
      </c>
      <c r="D26" s="436">
        <v>74.07142857142857</v>
      </c>
      <c r="E26" s="107">
        <f t="shared" si="1"/>
        <v>557484.8474385876</v>
      </c>
      <c r="F26" s="106">
        <v>0.25</v>
      </c>
      <c r="G26" s="134">
        <v>0.25</v>
      </c>
      <c r="H26" s="134">
        <v>0.25</v>
      </c>
      <c r="I26" s="101">
        <v>0.25</v>
      </c>
      <c r="J26" s="109">
        <f>C19*F19/1000</f>
        <v>2679.3836208434136</v>
      </c>
      <c r="K26" s="100">
        <f t="shared" si="3"/>
        <v>99018.57542549189</v>
      </c>
      <c r="L26" s="100">
        <f t="shared" si="6"/>
        <v>2275.5</v>
      </c>
      <c r="M26" s="100">
        <f t="shared" si="7"/>
        <v>83025.61092715232</v>
      </c>
      <c r="N26" s="100">
        <f t="shared" si="4"/>
        <v>1748.25</v>
      </c>
      <c r="O26" s="100">
        <f t="shared" si="5"/>
        <v>63811.125</v>
      </c>
      <c r="P26" s="100"/>
      <c r="Q26" s="100"/>
      <c r="R26" s="100">
        <f t="shared" si="0"/>
        <v>6703.133620843413</v>
      </c>
      <c r="S26" s="107">
        <f t="shared" si="0"/>
        <v>245855.3113526442</v>
      </c>
    </row>
    <row r="27" spans="2:19" ht="12.75">
      <c r="B27" s="102">
        <v>1999</v>
      </c>
      <c r="C27" s="108">
        <v>16433156.431761162</v>
      </c>
      <c r="D27" s="436">
        <v>73.00961538461539</v>
      </c>
      <c r="E27" s="107">
        <f t="shared" si="1"/>
        <v>599889.2153190506</v>
      </c>
      <c r="F27" s="106">
        <v>0.25</v>
      </c>
      <c r="G27" s="134">
        <v>0.25</v>
      </c>
      <c r="H27" s="134">
        <v>0.25</v>
      </c>
      <c r="I27" s="101">
        <v>0.25</v>
      </c>
      <c r="J27" s="109">
        <f>C20*F20/1000</f>
        <v>3064.4635832323293</v>
      </c>
      <c r="K27" s="100">
        <f t="shared" si="3"/>
        <v>112625.58468289756</v>
      </c>
      <c r="L27" s="100">
        <f t="shared" si="6"/>
        <v>2416.25</v>
      </c>
      <c r="M27" s="100">
        <f t="shared" si="7"/>
        <v>88199.87430167597</v>
      </c>
      <c r="N27" s="100">
        <f t="shared" si="4"/>
        <v>2010.375</v>
      </c>
      <c r="O27" s="100">
        <f t="shared" si="5"/>
        <v>73378.6875</v>
      </c>
      <c r="P27" s="100"/>
      <c r="Q27" s="100"/>
      <c r="R27" s="100">
        <f t="shared" si="0"/>
        <v>7491.088583232329</v>
      </c>
      <c r="S27" s="107">
        <f t="shared" si="0"/>
        <v>274204.14648457355</v>
      </c>
    </row>
    <row r="28" spans="2:19" ht="12.75">
      <c r="B28" s="102">
        <v>2000</v>
      </c>
      <c r="C28" s="108">
        <v>17060810.643459633</v>
      </c>
      <c r="D28" s="436">
        <v>74.51764705882353</v>
      </c>
      <c r="E28" s="107">
        <f t="shared" si="1"/>
        <v>635665.7330333724</v>
      </c>
      <c r="F28" s="106">
        <v>0.25</v>
      </c>
      <c r="G28" s="134">
        <v>0.25</v>
      </c>
      <c r="H28" s="134">
        <v>0.25</v>
      </c>
      <c r="I28" s="101">
        <v>0.25</v>
      </c>
      <c r="J28" s="109">
        <f t="shared" si="2"/>
        <v>3503.0949458879186</v>
      </c>
      <c r="K28" s="100">
        <f t="shared" si="3"/>
        <v>132006.7042935858</v>
      </c>
      <c r="L28" s="100">
        <f t="shared" si="6"/>
        <v>2527</v>
      </c>
      <c r="M28" s="100">
        <f t="shared" si="7"/>
        <v>92142.22147651007</v>
      </c>
      <c r="N28" s="100">
        <f t="shared" si="4"/>
        <v>2103.625</v>
      </c>
      <c r="O28" s="100">
        <f t="shared" si="5"/>
        <v>76384.56827731093</v>
      </c>
      <c r="P28" s="100">
        <f>C8*I8/1000</f>
        <v>1362.125</v>
      </c>
      <c r="Q28" s="100">
        <f>E8*I8</f>
        <v>49717.5625</v>
      </c>
      <c r="R28" s="100">
        <f t="shared" si="0"/>
        <v>9495.844945887919</v>
      </c>
      <c r="S28" s="107">
        <f t="shared" si="0"/>
        <v>350251.05654740677</v>
      </c>
    </row>
    <row r="29" spans="2:19" ht="12.75">
      <c r="B29" s="102">
        <v>2001</v>
      </c>
      <c r="C29" s="108">
        <v>16384849.71057571</v>
      </c>
      <c r="D29" s="436">
        <v>72.16981132075472</v>
      </c>
      <c r="E29" s="107">
        <f t="shared" si="1"/>
        <v>591245.7560655858</v>
      </c>
      <c r="F29" s="106">
        <v>0.25</v>
      </c>
      <c r="G29" s="134">
        <v>0.25</v>
      </c>
      <c r="H29" s="134">
        <v>0.25</v>
      </c>
      <c r="I29" s="101">
        <v>0.25</v>
      </c>
      <c r="J29" s="109">
        <f>C22*F22/1000</f>
        <v>3761.9317151388946</v>
      </c>
      <c r="K29" s="100">
        <f t="shared" si="3"/>
        <v>137962.70179439022</v>
      </c>
      <c r="L29" s="100">
        <f t="shared" si="6"/>
        <v>2713.25</v>
      </c>
      <c r="M29" s="100">
        <f t="shared" si="7"/>
        <v>97306.44039351851</v>
      </c>
      <c r="N29" s="100">
        <f t="shared" si="4"/>
        <v>2275.5</v>
      </c>
      <c r="O29" s="100">
        <f t="shared" si="5"/>
        <v>83025.61092715232</v>
      </c>
      <c r="P29" s="100">
        <f aca="true" t="shared" si="8" ref="P29:P38">C9*I9/1000</f>
        <v>1394.625</v>
      </c>
      <c r="Q29" s="100">
        <f aca="true" t="shared" si="9" ref="Q29:Q37">E9*I9</f>
        <v>50903.8125</v>
      </c>
      <c r="R29" s="100">
        <f t="shared" si="0"/>
        <v>10145.306715138895</v>
      </c>
      <c r="S29" s="107">
        <f t="shared" si="0"/>
        <v>369198.56561506103</v>
      </c>
    </row>
    <row r="30" spans="2:19" ht="12.75">
      <c r="B30" s="102">
        <v>2002</v>
      </c>
      <c r="C30" s="108">
        <v>17008211.022846807</v>
      </c>
      <c r="D30" s="436">
        <v>72.77777777777777</v>
      </c>
      <c r="E30" s="107">
        <f t="shared" si="1"/>
        <v>618909.9011091477</v>
      </c>
      <c r="F30" s="106">
        <v>0.25</v>
      </c>
      <c r="G30" s="134">
        <v>0.25</v>
      </c>
      <c r="H30" s="134">
        <v>0.25</v>
      </c>
      <c r="I30" s="101">
        <v>0.25</v>
      </c>
      <c r="J30" s="109">
        <f>C23*F23/1000</f>
        <v>3647.2304403870367</v>
      </c>
      <c r="K30" s="100">
        <f t="shared" si="3"/>
        <v>134109.34290118795</v>
      </c>
      <c r="L30" s="100">
        <f t="shared" si="6"/>
        <v>2601</v>
      </c>
      <c r="M30" s="100">
        <f t="shared" si="7"/>
        <v>97212.375</v>
      </c>
      <c r="N30" s="100">
        <f t="shared" si="4"/>
        <v>2416.25</v>
      </c>
      <c r="O30" s="100">
        <f t="shared" si="5"/>
        <v>88199.87430167597</v>
      </c>
      <c r="P30" s="100">
        <f t="shared" si="8"/>
        <v>1420.75</v>
      </c>
      <c r="Q30" s="100">
        <f t="shared" si="9"/>
        <v>51857.375</v>
      </c>
      <c r="R30" s="100">
        <f t="shared" si="0"/>
        <v>10085.230440387037</v>
      </c>
      <c r="S30" s="107">
        <f t="shared" si="0"/>
        <v>371378.9672028639</v>
      </c>
    </row>
    <row r="31" spans="2:19" ht="12.75">
      <c r="B31" s="102">
        <v>2003</v>
      </c>
      <c r="C31" s="108">
        <v>17562636.608044077</v>
      </c>
      <c r="D31" s="436">
        <v>73</v>
      </c>
      <c r="E31" s="107">
        <f t="shared" si="1"/>
        <v>641036.2361936087</v>
      </c>
      <c r="F31" s="106">
        <v>0.25</v>
      </c>
      <c r="G31" s="134">
        <v>0.25</v>
      </c>
      <c r="H31" s="134">
        <v>0.25</v>
      </c>
      <c r="I31" s="101">
        <v>0.25</v>
      </c>
      <c r="J31" s="109">
        <f t="shared" si="2"/>
        <v>3617.9908646709064</v>
      </c>
      <c r="K31" s="100">
        <f t="shared" si="3"/>
        <v>131643.5888633406</v>
      </c>
      <c r="L31" s="100">
        <f t="shared" si="6"/>
        <v>2679.3836208434136</v>
      </c>
      <c r="M31" s="100">
        <f t="shared" si="7"/>
        <v>99018.57542549189</v>
      </c>
      <c r="N31" s="100">
        <f t="shared" si="4"/>
        <v>2527</v>
      </c>
      <c r="O31" s="100">
        <f t="shared" si="5"/>
        <v>92142.22147651007</v>
      </c>
      <c r="P31" s="100">
        <f t="shared" si="8"/>
        <v>1748.25</v>
      </c>
      <c r="Q31" s="100">
        <f t="shared" si="9"/>
        <v>63811.125</v>
      </c>
      <c r="R31" s="100">
        <f t="shared" si="0"/>
        <v>10572.62448551432</v>
      </c>
      <c r="S31" s="107">
        <f t="shared" si="0"/>
        <v>386615.51076534257</v>
      </c>
    </row>
    <row r="32" spans="2:19" ht="12.75">
      <c r="B32" s="102">
        <v>2004</v>
      </c>
      <c r="C32" s="108">
        <v>17842164.22566697</v>
      </c>
      <c r="D32" s="444">
        <v>73</v>
      </c>
      <c r="E32" s="107">
        <f t="shared" si="1"/>
        <v>651238.9942368445</v>
      </c>
      <c r="F32" s="106">
        <v>0.25</v>
      </c>
      <c r="G32" s="134">
        <v>0.25</v>
      </c>
      <c r="H32" s="134">
        <v>0.25</v>
      </c>
      <c r="I32" s="101">
        <v>0.25</v>
      </c>
      <c r="J32" s="109">
        <f t="shared" si="2"/>
        <v>3508.077318438793</v>
      </c>
      <c r="K32" s="100">
        <f t="shared" si="3"/>
        <v>129479.94466237727</v>
      </c>
      <c r="L32" s="100">
        <f t="shared" si="6"/>
        <v>3064.4635832323293</v>
      </c>
      <c r="M32" s="100">
        <f t="shared" si="7"/>
        <v>112625.58468289756</v>
      </c>
      <c r="N32" s="100">
        <f t="shared" si="4"/>
        <v>2713.25</v>
      </c>
      <c r="O32" s="100">
        <f t="shared" si="5"/>
        <v>97306.44039351851</v>
      </c>
      <c r="P32" s="100">
        <f>C12*I12/1000</f>
        <v>2010.375</v>
      </c>
      <c r="Q32" s="100">
        <f t="shared" si="9"/>
        <v>73378.6875</v>
      </c>
      <c r="R32" s="100">
        <f t="shared" si="0"/>
        <v>11296.165901671122</v>
      </c>
      <c r="S32" s="107">
        <f t="shared" si="0"/>
        <v>412790.6572387933</v>
      </c>
    </row>
    <row r="33" spans="2:19" ht="12.75">
      <c r="B33" s="102">
        <v>2005</v>
      </c>
      <c r="C33" s="108">
        <f>15492380+422397+813816</f>
        <v>16728593</v>
      </c>
      <c r="D33" s="258">
        <v>73</v>
      </c>
      <c r="E33" s="107">
        <f t="shared" si="1"/>
        <v>610593.6445</v>
      </c>
      <c r="F33" s="106">
        <v>0.25</v>
      </c>
      <c r="G33" s="134">
        <v>0.25</v>
      </c>
      <c r="H33" s="134">
        <v>0.25</v>
      </c>
      <c r="I33" s="101">
        <v>0.25</v>
      </c>
      <c r="J33" s="109">
        <f>C26*F26/1000</f>
        <v>3763.15711867899</v>
      </c>
      <c r="K33" s="100">
        <f t="shared" si="3"/>
        <v>139371.2118596469</v>
      </c>
      <c r="L33" s="100">
        <f t="shared" si="6"/>
        <v>3503.0949458879186</v>
      </c>
      <c r="M33" s="100">
        <f t="shared" si="7"/>
        <v>132006.7042935858</v>
      </c>
      <c r="N33" s="100">
        <f t="shared" si="4"/>
        <v>2601</v>
      </c>
      <c r="O33" s="100">
        <f t="shared" si="5"/>
        <v>97212.375</v>
      </c>
      <c r="P33" s="100">
        <f t="shared" si="8"/>
        <v>2103.625</v>
      </c>
      <c r="Q33" s="100">
        <f t="shared" si="9"/>
        <v>76384.56827731093</v>
      </c>
      <c r="R33" s="100">
        <f t="shared" si="0"/>
        <v>11970.877064566908</v>
      </c>
      <c r="S33" s="107">
        <f t="shared" si="0"/>
        <v>444974.8594305436</v>
      </c>
    </row>
    <row r="34" spans="2:19" ht="12.75">
      <c r="B34" s="102">
        <v>2006</v>
      </c>
      <c r="C34" s="108">
        <f>8499376+3083616+1862394</f>
        <v>13445386</v>
      </c>
      <c r="D34" s="258">
        <v>73</v>
      </c>
      <c r="E34" s="107">
        <f>C34*D34/2000</f>
        <v>490756.589</v>
      </c>
      <c r="F34" s="106">
        <v>0.25</v>
      </c>
      <c r="G34" s="134">
        <v>0.25</v>
      </c>
      <c r="H34" s="134">
        <v>0.25</v>
      </c>
      <c r="I34" s="101">
        <v>0.25</v>
      </c>
      <c r="J34" s="109">
        <f>C27*F27/1000</f>
        <v>4108.289107940291</v>
      </c>
      <c r="K34" s="100">
        <f t="shared" si="3"/>
        <v>149972.30382976265</v>
      </c>
      <c r="L34" s="100">
        <f t="shared" si="6"/>
        <v>3761.9317151388946</v>
      </c>
      <c r="M34" s="100">
        <f t="shared" si="7"/>
        <v>137962.70179439022</v>
      </c>
      <c r="N34" s="100">
        <f t="shared" si="4"/>
        <v>2679.3836208434136</v>
      </c>
      <c r="O34" s="100">
        <f t="shared" si="5"/>
        <v>99018.57542549189</v>
      </c>
      <c r="P34" s="100">
        <f>C14*I14/1000</f>
        <v>2275.5</v>
      </c>
      <c r="Q34" s="100">
        <f t="shared" si="9"/>
        <v>83025.61092715232</v>
      </c>
      <c r="R34" s="100">
        <f t="shared" si="0"/>
        <v>12825.104443922599</v>
      </c>
      <c r="S34" s="107">
        <f t="shared" si="0"/>
        <v>469979.19197679707</v>
      </c>
    </row>
    <row r="35" spans="2:19" ht="13.5" thickBot="1">
      <c r="B35" s="102">
        <v>2007</v>
      </c>
      <c r="C35" s="388">
        <f>1969422+1725000+511000</f>
        <v>4205422</v>
      </c>
      <c r="D35" s="392">
        <f>D34</f>
        <v>73</v>
      </c>
      <c r="E35" s="116">
        <f>C35*D35/2000</f>
        <v>153497.903</v>
      </c>
      <c r="F35" s="117">
        <v>0.25</v>
      </c>
      <c r="G35" s="135">
        <v>0.25</v>
      </c>
      <c r="H35" s="135">
        <v>0.25</v>
      </c>
      <c r="I35" s="417">
        <v>0.25</v>
      </c>
      <c r="J35" s="118">
        <f>C28*F28/1000</f>
        <v>4265.2026608649085</v>
      </c>
      <c r="K35" s="119">
        <f t="shared" si="3"/>
        <v>158916.4332583431</v>
      </c>
      <c r="L35" s="119">
        <f t="shared" si="6"/>
        <v>3647.2304403870367</v>
      </c>
      <c r="M35" s="119">
        <f t="shared" si="7"/>
        <v>134109.34290118795</v>
      </c>
      <c r="N35" s="119">
        <f t="shared" si="4"/>
        <v>3064.4635832323293</v>
      </c>
      <c r="O35" s="119">
        <f t="shared" si="5"/>
        <v>112625.58468289756</v>
      </c>
      <c r="P35" s="119">
        <f t="shared" si="8"/>
        <v>2416.25</v>
      </c>
      <c r="Q35" s="119">
        <f t="shared" si="9"/>
        <v>88199.87430167597</v>
      </c>
      <c r="R35" s="119">
        <f t="shared" si="0"/>
        <v>13393.146684484274</v>
      </c>
      <c r="S35" s="116">
        <f t="shared" si="0"/>
        <v>493851.2351441046</v>
      </c>
    </row>
    <row r="36" spans="2:19" ht="12.75">
      <c r="B36" s="102">
        <v>2008</v>
      </c>
      <c r="C36" s="381"/>
      <c r="D36" s="415"/>
      <c r="E36" s="382"/>
      <c r="F36" s="383"/>
      <c r="G36" s="384"/>
      <c r="H36" s="384"/>
      <c r="I36" s="385"/>
      <c r="J36" s="386">
        <f t="shared" si="2"/>
        <v>4096.212427643927</v>
      </c>
      <c r="K36" s="387">
        <f t="shared" si="3"/>
        <v>147811.43901639644</v>
      </c>
      <c r="L36" s="387">
        <f t="shared" si="6"/>
        <v>3617.9908646709064</v>
      </c>
      <c r="M36" s="387">
        <f t="shared" si="7"/>
        <v>131643.5888633406</v>
      </c>
      <c r="N36" s="387">
        <f t="shared" si="4"/>
        <v>3503.0949458879186</v>
      </c>
      <c r="O36" s="387">
        <f t="shared" si="5"/>
        <v>132006.7042935858</v>
      </c>
      <c r="P36" s="387">
        <f t="shared" si="8"/>
        <v>2527</v>
      </c>
      <c r="Q36" s="387">
        <f t="shared" si="9"/>
        <v>92142.22147651007</v>
      </c>
      <c r="R36" s="387">
        <f t="shared" si="0"/>
        <v>13744.298238202751</v>
      </c>
      <c r="S36" s="382">
        <f t="shared" si="0"/>
        <v>503603.9536498329</v>
      </c>
    </row>
    <row r="37" spans="2:19" ht="12.75">
      <c r="B37" s="102">
        <v>2009</v>
      </c>
      <c r="C37" s="99"/>
      <c r="D37" s="99"/>
      <c r="E37" s="107"/>
      <c r="F37" s="106"/>
      <c r="G37" s="134"/>
      <c r="H37" s="134"/>
      <c r="I37" s="101"/>
      <c r="J37" s="109">
        <f t="shared" si="2"/>
        <v>4252.052755711702</v>
      </c>
      <c r="K37" s="100">
        <f t="shared" si="3"/>
        <v>154727.47527728693</v>
      </c>
      <c r="L37" s="100">
        <f t="shared" si="6"/>
        <v>3508.077318438793</v>
      </c>
      <c r="M37" s="100">
        <f t="shared" si="7"/>
        <v>129479.94466237727</v>
      </c>
      <c r="N37" s="100">
        <f t="shared" si="4"/>
        <v>3761.9317151388946</v>
      </c>
      <c r="O37" s="100">
        <f t="shared" si="5"/>
        <v>137962.70179439022</v>
      </c>
      <c r="P37" s="100">
        <f t="shared" si="8"/>
        <v>2713.25</v>
      </c>
      <c r="Q37" s="100">
        <f t="shared" si="9"/>
        <v>97306.44039351851</v>
      </c>
      <c r="R37" s="100">
        <f t="shared" si="0"/>
        <v>14235.31178928939</v>
      </c>
      <c r="S37" s="107">
        <f t="shared" si="0"/>
        <v>519476.56212757295</v>
      </c>
    </row>
    <row r="38" spans="2:19" ht="12.75">
      <c r="B38" s="102">
        <v>2010</v>
      </c>
      <c r="C38" s="99"/>
      <c r="D38" s="99"/>
      <c r="E38" s="107"/>
      <c r="F38" s="106"/>
      <c r="G38" s="134"/>
      <c r="H38" s="134"/>
      <c r="I38" s="101"/>
      <c r="J38" s="109">
        <f t="shared" si="2"/>
        <v>4390.65915201102</v>
      </c>
      <c r="K38" s="100">
        <f t="shared" si="3"/>
        <v>160259.05904840218</v>
      </c>
      <c r="L38" s="100">
        <f t="shared" si="6"/>
        <v>3763.15711867899</v>
      </c>
      <c r="M38" s="100">
        <f t="shared" si="7"/>
        <v>139371.2118596469</v>
      </c>
      <c r="N38" s="100">
        <f t="shared" si="4"/>
        <v>3647.2304403870367</v>
      </c>
      <c r="O38" s="100">
        <f t="shared" si="5"/>
        <v>134109.34290118795</v>
      </c>
      <c r="P38" s="100">
        <f t="shared" si="8"/>
        <v>2601</v>
      </c>
      <c r="Q38" s="100">
        <f>E18*I18</f>
        <v>97212.375</v>
      </c>
      <c r="R38" s="100">
        <f t="shared" si="0"/>
        <v>14402.046711077046</v>
      </c>
      <c r="S38" s="107">
        <f t="shared" si="0"/>
        <v>530951.988809237</v>
      </c>
    </row>
    <row r="39" spans="2:19" ht="13.5" thickBot="1">
      <c r="B39" s="114"/>
      <c r="C39" s="115" t="s">
        <v>5</v>
      </c>
      <c r="D39" s="115"/>
      <c r="E39" s="116"/>
      <c r="F39" s="117"/>
      <c r="G39" s="135"/>
      <c r="H39" s="135"/>
      <c r="I39" s="139"/>
      <c r="J39" s="118">
        <f>SUM(J8:J38)</f>
        <v>71230.49571145013</v>
      </c>
      <c r="K39" s="118">
        <f aca="true" t="shared" si="10" ref="K39:Q39">SUM(K8:K38)</f>
        <v>2611844.0177892777</v>
      </c>
      <c r="L39" s="118">
        <f t="shared" si="10"/>
        <v>50118.07960727828</v>
      </c>
      <c r="M39" s="118">
        <f t="shared" si="10"/>
        <v>1840157.3073590861</v>
      </c>
      <c r="N39" s="118">
        <f t="shared" si="10"/>
        <v>39228.85430548959</v>
      </c>
      <c r="O39" s="118">
        <f t="shared" si="10"/>
        <v>1439662.5619737213</v>
      </c>
      <c r="P39" s="118">
        <f t="shared" si="10"/>
        <v>22572.75</v>
      </c>
      <c r="Q39" s="118">
        <f t="shared" si="10"/>
        <v>823939.6528761678</v>
      </c>
      <c r="R39" s="118">
        <f>SUM(R8:R38)</f>
        <v>183150.179624218</v>
      </c>
      <c r="S39" s="118">
        <f>SUM(S8:S38)</f>
        <v>6715603.539998252</v>
      </c>
    </row>
    <row r="40" spans="2:19" ht="13.5" hidden="1" thickBot="1">
      <c r="B40" s="93"/>
      <c r="C40" s="84"/>
      <c r="D40" s="84"/>
      <c r="E40" s="104">
        <f>C40*$E$2</f>
        <v>0</v>
      </c>
      <c r="F40" s="83"/>
      <c r="G40" s="136"/>
      <c r="H40" s="136"/>
      <c r="I40" s="105"/>
      <c r="J40" s="93"/>
      <c r="K40" s="95"/>
      <c r="L40" s="95"/>
      <c r="M40" s="95"/>
      <c r="N40" s="84"/>
      <c r="O40" s="84"/>
      <c r="P40" s="82"/>
      <c r="Q40" s="82"/>
      <c r="R40" s="82"/>
      <c r="S40" s="104"/>
    </row>
    <row r="41" spans="2:19" ht="12.75">
      <c r="B41" s="17"/>
      <c r="C41" s="18"/>
      <c r="D41" s="18"/>
      <c r="E41" s="81"/>
      <c r="F41" s="80"/>
      <c r="G41" s="137"/>
      <c r="H41" s="137"/>
      <c r="I41" s="33"/>
      <c r="J41" s="81"/>
      <c r="K41" s="81"/>
      <c r="L41" s="110"/>
      <c r="M41" s="81"/>
      <c r="N41" s="18"/>
      <c r="O41" s="18"/>
      <c r="P41" s="81"/>
      <c r="Q41" s="81"/>
      <c r="R41" s="81"/>
      <c r="S41" s="81"/>
    </row>
    <row r="42" spans="3:13" ht="12.75">
      <c r="C42" s="96"/>
      <c r="D42" s="96"/>
      <c r="L42" s="81"/>
      <c r="M42" s="81"/>
    </row>
    <row r="43" spans="6:13" ht="12.75">
      <c r="F43" s="97"/>
      <c r="J43" s="81"/>
      <c r="K43" s="81"/>
      <c r="L43" s="81"/>
      <c r="M43" s="377"/>
    </row>
    <row r="44" spans="2:13" ht="12.75">
      <c r="B44" s="21" t="s">
        <v>224</v>
      </c>
      <c r="G44" s="21"/>
      <c r="H44" s="21"/>
      <c r="J44" s="81"/>
      <c r="K44" s="81"/>
      <c r="L44" s="81"/>
      <c r="M44" s="377"/>
    </row>
    <row r="45" spans="5:15" ht="12.75">
      <c r="E45" s="21" t="s">
        <v>147</v>
      </c>
      <c r="G45" s="21"/>
      <c r="H45" s="21"/>
      <c r="K45" s="97"/>
      <c r="L45" s="97"/>
      <c r="M45" s="17"/>
      <c r="N45" s="96"/>
      <c r="O45" s="96"/>
    </row>
    <row r="46" spans="2:15" ht="12.75">
      <c r="B46" s="21" t="str">
        <f>B6</f>
        <v>Year</v>
      </c>
      <c r="C46" s="21" t="s">
        <v>69</v>
      </c>
      <c r="D46" s="21" t="s">
        <v>69</v>
      </c>
      <c r="E46" s="284" t="s">
        <v>240</v>
      </c>
      <c r="F46" s="284" t="s">
        <v>144</v>
      </c>
      <c r="G46" s="544" t="s">
        <v>110</v>
      </c>
      <c r="H46" s="544"/>
      <c r="I46" s="545" t="s">
        <v>147</v>
      </c>
      <c r="J46" s="545"/>
      <c r="K46" s="545" t="s">
        <v>186</v>
      </c>
      <c r="L46" s="545"/>
      <c r="M46" s="378"/>
      <c r="N46" s="96"/>
      <c r="O46" s="96"/>
    </row>
    <row r="47" spans="3:14" ht="12.75">
      <c r="C47" s="21" t="s">
        <v>142</v>
      </c>
      <c r="D47" s="21" t="s">
        <v>152</v>
      </c>
      <c r="E47" s="21" t="s">
        <v>148</v>
      </c>
      <c r="F47" s="21" t="s">
        <v>148</v>
      </c>
      <c r="G47" s="21" t="s">
        <v>1</v>
      </c>
      <c r="H47" s="21" t="s">
        <v>2</v>
      </c>
      <c r="I47" s="21" t="s">
        <v>1</v>
      </c>
      <c r="J47" s="21" t="s">
        <v>2</v>
      </c>
      <c r="K47" s="21" t="s">
        <v>1</v>
      </c>
      <c r="L47" s="21" t="s">
        <v>2</v>
      </c>
      <c r="M47" s="378"/>
      <c r="N47" s="96"/>
    </row>
    <row r="48" spans="2:15" ht="12.75">
      <c r="B48" s="21">
        <f aca="true" t="shared" si="11" ref="B48:C71">B8</f>
        <v>1980</v>
      </c>
      <c r="C48" s="86">
        <f>C8</f>
        <v>5448500</v>
      </c>
      <c r="D48" s="86">
        <f>E8</f>
        <v>198870.25</v>
      </c>
      <c r="E48" s="21">
        <v>1</v>
      </c>
      <c r="F48" s="21">
        <v>0</v>
      </c>
      <c r="G48" s="283">
        <f>C48-I48-K48</f>
        <v>0</v>
      </c>
      <c r="H48" s="283">
        <f>D48-J48-L48</f>
        <v>0</v>
      </c>
      <c r="I48" s="21">
        <f>C48*$E48</f>
        <v>5448500</v>
      </c>
      <c r="J48" s="21">
        <f>D48*$E48</f>
        <v>198870.25</v>
      </c>
      <c r="K48" s="21">
        <f>C48*$F48</f>
        <v>0</v>
      </c>
      <c r="L48" s="21">
        <f>D48*$F48</f>
        <v>0</v>
      </c>
      <c r="M48" s="380"/>
      <c r="N48" s="380"/>
      <c r="O48" s="380"/>
    </row>
    <row r="49" spans="2:15" ht="12.75">
      <c r="B49" s="21">
        <f t="shared" si="11"/>
        <v>1981</v>
      </c>
      <c r="C49" s="86">
        <f t="shared" si="11"/>
        <v>5578500</v>
      </c>
      <c r="D49" s="86">
        <f aca="true" t="shared" si="12" ref="D49:D71">E9</f>
        <v>203615.25</v>
      </c>
      <c r="E49" s="21">
        <v>1</v>
      </c>
      <c r="F49" s="21">
        <v>0</v>
      </c>
      <c r="G49" s="283">
        <f aca="true" t="shared" si="13" ref="G49:G71">C49-I49-K49</f>
        <v>0</v>
      </c>
      <c r="H49" s="283">
        <f aca="true" t="shared" si="14" ref="H49:H71">D49-J49-L49</f>
        <v>0</v>
      </c>
      <c r="I49" s="21">
        <f aca="true" t="shared" si="15" ref="I49:I71">C49*$E49</f>
        <v>5578500</v>
      </c>
      <c r="J49" s="21">
        <f aca="true" t="shared" si="16" ref="J49:J71">D49*$E49</f>
        <v>203615.25</v>
      </c>
      <c r="K49" s="21">
        <f aca="true" t="shared" si="17" ref="K49:K71">C49*$F49</f>
        <v>0</v>
      </c>
      <c r="L49" s="21">
        <f aca="true" t="shared" si="18" ref="L49:L71">D49*$F49</f>
        <v>0</v>
      </c>
      <c r="M49" s="380"/>
      <c r="N49" s="380"/>
      <c r="O49" s="380"/>
    </row>
    <row r="50" spans="2:15" ht="12.75">
      <c r="B50" s="21">
        <f t="shared" si="11"/>
        <v>1982</v>
      </c>
      <c r="C50" s="86">
        <f t="shared" si="11"/>
        <v>5683000</v>
      </c>
      <c r="D50" s="86">
        <f t="shared" si="12"/>
        <v>207429.5</v>
      </c>
      <c r="E50" s="21">
        <v>1</v>
      </c>
      <c r="F50" s="21">
        <v>0</v>
      </c>
      <c r="G50" s="283">
        <f t="shared" si="13"/>
        <v>0</v>
      </c>
      <c r="H50" s="283">
        <f t="shared" si="14"/>
        <v>0</v>
      </c>
      <c r="I50" s="21">
        <f t="shared" si="15"/>
        <v>5683000</v>
      </c>
      <c r="J50" s="21">
        <f t="shared" si="16"/>
        <v>207429.5</v>
      </c>
      <c r="K50" s="21">
        <f t="shared" si="17"/>
        <v>0</v>
      </c>
      <c r="L50" s="21">
        <f t="shared" si="18"/>
        <v>0</v>
      </c>
      <c r="M50" s="380"/>
      <c r="N50" s="380"/>
      <c r="O50" s="380"/>
    </row>
    <row r="51" spans="2:15" ht="12.75">
      <c r="B51" s="21">
        <f t="shared" si="11"/>
        <v>1983</v>
      </c>
      <c r="C51" s="86">
        <f t="shared" si="11"/>
        <v>6993000</v>
      </c>
      <c r="D51" s="86">
        <f t="shared" si="12"/>
        <v>255244.5</v>
      </c>
      <c r="E51" s="21">
        <v>1</v>
      </c>
      <c r="F51" s="21">
        <v>0</v>
      </c>
      <c r="G51" s="283">
        <f t="shared" si="13"/>
        <v>0</v>
      </c>
      <c r="H51" s="283">
        <f t="shared" si="14"/>
        <v>0</v>
      </c>
      <c r="I51" s="21">
        <f t="shared" si="15"/>
        <v>6993000</v>
      </c>
      <c r="J51" s="21">
        <f t="shared" si="16"/>
        <v>255244.5</v>
      </c>
      <c r="K51" s="21">
        <f t="shared" si="17"/>
        <v>0</v>
      </c>
      <c r="L51" s="21">
        <f t="shared" si="18"/>
        <v>0</v>
      </c>
      <c r="M51" s="380"/>
      <c r="N51" s="380"/>
      <c r="O51" s="380"/>
    </row>
    <row r="52" spans="2:15" ht="12.75">
      <c r="B52" s="21">
        <f t="shared" si="11"/>
        <v>1984</v>
      </c>
      <c r="C52" s="86">
        <f t="shared" si="11"/>
        <v>8041500</v>
      </c>
      <c r="D52" s="86">
        <f t="shared" si="12"/>
        <v>293514.75</v>
      </c>
      <c r="E52" s="21">
        <v>1</v>
      </c>
      <c r="F52" s="21">
        <v>0</v>
      </c>
      <c r="G52" s="283">
        <f t="shared" si="13"/>
        <v>0</v>
      </c>
      <c r="H52" s="283">
        <f t="shared" si="14"/>
        <v>0</v>
      </c>
      <c r="I52" s="21">
        <f t="shared" si="15"/>
        <v>8041500</v>
      </c>
      <c r="J52" s="21">
        <f t="shared" si="16"/>
        <v>293514.75</v>
      </c>
      <c r="K52" s="21">
        <f t="shared" si="17"/>
        <v>0</v>
      </c>
      <c r="L52" s="21">
        <f t="shared" si="18"/>
        <v>0</v>
      </c>
      <c r="M52" s="380"/>
      <c r="N52" s="380"/>
      <c r="O52" s="380"/>
    </row>
    <row r="53" spans="2:15" ht="12.75">
      <c r="B53" s="21">
        <f t="shared" si="11"/>
        <v>1985</v>
      </c>
      <c r="C53" s="86">
        <f t="shared" si="11"/>
        <v>8414500</v>
      </c>
      <c r="D53" s="86">
        <f t="shared" si="12"/>
        <v>305538.2731092437</v>
      </c>
      <c r="E53" s="21">
        <v>1</v>
      </c>
      <c r="F53" s="21">
        <v>0</v>
      </c>
      <c r="G53" s="283">
        <f t="shared" si="13"/>
        <v>0</v>
      </c>
      <c r="H53" s="283">
        <f t="shared" si="14"/>
        <v>0</v>
      </c>
      <c r="I53" s="21">
        <f t="shared" si="15"/>
        <v>8414500</v>
      </c>
      <c r="J53" s="21">
        <f t="shared" si="16"/>
        <v>305538.2731092437</v>
      </c>
      <c r="K53" s="21">
        <f t="shared" si="17"/>
        <v>0</v>
      </c>
      <c r="L53" s="21">
        <f t="shared" si="18"/>
        <v>0</v>
      </c>
      <c r="M53" s="380"/>
      <c r="N53" s="380"/>
      <c r="O53" s="380"/>
    </row>
    <row r="54" spans="1:15" ht="12.75">
      <c r="A54" s="111"/>
      <c r="B54" s="21">
        <f t="shared" si="11"/>
        <v>1986</v>
      </c>
      <c r="C54" s="86">
        <f t="shared" si="11"/>
        <v>9102000</v>
      </c>
      <c r="D54" s="86">
        <f t="shared" si="12"/>
        <v>332102.44370860927</v>
      </c>
      <c r="E54" s="21">
        <v>1</v>
      </c>
      <c r="F54" s="21">
        <v>0</v>
      </c>
      <c r="G54" s="283">
        <f t="shared" si="13"/>
        <v>0</v>
      </c>
      <c r="H54" s="283">
        <f t="shared" si="14"/>
        <v>0</v>
      </c>
      <c r="I54" s="21">
        <f t="shared" si="15"/>
        <v>9102000</v>
      </c>
      <c r="J54" s="21">
        <f t="shared" si="16"/>
        <v>332102.44370860927</v>
      </c>
      <c r="K54" s="21">
        <f t="shared" si="17"/>
        <v>0</v>
      </c>
      <c r="L54" s="21">
        <f t="shared" si="18"/>
        <v>0</v>
      </c>
      <c r="M54" s="380"/>
      <c r="N54" s="380"/>
      <c r="O54" s="380"/>
    </row>
    <row r="55" spans="1:15" ht="12.75">
      <c r="A55" s="20"/>
      <c r="B55" s="21">
        <f t="shared" si="11"/>
        <v>1987</v>
      </c>
      <c r="C55" s="86">
        <f t="shared" si="11"/>
        <v>9665000</v>
      </c>
      <c r="D55" s="86">
        <f t="shared" si="12"/>
        <v>352799.4972067039</v>
      </c>
      <c r="E55" s="21">
        <v>1</v>
      </c>
      <c r="F55" s="21">
        <v>0</v>
      </c>
      <c r="G55" s="283">
        <f t="shared" si="13"/>
        <v>0</v>
      </c>
      <c r="H55" s="283">
        <f t="shared" si="14"/>
        <v>0</v>
      </c>
      <c r="I55" s="21">
        <f t="shared" si="15"/>
        <v>9665000</v>
      </c>
      <c r="J55" s="21">
        <f t="shared" si="16"/>
        <v>352799.4972067039</v>
      </c>
      <c r="K55" s="21">
        <f t="shared" si="17"/>
        <v>0</v>
      </c>
      <c r="L55" s="21">
        <f t="shared" si="18"/>
        <v>0</v>
      </c>
      <c r="M55" s="380" t="s">
        <v>253</v>
      </c>
      <c r="N55" s="380"/>
      <c r="O55" s="380"/>
    </row>
    <row r="56" spans="1:15" ht="12.75">
      <c r="A56" s="20"/>
      <c r="B56" s="21">
        <f t="shared" si="11"/>
        <v>1988</v>
      </c>
      <c r="C56" s="86">
        <f t="shared" si="11"/>
        <v>10108000</v>
      </c>
      <c r="D56" s="86">
        <f t="shared" si="12"/>
        <v>368568.88590604026</v>
      </c>
      <c r="E56" s="21">
        <v>0.75</v>
      </c>
      <c r="F56" s="21">
        <v>0</v>
      </c>
      <c r="G56" s="283">
        <f t="shared" si="13"/>
        <v>2527000</v>
      </c>
      <c r="H56" s="283">
        <f t="shared" si="14"/>
        <v>92142.22147651005</v>
      </c>
      <c r="I56" s="21">
        <f t="shared" si="15"/>
        <v>7581000</v>
      </c>
      <c r="J56" s="21">
        <f t="shared" si="16"/>
        <v>276426.6644295302</v>
      </c>
      <c r="K56" s="21">
        <f t="shared" si="17"/>
        <v>0</v>
      </c>
      <c r="L56" s="21">
        <f t="shared" si="18"/>
        <v>0</v>
      </c>
      <c r="M56" s="380"/>
      <c r="N56" s="380"/>
      <c r="O56" s="380"/>
    </row>
    <row r="57" spans="1:15" ht="12.75">
      <c r="A57" s="20"/>
      <c r="B57" s="21">
        <f t="shared" si="11"/>
        <v>1989</v>
      </c>
      <c r="C57" s="86">
        <f t="shared" si="11"/>
        <v>10853000</v>
      </c>
      <c r="D57" s="86">
        <f t="shared" si="12"/>
        <v>389225.76157407404</v>
      </c>
      <c r="E57" s="21">
        <v>0.75</v>
      </c>
      <c r="F57" s="21">
        <v>0</v>
      </c>
      <c r="G57" s="283">
        <f t="shared" si="13"/>
        <v>2713250</v>
      </c>
      <c r="H57" s="283">
        <f t="shared" si="14"/>
        <v>97306.44039351854</v>
      </c>
      <c r="I57" s="21">
        <f t="shared" si="15"/>
        <v>8139750</v>
      </c>
      <c r="J57" s="21">
        <f t="shared" si="16"/>
        <v>291919.3211805555</v>
      </c>
      <c r="K57" s="21">
        <f t="shared" si="17"/>
        <v>0</v>
      </c>
      <c r="L57" s="21">
        <f t="shared" si="18"/>
        <v>0</v>
      </c>
      <c r="M57" s="380"/>
      <c r="N57" s="380"/>
      <c r="O57" s="380"/>
    </row>
    <row r="58" spans="1:15" ht="12.75">
      <c r="A58" s="20"/>
      <c r="B58" s="21">
        <f t="shared" si="11"/>
        <v>1990</v>
      </c>
      <c r="C58" s="86">
        <f t="shared" si="11"/>
        <v>10404000</v>
      </c>
      <c r="D58" s="86">
        <f t="shared" si="12"/>
        <v>388849.5</v>
      </c>
      <c r="E58" s="21">
        <v>0.75</v>
      </c>
      <c r="F58" s="21">
        <v>0</v>
      </c>
      <c r="G58" s="283">
        <f t="shared" si="13"/>
        <v>2601000</v>
      </c>
      <c r="H58" s="283">
        <f t="shared" si="14"/>
        <v>97212.375</v>
      </c>
      <c r="I58" s="21">
        <f t="shared" si="15"/>
        <v>7803000</v>
      </c>
      <c r="J58" s="21">
        <f t="shared" si="16"/>
        <v>291637.125</v>
      </c>
      <c r="K58" s="21">
        <f t="shared" si="17"/>
        <v>0</v>
      </c>
      <c r="L58" s="21">
        <f t="shared" si="18"/>
        <v>0</v>
      </c>
      <c r="M58" s="380"/>
      <c r="N58" s="380"/>
      <c r="O58" s="380"/>
    </row>
    <row r="59" spans="1:15" ht="12.75">
      <c r="A59" s="20"/>
      <c r="B59" s="21">
        <f t="shared" si="11"/>
        <v>1991</v>
      </c>
      <c r="C59" s="86">
        <f t="shared" si="11"/>
        <v>10717534.483373655</v>
      </c>
      <c r="D59" s="86">
        <f t="shared" si="12"/>
        <v>396074.30170196755</v>
      </c>
      <c r="E59" s="21">
        <v>0.75</v>
      </c>
      <c r="F59" s="21">
        <v>0</v>
      </c>
      <c r="G59" s="283">
        <f t="shared" si="13"/>
        <v>2679383.620843414</v>
      </c>
      <c r="H59" s="283">
        <f t="shared" si="14"/>
        <v>99018.5754254919</v>
      </c>
      <c r="I59" s="21">
        <f t="shared" si="15"/>
        <v>8038150.862530241</v>
      </c>
      <c r="J59" s="21">
        <f t="shared" si="16"/>
        <v>297055.72627647565</v>
      </c>
      <c r="K59" s="21">
        <f t="shared" si="17"/>
        <v>0</v>
      </c>
      <c r="L59" s="21">
        <f t="shared" si="18"/>
        <v>0</v>
      </c>
      <c r="M59" s="380"/>
      <c r="N59" s="380"/>
      <c r="O59" s="380"/>
    </row>
    <row r="60" spans="1:15" ht="12.75">
      <c r="A60" s="20"/>
      <c r="B60" s="21">
        <f t="shared" si="11"/>
        <v>1992</v>
      </c>
      <c r="C60" s="86">
        <f t="shared" si="11"/>
        <v>12257854.332929317</v>
      </c>
      <c r="D60" s="86">
        <f t="shared" si="12"/>
        <v>450502.33873159025</v>
      </c>
      <c r="E60" s="21">
        <v>0.75</v>
      </c>
      <c r="F60" s="21">
        <v>0</v>
      </c>
      <c r="G60" s="283">
        <f t="shared" si="13"/>
        <v>3064463.5832323283</v>
      </c>
      <c r="H60" s="283">
        <f t="shared" si="14"/>
        <v>112625.58468289755</v>
      </c>
      <c r="I60" s="21">
        <f t="shared" si="15"/>
        <v>9193390.749696989</v>
      </c>
      <c r="J60" s="21">
        <f t="shared" si="16"/>
        <v>337876.7540486927</v>
      </c>
      <c r="K60" s="21">
        <f t="shared" si="17"/>
        <v>0</v>
      </c>
      <c r="L60" s="21">
        <f t="shared" si="18"/>
        <v>0</v>
      </c>
      <c r="M60" s="380" t="s">
        <v>254</v>
      </c>
      <c r="N60" s="380"/>
      <c r="O60" s="380"/>
    </row>
    <row r="61" spans="1:15" ht="12.75">
      <c r="A61" s="20"/>
      <c r="B61" s="21">
        <f t="shared" si="11"/>
        <v>1993</v>
      </c>
      <c r="C61" s="86">
        <f t="shared" si="11"/>
        <v>14012379.783551674</v>
      </c>
      <c r="D61" s="86">
        <f t="shared" si="12"/>
        <v>528026.8171743432</v>
      </c>
      <c r="E61" s="21">
        <v>0.55</v>
      </c>
      <c r="F61" s="21">
        <v>0</v>
      </c>
      <c r="G61" s="283">
        <f t="shared" si="13"/>
        <v>6305570.9025982525</v>
      </c>
      <c r="H61" s="283">
        <f t="shared" si="14"/>
        <v>237612.06772845442</v>
      </c>
      <c r="I61" s="21">
        <f t="shared" si="15"/>
        <v>7706808.880953422</v>
      </c>
      <c r="J61" s="21">
        <f t="shared" si="16"/>
        <v>290414.74944588874</v>
      </c>
      <c r="K61" s="21">
        <f t="shared" si="17"/>
        <v>0</v>
      </c>
      <c r="L61" s="21">
        <f t="shared" si="18"/>
        <v>0</v>
      </c>
      <c r="M61" s="380"/>
      <c r="N61" s="380"/>
      <c r="O61" s="380"/>
    </row>
    <row r="62" spans="1:15" ht="12.75">
      <c r="A62" s="20"/>
      <c r="B62" s="21">
        <f t="shared" si="11"/>
        <v>1994</v>
      </c>
      <c r="C62" s="86">
        <f t="shared" si="11"/>
        <v>15047726.860555578</v>
      </c>
      <c r="D62" s="86">
        <f t="shared" si="12"/>
        <v>551850.8071775609</v>
      </c>
      <c r="E62" s="21">
        <v>0.55</v>
      </c>
      <c r="F62" s="21">
        <v>0</v>
      </c>
      <c r="G62" s="283">
        <f t="shared" si="13"/>
        <v>6771477.087250009</v>
      </c>
      <c r="H62" s="283">
        <f t="shared" si="14"/>
        <v>248332.86322990234</v>
      </c>
      <c r="I62" s="21">
        <f t="shared" si="15"/>
        <v>8276249.773305569</v>
      </c>
      <c r="J62" s="21">
        <f t="shared" si="16"/>
        <v>303517.9439476585</v>
      </c>
      <c r="K62" s="21">
        <f>C62*$F62</f>
        <v>0</v>
      </c>
      <c r="L62" s="21">
        <f>D62*$F62</f>
        <v>0</v>
      </c>
      <c r="M62" s="380"/>
      <c r="N62" s="380"/>
      <c r="O62" s="380"/>
    </row>
    <row r="63" spans="1:14" ht="12.75">
      <c r="A63" s="20"/>
      <c r="B63" s="21">
        <f t="shared" si="11"/>
        <v>1995</v>
      </c>
      <c r="C63" s="86">
        <f t="shared" si="11"/>
        <v>14588921.761548147</v>
      </c>
      <c r="D63" s="86">
        <f t="shared" si="12"/>
        <v>536437.3716047518</v>
      </c>
      <c r="E63" s="21">
        <v>0.55</v>
      </c>
      <c r="F63" s="21">
        <v>0</v>
      </c>
      <c r="G63" s="283">
        <f t="shared" si="13"/>
        <v>6565014.792696665</v>
      </c>
      <c r="H63" s="283">
        <f t="shared" si="14"/>
        <v>241396.81722213828</v>
      </c>
      <c r="I63" s="21">
        <f t="shared" si="15"/>
        <v>8023906.968851482</v>
      </c>
      <c r="J63" s="21">
        <f t="shared" si="16"/>
        <v>295040.5543826135</v>
      </c>
      <c r="K63" s="21">
        <f>C63*$F63</f>
        <v>0</v>
      </c>
      <c r="L63" s="21">
        <f>D63*$F63</f>
        <v>0</v>
      </c>
      <c r="M63" s="380" t="s">
        <v>255</v>
      </c>
      <c r="N63" s="380"/>
    </row>
    <row r="64" spans="1:15" ht="13.5" thickBot="1">
      <c r="A64" s="20"/>
      <c r="B64" s="21">
        <f t="shared" si="11"/>
        <v>1996</v>
      </c>
      <c r="C64" s="86">
        <f t="shared" si="11"/>
        <v>14471963.458683625</v>
      </c>
      <c r="D64" s="86">
        <f t="shared" si="12"/>
        <v>526574.3554533625</v>
      </c>
      <c r="E64" s="21">
        <v>0.25</v>
      </c>
      <c r="F64" s="21">
        <v>0</v>
      </c>
      <c r="G64" s="283">
        <f t="shared" si="13"/>
        <v>10853972.594012719</v>
      </c>
      <c r="H64" s="283">
        <f t="shared" si="14"/>
        <v>394930.76659002184</v>
      </c>
      <c r="I64" s="21">
        <f t="shared" si="15"/>
        <v>3617990.864670906</v>
      </c>
      <c r="J64" s="21">
        <f t="shared" si="16"/>
        <v>131643.5888633406</v>
      </c>
      <c r="K64" s="95">
        <f t="shared" si="17"/>
        <v>0</v>
      </c>
      <c r="L64" s="95">
        <f t="shared" si="18"/>
        <v>0</v>
      </c>
      <c r="M64" s="438"/>
      <c r="N64" s="438"/>
      <c r="O64" s="380" t="s">
        <v>223</v>
      </c>
    </row>
    <row r="65" spans="1:15" ht="12.75">
      <c r="A65" s="20"/>
      <c r="B65" s="21">
        <f t="shared" si="11"/>
        <v>1997</v>
      </c>
      <c r="C65" s="86">
        <f t="shared" si="11"/>
        <v>14032309.273755172</v>
      </c>
      <c r="D65" s="86">
        <f t="shared" si="12"/>
        <v>517919.77864950907</v>
      </c>
      <c r="E65" s="21">
        <v>0.25</v>
      </c>
      <c r="F65" s="21">
        <v>0.75</v>
      </c>
      <c r="G65" s="283">
        <f t="shared" si="13"/>
        <v>0</v>
      </c>
      <c r="H65" s="283">
        <f t="shared" si="14"/>
        <v>0</v>
      </c>
      <c r="I65" s="21">
        <f t="shared" si="15"/>
        <v>3508077.318438793</v>
      </c>
      <c r="J65" s="21">
        <f t="shared" si="16"/>
        <v>129479.94466237727</v>
      </c>
      <c r="K65" s="21">
        <f t="shared" si="17"/>
        <v>10524231.95531638</v>
      </c>
      <c r="L65" s="21">
        <f t="shared" si="18"/>
        <v>388439.83398713183</v>
      </c>
      <c r="M65" s="380"/>
      <c r="N65" s="380"/>
      <c r="O65" s="380"/>
    </row>
    <row r="66" spans="1:15" ht="12.75">
      <c r="A66" s="20"/>
      <c r="B66" s="21">
        <f t="shared" si="11"/>
        <v>1998</v>
      </c>
      <c r="C66" s="86">
        <f t="shared" si="11"/>
        <v>15052628.474715961</v>
      </c>
      <c r="D66" s="86">
        <f t="shared" si="12"/>
        <v>557484.8474385876</v>
      </c>
      <c r="E66" s="21">
        <v>0.25</v>
      </c>
      <c r="F66" s="21">
        <v>0.75</v>
      </c>
      <c r="G66" s="283">
        <f t="shared" si="13"/>
        <v>0</v>
      </c>
      <c r="H66" s="283">
        <f t="shared" si="14"/>
        <v>0</v>
      </c>
      <c r="I66" s="21">
        <f t="shared" si="15"/>
        <v>3763157.1186789903</v>
      </c>
      <c r="J66" s="21">
        <f t="shared" si="16"/>
        <v>139371.2118596469</v>
      </c>
      <c r="K66" s="21">
        <f t="shared" si="17"/>
        <v>11289471.35603697</v>
      </c>
      <c r="L66" s="21">
        <f t="shared" si="18"/>
        <v>418113.6355789407</v>
      </c>
      <c r="M66" s="380"/>
      <c r="N66" s="380"/>
      <c r="O66" s="380"/>
    </row>
    <row r="67" spans="1:14" ht="12.75">
      <c r="A67" s="20"/>
      <c r="B67" s="21">
        <f t="shared" si="11"/>
        <v>1999</v>
      </c>
      <c r="C67" s="86">
        <f t="shared" si="11"/>
        <v>16433156.431761162</v>
      </c>
      <c r="D67" s="86">
        <f t="shared" si="12"/>
        <v>599889.2153190506</v>
      </c>
      <c r="E67" s="21">
        <v>0.25</v>
      </c>
      <c r="F67" s="21">
        <v>0.75</v>
      </c>
      <c r="G67" s="283">
        <f t="shared" si="13"/>
        <v>0</v>
      </c>
      <c r="H67" s="283">
        <f t="shared" si="14"/>
        <v>0</v>
      </c>
      <c r="I67" s="21">
        <f t="shared" si="15"/>
        <v>4108289.1079402906</v>
      </c>
      <c r="J67" s="21">
        <f t="shared" si="16"/>
        <v>149972.30382976265</v>
      </c>
      <c r="K67" s="21">
        <f t="shared" si="17"/>
        <v>12324867.323820872</v>
      </c>
      <c r="L67" s="21">
        <f t="shared" si="18"/>
        <v>449916.911489288</v>
      </c>
      <c r="M67" s="380"/>
      <c r="N67" s="380"/>
    </row>
    <row r="68" spans="1:14" ht="12.75">
      <c r="A68" s="20"/>
      <c r="B68" s="21">
        <f t="shared" si="11"/>
        <v>2000</v>
      </c>
      <c r="C68" s="86">
        <f t="shared" si="11"/>
        <v>17060810.643459633</v>
      </c>
      <c r="D68" s="86">
        <f t="shared" si="12"/>
        <v>635665.7330333724</v>
      </c>
      <c r="E68" s="21">
        <v>0.25</v>
      </c>
      <c r="F68" s="21">
        <v>0.75</v>
      </c>
      <c r="G68" s="283">
        <f t="shared" si="13"/>
        <v>0</v>
      </c>
      <c r="H68" s="283">
        <f t="shared" si="14"/>
        <v>0</v>
      </c>
      <c r="I68" s="21">
        <f t="shared" si="15"/>
        <v>4265202.660864908</v>
      </c>
      <c r="J68" s="21">
        <f t="shared" si="16"/>
        <v>158916.4332583431</v>
      </c>
      <c r="K68" s="21">
        <f t="shared" si="17"/>
        <v>12795607.982594725</v>
      </c>
      <c r="L68" s="21">
        <f t="shared" si="18"/>
        <v>476749.2997750293</v>
      </c>
      <c r="M68" s="380" t="s">
        <v>256</v>
      </c>
      <c r="N68" s="380"/>
    </row>
    <row r="69" spans="1:12" ht="12.75">
      <c r="A69" s="20"/>
      <c r="B69" s="21">
        <f t="shared" si="11"/>
        <v>2001</v>
      </c>
      <c r="C69" s="86">
        <f t="shared" si="11"/>
        <v>16384849.71057571</v>
      </c>
      <c r="D69" s="86">
        <f t="shared" si="12"/>
        <v>591245.7560655858</v>
      </c>
      <c r="E69" s="21">
        <v>0</v>
      </c>
      <c r="F69" s="21">
        <v>1</v>
      </c>
      <c r="G69" s="283">
        <f t="shared" si="13"/>
        <v>0</v>
      </c>
      <c r="H69" s="283">
        <f t="shared" si="14"/>
        <v>0</v>
      </c>
      <c r="I69" s="21">
        <f t="shared" si="15"/>
        <v>0</v>
      </c>
      <c r="J69" s="21">
        <f t="shared" si="16"/>
        <v>0</v>
      </c>
      <c r="K69" s="21">
        <f t="shared" si="17"/>
        <v>16384849.71057571</v>
      </c>
      <c r="L69" s="21">
        <f t="shared" si="18"/>
        <v>591245.7560655858</v>
      </c>
    </row>
    <row r="70" spans="1:12" ht="12.75">
      <c r="A70" s="20"/>
      <c r="B70" s="21">
        <f t="shared" si="11"/>
        <v>2002</v>
      </c>
      <c r="C70" s="86">
        <f t="shared" si="11"/>
        <v>17008211.022846807</v>
      </c>
      <c r="D70" s="86">
        <f t="shared" si="12"/>
        <v>618909.9011091477</v>
      </c>
      <c r="E70" s="21">
        <v>0</v>
      </c>
      <c r="F70" s="21">
        <v>1</v>
      </c>
      <c r="G70" s="283">
        <f t="shared" si="13"/>
        <v>0</v>
      </c>
      <c r="H70" s="283">
        <f t="shared" si="14"/>
        <v>0</v>
      </c>
      <c r="I70" s="21">
        <f t="shared" si="15"/>
        <v>0</v>
      </c>
      <c r="J70" s="21">
        <f t="shared" si="16"/>
        <v>0</v>
      </c>
      <c r="K70" s="21">
        <f t="shared" si="17"/>
        <v>17008211.022846807</v>
      </c>
      <c r="L70" s="21">
        <f t="shared" si="18"/>
        <v>618909.9011091477</v>
      </c>
    </row>
    <row r="71" spans="1:12" ht="12.75">
      <c r="A71" s="20"/>
      <c r="B71" s="21">
        <f t="shared" si="11"/>
        <v>2003</v>
      </c>
      <c r="C71" s="86">
        <f t="shared" si="11"/>
        <v>17562636.608044077</v>
      </c>
      <c r="D71" s="86">
        <f t="shared" si="12"/>
        <v>641036.2361936087</v>
      </c>
      <c r="E71" s="21">
        <v>0</v>
      </c>
      <c r="F71" s="21">
        <v>1</v>
      </c>
      <c r="G71" s="283">
        <f t="shared" si="13"/>
        <v>0</v>
      </c>
      <c r="H71" s="283">
        <f t="shared" si="14"/>
        <v>0</v>
      </c>
      <c r="I71" s="21">
        <f t="shared" si="15"/>
        <v>0</v>
      </c>
      <c r="J71" s="21">
        <f t="shared" si="16"/>
        <v>0</v>
      </c>
      <c r="K71" s="21">
        <f t="shared" si="17"/>
        <v>17562636.608044077</v>
      </c>
      <c r="L71" s="21">
        <f t="shared" si="18"/>
        <v>641036.2361936087</v>
      </c>
    </row>
    <row r="72" spans="1:12" ht="12.75">
      <c r="A72" s="20"/>
      <c r="B72" s="21">
        <f aca="true" t="shared" si="19" ref="B72:C75">B32</f>
        <v>2004</v>
      </c>
      <c r="C72" s="86">
        <f t="shared" si="19"/>
        <v>17842164.22566697</v>
      </c>
      <c r="D72" s="86">
        <f>E32</f>
        <v>651238.9942368445</v>
      </c>
      <c r="E72" s="21">
        <v>0</v>
      </c>
      <c r="F72" s="21">
        <v>1</v>
      </c>
      <c r="G72" s="283">
        <f aca="true" t="shared" si="20" ref="G72:H74">C72-I72-K72</f>
        <v>0</v>
      </c>
      <c r="H72" s="283">
        <f t="shared" si="20"/>
        <v>0</v>
      </c>
      <c r="I72" s="21">
        <f aca="true" t="shared" si="21" ref="I72:J74">C72*$E72</f>
        <v>0</v>
      </c>
      <c r="J72" s="21">
        <f t="shared" si="21"/>
        <v>0</v>
      </c>
      <c r="K72" s="21">
        <f aca="true" t="shared" si="22" ref="K72:L74">C72*$F72</f>
        <v>17842164.22566697</v>
      </c>
      <c r="L72" s="21">
        <f t="shared" si="22"/>
        <v>651238.9942368445</v>
      </c>
    </row>
    <row r="73" spans="1:12" ht="12.75">
      <c r="A73" s="20"/>
      <c r="B73" s="21">
        <f t="shared" si="19"/>
        <v>2005</v>
      </c>
      <c r="C73" s="86">
        <f t="shared" si="19"/>
        <v>16728593</v>
      </c>
      <c r="D73" s="86">
        <f>E33</f>
        <v>610593.6445</v>
      </c>
      <c r="E73" s="21">
        <v>0</v>
      </c>
      <c r="F73" s="21">
        <v>1</v>
      </c>
      <c r="G73" s="283">
        <f t="shared" si="20"/>
        <v>0</v>
      </c>
      <c r="H73" s="283">
        <f t="shared" si="20"/>
        <v>0</v>
      </c>
      <c r="I73" s="21">
        <f t="shared" si="21"/>
        <v>0</v>
      </c>
      <c r="J73" s="21">
        <f t="shared" si="21"/>
        <v>0</v>
      </c>
      <c r="K73" s="21">
        <f t="shared" si="22"/>
        <v>16728593</v>
      </c>
      <c r="L73" s="21">
        <f t="shared" si="22"/>
        <v>610593.6445</v>
      </c>
    </row>
    <row r="74" spans="1:12" ht="12.75">
      <c r="A74" s="20"/>
      <c r="B74" s="21">
        <f t="shared" si="19"/>
        <v>2006</v>
      </c>
      <c r="C74" s="86">
        <f t="shared" si="19"/>
        <v>13445386</v>
      </c>
      <c r="D74" s="86">
        <f>E34</f>
        <v>490756.589</v>
      </c>
      <c r="E74" s="21">
        <v>0</v>
      </c>
      <c r="F74" s="21">
        <v>1</v>
      </c>
      <c r="G74" s="283">
        <f t="shared" si="20"/>
        <v>0</v>
      </c>
      <c r="H74" s="283">
        <f t="shared" si="20"/>
        <v>0</v>
      </c>
      <c r="I74" s="21">
        <f t="shared" si="21"/>
        <v>0</v>
      </c>
      <c r="J74" s="21">
        <f t="shared" si="21"/>
        <v>0</v>
      </c>
      <c r="K74" s="21">
        <f t="shared" si="22"/>
        <v>13445386</v>
      </c>
      <c r="L74" s="21">
        <f t="shared" si="22"/>
        <v>490756.589</v>
      </c>
    </row>
    <row r="75" spans="1:12" ht="12.75">
      <c r="A75" s="20"/>
      <c r="B75" s="21">
        <f t="shared" si="19"/>
        <v>2007</v>
      </c>
      <c r="C75" s="86">
        <f t="shared" si="19"/>
        <v>4205422</v>
      </c>
      <c r="D75" s="86">
        <f>E35</f>
        <v>153497.903</v>
      </c>
      <c r="E75" s="21">
        <v>0</v>
      </c>
      <c r="F75" s="21">
        <v>1</v>
      </c>
      <c r="G75" s="283">
        <f>C75-I75-K75</f>
        <v>0</v>
      </c>
      <c r="H75" s="283">
        <f>D75-J75-L75</f>
        <v>0</v>
      </c>
      <c r="I75" s="21">
        <f>C75*$E75</f>
        <v>0</v>
      </c>
      <c r="J75" s="21">
        <f>D75*$E75</f>
        <v>0</v>
      </c>
      <c r="K75" s="21">
        <f>C75*$F75</f>
        <v>4205422</v>
      </c>
      <c r="L75" s="21">
        <f>D75*$F75</f>
        <v>153497.903</v>
      </c>
    </row>
    <row r="76" spans="1:12" ht="12.75">
      <c r="A76" s="20"/>
      <c r="B76" s="21" t="s">
        <v>22</v>
      </c>
      <c r="C76" s="283">
        <f>SUM(C48:C75)</f>
        <v>337143548.0714675</v>
      </c>
      <c r="D76" s="283">
        <f>SUM(D48:D75)</f>
        <v>12353463.201893955</v>
      </c>
      <c r="G76" s="283">
        <f aca="true" t="shared" si="23" ref="G76:L76">SUM(G48:G75)</f>
        <v>44081132.58063339</v>
      </c>
      <c r="H76" s="283">
        <f t="shared" si="23"/>
        <v>1620577.7117489348</v>
      </c>
      <c r="I76" s="283">
        <f t="shared" si="23"/>
        <v>142950974.3059316</v>
      </c>
      <c r="J76" s="283">
        <f t="shared" si="23"/>
        <v>5242386.7852094425</v>
      </c>
      <c r="K76" s="283">
        <f t="shared" si="23"/>
        <v>150111441.1849025</v>
      </c>
      <c r="L76" s="283">
        <f t="shared" si="23"/>
        <v>5490498.704935577</v>
      </c>
    </row>
    <row r="77" spans="1:7" ht="12.75">
      <c r="A77" s="20"/>
      <c r="B77" s="112"/>
      <c r="C77" s="86"/>
      <c r="D77" s="86"/>
      <c r="G77" s="138"/>
    </row>
    <row r="78" spans="1:7" ht="12.75">
      <c r="A78" s="20"/>
      <c r="B78" s="113"/>
      <c r="C78" s="86"/>
      <c r="D78" s="86"/>
      <c r="G78" s="138"/>
    </row>
    <row r="79" spans="1:7" ht="12.75">
      <c r="A79" s="20"/>
      <c r="B79" s="113"/>
      <c r="C79" s="86"/>
      <c r="D79" s="86"/>
      <c r="G79" s="138"/>
    </row>
    <row r="80" spans="1:7" ht="12.75">
      <c r="A80" s="20"/>
      <c r="B80" s="113"/>
      <c r="C80" s="86"/>
      <c r="D80" s="86"/>
      <c r="G80" s="138"/>
    </row>
  </sheetData>
  <mergeCells count="14">
    <mergeCell ref="G46:H46"/>
    <mergeCell ref="P6:Q6"/>
    <mergeCell ref="R6:S6"/>
    <mergeCell ref="F6:I6"/>
    <mergeCell ref="J6:K6"/>
    <mergeCell ref="L6:M6"/>
    <mergeCell ref="N6:O6"/>
    <mergeCell ref="I46:J46"/>
    <mergeCell ref="K46:L46"/>
    <mergeCell ref="B3:E3"/>
    <mergeCell ref="B1:S1"/>
    <mergeCell ref="B5:E5"/>
    <mergeCell ref="F5:I5"/>
    <mergeCell ref="J5:S5"/>
  </mergeCells>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3:L76"/>
  <sheetViews>
    <sheetView workbookViewId="0" topLeftCell="A1">
      <selection activeCell="I77" sqref="I77"/>
    </sheetView>
  </sheetViews>
  <sheetFormatPr defaultColWidth="9.140625" defaultRowHeight="12.75"/>
  <cols>
    <col min="3" max="3" width="10.00390625" style="0" bestFit="1" customWidth="1"/>
    <col min="6" max="6" width="28.00390625" style="0" customWidth="1"/>
  </cols>
  <sheetData>
    <row r="3" spans="1:10" ht="12.75">
      <c r="A3" s="21"/>
      <c r="B3" s="456" t="s">
        <v>114</v>
      </c>
      <c r="C3" s="456"/>
      <c r="D3" s="456"/>
      <c r="E3" s="456"/>
      <c r="F3" s="456"/>
      <c r="G3" s="456"/>
      <c r="H3" s="456"/>
      <c r="I3" s="456"/>
      <c r="J3" s="456"/>
    </row>
    <row r="4" spans="1:10" ht="13.5" thickBot="1">
      <c r="A4" s="21"/>
      <c r="B4" s="129"/>
      <c r="C4" s="129"/>
      <c r="D4" s="129"/>
      <c r="E4" s="129"/>
      <c r="F4" s="129"/>
      <c r="G4" s="129"/>
      <c r="H4" s="129"/>
      <c r="I4" s="129"/>
      <c r="J4" s="129"/>
    </row>
    <row r="5" spans="1:10" ht="12.75">
      <c r="A5" s="21"/>
      <c r="B5" s="457" t="s">
        <v>6</v>
      </c>
      <c r="C5" s="458"/>
      <c r="D5" s="458"/>
      <c r="E5" s="459"/>
      <c r="F5" s="255" t="s">
        <v>14</v>
      </c>
      <c r="G5" s="457" t="s">
        <v>48</v>
      </c>
      <c r="H5" s="458"/>
      <c r="I5" s="458"/>
      <c r="J5" s="459"/>
    </row>
    <row r="6" spans="1:10" ht="12.75">
      <c r="A6" s="21"/>
      <c r="B6" s="120" t="s">
        <v>0</v>
      </c>
      <c r="C6" s="121" t="s">
        <v>1</v>
      </c>
      <c r="D6" s="121" t="s">
        <v>3</v>
      </c>
      <c r="E6" s="122" t="s">
        <v>2</v>
      </c>
      <c r="F6" s="256" t="s">
        <v>15</v>
      </c>
      <c r="G6" s="546" t="s">
        <v>18</v>
      </c>
      <c r="H6" s="541"/>
      <c r="I6" s="542" t="s">
        <v>16</v>
      </c>
      <c r="J6" s="563"/>
    </row>
    <row r="7" spans="1:10" ht="12.75">
      <c r="A7" s="21"/>
      <c r="B7" s="123"/>
      <c r="C7" s="124"/>
      <c r="D7" s="124" t="s">
        <v>4</v>
      </c>
      <c r="E7" s="125"/>
      <c r="F7" s="17">
        <v>8</v>
      </c>
      <c r="G7" s="140" t="s">
        <v>46</v>
      </c>
      <c r="H7" s="131" t="s">
        <v>2</v>
      </c>
      <c r="I7" s="131" t="s">
        <v>46</v>
      </c>
      <c r="J7" s="141" t="s">
        <v>2</v>
      </c>
    </row>
    <row r="8" spans="1:10" ht="12.75">
      <c r="A8" s="21"/>
      <c r="B8" s="102">
        <v>1980</v>
      </c>
      <c r="C8" s="108"/>
      <c r="D8" s="126"/>
      <c r="E8" s="107">
        <f>C8*D8/2000</f>
        <v>0</v>
      </c>
      <c r="F8" s="106">
        <v>1</v>
      </c>
      <c r="G8" s="102"/>
      <c r="H8" s="98"/>
      <c r="I8" s="98"/>
      <c r="J8" s="103"/>
    </row>
    <row r="9" spans="1:10" ht="12.75">
      <c r="A9" s="21"/>
      <c r="B9" s="102">
        <v>1981</v>
      </c>
      <c r="C9" s="108"/>
      <c r="D9" s="126"/>
      <c r="E9" s="107">
        <f>C9*D9/2000</f>
        <v>0</v>
      </c>
      <c r="F9" s="106">
        <v>1</v>
      </c>
      <c r="G9" s="102"/>
      <c r="H9" s="98"/>
      <c r="I9" s="98"/>
      <c r="J9" s="103"/>
    </row>
    <row r="10" spans="1:10" ht="12.75">
      <c r="A10" s="21"/>
      <c r="B10" s="102">
        <v>1982</v>
      </c>
      <c r="C10" s="108"/>
      <c r="D10" s="126"/>
      <c r="E10" s="107">
        <f>C10*D10/2000</f>
        <v>0</v>
      </c>
      <c r="F10" s="106">
        <v>1</v>
      </c>
      <c r="G10" s="109"/>
      <c r="H10" s="100"/>
      <c r="I10" s="100">
        <f>G10</f>
        <v>0</v>
      </c>
      <c r="J10" s="107">
        <f>H10</f>
        <v>0</v>
      </c>
    </row>
    <row r="11" spans="1:10" ht="12.75">
      <c r="A11" s="21"/>
      <c r="B11" s="102">
        <v>1983</v>
      </c>
      <c r="C11" s="108"/>
      <c r="D11" s="126"/>
      <c r="E11" s="107">
        <f>C11*D11/2000</f>
        <v>0</v>
      </c>
      <c r="F11" s="106">
        <v>1</v>
      </c>
      <c r="G11" s="109"/>
      <c r="H11" s="100"/>
      <c r="I11" s="100">
        <f aca="true" t="shared" si="0" ref="I11:I38">G11</f>
        <v>0</v>
      </c>
      <c r="J11" s="107">
        <f aca="true" t="shared" si="1" ref="J11:J38">H11</f>
        <v>0</v>
      </c>
    </row>
    <row r="12" spans="1:10" ht="12.75">
      <c r="A12" s="21"/>
      <c r="B12" s="102">
        <v>1984</v>
      </c>
      <c r="C12" s="108">
        <v>195000</v>
      </c>
      <c r="D12" s="379">
        <v>219</v>
      </c>
      <c r="E12" s="107">
        <f>C12*D12/2000</f>
        <v>21352.5</v>
      </c>
      <c r="F12" s="106">
        <v>1</v>
      </c>
      <c r="G12" s="109"/>
      <c r="H12" s="100"/>
      <c r="I12" s="100">
        <f t="shared" si="0"/>
        <v>0</v>
      </c>
      <c r="J12" s="107">
        <f t="shared" si="1"/>
        <v>0</v>
      </c>
    </row>
    <row r="13" spans="1:10" ht="12.75">
      <c r="A13" s="21"/>
      <c r="B13" s="102">
        <v>1985</v>
      </c>
      <c r="C13" s="108">
        <v>266000</v>
      </c>
      <c r="D13" s="379">
        <v>221</v>
      </c>
      <c r="E13" s="107">
        <f aca="true" t="shared" si="2" ref="E13:E35">C13*D13/2000</f>
        <v>29393</v>
      </c>
      <c r="F13" s="106">
        <v>1</v>
      </c>
      <c r="G13" s="109"/>
      <c r="H13" s="100"/>
      <c r="I13" s="100">
        <f t="shared" si="0"/>
        <v>0</v>
      </c>
      <c r="J13" s="107">
        <f t="shared" si="1"/>
        <v>0</v>
      </c>
    </row>
    <row r="14" spans="1:10" ht="12.75">
      <c r="A14" s="21"/>
      <c r="B14" s="102">
        <v>1986</v>
      </c>
      <c r="C14" s="108">
        <v>304000</v>
      </c>
      <c r="D14" s="379">
        <v>223</v>
      </c>
      <c r="E14" s="107">
        <f t="shared" si="2"/>
        <v>33896</v>
      </c>
      <c r="F14" s="106">
        <v>1</v>
      </c>
      <c r="G14" s="109"/>
      <c r="H14" s="100"/>
      <c r="I14" s="100">
        <f t="shared" si="0"/>
        <v>0</v>
      </c>
      <c r="J14" s="107">
        <f t="shared" si="1"/>
        <v>0</v>
      </c>
    </row>
    <row r="15" spans="1:10" ht="12.75">
      <c r="A15" s="21"/>
      <c r="B15" s="102">
        <v>1987</v>
      </c>
      <c r="C15" s="108">
        <v>293000</v>
      </c>
      <c r="D15" s="379">
        <v>225</v>
      </c>
      <c r="E15" s="107">
        <f t="shared" si="2"/>
        <v>32962.5</v>
      </c>
      <c r="F15" s="106">
        <v>1</v>
      </c>
      <c r="G15" s="109"/>
      <c r="H15" s="100"/>
      <c r="I15" s="100">
        <f t="shared" si="0"/>
        <v>0</v>
      </c>
      <c r="J15" s="107">
        <f t="shared" si="1"/>
        <v>0</v>
      </c>
    </row>
    <row r="16" spans="1:10" ht="12.75">
      <c r="A16" s="21"/>
      <c r="B16" s="102">
        <v>1988</v>
      </c>
      <c r="C16" s="108">
        <v>302000</v>
      </c>
      <c r="D16" s="379">
        <v>227</v>
      </c>
      <c r="E16" s="107">
        <f t="shared" si="2"/>
        <v>34277</v>
      </c>
      <c r="F16" s="106">
        <v>1</v>
      </c>
      <c r="G16" s="109">
        <f>C8*F8/1000</f>
        <v>0</v>
      </c>
      <c r="H16" s="100">
        <f>E8*F8</f>
        <v>0</v>
      </c>
      <c r="I16" s="100">
        <f t="shared" si="0"/>
        <v>0</v>
      </c>
      <c r="J16" s="107">
        <f t="shared" si="1"/>
        <v>0</v>
      </c>
    </row>
    <row r="17" spans="1:10" ht="12.75">
      <c r="A17" s="21"/>
      <c r="B17" s="102">
        <v>1989</v>
      </c>
      <c r="C17" s="108">
        <v>265000</v>
      </c>
      <c r="D17" s="379">
        <v>229</v>
      </c>
      <c r="E17" s="107">
        <f t="shared" si="2"/>
        <v>30342.5</v>
      </c>
      <c r="F17" s="106">
        <v>1</v>
      </c>
      <c r="G17" s="109">
        <f aca="true" t="shared" si="3" ref="G17:G37">C9*F9/1000</f>
        <v>0</v>
      </c>
      <c r="H17" s="100">
        <f aca="true" t="shared" si="4" ref="H17:H38">E9*F9</f>
        <v>0</v>
      </c>
      <c r="I17" s="100">
        <f t="shared" si="0"/>
        <v>0</v>
      </c>
      <c r="J17" s="107">
        <f t="shared" si="1"/>
        <v>0</v>
      </c>
    </row>
    <row r="18" spans="1:10" ht="12.75">
      <c r="A18" s="21"/>
      <c r="B18" s="102">
        <v>1990</v>
      </c>
      <c r="C18" s="108">
        <v>351000</v>
      </c>
      <c r="D18" s="379">
        <v>231</v>
      </c>
      <c r="E18" s="107">
        <f t="shared" si="2"/>
        <v>40540.5</v>
      </c>
      <c r="F18" s="106">
        <v>1</v>
      </c>
      <c r="G18" s="109">
        <f t="shared" si="3"/>
        <v>0</v>
      </c>
      <c r="H18" s="100">
        <f t="shared" si="4"/>
        <v>0</v>
      </c>
      <c r="I18" s="100">
        <f t="shared" si="0"/>
        <v>0</v>
      </c>
      <c r="J18" s="107">
        <f t="shared" si="1"/>
        <v>0</v>
      </c>
    </row>
    <row r="19" spans="1:10" ht="12.75">
      <c r="A19" s="21"/>
      <c r="B19" s="102">
        <v>1991</v>
      </c>
      <c r="C19" s="108">
        <v>380000</v>
      </c>
      <c r="D19" s="379">
        <v>233</v>
      </c>
      <c r="E19" s="107">
        <f t="shared" si="2"/>
        <v>44270</v>
      </c>
      <c r="F19" s="106">
        <v>1</v>
      </c>
      <c r="G19" s="109">
        <f t="shared" si="3"/>
        <v>0</v>
      </c>
      <c r="H19" s="100">
        <f t="shared" si="4"/>
        <v>0</v>
      </c>
      <c r="I19" s="100">
        <f t="shared" si="0"/>
        <v>0</v>
      </c>
      <c r="J19" s="107">
        <f t="shared" si="1"/>
        <v>0</v>
      </c>
    </row>
    <row r="20" spans="1:10" ht="12.75">
      <c r="A20" s="21"/>
      <c r="B20" s="102">
        <v>1992</v>
      </c>
      <c r="C20" s="108">
        <v>404000</v>
      </c>
      <c r="D20" s="379">
        <v>235</v>
      </c>
      <c r="E20" s="107">
        <f t="shared" si="2"/>
        <v>47470</v>
      </c>
      <c r="F20" s="106">
        <v>1</v>
      </c>
      <c r="G20" s="109">
        <f t="shared" si="3"/>
        <v>195</v>
      </c>
      <c r="H20" s="100">
        <f t="shared" si="4"/>
        <v>21352.5</v>
      </c>
      <c r="I20" s="100">
        <f t="shared" si="0"/>
        <v>195</v>
      </c>
      <c r="J20" s="107">
        <f t="shared" si="1"/>
        <v>21352.5</v>
      </c>
    </row>
    <row r="21" spans="1:10" ht="12.75">
      <c r="A21" s="21"/>
      <c r="B21" s="102">
        <v>1993</v>
      </c>
      <c r="C21" s="108">
        <v>465000</v>
      </c>
      <c r="D21" s="379">
        <v>237</v>
      </c>
      <c r="E21" s="107">
        <f t="shared" si="2"/>
        <v>55102.5</v>
      </c>
      <c r="F21" s="106">
        <v>1</v>
      </c>
      <c r="G21" s="109">
        <f t="shared" si="3"/>
        <v>266</v>
      </c>
      <c r="H21" s="100">
        <f t="shared" si="4"/>
        <v>29393</v>
      </c>
      <c r="I21" s="100">
        <f t="shared" si="0"/>
        <v>266</v>
      </c>
      <c r="J21" s="107">
        <f t="shared" si="1"/>
        <v>29393</v>
      </c>
    </row>
    <row r="22" spans="1:10" ht="12.75">
      <c r="A22" s="21"/>
      <c r="B22" s="102">
        <v>1994</v>
      </c>
      <c r="C22" s="108">
        <v>636000</v>
      </c>
      <c r="D22" s="379">
        <v>239</v>
      </c>
      <c r="E22" s="107">
        <f t="shared" si="2"/>
        <v>76002</v>
      </c>
      <c r="F22" s="106">
        <v>1</v>
      </c>
      <c r="G22" s="109">
        <f t="shared" si="3"/>
        <v>304</v>
      </c>
      <c r="H22" s="100">
        <f t="shared" si="4"/>
        <v>33896</v>
      </c>
      <c r="I22" s="100">
        <f t="shared" si="0"/>
        <v>304</v>
      </c>
      <c r="J22" s="107">
        <f t="shared" si="1"/>
        <v>33896</v>
      </c>
    </row>
    <row r="23" spans="1:10" ht="12.75">
      <c r="A23" s="21"/>
      <c r="B23" s="102">
        <v>1995</v>
      </c>
      <c r="C23" s="108">
        <v>820000</v>
      </c>
      <c r="D23" s="379">
        <v>241</v>
      </c>
      <c r="E23" s="107">
        <f t="shared" si="2"/>
        <v>98810</v>
      </c>
      <c r="F23" s="106">
        <v>1</v>
      </c>
      <c r="G23" s="109">
        <f t="shared" si="3"/>
        <v>293</v>
      </c>
      <c r="H23" s="100">
        <f t="shared" si="4"/>
        <v>32962.5</v>
      </c>
      <c r="I23" s="100">
        <f t="shared" si="0"/>
        <v>293</v>
      </c>
      <c r="J23" s="107">
        <f t="shared" si="1"/>
        <v>32962.5</v>
      </c>
    </row>
    <row r="24" spans="1:10" ht="12.75">
      <c r="A24" s="21"/>
      <c r="B24" s="102">
        <v>1996</v>
      </c>
      <c r="C24" s="108">
        <v>887000</v>
      </c>
      <c r="D24" s="379">
        <v>243</v>
      </c>
      <c r="E24" s="107">
        <f t="shared" si="2"/>
        <v>107770.5</v>
      </c>
      <c r="F24" s="106">
        <v>1</v>
      </c>
      <c r="G24" s="109">
        <f t="shared" si="3"/>
        <v>302</v>
      </c>
      <c r="H24" s="100">
        <f t="shared" si="4"/>
        <v>34277</v>
      </c>
      <c r="I24" s="100">
        <f t="shared" si="0"/>
        <v>302</v>
      </c>
      <c r="J24" s="107">
        <f t="shared" si="1"/>
        <v>34277</v>
      </c>
    </row>
    <row r="25" spans="1:10" ht="12.75">
      <c r="A25" s="21"/>
      <c r="B25" s="102">
        <v>1997</v>
      </c>
      <c r="C25" s="108">
        <v>917000</v>
      </c>
      <c r="D25" s="379">
        <v>245</v>
      </c>
      <c r="E25" s="107">
        <f t="shared" si="2"/>
        <v>112332.5</v>
      </c>
      <c r="F25" s="106">
        <v>1</v>
      </c>
      <c r="G25" s="109">
        <f t="shared" si="3"/>
        <v>265</v>
      </c>
      <c r="H25" s="100">
        <f t="shared" si="4"/>
        <v>30342.5</v>
      </c>
      <c r="I25" s="100">
        <f t="shared" si="0"/>
        <v>265</v>
      </c>
      <c r="J25" s="107">
        <f t="shared" si="1"/>
        <v>30342.5</v>
      </c>
    </row>
    <row r="26" spans="1:10" ht="12.75">
      <c r="A26" s="21"/>
      <c r="B26" s="102">
        <v>1998</v>
      </c>
      <c r="C26" s="108">
        <v>1081970</v>
      </c>
      <c r="D26" s="379">
        <v>247</v>
      </c>
      <c r="E26" s="107">
        <f t="shared" si="2"/>
        <v>133623.295</v>
      </c>
      <c r="F26" s="106">
        <v>1</v>
      </c>
      <c r="G26" s="109">
        <f t="shared" si="3"/>
        <v>351</v>
      </c>
      <c r="H26" s="100">
        <f t="shared" si="4"/>
        <v>40540.5</v>
      </c>
      <c r="I26" s="100">
        <f t="shared" si="0"/>
        <v>351</v>
      </c>
      <c r="J26" s="107">
        <f t="shared" si="1"/>
        <v>40540.5</v>
      </c>
    </row>
    <row r="27" spans="1:10" ht="12.75">
      <c r="A27" s="21"/>
      <c r="B27" s="102">
        <v>1999</v>
      </c>
      <c r="C27" s="108">
        <v>1332015</v>
      </c>
      <c r="D27" s="379">
        <v>249</v>
      </c>
      <c r="E27" s="107">
        <f t="shared" si="2"/>
        <v>165835.8675</v>
      </c>
      <c r="F27" s="106">
        <v>1</v>
      </c>
      <c r="G27" s="109">
        <f t="shared" si="3"/>
        <v>380</v>
      </c>
      <c r="H27" s="100">
        <f t="shared" si="4"/>
        <v>44270</v>
      </c>
      <c r="I27" s="100">
        <f t="shared" si="0"/>
        <v>380</v>
      </c>
      <c r="J27" s="107">
        <f t="shared" si="1"/>
        <v>44270</v>
      </c>
    </row>
    <row r="28" spans="1:10" ht="12.75">
      <c r="A28" s="21"/>
      <c r="B28" s="102">
        <v>2000</v>
      </c>
      <c r="C28" s="108">
        <v>1703031</v>
      </c>
      <c r="D28" s="379">
        <v>251</v>
      </c>
      <c r="E28" s="107">
        <f t="shared" si="2"/>
        <v>213730.3905</v>
      </c>
      <c r="F28" s="106">
        <v>1</v>
      </c>
      <c r="G28" s="109">
        <f t="shared" si="3"/>
        <v>404</v>
      </c>
      <c r="H28" s="100">
        <f t="shared" si="4"/>
        <v>47470</v>
      </c>
      <c r="I28" s="100">
        <f t="shared" si="0"/>
        <v>404</v>
      </c>
      <c r="J28" s="107">
        <f t="shared" si="1"/>
        <v>47470</v>
      </c>
    </row>
    <row r="29" spans="1:10" ht="12.75">
      <c r="A29" s="21"/>
      <c r="B29" s="102">
        <v>2001</v>
      </c>
      <c r="C29" s="108">
        <v>1969551</v>
      </c>
      <c r="D29" s="379">
        <v>251</v>
      </c>
      <c r="E29" s="107">
        <f t="shared" si="2"/>
        <v>247178.6505</v>
      </c>
      <c r="F29" s="106">
        <v>1</v>
      </c>
      <c r="G29" s="109">
        <f t="shared" si="3"/>
        <v>465</v>
      </c>
      <c r="H29" s="100">
        <f t="shared" si="4"/>
        <v>55102.5</v>
      </c>
      <c r="I29" s="100">
        <f t="shared" si="0"/>
        <v>465</v>
      </c>
      <c r="J29" s="107">
        <f t="shared" si="1"/>
        <v>55102.5</v>
      </c>
    </row>
    <row r="30" spans="1:10" ht="12.75">
      <c r="A30" s="21"/>
      <c r="B30" s="102">
        <v>2002</v>
      </c>
      <c r="C30" s="108">
        <v>2485596</v>
      </c>
      <c r="D30" s="379">
        <v>223.33948863636363</v>
      </c>
      <c r="E30" s="107">
        <f t="shared" si="2"/>
        <v>277565.86979829543</v>
      </c>
      <c r="F30" s="106">
        <v>1</v>
      </c>
      <c r="G30" s="109">
        <f t="shared" si="3"/>
        <v>636</v>
      </c>
      <c r="H30" s="100">
        <f t="shared" si="4"/>
        <v>76002</v>
      </c>
      <c r="I30" s="100">
        <f t="shared" si="0"/>
        <v>636</v>
      </c>
      <c r="J30" s="107">
        <f t="shared" si="1"/>
        <v>76002</v>
      </c>
    </row>
    <row r="31" spans="1:10" ht="12.75">
      <c r="A31" s="21"/>
      <c r="B31" s="102">
        <v>2003</v>
      </c>
      <c r="C31" s="108">
        <v>2719565</v>
      </c>
      <c r="D31" s="379">
        <v>195.67897727272725</v>
      </c>
      <c r="E31" s="107">
        <f t="shared" si="2"/>
        <v>266080.84891335224</v>
      </c>
      <c r="F31" s="106">
        <v>1</v>
      </c>
      <c r="G31" s="109">
        <f t="shared" si="3"/>
        <v>820</v>
      </c>
      <c r="H31" s="100">
        <f t="shared" si="4"/>
        <v>98810</v>
      </c>
      <c r="I31" s="100">
        <f t="shared" si="0"/>
        <v>820</v>
      </c>
      <c r="J31" s="107">
        <f t="shared" si="1"/>
        <v>98810</v>
      </c>
    </row>
    <row r="32" spans="1:10" ht="12.75">
      <c r="A32" s="21"/>
      <c r="B32" s="102">
        <v>2004</v>
      </c>
      <c r="C32" s="108">
        <v>3510168</v>
      </c>
      <c r="D32" s="379">
        <v>168.01846590909088</v>
      </c>
      <c r="E32" s="107">
        <f t="shared" si="2"/>
        <v>294886.52122159087</v>
      </c>
      <c r="F32" s="106">
        <v>1</v>
      </c>
      <c r="G32" s="109">
        <f t="shared" si="3"/>
        <v>887</v>
      </c>
      <c r="H32" s="100">
        <f t="shared" si="4"/>
        <v>107770.5</v>
      </c>
      <c r="I32" s="100">
        <f t="shared" si="0"/>
        <v>887</v>
      </c>
      <c r="J32" s="107">
        <f t="shared" si="1"/>
        <v>107770.5</v>
      </c>
    </row>
    <row r="33" spans="1:10" ht="12.75">
      <c r="A33" s="21"/>
      <c r="B33" s="102">
        <v>2005</v>
      </c>
      <c r="C33" s="108">
        <v>2965375</v>
      </c>
      <c r="D33" s="258">
        <v>140</v>
      </c>
      <c r="E33" s="107">
        <f t="shared" si="2"/>
        <v>207576.25</v>
      </c>
      <c r="F33" s="106">
        <v>1</v>
      </c>
      <c r="G33" s="109">
        <f t="shared" si="3"/>
        <v>917</v>
      </c>
      <c r="H33" s="100">
        <f t="shared" si="4"/>
        <v>112332.5</v>
      </c>
      <c r="I33" s="100">
        <f t="shared" si="0"/>
        <v>917</v>
      </c>
      <c r="J33" s="107">
        <f t="shared" si="1"/>
        <v>112332.5</v>
      </c>
    </row>
    <row r="34" spans="1:10" ht="12.75">
      <c r="A34" s="21"/>
      <c r="B34" s="102">
        <v>2006</v>
      </c>
      <c r="C34" s="108">
        <v>3064267</v>
      </c>
      <c r="D34" s="258">
        <v>140</v>
      </c>
      <c r="E34" s="107">
        <f t="shared" si="2"/>
        <v>214498.69</v>
      </c>
      <c r="F34" s="106">
        <v>1</v>
      </c>
      <c r="G34" s="109">
        <f t="shared" si="3"/>
        <v>1081.97</v>
      </c>
      <c r="H34" s="100">
        <f t="shared" si="4"/>
        <v>133623.295</v>
      </c>
      <c r="I34" s="100">
        <f t="shared" si="0"/>
        <v>1081.97</v>
      </c>
      <c r="J34" s="107">
        <f t="shared" si="1"/>
        <v>133623.295</v>
      </c>
    </row>
    <row r="35" spans="1:10" ht="12.75">
      <c r="A35" s="21"/>
      <c r="B35" s="102">
        <v>2007</v>
      </c>
      <c r="C35" s="108">
        <v>1961000</v>
      </c>
      <c r="D35" s="258">
        <v>140</v>
      </c>
      <c r="E35" s="107">
        <f t="shared" si="2"/>
        <v>137270</v>
      </c>
      <c r="F35" s="106">
        <v>1</v>
      </c>
      <c r="G35" s="109">
        <f t="shared" si="3"/>
        <v>1332.015</v>
      </c>
      <c r="H35" s="100">
        <f t="shared" si="4"/>
        <v>165835.8675</v>
      </c>
      <c r="I35" s="100">
        <f t="shared" si="0"/>
        <v>1332.015</v>
      </c>
      <c r="J35" s="107">
        <f t="shared" si="1"/>
        <v>165835.8675</v>
      </c>
    </row>
    <row r="36" spans="1:10" ht="12.75">
      <c r="A36" s="21"/>
      <c r="B36" s="102">
        <v>2008</v>
      </c>
      <c r="C36" s="99"/>
      <c r="D36" s="127"/>
      <c r="E36" s="107"/>
      <c r="F36" s="106"/>
      <c r="G36" s="109">
        <f t="shared" si="3"/>
        <v>1703.031</v>
      </c>
      <c r="H36" s="100">
        <f t="shared" si="4"/>
        <v>213730.3905</v>
      </c>
      <c r="I36" s="100">
        <f t="shared" si="0"/>
        <v>1703.031</v>
      </c>
      <c r="J36" s="107">
        <f t="shared" si="1"/>
        <v>213730.3905</v>
      </c>
    </row>
    <row r="37" spans="1:10" ht="12.75">
      <c r="A37" s="21"/>
      <c r="B37" s="102">
        <v>2009</v>
      </c>
      <c r="C37" s="99"/>
      <c r="D37" s="99"/>
      <c r="E37" s="107"/>
      <c r="F37" s="106"/>
      <c r="G37" s="109">
        <f t="shared" si="3"/>
        <v>1969.551</v>
      </c>
      <c r="H37" s="100">
        <f t="shared" si="4"/>
        <v>247178.6505</v>
      </c>
      <c r="I37" s="100">
        <f t="shared" si="0"/>
        <v>1969.551</v>
      </c>
      <c r="J37" s="107">
        <f t="shared" si="1"/>
        <v>247178.6505</v>
      </c>
    </row>
    <row r="38" spans="1:10" ht="12.75">
      <c r="A38" s="21"/>
      <c r="B38" s="102">
        <v>2010</v>
      </c>
      <c r="C38" s="99"/>
      <c r="D38" s="99"/>
      <c r="E38" s="107"/>
      <c r="F38" s="106"/>
      <c r="G38" s="109">
        <f>C30*F30/1000</f>
        <v>2485.596</v>
      </c>
      <c r="H38" s="100">
        <f t="shared" si="4"/>
        <v>277565.86979829543</v>
      </c>
      <c r="I38" s="100">
        <f t="shared" si="0"/>
        <v>2485.596</v>
      </c>
      <c r="J38" s="107">
        <f t="shared" si="1"/>
        <v>277565.86979829543</v>
      </c>
    </row>
    <row r="39" spans="1:10" ht="13.5" thickBot="1">
      <c r="A39" s="21"/>
      <c r="B39" s="114"/>
      <c r="C39" s="115" t="s">
        <v>5</v>
      </c>
      <c r="D39" s="115"/>
      <c r="E39" s="116"/>
      <c r="F39" s="117"/>
      <c r="G39" s="118">
        <f>SUM(G8:G38)</f>
        <v>15057.162999999999</v>
      </c>
      <c r="H39" s="118">
        <f>SUM(H8:H38)</f>
        <v>1802455.5732982955</v>
      </c>
      <c r="I39" s="118">
        <f>SUM(I8:I38)</f>
        <v>15057.162999999999</v>
      </c>
      <c r="J39" s="118">
        <f>SUM(J8:J38)</f>
        <v>1802455.5732982955</v>
      </c>
    </row>
    <row r="40" spans="1:10" ht="13.5" thickBot="1">
      <c r="A40" s="21"/>
      <c r="B40" s="93"/>
      <c r="C40" s="84"/>
      <c r="D40" s="84"/>
      <c r="E40" s="104"/>
      <c r="F40" s="83"/>
      <c r="G40" s="93"/>
      <c r="H40" s="95"/>
      <c r="I40" s="82"/>
      <c r="J40" s="104"/>
    </row>
    <row r="41" spans="1:10" ht="12.75">
      <c r="A41" s="21"/>
      <c r="B41" s="17"/>
      <c r="C41" s="18"/>
      <c r="D41" s="18"/>
      <c r="E41" s="81"/>
      <c r="F41" s="80"/>
      <c r="G41" s="81"/>
      <c r="H41" s="81"/>
      <c r="I41" s="81"/>
      <c r="J41" s="81"/>
    </row>
    <row r="42" spans="1:10" ht="12.75">
      <c r="A42" s="21"/>
      <c r="B42" s="21"/>
      <c r="C42" s="96"/>
      <c r="D42" s="96"/>
      <c r="E42" s="21"/>
      <c r="F42" s="26"/>
      <c r="G42" s="21"/>
      <c r="H42" s="81"/>
      <c r="I42" s="81"/>
      <c r="J42" s="81"/>
    </row>
    <row r="43" spans="1:10" ht="12.75">
      <c r="A43" s="21"/>
      <c r="B43" s="21"/>
      <c r="C43" s="21"/>
      <c r="D43" s="21"/>
      <c r="E43" s="21"/>
      <c r="F43" s="26"/>
      <c r="G43" s="21"/>
      <c r="H43" s="81"/>
      <c r="I43" s="81"/>
      <c r="J43" s="81"/>
    </row>
    <row r="44" spans="1:10" ht="12.75">
      <c r="A44" s="21"/>
      <c r="B44" s="21" t="s">
        <v>224</v>
      </c>
      <c r="C44" s="21"/>
      <c r="D44" s="21"/>
      <c r="E44" s="21"/>
      <c r="F44" s="21"/>
      <c r="G44" s="21"/>
      <c r="H44" s="21"/>
      <c r="I44" s="97"/>
      <c r="J44" s="97"/>
    </row>
    <row r="45" spans="1:10" ht="12.75">
      <c r="A45" s="21"/>
      <c r="B45" s="21"/>
      <c r="C45" s="21"/>
      <c r="D45" s="21"/>
      <c r="E45" s="21" t="s">
        <v>147</v>
      </c>
      <c r="F45" s="21"/>
      <c r="G45" s="21"/>
      <c r="H45" s="21"/>
      <c r="I45" s="21"/>
      <c r="J45" s="21"/>
    </row>
    <row r="46" spans="1:12" ht="12.75">
      <c r="A46" s="21"/>
      <c r="B46" s="21" t="str">
        <f>B6</f>
        <v>Year</v>
      </c>
      <c r="C46" s="21" t="s">
        <v>69</v>
      </c>
      <c r="D46" s="21" t="s">
        <v>69</v>
      </c>
      <c r="E46" s="284" t="s">
        <v>240</v>
      </c>
      <c r="F46" s="284" t="s">
        <v>144</v>
      </c>
      <c r="G46" s="544" t="s">
        <v>110</v>
      </c>
      <c r="H46" s="544"/>
      <c r="I46" s="545" t="s">
        <v>147</v>
      </c>
      <c r="J46" s="545"/>
      <c r="K46" s="545" t="s">
        <v>186</v>
      </c>
      <c r="L46" s="545"/>
    </row>
    <row r="47" spans="2:12" ht="12.75">
      <c r="B47" s="21"/>
      <c r="C47" s="21" t="s">
        <v>142</v>
      </c>
      <c r="D47" s="21" t="s">
        <v>152</v>
      </c>
      <c r="E47" s="21" t="s">
        <v>148</v>
      </c>
      <c r="F47" s="21" t="s">
        <v>148</v>
      </c>
      <c r="G47" s="21" t="s">
        <v>1</v>
      </c>
      <c r="H47" s="21" t="s">
        <v>2</v>
      </c>
      <c r="I47" s="21" t="s">
        <v>1</v>
      </c>
      <c r="J47" s="21" t="s">
        <v>2</v>
      </c>
      <c r="K47" s="21" t="s">
        <v>1</v>
      </c>
      <c r="L47" s="21" t="s">
        <v>2</v>
      </c>
    </row>
    <row r="48" spans="2:12" ht="12.75">
      <c r="B48" s="21">
        <f aca="true" t="shared" si="5" ref="B48:C72">B8</f>
        <v>1980</v>
      </c>
      <c r="C48" s="86">
        <f>C8</f>
        <v>0</v>
      </c>
      <c r="D48" s="86">
        <f>E8</f>
        <v>0</v>
      </c>
      <c r="E48" s="21">
        <v>1</v>
      </c>
      <c r="F48" s="21">
        <v>0</v>
      </c>
      <c r="G48" s="283">
        <f>C48-I48-K48</f>
        <v>0</v>
      </c>
      <c r="H48" s="283">
        <f>D48-J48-L48</f>
        <v>0</v>
      </c>
      <c r="I48" s="21">
        <f>C48*$E48</f>
        <v>0</v>
      </c>
      <c r="J48" s="21">
        <f>D48*$E48</f>
        <v>0</v>
      </c>
      <c r="K48" s="21">
        <f>C48*$F48</f>
        <v>0</v>
      </c>
      <c r="L48" s="21">
        <f>D48*$F48</f>
        <v>0</v>
      </c>
    </row>
    <row r="49" spans="2:12" ht="12.75">
      <c r="B49" s="21">
        <f t="shared" si="5"/>
        <v>1981</v>
      </c>
      <c r="C49" s="86">
        <f t="shared" si="5"/>
        <v>0</v>
      </c>
      <c r="D49" s="86">
        <f aca="true" t="shared" si="6" ref="D49:D72">E9</f>
        <v>0</v>
      </c>
      <c r="E49" s="21">
        <v>1</v>
      </c>
      <c r="F49" s="21">
        <v>0</v>
      </c>
      <c r="G49" s="283">
        <f aca="true" t="shared" si="7" ref="G49:H72">C49-I49-K49</f>
        <v>0</v>
      </c>
      <c r="H49" s="283">
        <f t="shared" si="7"/>
        <v>0</v>
      </c>
      <c r="I49" s="21">
        <f aca="true" t="shared" si="8" ref="I49:J72">C49*$E49</f>
        <v>0</v>
      </c>
      <c r="J49" s="21">
        <f t="shared" si="8"/>
        <v>0</v>
      </c>
      <c r="K49" s="21">
        <f aca="true" t="shared" si="9" ref="K49:L72">C49*$F49</f>
        <v>0</v>
      </c>
      <c r="L49" s="21">
        <f t="shared" si="9"/>
        <v>0</v>
      </c>
    </row>
    <row r="50" spans="2:12" ht="12.75">
      <c r="B50" s="21">
        <f t="shared" si="5"/>
        <v>1982</v>
      </c>
      <c r="C50" s="86">
        <f t="shared" si="5"/>
        <v>0</v>
      </c>
      <c r="D50" s="86">
        <f t="shared" si="6"/>
        <v>0</v>
      </c>
      <c r="E50" s="21">
        <v>1</v>
      </c>
      <c r="F50" s="21">
        <v>0</v>
      </c>
      <c r="G50" s="283">
        <f t="shared" si="7"/>
        <v>0</v>
      </c>
      <c r="H50" s="283">
        <f t="shared" si="7"/>
        <v>0</v>
      </c>
      <c r="I50" s="21">
        <f t="shared" si="8"/>
        <v>0</v>
      </c>
      <c r="J50" s="21">
        <f t="shared" si="8"/>
        <v>0</v>
      </c>
      <c r="K50" s="21">
        <f t="shared" si="9"/>
        <v>0</v>
      </c>
      <c r="L50" s="21">
        <f t="shared" si="9"/>
        <v>0</v>
      </c>
    </row>
    <row r="51" spans="2:12" ht="12.75">
      <c r="B51" s="21">
        <f t="shared" si="5"/>
        <v>1983</v>
      </c>
      <c r="C51" s="86">
        <f t="shared" si="5"/>
        <v>0</v>
      </c>
      <c r="D51" s="86">
        <f t="shared" si="6"/>
        <v>0</v>
      </c>
      <c r="E51" s="21">
        <v>1</v>
      </c>
      <c r="F51" s="21">
        <v>0</v>
      </c>
      <c r="G51" s="283">
        <f t="shared" si="7"/>
        <v>0</v>
      </c>
      <c r="H51" s="283">
        <f t="shared" si="7"/>
        <v>0</v>
      </c>
      <c r="I51" s="21">
        <f t="shared" si="8"/>
        <v>0</v>
      </c>
      <c r="J51" s="21">
        <f t="shared" si="8"/>
        <v>0</v>
      </c>
      <c r="K51" s="21">
        <f t="shared" si="9"/>
        <v>0</v>
      </c>
      <c r="L51" s="21">
        <f t="shared" si="9"/>
        <v>0</v>
      </c>
    </row>
    <row r="52" spans="2:12" ht="12.75">
      <c r="B52" s="21">
        <f t="shared" si="5"/>
        <v>1984</v>
      </c>
      <c r="C52" s="86">
        <f t="shared" si="5"/>
        <v>195000</v>
      </c>
      <c r="D52" s="86">
        <f t="shared" si="6"/>
        <v>21352.5</v>
      </c>
      <c r="E52" s="21">
        <v>1</v>
      </c>
      <c r="F52" s="21">
        <v>0</v>
      </c>
      <c r="G52" s="283">
        <f t="shared" si="7"/>
        <v>0</v>
      </c>
      <c r="H52" s="283">
        <f t="shared" si="7"/>
        <v>0</v>
      </c>
      <c r="I52" s="21">
        <f t="shared" si="8"/>
        <v>195000</v>
      </c>
      <c r="J52" s="21">
        <f t="shared" si="8"/>
        <v>21352.5</v>
      </c>
      <c r="K52" s="21">
        <f t="shared" si="9"/>
        <v>0</v>
      </c>
      <c r="L52" s="21">
        <f t="shared" si="9"/>
        <v>0</v>
      </c>
    </row>
    <row r="53" spans="2:12" ht="12.75">
      <c r="B53" s="21">
        <f t="shared" si="5"/>
        <v>1985</v>
      </c>
      <c r="C53" s="86">
        <f t="shared" si="5"/>
        <v>266000</v>
      </c>
      <c r="D53" s="86">
        <f t="shared" si="6"/>
        <v>29393</v>
      </c>
      <c r="E53" s="21">
        <v>1</v>
      </c>
      <c r="F53" s="21">
        <v>0</v>
      </c>
      <c r="G53" s="283">
        <f t="shared" si="7"/>
        <v>0</v>
      </c>
      <c r="H53" s="283">
        <f t="shared" si="7"/>
        <v>0</v>
      </c>
      <c r="I53" s="21">
        <f t="shared" si="8"/>
        <v>266000</v>
      </c>
      <c r="J53" s="21">
        <f t="shared" si="8"/>
        <v>29393</v>
      </c>
      <c r="K53" s="21">
        <f t="shared" si="9"/>
        <v>0</v>
      </c>
      <c r="L53" s="21">
        <f t="shared" si="9"/>
        <v>0</v>
      </c>
    </row>
    <row r="54" spans="2:12" ht="12.75">
      <c r="B54" s="21">
        <f t="shared" si="5"/>
        <v>1986</v>
      </c>
      <c r="C54" s="86">
        <f t="shared" si="5"/>
        <v>304000</v>
      </c>
      <c r="D54" s="86">
        <f t="shared" si="6"/>
        <v>33896</v>
      </c>
      <c r="E54" s="21">
        <v>1</v>
      </c>
      <c r="F54" s="21">
        <v>0</v>
      </c>
      <c r="G54" s="283">
        <f t="shared" si="7"/>
        <v>0</v>
      </c>
      <c r="H54" s="283">
        <f t="shared" si="7"/>
        <v>0</v>
      </c>
      <c r="I54" s="21">
        <f t="shared" si="8"/>
        <v>304000</v>
      </c>
      <c r="J54" s="21">
        <f t="shared" si="8"/>
        <v>33896</v>
      </c>
      <c r="K54" s="21">
        <f t="shared" si="9"/>
        <v>0</v>
      </c>
      <c r="L54" s="21">
        <f t="shared" si="9"/>
        <v>0</v>
      </c>
    </row>
    <row r="55" spans="2:12" ht="12.75">
      <c r="B55" s="21">
        <f t="shared" si="5"/>
        <v>1987</v>
      </c>
      <c r="C55" s="86">
        <f t="shared" si="5"/>
        <v>293000</v>
      </c>
      <c r="D55" s="86">
        <f t="shared" si="6"/>
        <v>32962.5</v>
      </c>
      <c r="E55" s="21">
        <v>1</v>
      </c>
      <c r="F55" s="21">
        <v>0</v>
      </c>
      <c r="G55" s="283">
        <f t="shared" si="7"/>
        <v>0</v>
      </c>
      <c r="H55" s="283">
        <f t="shared" si="7"/>
        <v>0</v>
      </c>
      <c r="I55" s="21">
        <f t="shared" si="8"/>
        <v>293000</v>
      </c>
      <c r="J55" s="21">
        <f t="shared" si="8"/>
        <v>32962.5</v>
      </c>
      <c r="K55" s="21">
        <f t="shared" si="9"/>
        <v>0</v>
      </c>
      <c r="L55" s="21">
        <f t="shared" si="9"/>
        <v>0</v>
      </c>
    </row>
    <row r="56" spans="2:12" ht="12.75">
      <c r="B56" s="21">
        <f t="shared" si="5"/>
        <v>1988</v>
      </c>
      <c r="C56" s="86">
        <f t="shared" si="5"/>
        <v>302000</v>
      </c>
      <c r="D56" s="86">
        <f t="shared" si="6"/>
        <v>34277</v>
      </c>
      <c r="E56" s="21">
        <v>1</v>
      </c>
      <c r="F56" s="21">
        <v>0</v>
      </c>
      <c r="G56" s="283">
        <f t="shared" si="7"/>
        <v>0</v>
      </c>
      <c r="H56" s="283">
        <f t="shared" si="7"/>
        <v>0</v>
      </c>
      <c r="I56" s="21">
        <f t="shared" si="8"/>
        <v>302000</v>
      </c>
      <c r="J56" s="21">
        <f t="shared" si="8"/>
        <v>34277</v>
      </c>
      <c r="K56" s="21">
        <f t="shared" si="9"/>
        <v>0</v>
      </c>
      <c r="L56" s="21">
        <f t="shared" si="9"/>
        <v>0</v>
      </c>
    </row>
    <row r="57" spans="2:12" ht="12.75">
      <c r="B57" s="21">
        <f t="shared" si="5"/>
        <v>1989</v>
      </c>
      <c r="C57" s="86">
        <f t="shared" si="5"/>
        <v>265000</v>
      </c>
      <c r="D57" s="86">
        <f t="shared" si="6"/>
        <v>30342.5</v>
      </c>
      <c r="E57" s="21">
        <v>1</v>
      </c>
      <c r="F57" s="21">
        <v>0</v>
      </c>
      <c r="G57" s="283">
        <f t="shared" si="7"/>
        <v>0</v>
      </c>
      <c r="H57" s="283">
        <f t="shared" si="7"/>
        <v>0</v>
      </c>
      <c r="I57" s="21">
        <f t="shared" si="8"/>
        <v>265000</v>
      </c>
      <c r="J57" s="21">
        <f t="shared" si="8"/>
        <v>30342.5</v>
      </c>
      <c r="K57" s="21">
        <f t="shared" si="9"/>
        <v>0</v>
      </c>
      <c r="L57" s="21">
        <f t="shared" si="9"/>
        <v>0</v>
      </c>
    </row>
    <row r="58" spans="2:12" ht="12.75">
      <c r="B58" s="21">
        <f t="shared" si="5"/>
        <v>1990</v>
      </c>
      <c r="C58" s="86">
        <f t="shared" si="5"/>
        <v>351000</v>
      </c>
      <c r="D58" s="86">
        <f t="shared" si="6"/>
        <v>40540.5</v>
      </c>
      <c r="E58" s="21">
        <v>1</v>
      </c>
      <c r="F58" s="21">
        <v>0</v>
      </c>
      <c r="G58" s="283">
        <f t="shared" si="7"/>
        <v>0</v>
      </c>
      <c r="H58" s="283">
        <f t="shared" si="7"/>
        <v>0</v>
      </c>
      <c r="I58" s="21">
        <f t="shared" si="8"/>
        <v>351000</v>
      </c>
      <c r="J58" s="21">
        <f t="shared" si="8"/>
        <v>40540.5</v>
      </c>
      <c r="K58" s="21">
        <f t="shared" si="9"/>
        <v>0</v>
      </c>
      <c r="L58" s="21">
        <f t="shared" si="9"/>
        <v>0</v>
      </c>
    </row>
    <row r="59" spans="2:12" ht="12.75">
      <c r="B59" s="21">
        <f t="shared" si="5"/>
        <v>1991</v>
      </c>
      <c r="C59" s="86">
        <f t="shared" si="5"/>
        <v>380000</v>
      </c>
      <c r="D59" s="86">
        <f t="shared" si="6"/>
        <v>44270</v>
      </c>
      <c r="E59" s="21">
        <v>1</v>
      </c>
      <c r="F59" s="21">
        <v>0</v>
      </c>
      <c r="G59" s="283">
        <f t="shared" si="7"/>
        <v>0</v>
      </c>
      <c r="H59" s="283">
        <f t="shared" si="7"/>
        <v>0</v>
      </c>
      <c r="I59" s="21">
        <f t="shared" si="8"/>
        <v>380000</v>
      </c>
      <c r="J59" s="21">
        <f t="shared" si="8"/>
        <v>44270</v>
      </c>
      <c r="K59" s="21">
        <f t="shared" si="9"/>
        <v>0</v>
      </c>
      <c r="L59" s="21">
        <f t="shared" si="9"/>
        <v>0</v>
      </c>
    </row>
    <row r="60" spans="2:12" ht="12.75">
      <c r="B60" s="21">
        <f t="shared" si="5"/>
        <v>1992</v>
      </c>
      <c r="C60" s="86">
        <f t="shared" si="5"/>
        <v>404000</v>
      </c>
      <c r="D60" s="86">
        <f t="shared" si="6"/>
        <v>47470</v>
      </c>
      <c r="E60" s="21">
        <v>1</v>
      </c>
      <c r="F60" s="21">
        <v>0</v>
      </c>
      <c r="G60" s="283">
        <f t="shared" si="7"/>
        <v>0</v>
      </c>
      <c r="H60" s="283">
        <f t="shared" si="7"/>
        <v>0</v>
      </c>
      <c r="I60" s="21">
        <f t="shared" si="8"/>
        <v>404000</v>
      </c>
      <c r="J60" s="21">
        <f t="shared" si="8"/>
        <v>47470</v>
      </c>
      <c r="K60" s="21">
        <f t="shared" si="9"/>
        <v>0</v>
      </c>
      <c r="L60" s="21">
        <f t="shared" si="9"/>
        <v>0</v>
      </c>
    </row>
    <row r="61" spans="2:12" ht="12.75">
      <c r="B61" s="21">
        <f t="shared" si="5"/>
        <v>1993</v>
      </c>
      <c r="C61" s="86">
        <f t="shared" si="5"/>
        <v>465000</v>
      </c>
      <c r="D61" s="86">
        <f t="shared" si="6"/>
        <v>55102.5</v>
      </c>
      <c r="E61" s="21">
        <v>1</v>
      </c>
      <c r="F61" s="21">
        <v>0</v>
      </c>
      <c r="G61" s="283">
        <f t="shared" si="7"/>
        <v>0</v>
      </c>
      <c r="H61" s="283">
        <f t="shared" si="7"/>
        <v>0</v>
      </c>
      <c r="I61" s="21">
        <f t="shared" si="8"/>
        <v>465000</v>
      </c>
      <c r="J61" s="21">
        <f t="shared" si="8"/>
        <v>55102.5</v>
      </c>
      <c r="K61" s="21">
        <f t="shared" si="9"/>
        <v>0</v>
      </c>
      <c r="L61" s="21">
        <f t="shared" si="9"/>
        <v>0</v>
      </c>
    </row>
    <row r="62" spans="2:12" ht="12.75">
      <c r="B62" s="21">
        <f t="shared" si="5"/>
        <v>1994</v>
      </c>
      <c r="C62" s="86">
        <f t="shared" si="5"/>
        <v>636000</v>
      </c>
      <c r="D62" s="86">
        <f t="shared" si="6"/>
        <v>76002</v>
      </c>
      <c r="E62" s="21">
        <v>1</v>
      </c>
      <c r="F62" s="21">
        <v>0</v>
      </c>
      <c r="G62" s="283">
        <f t="shared" si="7"/>
        <v>0</v>
      </c>
      <c r="H62" s="283">
        <f t="shared" si="7"/>
        <v>0</v>
      </c>
      <c r="I62" s="21">
        <f t="shared" si="8"/>
        <v>636000</v>
      </c>
      <c r="J62" s="21">
        <f t="shared" si="8"/>
        <v>76002</v>
      </c>
      <c r="K62" s="21">
        <f t="shared" si="9"/>
        <v>0</v>
      </c>
      <c r="L62" s="21">
        <f t="shared" si="9"/>
        <v>0</v>
      </c>
    </row>
    <row r="63" spans="2:12" ht="12.75">
      <c r="B63" s="21">
        <f t="shared" si="5"/>
        <v>1995</v>
      </c>
      <c r="C63" s="86">
        <f t="shared" si="5"/>
        <v>820000</v>
      </c>
      <c r="D63" s="86">
        <f t="shared" si="6"/>
        <v>98810</v>
      </c>
      <c r="E63" s="21">
        <v>1</v>
      </c>
      <c r="F63" s="21">
        <v>0</v>
      </c>
      <c r="G63" s="283">
        <f t="shared" si="7"/>
        <v>0</v>
      </c>
      <c r="H63" s="283">
        <f t="shared" si="7"/>
        <v>0</v>
      </c>
      <c r="I63" s="21">
        <f t="shared" si="8"/>
        <v>820000</v>
      </c>
      <c r="J63" s="21">
        <f t="shared" si="8"/>
        <v>98810</v>
      </c>
      <c r="K63" s="21">
        <f t="shared" si="9"/>
        <v>0</v>
      </c>
      <c r="L63" s="21">
        <f t="shared" si="9"/>
        <v>0</v>
      </c>
    </row>
    <row r="64" spans="2:12" ht="12.75">
      <c r="B64" s="21">
        <f t="shared" si="5"/>
        <v>1996</v>
      </c>
      <c r="C64" s="86">
        <f t="shared" si="5"/>
        <v>887000</v>
      </c>
      <c r="D64" s="86">
        <f t="shared" si="6"/>
        <v>107770.5</v>
      </c>
      <c r="E64" s="21">
        <v>1</v>
      </c>
      <c r="F64" s="21">
        <v>0</v>
      </c>
      <c r="G64" s="283">
        <f t="shared" si="7"/>
        <v>0</v>
      </c>
      <c r="H64" s="283">
        <f t="shared" si="7"/>
        <v>0</v>
      </c>
      <c r="I64" s="21">
        <f t="shared" si="8"/>
        <v>887000</v>
      </c>
      <c r="J64" s="21">
        <f t="shared" si="8"/>
        <v>107770.5</v>
      </c>
      <c r="K64" s="21">
        <f t="shared" si="9"/>
        <v>0</v>
      </c>
      <c r="L64" s="21">
        <f t="shared" si="9"/>
        <v>0</v>
      </c>
    </row>
    <row r="65" spans="2:12" ht="12.75">
      <c r="B65" s="21">
        <f t="shared" si="5"/>
        <v>1997</v>
      </c>
      <c r="C65" s="86">
        <f t="shared" si="5"/>
        <v>917000</v>
      </c>
      <c r="D65" s="86">
        <f t="shared" si="6"/>
        <v>112332.5</v>
      </c>
      <c r="E65" s="21">
        <v>1</v>
      </c>
      <c r="F65" s="21">
        <v>0</v>
      </c>
      <c r="G65" s="283">
        <f t="shared" si="7"/>
        <v>0</v>
      </c>
      <c r="H65" s="283">
        <f t="shared" si="7"/>
        <v>0</v>
      </c>
      <c r="I65" s="21">
        <f t="shared" si="8"/>
        <v>917000</v>
      </c>
      <c r="J65" s="21">
        <f t="shared" si="8"/>
        <v>112332.5</v>
      </c>
      <c r="K65" s="21">
        <f t="shared" si="9"/>
        <v>0</v>
      </c>
      <c r="L65" s="21">
        <f t="shared" si="9"/>
        <v>0</v>
      </c>
    </row>
    <row r="66" spans="2:12" ht="12.75">
      <c r="B66" s="21">
        <f t="shared" si="5"/>
        <v>1998</v>
      </c>
      <c r="C66" s="86">
        <f t="shared" si="5"/>
        <v>1081970</v>
      </c>
      <c r="D66" s="86">
        <f t="shared" si="6"/>
        <v>133623.295</v>
      </c>
      <c r="E66" s="21">
        <v>1</v>
      </c>
      <c r="F66" s="21">
        <v>0</v>
      </c>
      <c r="G66" s="283">
        <f t="shared" si="7"/>
        <v>0</v>
      </c>
      <c r="H66" s="283">
        <f t="shared" si="7"/>
        <v>0</v>
      </c>
      <c r="I66" s="21">
        <f t="shared" si="8"/>
        <v>1081970</v>
      </c>
      <c r="J66" s="21">
        <f t="shared" si="8"/>
        <v>133623.295</v>
      </c>
      <c r="K66" s="21">
        <f t="shared" si="9"/>
        <v>0</v>
      </c>
      <c r="L66" s="21">
        <f t="shared" si="9"/>
        <v>0</v>
      </c>
    </row>
    <row r="67" spans="2:12" ht="12.75">
      <c r="B67" s="21">
        <f t="shared" si="5"/>
        <v>1999</v>
      </c>
      <c r="C67" s="86">
        <f t="shared" si="5"/>
        <v>1332015</v>
      </c>
      <c r="D67" s="86">
        <f t="shared" si="6"/>
        <v>165835.8675</v>
      </c>
      <c r="E67" s="21">
        <v>1</v>
      </c>
      <c r="F67" s="21">
        <v>0</v>
      </c>
      <c r="G67" s="283">
        <f t="shared" si="7"/>
        <v>0</v>
      </c>
      <c r="H67" s="283">
        <f t="shared" si="7"/>
        <v>0</v>
      </c>
      <c r="I67" s="21">
        <f t="shared" si="8"/>
        <v>1332015</v>
      </c>
      <c r="J67" s="21">
        <f t="shared" si="8"/>
        <v>165835.8675</v>
      </c>
      <c r="K67" s="21">
        <f t="shared" si="9"/>
        <v>0</v>
      </c>
      <c r="L67" s="21">
        <f t="shared" si="9"/>
        <v>0</v>
      </c>
    </row>
    <row r="68" spans="2:12" ht="12.75">
      <c r="B68" s="21">
        <f t="shared" si="5"/>
        <v>2000</v>
      </c>
      <c r="C68" s="86">
        <f t="shared" si="5"/>
        <v>1703031</v>
      </c>
      <c r="D68" s="86">
        <f t="shared" si="6"/>
        <v>213730.3905</v>
      </c>
      <c r="E68" s="21">
        <v>0</v>
      </c>
      <c r="F68" s="21">
        <v>1</v>
      </c>
      <c r="G68" s="283">
        <f t="shared" si="7"/>
        <v>0</v>
      </c>
      <c r="H68" s="283">
        <f t="shared" si="7"/>
        <v>0</v>
      </c>
      <c r="I68" s="21">
        <f t="shared" si="8"/>
        <v>0</v>
      </c>
      <c r="J68" s="21">
        <f t="shared" si="8"/>
        <v>0</v>
      </c>
      <c r="K68" s="21">
        <f t="shared" si="9"/>
        <v>1703031</v>
      </c>
      <c r="L68" s="21">
        <f t="shared" si="9"/>
        <v>213730.3905</v>
      </c>
    </row>
    <row r="69" spans="2:12" ht="12.75">
      <c r="B69" s="21">
        <f t="shared" si="5"/>
        <v>2001</v>
      </c>
      <c r="C69" s="86">
        <f t="shared" si="5"/>
        <v>1969551</v>
      </c>
      <c r="D69" s="86">
        <f t="shared" si="6"/>
        <v>247178.6505</v>
      </c>
      <c r="E69" s="21">
        <v>0</v>
      </c>
      <c r="F69" s="21">
        <v>1</v>
      </c>
      <c r="G69" s="283">
        <f t="shared" si="7"/>
        <v>0</v>
      </c>
      <c r="H69" s="283">
        <f t="shared" si="7"/>
        <v>0</v>
      </c>
      <c r="I69" s="21">
        <f t="shared" si="8"/>
        <v>0</v>
      </c>
      <c r="J69" s="21">
        <f t="shared" si="8"/>
        <v>0</v>
      </c>
      <c r="K69" s="21">
        <f t="shared" si="9"/>
        <v>1969551</v>
      </c>
      <c r="L69" s="21">
        <f t="shared" si="9"/>
        <v>247178.6505</v>
      </c>
    </row>
    <row r="70" spans="2:12" ht="12.75">
      <c r="B70" s="21">
        <f t="shared" si="5"/>
        <v>2002</v>
      </c>
      <c r="C70" s="86">
        <f t="shared" si="5"/>
        <v>2485596</v>
      </c>
      <c r="D70" s="86">
        <f t="shared" si="6"/>
        <v>277565.86979829543</v>
      </c>
      <c r="E70" s="21">
        <v>0</v>
      </c>
      <c r="F70" s="21">
        <v>1</v>
      </c>
      <c r="G70" s="283">
        <f t="shared" si="7"/>
        <v>0</v>
      </c>
      <c r="H70" s="283">
        <f t="shared" si="7"/>
        <v>0</v>
      </c>
      <c r="I70" s="21">
        <f t="shared" si="8"/>
        <v>0</v>
      </c>
      <c r="J70" s="21">
        <f t="shared" si="8"/>
        <v>0</v>
      </c>
      <c r="K70" s="21">
        <f t="shared" si="9"/>
        <v>2485596</v>
      </c>
      <c r="L70" s="21">
        <f t="shared" si="9"/>
        <v>277565.86979829543</v>
      </c>
    </row>
    <row r="71" spans="2:12" ht="12.75">
      <c r="B71" s="21">
        <f t="shared" si="5"/>
        <v>2003</v>
      </c>
      <c r="C71" s="86">
        <f t="shared" si="5"/>
        <v>2719565</v>
      </c>
      <c r="D71" s="86">
        <f t="shared" si="6"/>
        <v>266080.84891335224</v>
      </c>
      <c r="E71" s="21">
        <v>0</v>
      </c>
      <c r="F71" s="21">
        <v>1</v>
      </c>
      <c r="G71" s="283">
        <f t="shared" si="7"/>
        <v>0</v>
      </c>
      <c r="H71" s="283">
        <f t="shared" si="7"/>
        <v>0</v>
      </c>
      <c r="I71" s="21">
        <f t="shared" si="8"/>
        <v>0</v>
      </c>
      <c r="J71" s="21">
        <f t="shared" si="8"/>
        <v>0</v>
      </c>
      <c r="K71" s="21">
        <f t="shared" si="9"/>
        <v>2719565</v>
      </c>
      <c r="L71" s="21">
        <f t="shared" si="9"/>
        <v>266080.84891335224</v>
      </c>
    </row>
    <row r="72" spans="2:12" ht="12.75">
      <c r="B72" s="21">
        <f t="shared" si="5"/>
        <v>2004</v>
      </c>
      <c r="C72" s="86">
        <f t="shared" si="5"/>
        <v>3510168</v>
      </c>
      <c r="D72" s="86">
        <f t="shared" si="6"/>
        <v>294886.52122159087</v>
      </c>
      <c r="E72" s="21">
        <v>0</v>
      </c>
      <c r="F72" s="21">
        <v>1</v>
      </c>
      <c r="G72" s="283">
        <f t="shared" si="7"/>
        <v>0</v>
      </c>
      <c r="H72" s="283">
        <f t="shared" si="7"/>
        <v>0</v>
      </c>
      <c r="I72" s="21">
        <f t="shared" si="8"/>
        <v>0</v>
      </c>
      <c r="J72" s="21">
        <f t="shared" si="8"/>
        <v>0</v>
      </c>
      <c r="K72" s="21">
        <f t="shared" si="9"/>
        <v>3510168</v>
      </c>
      <c r="L72" s="21">
        <f t="shared" si="9"/>
        <v>294886.52122159087</v>
      </c>
    </row>
    <row r="73" spans="2:12" ht="12.75">
      <c r="B73" s="21">
        <f aca="true" t="shared" si="10" ref="B73:C75">B33</f>
        <v>2005</v>
      </c>
      <c r="C73" s="86">
        <f t="shared" si="10"/>
        <v>2965375</v>
      </c>
      <c r="D73" s="86">
        <f>E33</f>
        <v>207576.25</v>
      </c>
      <c r="E73" s="21">
        <v>0</v>
      </c>
      <c r="F73" s="21">
        <v>1</v>
      </c>
      <c r="G73" s="283">
        <f aca="true" t="shared" si="11" ref="G73:H75">C73-I73-K73</f>
        <v>0</v>
      </c>
      <c r="H73" s="283">
        <f t="shared" si="11"/>
        <v>0</v>
      </c>
      <c r="I73" s="21">
        <f aca="true" t="shared" si="12" ref="I73:J75">C73*$E73</f>
        <v>0</v>
      </c>
      <c r="J73" s="21">
        <f t="shared" si="12"/>
        <v>0</v>
      </c>
      <c r="K73" s="21">
        <f aca="true" t="shared" si="13" ref="K73:L75">C73*$F73</f>
        <v>2965375</v>
      </c>
      <c r="L73" s="21">
        <f t="shared" si="13"/>
        <v>207576.25</v>
      </c>
    </row>
    <row r="74" spans="2:12" ht="12.75">
      <c r="B74" s="21">
        <f t="shared" si="10"/>
        <v>2006</v>
      </c>
      <c r="C74" s="86">
        <f t="shared" si="10"/>
        <v>3064267</v>
      </c>
      <c r="D74" s="86">
        <f>E34</f>
        <v>214498.69</v>
      </c>
      <c r="E74" s="21">
        <v>0</v>
      </c>
      <c r="F74" s="21">
        <v>1</v>
      </c>
      <c r="G74" s="283">
        <f t="shared" si="11"/>
        <v>0</v>
      </c>
      <c r="H74" s="283">
        <f t="shared" si="11"/>
        <v>0</v>
      </c>
      <c r="I74" s="21">
        <f t="shared" si="12"/>
        <v>0</v>
      </c>
      <c r="J74" s="21">
        <f t="shared" si="12"/>
        <v>0</v>
      </c>
      <c r="K74" s="21">
        <f t="shared" si="13"/>
        <v>3064267</v>
      </c>
      <c r="L74" s="21">
        <f t="shared" si="13"/>
        <v>214498.69</v>
      </c>
    </row>
    <row r="75" spans="2:12" ht="12.75">
      <c r="B75" s="21">
        <f t="shared" si="10"/>
        <v>2007</v>
      </c>
      <c r="C75" s="86">
        <f t="shared" si="10"/>
        <v>1961000</v>
      </c>
      <c r="D75" s="86">
        <f>E35</f>
        <v>137270</v>
      </c>
      <c r="E75" s="21">
        <v>0</v>
      </c>
      <c r="F75" s="21">
        <v>1</v>
      </c>
      <c r="G75" s="283">
        <f t="shared" si="11"/>
        <v>0</v>
      </c>
      <c r="H75" s="283">
        <f t="shared" si="11"/>
        <v>0</v>
      </c>
      <c r="I75" s="21">
        <f t="shared" si="12"/>
        <v>0</v>
      </c>
      <c r="J75" s="21">
        <f t="shared" si="12"/>
        <v>0</v>
      </c>
      <c r="K75" s="21">
        <f t="shared" si="13"/>
        <v>1961000</v>
      </c>
      <c r="L75" s="21">
        <f t="shared" si="13"/>
        <v>137270</v>
      </c>
    </row>
    <row r="76" spans="2:12" ht="12.75">
      <c r="B76" s="21" t="s">
        <v>22</v>
      </c>
      <c r="C76" s="86">
        <f>SUM(C48:C75)</f>
        <v>29277538</v>
      </c>
      <c r="D76" s="86">
        <f>SUM(D48:D75)</f>
        <v>2922767.8834332386</v>
      </c>
      <c r="E76" s="21"/>
      <c r="F76" s="21"/>
      <c r="G76" s="283">
        <f aca="true" t="shared" si="14" ref="G76:L76">SUM(G48:G75)</f>
        <v>0</v>
      </c>
      <c r="H76" s="283">
        <f t="shared" si="14"/>
        <v>0</v>
      </c>
      <c r="I76" s="283">
        <f t="shared" si="14"/>
        <v>8898985</v>
      </c>
      <c r="J76" s="283">
        <f t="shared" si="14"/>
        <v>1063980.6625</v>
      </c>
      <c r="K76" s="283">
        <f t="shared" si="14"/>
        <v>20378553</v>
      </c>
      <c r="L76" s="283">
        <f t="shared" si="14"/>
        <v>1858787.2209332385</v>
      </c>
    </row>
  </sheetData>
  <mergeCells count="8">
    <mergeCell ref="K46:L46"/>
    <mergeCell ref="G46:H46"/>
    <mergeCell ref="I6:J6"/>
    <mergeCell ref="G6:H6"/>
    <mergeCell ref="B3:J3"/>
    <mergeCell ref="B5:E5"/>
    <mergeCell ref="G5:J5"/>
    <mergeCell ref="I46:J46"/>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AI77"/>
  <sheetViews>
    <sheetView workbookViewId="0" topLeftCell="A1">
      <selection activeCell="D32" sqref="D32"/>
    </sheetView>
  </sheetViews>
  <sheetFormatPr defaultColWidth="9.140625" defaultRowHeight="12.75"/>
  <cols>
    <col min="1" max="1" width="9.140625" style="1" customWidth="1"/>
    <col min="2" max="2" width="4.8515625" style="1" customWidth="1"/>
    <col min="3" max="3" width="9.140625" style="1" customWidth="1"/>
    <col min="4" max="4" width="10.140625" style="1" bestFit="1" customWidth="1"/>
    <col min="5" max="6" width="9.140625" style="1" customWidth="1"/>
    <col min="7" max="7" width="9.7109375" style="1" customWidth="1"/>
    <col min="8" max="8" width="9.140625" style="1" customWidth="1"/>
    <col min="9" max="9" width="10.00390625" style="1" customWidth="1"/>
    <col min="10" max="10" width="9.140625" style="1" customWidth="1"/>
    <col min="11" max="17" width="7.57421875" style="1" customWidth="1"/>
    <col min="18" max="16384" width="9.140625" style="1" customWidth="1"/>
  </cols>
  <sheetData>
    <row r="1" spans="3:33" ht="12.75">
      <c r="C1" s="570" t="s">
        <v>115</v>
      </c>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row>
    <row r="2" spans="4:35" ht="12.75" hidden="1">
      <c r="D2" s="16"/>
      <c r="E2" s="16"/>
      <c r="F2" s="167"/>
      <c r="G2" s="167"/>
      <c r="H2" s="167"/>
      <c r="I2" s="167"/>
      <c r="J2" s="167"/>
      <c r="K2" s="23"/>
      <c r="L2" s="22"/>
      <c r="X2" s="10"/>
      <c r="Y2" s="10"/>
      <c r="Z2" s="10"/>
      <c r="AA2" s="10"/>
      <c r="AB2" s="10"/>
      <c r="AC2" s="10"/>
      <c r="AD2" s="10"/>
      <c r="AE2" s="10"/>
      <c r="AF2" s="10"/>
      <c r="AG2" s="10"/>
      <c r="AH2" s="10"/>
      <c r="AI2" s="10"/>
    </row>
    <row r="3" spans="3:35" ht="14.25" customHeight="1" thickBot="1">
      <c r="C3" s="571"/>
      <c r="D3" s="571"/>
      <c r="E3" s="571"/>
      <c r="F3" s="571"/>
      <c r="G3" s="179"/>
      <c r="H3" s="179"/>
      <c r="I3" s="179"/>
      <c r="J3" s="179"/>
      <c r="K3" s="78"/>
      <c r="L3" s="78"/>
      <c r="M3" s="78"/>
      <c r="N3" s="78"/>
      <c r="O3" s="78"/>
      <c r="P3" s="78"/>
      <c r="Q3" s="78"/>
      <c r="T3" s="21"/>
      <c r="U3" s="21"/>
      <c r="X3" s="10"/>
      <c r="Y3" s="10"/>
      <c r="Z3" s="10"/>
      <c r="AA3" s="10"/>
      <c r="AB3" s="10"/>
      <c r="AC3" s="10"/>
      <c r="AD3" s="10"/>
      <c r="AE3" s="10"/>
      <c r="AF3" s="10"/>
      <c r="AG3" s="10"/>
      <c r="AH3" s="10"/>
      <c r="AI3" s="10"/>
    </row>
    <row r="4" spans="3:33" ht="13.5" hidden="1" thickBot="1">
      <c r="C4" s="179"/>
      <c r="D4" s="179"/>
      <c r="E4" s="179"/>
      <c r="F4" s="179"/>
      <c r="G4" s="179"/>
      <c r="H4" s="179"/>
      <c r="I4" s="179"/>
      <c r="J4" s="179"/>
      <c r="K4" s="179"/>
      <c r="L4" s="179"/>
      <c r="M4" s="179"/>
      <c r="N4" s="179"/>
      <c r="O4" s="179"/>
      <c r="P4" s="179"/>
      <c r="Q4" s="179"/>
      <c r="X4" s="5"/>
      <c r="Y4" s="10"/>
      <c r="Z4" s="10"/>
      <c r="AA4" s="10"/>
      <c r="AB4" s="10"/>
      <c r="AC4" s="10"/>
      <c r="AD4" s="10"/>
      <c r="AE4" s="10"/>
      <c r="AF4" s="10"/>
      <c r="AG4" s="10"/>
    </row>
    <row r="5" spans="3:33" ht="12.75">
      <c r="C5" s="457" t="s">
        <v>6</v>
      </c>
      <c r="D5" s="458"/>
      <c r="E5" s="458"/>
      <c r="F5" s="566"/>
      <c r="G5" s="567" t="s">
        <v>121</v>
      </c>
      <c r="H5" s="566"/>
      <c r="I5" s="567" t="s">
        <v>122</v>
      </c>
      <c r="J5" s="566"/>
      <c r="K5" s="458" t="s">
        <v>14</v>
      </c>
      <c r="L5" s="458"/>
      <c r="M5" s="458"/>
      <c r="N5" s="458"/>
      <c r="O5" s="271"/>
      <c r="P5" s="271"/>
      <c r="Q5" s="271"/>
      <c r="R5" s="567" t="s">
        <v>48</v>
      </c>
      <c r="S5" s="458"/>
      <c r="T5" s="458"/>
      <c r="U5" s="458"/>
      <c r="V5" s="458"/>
      <c r="W5" s="458"/>
      <c r="X5" s="458"/>
      <c r="Y5" s="458"/>
      <c r="Z5" s="458"/>
      <c r="AA5" s="458"/>
      <c r="AB5" s="458"/>
      <c r="AC5" s="458"/>
      <c r="AD5" s="458"/>
      <c r="AE5" s="458"/>
      <c r="AF5" s="458"/>
      <c r="AG5" s="459"/>
    </row>
    <row r="6" spans="3:33" ht="12.75">
      <c r="C6" s="20" t="s">
        <v>0</v>
      </c>
      <c r="D6" s="180" t="s">
        <v>1</v>
      </c>
      <c r="E6" s="180" t="s">
        <v>3</v>
      </c>
      <c r="F6" s="180" t="s">
        <v>2</v>
      </c>
      <c r="G6" s="270" t="s">
        <v>123</v>
      </c>
      <c r="H6" s="121">
        <v>0.48</v>
      </c>
      <c r="I6" s="270" t="s">
        <v>124</v>
      </c>
      <c r="J6" s="121">
        <v>0.52</v>
      </c>
      <c r="K6" s="547" t="s">
        <v>120</v>
      </c>
      <c r="L6" s="547"/>
      <c r="M6" s="547"/>
      <c r="N6" s="541"/>
      <c r="O6" s="540" t="s">
        <v>131</v>
      </c>
      <c r="P6" s="547"/>
      <c r="Q6" s="541"/>
      <c r="R6" s="568" t="s">
        <v>136</v>
      </c>
      <c r="S6" s="557"/>
      <c r="T6" s="568" t="s">
        <v>136</v>
      </c>
      <c r="U6" s="557"/>
      <c r="V6" s="568" t="s">
        <v>136</v>
      </c>
      <c r="W6" s="557"/>
      <c r="X6" s="568" t="s">
        <v>136</v>
      </c>
      <c r="Y6" s="557"/>
      <c r="Z6" s="540" t="s">
        <v>125</v>
      </c>
      <c r="AA6" s="569"/>
      <c r="AB6" s="540" t="s">
        <v>126</v>
      </c>
      <c r="AC6" s="541"/>
      <c r="AD6" s="540" t="s">
        <v>140</v>
      </c>
      <c r="AE6" s="541"/>
      <c r="AF6" s="550" t="s">
        <v>16</v>
      </c>
      <c r="AG6" s="551"/>
    </row>
    <row r="7" spans="3:33" ht="12.75">
      <c r="C7" s="92"/>
      <c r="D7" s="15"/>
      <c r="E7" s="15" t="s">
        <v>4</v>
      </c>
      <c r="F7" s="15"/>
      <c r="G7" s="124" t="s">
        <v>1</v>
      </c>
      <c r="H7" s="124" t="s">
        <v>2</v>
      </c>
      <c r="I7" s="124" t="s">
        <v>1</v>
      </c>
      <c r="J7" s="124" t="s">
        <v>2</v>
      </c>
      <c r="K7" s="181">
        <v>9</v>
      </c>
      <c r="L7" s="98">
        <v>9</v>
      </c>
      <c r="M7" s="98">
        <v>9</v>
      </c>
      <c r="N7" s="98">
        <v>9</v>
      </c>
      <c r="O7" s="152">
        <v>3</v>
      </c>
      <c r="P7" s="152">
        <v>5</v>
      </c>
      <c r="Q7" s="152">
        <v>7</v>
      </c>
      <c r="R7" s="98" t="s">
        <v>46</v>
      </c>
      <c r="S7" s="98" t="s">
        <v>2</v>
      </c>
      <c r="T7" s="243" t="s">
        <v>46</v>
      </c>
      <c r="U7" s="98" t="s">
        <v>2</v>
      </c>
      <c r="V7" s="17" t="s">
        <v>46</v>
      </c>
      <c r="W7" s="91" t="s">
        <v>2</v>
      </c>
      <c r="X7" s="146" t="s">
        <v>46</v>
      </c>
      <c r="Y7" s="91" t="s">
        <v>2</v>
      </c>
      <c r="Z7" s="152" t="s">
        <v>46</v>
      </c>
      <c r="AA7" s="152" t="s">
        <v>2</v>
      </c>
      <c r="AB7" s="152" t="s">
        <v>46</v>
      </c>
      <c r="AC7" s="152" t="s">
        <v>2</v>
      </c>
      <c r="AD7" s="152" t="s">
        <v>46</v>
      </c>
      <c r="AE7" s="152" t="s">
        <v>2</v>
      </c>
      <c r="AF7" s="152" t="s">
        <v>46</v>
      </c>
      <c r="AG7" s="217" t="s">
        <v>2</v>
      </c>
    </row>
    <row r="8" spans="3:33" ht="12.75">
      <c r="C8" s="92"/>
      <c r="D8" s="15"/>
      <c r="E8" s="15"/>
      <c r="F8" s="15"/>
      <c r="G8" s="100">
        <f>D8*$H$6</f>
        <v>0</v>
      </c>
      <c r="H8" s="100">
        <f>F8*$H$6</f>
        <v>0</v>
      </c>
      <c r="I8" s="100">
        <f>D8*$J$6</f>
        <v>0</v>
      </c>
      <c r="J8" s="100">
        <f>F8*$J$6</f>
        <v>0</v>
      </c>
      <c r="K8" s="181"/>
      <c r="L8" s="98"/>
      <c r="M8" s="98"/>
      <c r="N8" s="98"/>
      <c r="O8" s="164">
        <v>0.4</v>
      </c>
      <c r="P8" s="164">
        <v>0.6</v>
      </c>
      <c r="Q8" s="164">
        <v>0</v>
      </c>
      <c r="R8" s="243"/>
      <c r="S8" s="98"/>
      <c r="T8" s="243"/>
      <c r="U8" s="98"/>
      <c r="V8" s="246"/>
      <c r="W8" s="98"/>
      <c r="X8" s="246"/>
      <c r="Y8" s="98"/>
      <c r="Z8" s="98"/>
      <c r="AA8" s="246"/>
      <c r="AB8" s="98"/>
      <c r="AC8" s="98"/>
      <c r="AD8" s="98"/>
      <c r="AE8" s="98"/>
      <c r="AF8" s="98"/>
      <c r="AG8" s="103"/>
    </row>
    <row r="9" spans="3:33" ht="12.75">
      <c r="C9" s="92"/>
      <c r="D9" s="15"/>
      <c r="E9" s="15"/>
      <c r="F9" s="15"/>
      <c r="G9" s="100">
        <f aca="true" t="shared" si="0" ref="G9:G32">D9*$H$6</f>
        <v>0</v>
      </c>
      <c r="H9" s="100">
        <f aca="true" t="shared" si="1" ref="H9:H32">F9*$H$6</f>
        <v>0</v>
      </c>
      <c r="I9" s="100">
        <f aca="true" t="shared" si="2" ref="I9:I32">D9*$J$6</f>
        <v>0</v>
      </c>
      <c r="J9" s="100">
        <f aca="true" t="shared" si="3" ref="J9:J32">F9*$J$6</f>
        <v>0</v>
      </c>
      <c r="K9" s="181"/>
      <c r="L9" s="98"/>
      <c r="M9" s="98"/>
      <c r="N9" s="98"/>
      <c r="O9" s="164">
        <v>0.4</v>
      </c>
      <c r="P9" s="164">
        <v>0.6</v>
      </c>
      <c r="Q9" s="164">
        <v>0</v>
      </c>
      <c r="R9" s="17"/>
      <c r="S9" s="15"/>
      <c r="T9" s="243"/>
      <c r="U9" s="15"/>
      <c r="V9" s="17"/>
      <c r="W9" s="15"/>
      <c r="X9" s="243"/>
      <c r="Y9" s="15"/>
      <c r="Z9" s="98"/>
      <c r="AA9" s="246"/>
      <c r="AB9" s="98"/>
      <c r="AC9" s="98"/>
      <c r="AD9" s="98"/>
      <c r="AE9" s="98"/>
      <c r="AF9" s="98"/>
      <c r="AG9" s="103"/>
    </row>
    <row r="10" spans="3:33" ht="12.75">
      <c r="C10" s="102">
        <v>1982</v>
      </c>
      <c r="D10" s="148"/>
      <c r="E10" s="142"/>
      <c r="F10" s="100"/>
      <c r="G10" s="100">
        <f t="shared" si="0"/>
        <v>0</v>
      </c>
      <c r="H10" s="100">
        <f t="shared" si="1"/>
        <v>0</v>
      </c>
      <c r="I10" s="100">
        <f t="shared" si="2"/>
        <v>0</v>
      </c>
      <c r="J10" s="100">
        <f t="shared" si="3"/>
        <v>0</v>
      </c>
      <c r="K10" s="150"/>
      <c r="L10" s="164"/>
      <c r="M10" s="164"/>
      <c r="N10" s="164"/>
      <c r="O10" s="164">
        <v>0.4</v>
      </c>
      <c r="P10" s="164">
        <v>0.6</v>
      </c>
      <c r="Q10" s="164">
        <v>0</v>
      </c>
      <c r="R10" s="100"/>
      <c r="S10" s="100"/>
      <c r="T10" s="100"/>
      <c r="U10" s="100"/>
      <c r="V10" s="100"/>
      <c r="W10" s="100"/>
      <c r="X10" s="100"/>
      <c r="Y10" s="100"/>
      <c r="Z10" s="98"/>
      <c r="AA10" s="246"/>
      <c r="AB10" s="100"/>
      <c r="AC10" s="100"/>
      <c r="AD10" s="100"/>
      <c r="AE10" s="100"/>
      <c r="AF10" s="100">
        <f>R10+T10+V10+X10+Z10+AB10+AD10</f>
        <v>0</v>
      </c>
      <c r="AG10" s="107">
        <f>S10+U10+W10+Y10+AA10+AC10+AE10</f>
        <v>0</v>
      </c>
    </row>
    <row r="11" spans="3:33" ht="12.75">
      <c r="C11" s="102">
        <v>1983</v>
      </c>
      <c r="D11" s="148"/>
      <c r="E11" s="142"/>
      <c r="F11" s="100"/>
      <c r="G11" s="100">
        <f t="shared" si="0"/>
        <v>0</v>
      </c>
      <c r="H11" s="100">
        <f t="shared" si="1"/>
        <v>0</v>
      </c>
      <c r="I11" s="100">
        <f t="shared" si="2"/>
        <v>0</v>
      </c>
      <c r="J11" s="100">
        <f t="shared" si="3"/>
        <v>0</v>
      </c>
      <c r="K11" s="150"/>
      <c r="L11" s="164"/>
      <c r="M11" s="164"/>
      <c r="N11" s="164"/>
      <c r="O11" s="164">
        <v>0.4</v>
      </c>
      <c r="P11" s="164">
        <v>0.6</v>
      </c>
      <c r="Q11" s="164">
        <v>0</v>
      </c>
      <c r="R11" s="100"/>
      <c r="S11" s="100"/>
      <c r="T11" s="100"/>
      <c r="U11" s="100"/>
      <c r="V11" s="100"/>
      <c r="W11" s="100"/>
      <c r="X11" s="100"/>
      <c r="Y11" s="100"/>
      <c r="Z11" s="98"/>
      <c r="AA11" s="246"/>
      <c r="AB11" s="100"/>
      <c r="AC11" s="100"/>
      <c r="AD11" s="100">
        <f aca="true" t="shared" si="4" ref="AD11:AD38">$I8*$O8/1000</f>
        <v>0</v>
      </c>
      <c r="AE11" s="100">
        <f aca="true" t="shared" si="5" ref="AE11:AE38">J8*O8</f>
        <v>0</v>
      </c>
      <c r="AF11" s="100">
        <f aca="true" t="shared" si="6" ref="AF11:AF38">R11+T11+V11+X11+Z11+AB11+AD11</f>
        <v>0</v>
      </c>
      <c r="AG11" s="107">
        <f aca="true" t="shared" si="7" ref="AG11:AG38">S11+U11+W11+Y11+AA11+AC11+AE11</f>
        <v>0</v>
      </c>
    </row>
    <row r="12" spans="3:33" ht="12.75">
      <c r="C12" s="102">
        <v>1984</v>
      </c>
      <c r="D12" s="148"/>
      <c r="E12" s="142"/>
      <c r="F12" s="100"/>
      <c r="G12" s="100">
        <f t="shared" si="0"/>
        <v>0</v>
      </c>
      <c r="H12" s="100">
        <f t="shared" si="1"/>
        <v>0</v>
      </c>
      <c r="I12" s="100">
        <f t="shared" si="2"/>
        <v>0</v>
      </c>
      <c r="J12" s="100">
        <f t="shared" si="3"/>
        <v>0</v>
      </c>
      <c r="K12" s="150"/>
      <c r="L12" s="164"/>
      <c r="M12" s="164"/>
      <c r="N12" s="164"/>
      <c r="O12" s="164">
        <v>0.4</v>
      </c>
      <c r="P12" s="164">
        <v>0.6</v>
      </c>
      <c r="Q12" s="164">
        <v>0</v>
      </c>
      <c r="R12" s="100"/>
      <c r="S12" s="100"/>
      <c r="T12" s="100"/>
      <c r="U12" s="100"/>
      <c r="V12" s="100"/>
      <c r="W12" s="100"/>
      <c r="X12" s="100"/>
      <c r="Y12" s="100"/>
      <c r="Z12" s="98"/>
      <c r="AA12" s="246"/>
      <c r="AB12" s="100"/>
      <c r="AC12" s="100"/>
      <c r="AD12" s="100">
        <f t="shared" si="4"/>
        <v>0</v>
      </c>
      <c r="AE12" s="100">
        <f t="shared" si="5"/>
        <v>0</v>
      </c>
      <c r="AF12" s="100">
        <f t="shared" si="6"/>
        <v>0</v>
      </c>
      <c r="AG12" s="107">
        <f t="shared" si="7"/>
        <v>0</v>
      </c>
    </row>
    <row r="13" spans="3:33" ht="12.75">
      <c r="C13" s="102">
        <v>1985</v>
      </c>
      <c r="D13" s="148"/>
      <c r="E13" s="142"/>
      <c r="F13" s="100"/>
      <c r="G13" s="100">
        <f t="shared" si="0"/>
        <v>0</v>
      </c>
      <c r="H13" s="100">
        <f t="shared" si="1"/>
        <v>0</v>
      </c>
      <c r="I13" s="100">
        <f t="shared" si="2"/>
        <v>0</v>
      </c>
      <c r="J13" s="100">
        <f t="shared" si="3"/>
        <v>0</v>
      </c>
      <c r="K13" s="150"/>
      <c r="L13" s="164"/>
      <c r="M13" s="164"/>
      <c r="N13" s="164"/>
      <c r="O13" s="164">
        <v>0.4</v>
      </c>
      <c r="P13" s="164">
        <v>0.6</v>
      </c>
      <c r="Q13" s="164">
        <v>0</v>
      </c>
      <c r="R13" s="100"/>
      <c r="S13" s="100"/>
      <c r="T13" s="100"/>
      <c r="U13" s="100"/>
      <c r="V13" s="100"/>
      <c r="W13" s="100"/>
      <c r="X13" s="100"/>
      <c r="Y13" s="100"/>
      <c r="Z13" s="100">
        <f>$I8*P8/1000</f>
        <v>0</v>
      </c>
      <c r="AA13" s="100">
        <f>J8*P8</f>
        <v>0</v>
      </c>
      <c r="AB13" s="100"/>
      <c r="AC13" s="100"/>
      <c r="AD13" s="100">
        <f t="shared" si="4"/>
        <v>0</v>
      </c>
      <c r="AE13" s="100">
        <f t="shared" si="5"/>
        <v>0</v>
      </c>
      <c r="AF13" s="100">
        <f t="shared" si="6"/>
        <v>0</v>
      </c>
      <c r="AG13" s="107">
        <f t="shared" si="7"/>
        <v>0</v>
      </c>
    </row>
    <row r="14" spans="3:33" ht="12.75">
      <c r="C14" s="102">
        <v>1986</v>
      </c>
      <c r="D14" s="148"/>
      <c r="E14" s="142"/>
      <c r="F14" s="100"/>
      <c r="G14" s="100">
        <f t="shared" si="0"/>
        <v>0</v>
      </c>
      <c r="H14" s="100">
        <f t="shared" si="1"/>
        <v>0</v>
      </c>
      <c r="I14" s="100">
        <f t="shared" si="2"/>
        <v>0</v>
      </c>
      <c r="J14" s="100">
        <f t="shared" si="3"/>
        <v>0</v>
      </c>
      <c r="K14" s="150"/>
      <c r="L14" s="164"/>
      <c r="M14" s="164"/>
      <c r="N14" s="164"/>
      <c r="O14" s="164">
        <v>0.4</v>
      </c>
      <c r="P14" s="164">
        <v>0.6</v>
      </c>
      <c r="Q14" s="164">
        <v>0</v>
      </c>
      <c r="R14" s="100"/>
      <c r="S14" s="100"/>
      <c r="T14" s="100"/>
      <c r="U14" s="100"/>
      <c r="V14" s="100"/>
      <c r="W14" s="100"/>
      <c r="X14" s="100"/>
      <c r="Y14" s="100"/>
      <c r="Z14" s="100">
        <f aca="true" t="shared" si="8" ref="Z14:Z38">$I9*P9/1000</f>
        <v>0</v>
      </c>
      <c r="AA14" s="100">
        <f aca="true" t="shared" si="9" ref="AA14:AA38">J9*P9</f>
        <v>0</v>
      </c>
      <c r="AB14" s="100"/>
      <c r="AC14" s="100"/>
      <c r="AD14" s="100">
        <f t="shared" si="4"/>
        <v>0</v>
      </c>
      <c r="AE14" s="100">
        <f t="shared" si="5"/>
        <v>0</v>
      </c>
      <c r="AF14" s="100">
        <f t="shared" si="6"/>
        <v>0</v>
      </c>
      <c r="AG14" s="107">
        <f t="shared" si="7"/>
        <v>0</v>
      </c>
    </row>
    <row r="15" spans="3:33" ht="12.75">
      <c r="C15" s="102">
        <v>1987</v>
      </c>
      <c r="D15" s="148"/>
      <c r="E15" s="142"/>
      <c r="F15" s="100"/>
      <c r="G15" s="100">
        <f t="shared" si="0"/>
        <v>0</v>
      </c>
      <c r="H15" s="100">
        <f t="shared" si="1"/>
        <v>0</v>
      </c>
      <c r="I15" s="100">
        <f t="shared" si="2"/>
        <v>0</v>
      </c>
      <c r="J15" s="100">
        <f t="shared" si="3"/>
        <v>0</v>
      </c>
      <c r="K15" s="150"/>
      <c r="L15" s="164"/>
      <c r="M15" s="164"/>
      <c r="N15" s="164"/>
      <c r="O15" s="164">
        <v>0.4</v>
      </c>
      <c r="P15" s="164">
        <v>0.6</v>
      </c>
      <c r="Q15" s="164">
        <v>0</v>
      </c>
      <c r="R15" s="100"/>
      <c r="S15" s="100"/>
      <c r="T15" s="100"/>
      <c r="U15" s="100"/>
      <c r="V15" s="100"/>
      <c r="W15" s="100"/>
      <c r="X15" s="100"/>
      <c r="Y15" s="100"/>
      <c r="Z15" s="100">
        <f t="shared" si="8"/>
        <v>0</v>
      </c>
      <c r="AA15" s="100">
        <f t="shared" si="9"/>
        <v>0</v>
      </c>
      <c r="AB15" s="100">
        <f>$I8*Q8/1000</f>
        <v>0</v>
      </c>
      <c r="AC15" s="100">
        <f>J8*Q8</f>
        <v>0</v>
      </c>
      <c r="AD15" s="100">
        <f t="shared" si="4"/>
        <v>0</v>
      </c>
      <c r="AE15" s="100">
        <f t="shared" si="5"/>
        <v>0</v>
      </c>
      <c r="AF15" s="100">
        <f t="shared" si="6"/>
        <v>0</v>
      </c>
      <c r="AG15" s="107">
        <f t="shared" si="7"/>
        <v>0</v>
      </c>
    </row>
    <row r="16" spans="3:33" ht="12.75">
      <c r="C16" s="102">
        <v>1988</v>
      </c>
      <c r="D16" s="148"/>
      <c r="E16" s="142"/>
      <c r="F16" s="100"/>
      <c r="G16" s="100">
        <f t="shared" si="0"/>
        <v>0</v>
      </c>
      <c r="H16" s="100">
        <f t="shared" si="1"/>
        <v>0</v>
      </c>
      <c r="I16" s="100">
        <f t="shared" si="2"/>
        <v>0</v>
      </c>
      <c r="J16" s="100">
        <f t="shared" si="3"/>
        <v>0</v>
      </c>
      <c r="K16" s="150"/>
      <c r="L16" s="164"/>
      <c r="M16" s="164"/>
      <c r="N16" s="164"/>
      <c r="O16" s="164">
        <v>0.4</v>
      </c>
      <c r="P16" s="164">
        <v>0.6</v>
      </c>
      <c r="Q16" s="164">
        <v>0</v>
      </c>
      <c r="R16" s="100"/>
      <c r="S16" s="100"/>
      <c r="T16" s="100"/>
      <c r="U16" s="100"/>
      <c r="V16" s="100"/>
      <c r="W16" s="100"/>
      <c r="X16" s="100"/>
      <c r="Y16" s="100"/>
      <c r="Z16" s="100">
        <f t="shared" si="8"/>
        <v>0</v>
      </c>
      <c r="AA16" s="100">
        <f t="shared" si="9"/>
        <v>0</v>
      </c>
      <c r="AB16" s="100">
        <f aca="true" t="shared" si="10" ref="AB16:AB38">$I9*Q9/1000</f>
        <v>0</v>
      </c>
      <c r="AC16" s="100">
        <f aca="true" t="shared" si="11" ref="AC16:AC38">J9*Q9</f>
        <v>0</v>
      </c>
      <c r="AD16" s="100">
        <f t="shared" si="4"/>
        <v>0</v>
      </c>
      <c r="AE16" s="100">
        <f t="shared" si="5"/>
        <v>0</v>
      </c>
      <c r="AF16" s="100">
        <f t="shared" si="6"/>
        <v>0</v>
      </c>
      <c r="AG16" s="107">
        <f t="shared" si="7"/>
        <v>0</v>
      </c>
    </row>
    <row r="17" spans="3:33" ht="12.75">
      <c r="C17" s="102">
        <v>1989</v>
      </c>
      <c r="D17" s="148">
        <v>1083598</v>
      </c>
      <c r="E17" s="142">
        <v>24.6</v>
      </c>
      <c r="F17" s="100">
        <f>(D17*E17)/2000</f>
        <v>13328.2554</v>
      </c>
      <c r="G17" s="100">
        <f t="shared" si="0"/>
        <v>520127.04</v>
      </c>
      <c r="H17" s="100">
        <f t="shared" si="1"/>
        <v>6397.562591999999</v>
      </c>
      <c r="I17" s="100">
        <f t="shared" si="2"/>
        <v>563470.96</v>
      </c>
      <c r="J17" s="100">
        <f t="shared" si="3"/>
        <v>6930.692808000001</v>
      </c>
      <c r="K17" s="150">
        <v>0.25</v>
      </c>
      <c r="L17" s="164">
        <v>0.25</v>
      </c>
      <c r="M17" s="164">
        <v>0.25</v>
      </c>
      <c r="N17" s="164">
        <v>0.25</v>
      </c>
      <c r="O17" s="164">
        <v>0.4</v>
      </c>
      <c r="P17" s="164">
        <v>0.6</v>
      </c>
      <c r="Q17" s="164">
        <v>0</v>
      </c>
      <c r="R17" s="100"/>
      <c r="S17" s="100"/>
      <c r="T17" s="100"/>
      <c r="U17" s="100"/>
      <c r="V17" s="100"/>
      <c r="W17" s="100"/>
      <c r="X17" s="100"/>
      <c r="Y17" s="100"/>
      <c r="Z17" s="100">
        <f t="shared" si="8"/>
        <v>0</v>
      </c>
      <c r="AA17" s="100">
        <f t="shared" si="9"/>
        <v>0</v>
      </c>
      <c r="AB17" s="100">
        <f t="shared" si="10"/>
        <v>0</v>
      </c>
      <c r="AC17" s="100">
        <f t="shared" si="11"/>
        <v>0</v>
      </c>
      <c r="AD17" s="100">
        <f t="shared" si="4"/>
        <v>0</v>
      </c>
      <c r="AE17" s="100">
        <f t="shared" si="5"/>
        <v>0</v>
      </c>
      <c r="AF17" s="100">
        <f t="shared" si="6"/>
        <v>0</v>
      </c>
      <c r="AG17" s="107">
        <f t="shared" si="7"/>
        <v>0</v>
      </c>
    </row>
    <row r="18" spans="3:33" ht="12.75">
      <c r="C18" s="102">
        <v>1990</v>
      </c>
      <c r="D18" s="148">
        <v>882707</v>
      </c>
      <c r="E18" s="142">
        <v>24.6</v>
      </c>
      <c r="F18" s="100">
        <f aca="true" t="shared" si="12" ref="F18:F31">(D18*E18)/2000</f>
        <v>10857.296100000001</v>
      </c>
      <c r="G18" s="100">
        <f t="shared" si="0"/>
        <v>423699.36</v>
      </c>
      <c r="H18" s="100">
        <f t="shared" si="1"/>
        <v>5211.502128</v>
      </c>
      <c r="I18" s="100">
        <f t="shared" si="2"/>
        <v>459007.64</v>
      </c>
      <c r="J18" s="100">
        <f t="shared" si="3"/>
        <v>5645.793972000001</v>
      </c>
      <c r="K18" s="150">
        <v>0.25</v>
      </c>
      <c r="L18" s="164">
        <v>0.25</v>
      </c>
      <c r="M18" s="164">
        <v>0.25</v>
      </c>
      <c r="N18" s="164">
        <v>0.25</v>
      </c>
      <c r="O18" s="164">
        <v>0.4</v>
      </c>
      <c r="P18" s="164">
        <v>0.6</v>
      </c>
      <c r="Q18" s="164">
        <v>0</v>
      </c>
      <c r="R18" s="100"/>
      <c r="S18" s="100"/>
      <c r="T18" s="100"/>
      <c r="U18" s="100"/>
      <c r="V18" s="100"/>
      <c r="W18" s="100"/>
      <c r="X18" s="100"/>
      <c r="Y18" s="100"/>
      <c r="Z18" s="100">
        <f t="shared" si="8"/>
        <v>0</v>
      </c>
      <c r="AA18" s="100">
        <f t="shared" si="9"/>
        <v>0</v>
      </c>
      <c r="AB18" s="100">
        <f t="shared" si="10"/>
        <v>0</v>
      </c>
      <c r="AC18" s="100">
        <f t="shared" si="11"/>
        <v>0</v>
      </c>
      <c r="AD18" s="100">
        <f t="shared" si="4"/>
        <v>0</v>
      </c>
      <c r="AE18" s="100">
        <f t="shared" si="5"/>
        <v>0</v>
      </c>
      <c r="AF18" s="100">
        <f t="shared" si="6"/>
        <v>0</v>
      </c>
      <c r="AG18" s="107">
        <f t="shared" si="7"/>
        <v>0</v>
      </c>
    </row>
    <row r="19" spans="3:33" ht="12.75">
      <c r="C19" s="102">
        <v>1991</v>
      </c>
      <c r="D19" s="148">
        <v>1499605</v>
      </c>
      <c r="E19" s="142">
        <v>24.6</v>
      </c>
      <c r="F19" s="100">
        <f t="shared" si="12"/>
        <v>18445.1415</v>
      </c>
      <c r="G19" s="100">
        <f t="shared" si="0"/>
        <v>719810.4</v>
      </c>
      <c r="H19" s="100">
        <f t="shared" si="1"/>
        <v>8853.66792</v>
      </c>
      <c r="I19" s="100">
        <f t="shared" si="2"/>
        <v>779794.6</v>
      </c>
      <c r="J19" s="100">
        <f t="shared" si="3"/>
        <v>9591.473580000002</v>
      </c>
      <c r="K19" s="150">
        <v>0.25</v>
      </c>
      <c r="L19" s="164">
        <v>0.25</v>
      </c>
      <c r="M19" s="164">
        <v>0.25</v>
      </c>
      <c r="N19" s="164">
        <v>0.25</v>
      </c>
      <c r="O19" s="164">
        <v>0.4</v>
      </c>
      <c r="P19" s="164">
        <v>0.6</v>
      </c>
      <c r="Q19" s="164">
        <v>0</v>
      </c>
      <c r="R19" s="100"/>
      <c r="S19" s="100"/>
      <c r="T19" s="100"/>
      <c r="U19" s="100"/>
      <c r="V19" s="100"/>
      <c r="W19" s="100"/>
      <c r="X19" s="100"/>
      <c r="Y19" s="100"/>
      <c r="Z19" s="100">
        <f t="shared" si="8"/>
        <v>0</v>
      </c>
      <c r="AA19" s="100">
        <f t="shared" si="9"/>
        <v>0</v>
      </c>
      <c r="AB19" s="100">
        <f t="shared" si="10"/>
        <v>0</v>
      </c>
      <c r="AC19" s="100">
        <f t="shared" si="11"/>
        <v>0</v>
      </c>
      <c r="AD19" s="100">
        <f t="shared" si="4"/>
        <v>0</v>
      </c>
      <c r="AE19" s="100">
        <f t="shared" si="5"/>
        <v>0</v>
      </c>
      <c r="AF19" s="100">
        <f t="shared" si="6"/>
        <v>0</v>
      </c>
      <c r="AG19" s="107">
        <f t="shared" si="7"/>
        <v>0</v>
      </c>
    </row>
    <row r="20" spans="1:33" ht="12.75">
      <c r="A20" s="21" t="s">
        <v>234</v>
      </c>
      <c r="B20" s="21"/>
      <c r="C20" s="102">
        <v>1992</v>
      </c>
      <c r="D20" s="148">
        <v>1726516</v>
      </c>
      <c r="E20" s="142">
        <v>24.6</v>
      </c>
      <c r="F20" s="100">
        <f t="shared" si="12"/>
        <v>21236.146800000002</v>
      </c>
      <c r="G20" s="100">
        <f t="shared" si="0"/>
        <v>828727.6799999999</v>
      </c>
      <c r="H20" s="100">
        <f t="shared" si="1"/>
        <v>10193.350464000001</v>
      </c>
      <c r="I20" s="100">
        <f t="shared" si="2"/>
        <v>897788.3200000001</v>
      </c>
      <c r="J20" s="100">
        <f t="shared" si="3"/>
        <v>11042.796336000001</v>
      </c>
      <c r="K20" s="150">
        <v>0.25</v>
      </c>
      <c r="L20" s="164">
        <v>0.25</v>
      </c>
      <c r="M20" s="164">
        <v>0.25</v>
      </c>
      <c r="N20" s="164">
        <v>0.25</v>
      </c>
      <c r="O20" s="164">
        <v>0.4</v>
      </c>
      <c r="P20" s="164">
        <v>0.6</v>
      </c>
      <c r="Q20" s="164">
        <v>0</v>
      </c>
      <c r="R20" s="100"/>
      <c r="S20" s="100"/>
      <c r="T20" s="100"/>
      <c r="U20" s="100"/>
      <c r="V20" s="100"/>
      <c r="W20" s="100"/>
      <c r="X20" s="100"/>
      <c r="Y20" s="100"/>
      <c r="Z20" s="100">
        <f t="shared" si="8"/>
        <v>0</v>
      </c>
      <c r="AA20" s="100">
        <f t="shared" si="9"/>
        <v>0</v>
      </c>
      <c r="AB20" s="100">
        <f t="shared" si="10"/>
        <v>0</v>
      </c>
      <c r="AC20" s="100">
        <f t="shared" si="11"/>
        <v>0</v>
      </c>
      <c r="AD20" s="100">
        <f t="shared" si="4"/>
        <v>225.388384</v>
      </c>
      <c r="AE20" s="100">
        <f t="shared" si="5"/>
        <v>2772.2771232000005</v>
      </c>
      <c r="AF20" s="100">
        <f t="shared" si="6"/>
        <v>225.388384</v>
      </c>
      <c r="AG20" s="107">
        <f t="shared" si="7"/>
        <v>2772.2771232000005</v>
      </c>
    </row>
    <row r="21" spans="1:33" ht="12.75">
      <c r="A21" s="21" t="s">
        <v>235</v>
      </c>
      <c r="B21" s="21"/>
      <c r="C21" s="102">
        <v>1993</v>
      </c>
      <c r="D21" s="148">
        <v>1839521</v>
      </c>
      <c r="E21" s="142">
        <v>24.6</v>
      </c>
      <c r="F21" s="100">
        <f t="shared" si="12"/>
        <v>22626.1083</v>
      </c>
      <c r="G21" s="100">
        <f t="shared" si="0"/>
        <v>882970.08</v>
      </c>
      <c r="H21" s="100">
        <f t="shared" si="1"/>
        <v>10860.531984</v>
      </c>
      <c r="I21" s="100">
        <f t="shared" si="2"/>
        <v>956550.92</v>
      </c>
      <c r="J21" s="100">
        <f t="shared" si="3"/>
        <v>11765.576316</v>
      </c>
      <c r="K21" s="150">
        <v>0.25</v>
      </c>
      <c r="L21" s="164">
        <v>0.25</v>
      </c>
      <c r="M21" s="164">
        <v>0.25</v>
      </c>
      <c r="N21" s="164">
        <v>0.25</v>
      </c>
      <c r="O21" s="164">
        <v>0.4</v>
      </c>
      <c r="P21" s="164">
        <v>0.6</v>
      </c>
      <c r="Q21" s="164">
        <v>0</v>
      </c>
      <c r="R21" s="100"/>
      <c r="S21" s="100"/>
      <c r="T21" s="100"/>
      <c r="U21" s="100"/>
      <c r="V21" s="100"/>
      <c r="W21" s="100"/>
      <c r="X21" s="100"/>
      <c r="Y21" s="100"/>
      <c r="Z21" s="100">
        <f t="shared" si="8"/>
        <v>0</v>
      </c>
      <c r="AA21" s="100">
        <f t="shared" si="9"/>
        <v>0</v>
      </c>
      <c r="AB21" s="100">
        <f t="shared" si="10"/>
        <v>0</v>
      </c>
      <c r="AC21" s="100">
        <f t="shared" si="11"/>
        <v>0</v>
      </c>
      <c r="AD21" s="100">
        <f t="shared" si="4"/>
        <v>183.603056</v>
      </c>
      <c r="AE21" s="100">
        <f t="shared" si="5"/>
        <v>2258.3175888000005</v>
      </c>
      <c r="AF21" s="100">
        <f t="shared" si="6"/>
        <v>183.603056</v>
      </c>
      <c r="AG21" s="107">
        <f t="shared" si="7"/>
        <v>2258.3175888000005</v>
      </c>
    </row>
    <row r="22" spans="1:33" ht="12.75">
      <c r="A22" s="86" t="s">
        <v>236</v>
      </c>
      <c r="B22" s="21"/>
      <c r="C22" s="102">
        <v>1994</v>
      </c>
      <c r="D22" s="148">
        <v>2795290</v>
      </c>
      <c r="E22" s="142">
        <v>24.6</v>
      </c>
      <c r="F22" s="100">
        <f t="shared" si="12"/>
        <v>34382.067</v>
      </c>
      <c r="G22" s="100">
        <f t="shared" si="0"/>
        <v>1341739.2</v>
      </c>
      <c r="H22" s="100">
        <f t="shared" si="1"/>
        <v>16503.39216</v>
      </c>
      <c r="I22" s="100">
        <f t="shared" si="2"/>
        <v>1453550.8</v>
      </c>
      <c r="J22" s="100">
        <f t="shared" si="3"/>
        <v>17878.674840000003</v>
      </c>
      <c r="K22" s="150">
        <v>0.25</v>
      </c>
      <c r="L22" s="164">
        <v>0.25</v>
      </c>
      <c r="M22" s="164">
        <v>0.25</v>
      </c>
      <c r="N22" s="164">
        <v>0.25</v>
      </c>
      <c r="O22" s="164">
        <v>0.4</v>
      </c>
      <c r="P22" s="164">
        <v>0.6</v>
      </c>
      <c r="Q22" s="164">
        <v>0</v>
      </c>
      <c r="R22" s="100"/>
      <c r="S22" s="100"/>
      <c r="T22" s="100"/>
      <c r="U22" s="100"/>
      <c r="V22" s="100"/>
      <c r="W22" s="100"/>
      <c r="X22" s="100"/>
      <c r="Y22" s="100"/>
      <c r="Z22" s="100">
        <f t="shared" si="8"/>
        <v>338.08257599999996</v>
      </c>
      <c r="AA22" s="100">
        <f t="shared" si="9"/>
        <v>4158.4156848</v>
      </c>
      <c r="AB22" s="100">
        <f t="shared" si="10"/>
        <v>0</v>
      </c>
      <c r="AC22" s="100">
        <f t="shared" si="11"/>
        <v>0</v>
      </c>
      <c r="AD22" s="100">
        <f t="shared" si="4"/>
        <v>311.91784</v>
      </c>
      <c r="AE22" s="100">
        <f t="shared" si="5"/>
        <v>3836.5894320000007</v>
      </c>
      <c r="AF22" s="100">
        <f t="shared" si="6"/>
        <v>650.000416</v>
      </c>
      <c r="AG22" s="107">
        <f t="shared" si="7"/>
        <v>7995.005116800001</v>
      </c>
    </row>
    <row r="23" spans="1:33" ht="12.75">
      <c r="A23" s="23">
        <v>10334</v>
      </c>
      <c r="B23" s="23"/>
      <c r="C23" s="102">
        <v>1995</v>
      </c>
      <c r="D23" s="148">
        <v>2967154</v>
      </c>
      <c r="E23" s="142">
        <v>24.6</v>
      </c>
      <c r="F23" s="100">
        <f t="shared" si="12"/>
        <v>36495.9942</v>
      </c>
      <c r="G23" s="100">
        <f t="shared" si="0"/>
        <v>1424233.92</v>
      </c>
      <c r="H23" s="100">
        <f t="shared" si="1"/>
        <v>17518.077216</v>
      </c>
      <c r="I23" s="100">
        <f t="shared" si="2"/>
        <v>1542920.08</v>
      </c>
      <c r="J23" s="100">
        <f t="shared" si="3"/>
        <v>18977.916984</v>
      </c>
      <c r="K23" s="150">
        <v>0.25</v>
      </c>
      <c r="L23" s="164">
        <v>0.25</v>
      </c>
      <c r="M23" s="164">
        <v>0.25</v>
      </c>
      <c r="N23" s="164">
        <v>0.25</v>
      </c>
      <c r="O23" s="164">
        <v>0.4</v>
      </c>
      <c r="P23" s="164">
        <v>0.6</v>
      </c>
      <c r="Q23" s="164">
        <v>0</v>
      </c>
      <c r="R23" s="100"/>
      <c r="S23" s="100"/>
      <c r="T23" s="100"/>
      <c r="U23" s="100"/>
      <c r="V23" s="100"/>
      <c r="W23" s="100"/>
      <c r="X23" s="100"/>
      <c r="Y23" s="100"/>
      <c r="Z23" s="100">
        <f t="shared" si="8"/>
        <v>275.404584</v>
      </c>
      <c r="AA23" s="100">
        <f t="shared" si="9"/>
        <v>3387.476383200001</v>
      </c>
      <c r="AB23" s="100">
        <f t="shared" si="10"/>
        <v>0</v>
      </c>
      <c r="AC23" s="100">
        <f t="shared" si="11"/>
        <v>0</v>
      </c>
      <c r="AD23" s="100">
        <f t="shared" si="4"/>
        <v>359.11532800000003</v>
      </c>
      <c r="AE23" s="100">
        <f t="shared" si="5"/>
        <v>4417.1185344000005</v>
      </c>
      <c r="AF23" s="100">
        <f t="shared" si="6"/>
        <v>634.519912</v>
      </c>
      <c r="AG23" s="107">
        <f t="shared" si="7"/>
        <v>7804.594917600001</v>
      </c>
    </row>
    <row r="24" spans="1:33" ht="12.75">
      <c r="A24" s="23">
        <v>18146</v>
      </c>
      <c r="B24" s="393"/>
      <c r="C24" s="102">
        <v>1996</v>
      </c>
      <c r="D24" s="148">
        <v>2266424</v>
      </c>
      <c r="E24" s="142">
        <v>24.6</v>
      </c>
      <c r="F24" s="100">
        <f t="shared" si="12"/>
        <v>27877.0152</v>
      </c>
      <c r="G24" s="100">
        <f t="shared" si="0"/>
        <v>1087883.52</v>
      </c>
      <c r="H24" s="100">
        <f t="shared" si="1"/>
        <v>13380.967296</v>
      </c>
      <c r="I24" s="100">
        <f t="shared" si="2"/>
        <v>1178540.48</v>
      </c>
      <c r="J24" s="100">
        <f t="shared" si="3"/>
        <v>14496.047904000001</v>
      </c>
      <c r="K24" s="150">
        <v>0.25</v>
      </c>
      <c r="L24" s="164">
        <v>0.25</v>
      </c>
      <c r="M24" s="164">
        <v>0.25</v>
      </c>
      <c r="N24" s="164">
        <v>0.25</v>
      </c>
      <c r="O24" s="164">
        <v>0.4</v>
      </c>
      <c r="P24" s="164">
        <v>0.6</v>
      </c>
      <c r="Q24" s="164">
        <v>0</v>
      </c>
      <c r="R24" s="100"/>
      <c r="S24" s="100"/>
      <c r="T24" s="100"/>
      <c r="U24" s="100"/>
      <c r="V24" s="100"/>
      <c r="W24" s="100"/>
      <c r="X24" s="100"/>
      <c r="Y24" s="100"/>
      <c r="Z24" s="100">
        <f t="shared" si="8"/>
        <v>467.87675999999993</v>
      </c>
      <c r="AA24" s="100">
        <f t="shared" si="9"/>
        <v>5754.884148000001</v>
      </c>
      <c r="AB24" s="100">
        <f t="shared" si="10"/>
        <v>0</v>
      </c>
      <c r="AC24" s="100">
        <f t="shared" si="11"/>
        <v>0</v>
      </c>
      <c r="AD24" s="100">
        <f t="shared" si="4"/>
        <v>382.62036800000004</v>
      </c>
      <c r="AE24" s="100">
        <f t="shared" si="5"/>
        <v>4706.230526400001</v>
      </c>
      <c r="AF24" s="100">
        <f t="shared" si="6"/>
        <v>850.497128</v>
      </c>
      <c r="AG24" s="107">
        <f t="shared" si="7"/>
        <v>10461.114674400002</v>
      </c>
    </row>
    <row r="25" spans="1:33" ht="12.75">
      <c r="A25" s="23">
        <v>33224</v>
      </c>
      <c r="B25" s="407" t="s">
        <v>237</v>
      </c>
      <c r="C25" s="102">
        <v>1997</v>
      </c>
      <c r="D25" s="108">
        <v>947115</v>
      </c>
      <c r="E25" s="142">
        <v>24.6</v>
      </c>
      <c r="F25" s="100">
        <f t="shared" si="12"/>
        <v>11649.5145</v>
      </c>
      <c r="G25" s="100">
        <f t="shared" si="0"/>
        <v>454615.2</v>
      </c>
      <c r="H25" s="100">
        <f t="shared" si="1"/>
        <v>5591.766959999999</v>
      </c>
      <c r="I25" s="100">
        <f t="shared" si="2"/>
        <v>492499.8</v>
      </c>
      <c r="J25" s="100">
        <f t="shared" si="3"/>
        <v>6057.74754</v>
      </c>
      <c r="K25" s="150">
        <v>0.25</v>
      </c>
      <c r="L25" s="164">
        <v>0.25</v>
      </c>
      <c r="M25" s="164">
        <v>0.25</v>
      </c>
      <c r="N25" s="164">
        <v>0.25</v>
      </c>
      <c r="O25" s="164">
        <v>0.4</v>
      </c>
      <c r="P25" s="164">
        <v>0.6</v>
      </c>
      <c r="Q25" s="164">
        <v>0</v>
      </c>
      <c r="R25" s="100"/>
      <c r="S25" s="100"/>
      <c r="T25" s="100"/>
      <c r="U25" s="100"/>
      <c r="V25" s="100"/>
      <c r="W25" s="100"/>
      <c r="X25" s="100"/>
      <c r="Y25" s="100"/>
      <c r="Z25" s="100">
        <f t="shared" si="8"/>
        <v>538.672992</v>
      </c>
      <c r="AA25" s="100">
        <f t="shared" si="9"/>
        <v>6625.677801600001</v>
      </c>
      <c r="AB25" s="100">
        <f t="shared" si="10"/>
        <v>0</v>
      </c>
      <c r="AC25" s="100">
        <f t="shared" si="11"/>
        <v>0</v>
      </c>
      <c r="AD25" s="100">
        <f t="shared" si="4"/>
        <v>581.4203200000001</v>
      </c>
      <c r="AE25" s="100">
        <f t="shared" si="5"/>
        <v>7151.469936000001</v>
      </c>
      <c r="AF25" s="100">
        <f t="shared" si="6"/>
        <v>1120.093312</v>
      </c>
      <c r="AG25" s="107">
        <f t="shared" si="7"/>
        <v>13777.147737600002</v>
      </c>
    </row>
    <row r="26" spans="1:33" ht="12.75">
      <c r="A26" s="23">
        <v>271883</v>
      </c>
      <c r="B26" s="407" t="s">
        <v>237</v>
      </c>
      <c r="C26" s="102">
        <v>1998</v>
      </c>
      <c r="D26" s="108">
        <v>1468260</v>
      </c>
      <c r="E26" s="142">
        <v>24.6</v>
      </c>
      <c r="F26" s="100">
        <f t="shared" si="12"/>
        <v>18059.598</v>
      </c>
      <c r="G26" s="100">
        <f t="shared" si="0"/>
        <v>704764.7999999999</v>
      </c>
      <c r="H26" s="100">
        <f t="shared" si="1"/>
        <v>8668.60704</v>
      </c>
      <c r="I26" s="100">
        <f t="shared" si="2"/>
        <v>763495.2000000001</v>
      </c>
      <c r="J26" s="100">
        <f t="shared" si="3"/>
        <v>9390.990960000001</v>
      </c>
      <c r="K26" s="150">
        <v>0.25</v>
      </c>
      <c r="L26" s="164">
        <v>0.25</v>
      </c>
      <c r="M26" s="164">
        <v>0.25</v>
      </c>
      <c r="N26" s="164">
        <v>0.25</v>
      </c>
      <c r="O26" s="164">
        <v>0.4</v>
      </c>
      <c r="P26" s="164">
        <v>0.6</v>
      </c>
      <c r="Q26" s="164">
        <v>0</v>
      </c>
      <c r="R26" s="100">
        <f>(G17*K17)/1000</f>
        <v>130.03176</v>
      </c>
      <c r="S26" s="100">
        <f>(H17*K17)</f>
        <v>1599.3906479999998</v>
      </c>
      <c r="T26" s="100">
        <f>(G17*L17)/1000</f>
        <v>130.03176</v>
      </c>
      <c r="U26" s="100">
        <f>(H17*L17)</f>
        <v>1599.3906479999998</v>
      </c>
      <c r="V26" s="100">
        <f>(G17*M17)/1000</f>
        <v>130.03176</v>
      </c>
      <c r="W26" s="100">
        <f>(H17*M17)</f>
        <v>1599.3906479999998</v>
      </c>
      <c r="X26" s="100">
        <f>(G17*N17)/1000</f>
        <v>130.03176</v>
      </c>
      <c r="Y26" s="100">
        <f>(H17*N17)</f>
        <v>1599.3906479999998</v>
      </c>
      <c r="Z26" s="100">
        <f t="shared" si="8"/>
        <v>573.930552</v>
      </c>
      <c r="AA26" s="100">
        <f t="shared" si="9"/>
        <v>7059.3457896</v>
      </c>
      <c r="AB26" s="100">
        <f t="shared" si="10"/>
        <v>0</v>
      </c>
      <c r="AC26" s="100">
        <f t="shared" si="11"/>
        <v>0</v>
      </c>
      <c r="AD26" s="100">
        <f t="shared" si="4"/>
        <v>617.168032</v>
      </c>
      <c r="AE26" s="100">
        <f t="shared" si="5"/>
        <v>7591.1667936</v>
      </c>
      <c r="AF26" s="100">
        <f t="shared" si="6"/>
        <v>1711.2256240000002</v>
      </c>
      <c r="AG26" s="107">
        <f t="shared" si="7"/>
        <v>21048.0751752</v>
      </c>
    </row>
    <row r="27" spans="1:33" ht="12.75">
      <c r="A27" s="86">
        <v>612691</v>
      </c>
      <c r="B27" s="407" t="s">
        <v>237</v>
      </c>
      <c r="C27" s="102">
        <v>1999</v>
      </c>
      <c r="D27" s="108">
        <v>2829592</v>
      </c>
      <c r="E27" s="142">
        <v>24.6</v>
      </c>
      <c r="F27" s="100">
        <f t="shared" si="12"/>
        <v>34803.9816</v>
      </c>
      <c r="G27" s="100">
        <f t="shared" si="0"/>
        <v>1358204.16</v>
      </c>
      <c r="H27" s="100">
        <f t="shared" si="1"/>
        <v>16705.911168</v>
      </c>
      <c r="I27" s="100">
        <f t="shared" si="2"/>
        <v>1471387.84</v>
      </c>
      <c r="J27" s="100">
        <f t="shared" si="3"/>
        <v>18098.070432</v>
      </c>
      <c r="K27" s="150">
        <v>0.25</v>
      </c>
      <c r="L27" s="164">
        <v>0.25</v>
      </c>
      <c r="M27" s="164">
        <v>0.25</v>
      </c>
      <c r="N27" s="164">
        <v>0.25</v>
      </c>
      <c r="O27" s="164">
        <v>0.4</v>
      </c>
      <c r="P27" s="164">
        <v>0.6</v>
      </c>
      <c r="Q27" s="164">
        <v>0</v>
      </c>
      <c r="R27" s="100">
        <f aca="true" t="shared" si="13" ref="R27:R37">(G18*K18)/1000</f>
        <v>105.92484</v>
      </c>
      <c r="S27" s="100">
        <f aca="true" t="shared" si="14" ref="S27:S38">(H18*K18)</f>
        <v>1302.875532</v>
      </c>
      <c r="T27" s="100">
        <f aca="true" t="shared" si="15" ref="T27:T38">(G18*L18)/1000</f>
        <v>105.92484</v>
      </c>
      <c r="U27" s="100">
        <f aca="true" t="shared" si="16" ref="U27:U38">(H18*L18)</f>
        <v>1302.875532</v>
      </c>
      <c r="V27" s="100">
        <f aca="true" t="shared" si="17" ref="V27:V38">(G18*M18)/1000</f>
        <v>105.92484</v>
      </c>
      <c r="W27" s="100">
        <f aca="true" t="shared" si="18" ref="W27:W38">(H18*M18)</f>
        <v>1302.875532</v>
      </c>
      <c r="X27" s="100">
        <f aca="true" t="shared" si="19" ref="X27:X38">(G18*N18)/1000</f>
        <v>105.92484</v>
      </c>
      <c r="Y27" s="100">
        <f aca="true" t="shared" si="20" ref="Y27:Y38">(H18*N18)</f>
        <v>1302.875532</v>
      </c>
      <c r="Z27" s="100">
        <f t="shared" si="8"/>
        <v>872.13048</v>
      </c>
      <c r="AA27" s="100">
        <f t="shared" si="9"/>
        <v>10727.204904000002</v>
      </c>
      <c r="AB27" s="100">
        <f t="shared" si="10"/>
        <v>0</v>
      </c>
      <c r="AC27" s="100">
        <f t="shared" si="11"/>
        <v>0</v>
      </c>
      <c r="AD27" s="100">
        <f t="shared" si="4"/>
        <v>471.416192</v>
      </c>
      <c r="AE27" s="100">
        <f t="shared" si="5"/>
        <v>5798.419161600001</v>
      </c>
      <c r="AF27" s="100">
        <f t="shared" si="6"/>
        <v>1767.246032</v>
      </c>
      <c r="AG27" s="107">
        <f t="shared" si="7"/>
        <v>21737.1261936</v>
      </c>
    </row>
    <row r="28" spans="1:33" ht="12.75">
      <c r="A28" s="86">
        <v>1365794</v>
      </c>
      <c r="B28" s="407" t="s">
        <v>237</v>
      </c>
      <c r="C28" s="102">
        <v>2000</v>
      </c>
      <c r="D28" s="108">
        <v>4769506</v>
      </c>
      <c r="E28" s="142">
        <v>24.6</v>
      </c>
      <c r="F28" s="100">
        <f t="shared" si="12"/>
        <v>58664.923800000004</v>
      </c>
      <c r="G28" s="100">
        <f t="shared" si="0"/>
        <v>2289362.88</v>
      </c>
      <c r="H28" s="100">
        <f t="shared" si="1"/>
        <v>28159.163424000002</v>
      </c>
      <c r="I28" s="100">
        <f t="shared" si="2"/>
        <v>2480143.12</v>
      </c>
      <c r="J28" s="100">
        <f t="shared" si="3"/>
        <v>30505.760376000002</v>
      </c>
      <c r="K28" s="150">
        <v>0.25</v>
      </c>
      <c r="L28" s="164">
        <v>0.25</v>
      </c>
      <c r="M28" s="164">
        <v>0.25</v>
      </c>
      <c r="N28" s="164">
        <v>0.25</v>
      </c>
      <c r="O28" s="164">
        <v>0.4</v>
      </c>
      <c r="P28" s="164">
        <v>0.6</v>
      </c>
      <c r="Q28" s="164">
        <v>0</v>
      </c>
      <c r="R28" s="100">
        <f t="shared" si="13"/>
        <v>179.95260000000002</v>
      </c>
      <c r="S28" s="100">
        <f t="shared" si="14"/>
        <v>2213.41698</v>
      </c>
      <c r="T28" s="100">
        <f t="shared" si="15"/>
        <v>179.95260000000002</v>
      </c>
      <c r="U28" s="100">
        <f t="shared" si="16"/>
        <v>2213.41698</v>
      </c>
      <c r="V28" s="100">
        <f t="shared" si="17"/>
        <v>179.95260000000002</v>
      </c>
      <c r="W28" s="100">
        <f t="shared" si="18"/>
        <v>2213.41698</v>
      </c>
      <c r="X28" s="100">
        <f t="shared" si="19"/>
        <v>179.95260000000002</v>
      </c>
      <c r="Y28" s="100">
        <f t="shared" si="20"/>
        <v>2213.41698</v>
      </c>
      <c r="Z28" s="100">
        <f t="shared" si="8"/>
        <v>925.7520480000001</v>
      </c>
      <c r="AA28" s="100">
        <f t="shared" si="9"/>
        <v>11386.7501904</v>
      </c>
      <c r="AB28" s="100">
        <f t="shared" si="10"/>
        <v>0</v>
      </c>
      <c r="AC28" s="100">
        <f t="shared" si="11"/>
        <v>0</v>
      </c>
      <c r="AD28" s="100">
        <f t="shared" si="4"/>
        <v>196.99992</v>
      </c>
      <c r="AE28" s="100">
        <f t="shared" si="5"/>
        <v>2423.099016</v>
      </c>
      <c r="AF28" s="100">
        <f t="shared" si="6"/>
        <v>1842.562368</v>
      </c>
      <c r="AG28" s="107">
        <f t="shared" si="7"/>
        <v>22663.517126400002</v>
      </c>
    </row>
    <row r="29" spans="1:33" ht="12.75">
      <c r="A29" s="86">
        <v>6243035</v>
      </c>
      <c r="B29" s="407" t="s">
        <v>237</v>
      </c>
      <c r="C29" s="102">
        <v>2001</v>
      </c>
      <c r="D29" s="108">
        <v>6598036</v>
      </c>
      <c r="E29" s="142">
        <v>24.6</v>
      </c>
      <c r="F29" s="100">
        <f t="shared" si="12"/>
        <v>81155.84280000001</v>
      </c>
      <c r="G29" s="100">
        <f t="shared" si="0"/>
        <v>3167057.28</v>
      </c>
      <c r="H29" s="100">
        <f t="shared" si="1"/>
        <v>38954.804544000006</v>
      </c>
      <c r="I29" s="100">
        <f t="shared" si="2"/>
        <v>3430978.72</v>
      </c>
      <c r="J29" s="100">
        <f t="shared" si="3"/>
        <v>42201.03825600001</v>
      </c>
      <c r="K29" s="150">
        <v>0.25</v>
      </c>
      <c r="L29" s="164">
        <v>0.25</v>
      </c>
      <c r="M29" s="164">
        <v>0.25</v>
      </c>
      <c r="N29" s="164">
        <v>0.25</v>
      </c>
      <c r="O29" s="164">
        <v>0.4</v>
      </c>
      <c r="P29" s="164">
        <v>0.6</v>
      </c>
      <c r="Q29" s="164">
        <v>0</v>
      </c>
      <c r="R29" s="100">
        <f t="shared" si="13"/>
        <v>207.18192</v>
      </c>
      <c r="S29" s="100">
        <f t="shared" si="14"/>
        <v>2548.3376160000003</v>
      </c>
      <c r="T29" s="100">
        <f t="shared" si="15"/>
        <v>207.18192</v>
      </c>
      <c r="U29" s="100">
        <f t="shared" si="16"/>
        <v>2548.3376160000003</v>
      </c>
      <c r="V29" s="100">
        <f t="shared" si="17"/>
        <v>207.18192</v>
      </c>
      <c r="W29" s="100">
        <f t="shared" si="18"/>
        <v>2548.3376160000003</v>
      </c>
      <c r="X29" s="100">
        <f t="shared" si="19"/>
        <v>207.18192</v>
      </c>
      <c r="Y29" s="100">
        <f t="shared" si="20"/>
        <v>2548.3376160000003</v>
      </c>
      <c r="Z29" s="100">
        <f t="shared" si="8"/>
        <v>707.124288</v>
      </c>
      <c r="AA29" s="100">
        <f t="shared" si="9"/>
        <v>8697.6287424</v>
      </c>
      <c r="AB29" s="100">
        <f t="shared" si="10"/>
        <v>0</v>
      </c>
      <c r="AC29" s="100">
        <f t="shared" si="11"/>
        <v>0</v>
      </c>
      <c r="AD29" s="100">
        <f t="shared" si="4"/>
        <v>305.39808</v>
      </c>
      <c r="AE29" s="100">
        <f t="shared" si="5"/>
        <v>3756.3963840000006</v>
      </c>
      <c r="AF29" s="100">
        <f t="shared" si="6"/>
        <v>1841.2500479999999</v>
      </c>
      <c r="AG29" s="107">
        <f t="shared" si="7"/>
        <v>22647.3755904</v>
      </c>
    </row>
    <row r="30" spans="1:33" ht="12.75">
      <c r="A30" s="86">
        <v>11524008</v>
      </c>
      <c r="B30" s="407" t="s">
        <v>237</v>
      </c>
      <c r="C30" s="102">
        <v>2002</v>
      </c>
      <c r="D30" s="108">
        <v>11654952</v>
      </c>
      <c r="E30" s="142">
        <v>24.6</v>
      </c>
      <c r="F30" s="100">
        <f t="shared" si="12"/>
        <v>143355.90959999998</v>
      </c>
      <c r="G30" s="100">
        <f t="shared" si="0"/>
        <v>5594376.96</v>
      </c>
      <c r="H30" s="100">
        <f t="shared" si="1"/>
        <v>68810.83660799998</v>
      </c>
      <c r="I30" s="100">
        <f t="shared" si="2"/>
        <v>6060575.04</v>
      </c>
      <c r="J30" s="100">
        <f t="shared" si="3"/>
        <v>74545.072992</v>
      </c>
      <c r="K30" s="150">
        <v>0.25</v>
      </c>
      <c r="L30" s="164">
        <v>0.25</v>
      </c>
      <c r="M30" s="164">
        <v>0.25</v>
      </c>
      <c r="N30" s="164">
        <v>0.25</v>
      </c>
      <c r="O30" s="164">
        <v>0.4</v>
      </c>
      <c r="P30" s="164">
        <v>0.6</v>
      </c>
      <c r="Q30" s="164">
        <v>0</v>
      </c>
      <c r="R30" s="100">
        <f t="shared" si="13"/>
        <v>220.74251999999998</v>
      </c>
      <c r="S30" s="100">
        <f t="shared" si="14"/>
        <v>2715.132996</v>
      </c>
      <c r="T30" s="100">
        <f t="shared" si="15"/>
        <v>220.74251999999998</v>
      </c>
      <c r="U30" s="100">
        <f t="shared" si="16"/>
        <v>2715.132996</v>
      </c>
      <c r="V30" s="100">
        <f t="shared" si="17"/>
        <v>220.74251999999998</v>
      </c>
      <c r="W30" s="100">
        <f t="shared" si="18"/>
        <v>2715.132996</v>
      </c>
      <c r="X30" s="100">
        <f t="shared" si="19"/>
        <v>220.74251999999998</v>
      </c>
      <c r="Y30" s="100">
        <f t="shared" si="20"/>
        <v>2715.132996</v>
      </c>
      <c r="Z30" s="100">
        <f t="shared" si="8"/>
        <v>295.49988</v>
      </c>
      <c r="AA30" s="100">
        <f t="shared" si="9"/>
        <v>3634.648524</v>
      </c>
      <c r="AB30" s="100">
        <f t="shared" si="10"/>
        <v>0</v>
      </c>
      <c r="AC30" s="100">
        <f t="shared" si="11"/>
        <v>0</v>
      </c>
      <c r="AD30" s="100">
        <f t="shared" si="4"/>
        <v>588.5551360000001</v>
      </c>
      <c r="AE30" s="100">
        <f t="shared" si="5"/>
        <v>7239.228172800001</v>
      </c>
      <c r="AF30" s="100">
        <f t="shared" si="6"/>
        <v>1767.0250959999998</v>
      </c>
      <c r="AG30" s="107">
        <f t="shared" si="7"/>
        <v>21734.4086808</v>
      </c>
    </row>
    <row r="31" spans="1:33" ht="12.75">
      <c r="A31" s="86">
        <v>17606623</v>
      </c>
      <c r="B31" s="407" t="s">
        <v>237</v>
      </c>
      <c r="C31" s="102">
        <v>2003</v>
      </c>
      <c r="D31" s="108">
        <v>18048711</v>
      </c>
      <c r="E31" s="142">
        <v>24.6</v>
      </c>
      <c r="F31" s="100">
        <f t="shared" si="12"/>
        <v>221999.1453</v>
      </c>
      <c r="G31" s="100">
        <f t="shared" si="0"/>
        <v>8663381.28</v>
      </c>
      <c r="H31" s="100">
        <f t="shared" si="1"/>
        <v>106559.589744</v>
      </c>
      <c r="I31" s="100">
        <f t="shared" si="2"/>
        <v>9385329.72</v>
      </c>
      <c r="J31" s="100">
        <f t="shared" si="3"/>
        <v>115439.555556</v>
      </c>
      <c r="K31" s="150">
        <v>0.25</v>
      </c>
      <c r="L31" s="164">
        <v>0.25</v>
      </c>
      <c r="M31" s="164">
        <v>0.25</v>
      </c>
      <c r="N31" s="164">
        <v>0.25</v>
      </c>
      <c r="O31" s="164">
        <v>0.4</v>
      </c>
      <c r="P31" s="164">
        <v>0.6</v>
      </c>
      <c r="Q31" s="164">
        <v>0</v>
      </c>
      <c r="R31" s="100">
        <f t="shared" si="13"/>
        <v>335.4348</v>
      </c>
      <c r="S31" s="100">
        <f t="shared" si="14"/>
        <v>4125.84804</v>
      </c>
      <c r="T31" s="100">
        <f t="shared" si="15"/>
        <v>335.4348</v>
      </c>
      <c r="U31" s="100">
        <f t="shared" si="16"/>
        <v>4125.84804</v>
      </c>
      <c r="V31" s="100">
        <f t="shared" si="17"/>
        <v>335.4348</v>
      </c>
      <c r="W31" s="100">
        <f t="shared" si="18"/>
        <v>4125.84804</v>
      </c>
      <c r="X31" s="100">
        <f t="shared" si="19"/>
        <v>335.4348</v>
      </c>
      <c r="Y31" s="100">
        <f t="shared" si="20"/>
        <v>4125.84804</v>
      </c>
      <c r="Z31" s="100">
        <f t="shared" si="8"/>
        <v>458.0971200000001</v>
      </c>
      <c r="AA31" s="100">
        <f t="shared" si="9"/>
        <v>5634.594576</v>
      </c>
      <c r="AB31" s="100">
        <f t="shared" si="10"/>
        <v>0</v>
      </c>
      <c r="AC31" s="100">
        <f t="shared" si="11"/>
        <v>0</v>
      </c>
      <c r="AD31" s="100">
        <f t="shared" si="4"/>
        <v>992.0572480000002</v>
      </c>
      <c r="AE31" s="100">
        <f t="shared" si="5"/>
        <v>12202.304150400001</v>
      </c>
      <c r="AF31" s="100">
        <f t="shared" si="6"/>
        <v>2791.8935680000004</v>
      </c>
      <c r="AG31" s="107">
        <f t="shared" si="7"/>
        <v>34340.2908864</v>
      </c>
    </row>
    <row r="32" spans="1:33" ht="12.75">
      <c r="A32" s="23">
        <v>22906030</v>
      </c>
      <c r="B32" s="407" t="s">
        <v>237</v>
      </c>
      <c r="C32" s="102">
        <v>2004</v>
      </c>
      <c r="D32" s="108">
        <v>22667179</v>
      </c>
      <c r="E32" s="142">
        <v>24.6</v>
      </c>
      <c r="F32" s="100">
        <f>(D32*E32)/2000</f>
        <v>278806.3017</v>
      </c>
      <c r="G32" s="100">
        <f t="shared" si="0"/>
        <v>10880245.92</v>
      </c>
      <c r="H32" s="100">
        <f t="shared" si="1"/>
        <v>133827.024816</v>
      </c>
      <c r="I32" s="100">
        <f t="shared" si="2"/>
        <v>11786933.08</v>
      </c>
      <c r="J32" s="100">
        <f t="shared" si="3"/>
        <v>144979.27688400002</v>
      </c>
      <c r="K32" s="150">
        <v>0.25</v>
      </c>
      <c r="L32" s="164">
        <v>0.25</v>
      </c>
      <c r="M32" s="164">
        <v>0.25</v>
      </c>
      <c r="N32" s="164">
        <v>0.25</v>
      </c>
      <c r="O32" s="164">
        <v>0.4</v>
      </c>
      <c r="P32" s="164">
        <v>0.6</v>
      </c>
      <c r="Q32" s="164">
        <v>0</v>
      </c>
      <c r="R32" s="100">
        <f t="shared" si="13"/>
        <v>356.05848</v>
      </c>
      <c r="S32" s="100">
        <f t="shared" si="14"/>
        <v>4379.519304</v>
      </c>
      <c r="T32" s="100">
        <f t="shared" si="15"/>
        <v>356.05848</v>
      </c>
      <c r="U32" s="100">
        <f t="shared" si="16"/>
        <v>4379.519304</v>
      </c>
      <c r="V32" s="100">
        <f t="shared" si="17"/>
        <v>356.05848</v>
      </c>
      <c r="W32" s="100">
        <f t="shared" si="18"/>
        <v>4379.519304</v>
      </c>
      <c r="X32" s="100">
        <f t="shared" si="19"/>
        <v>356.05848</v>
      </c>
      <c r="Y32" s="100">
        <f t="shared" si="20"/>
        <v>4379.519304</v>
      </c>
      <c r="Z32" s="100">
        <f t="shared" si="8"/>
        <v>882.832704</v>
      </c>
      <c r="AA32" s="100">
        <f t="shared" si="9"/>
        <v>10858.8422592</v>
      </c>
      <c r="AB32" s="100">
        <f t="shared" si="10"/>
        <v>0</v>
      </c>
      <c r="AC32" s="100">
        <f t="shared" si="11"/>
        <v>0</v>
      </c>
      <c r="AD32" s="100">
        <f t="shared" si="4"/>
        <v>1372.3914880000002</v>
      </c>
      <c r="AE32" s="100">
        <f t="shared" si="5"/>
        <v>16880.415302400004</v>
      </c>
      <c r="AF32" s="100">
        <f t="shared" si="6"/>
        <v>3679.4581120000003</v>
      </c>
      <c r="AG32" s="107">
        <f t="shared" si="7"/>
        <v>45257.33477760001</v>
      </c>
    </row>
    <row r="33" spans="2:33" ht="12.75">
      <c r="B33" s="86"/>
      <c r="C33" s="102">
        <v>2005</v>
      </c>
      <c r="D33" s="209">
        <v>33002804</v>
      </c>
      <c r="E33" s="142">
        <v>24.6</v>
      </c>
      <c r="F33" s="100">
        <f>(D33*E33)/2000</f>
        <v>405934.48920000007</v>
      </c>
      <c r="G33" s="100">
        <f>D33*$H$6</f>
        <v>15841345.92</v>
      </c>
      <c r="H33" s="100">
        <f>F33*$H$6</f>
        <v>194848.55481600002</v>
      </c>
      <c r="I33" s="100">
        <f>D33*$J$6</f>
        <v>17161458.080000002</v>
      </c>
      <c r="J33" s="100">
        <f>F33*$J$6</f>
        <v>211085.93438400005</v>
      </c>
      <c r="K33" s="150">
        <v>0.25</v>
      </c>
      <c r="L33" s="164">
        <v>0.25</v>
      </c>
      <c r="M33" s="164">
        <v>0.25</v>
      </c>
      <c r="N33" s="164">
        <v>0.25</v>
      </c>
      <c r="O33" s="164">
        <v>0.4</v>
      </c>
      <c r="P33" s="164">
        <v>0.6</v>
      </c>
      <c r="Q33" s="164">
        <v>0</v>
      </c>
      <c r="R33" s="100">
        <f t="shared" si="13"/>
        <v>271.97088</v>
      </c>
      <c r="S33" s="100">
        <f t="shared" si="14"/>
        <v>3345.241824</v>
      </c>
      <c r="T33" s="100">
        <f t="shared" si="15"/>
        <v>271.97088</v>
      </c>
      <c r="U33" s="100">
        <f t="shared" si="16"/>
        <v>3345.241824</v>
      </c>
      <c r="V33" s="100">
        <f t="shared" si="17"/>
        <v>271.97088</v>
      </c>
      <c r="W33" s="100">
        <f t="shared" si="18"/>
        <v>3345.241824</v>
      </c>
      <c r="X33" s="100">
        <f t="shared" si="19"/>
        <v>271.97088</v>
      </c>
      <c r="Y33" s="100">
        <f t="shared" si="20"/>
        <v>3345.241824</v>
      </c>
      <c r="Z33" s="100">
        <f t="shared" si="8"/>
        <v>1488.0858719999999</v>
      </c>
      <c r="AA33" s="100">
        <f t="shared" si="9"/>
        <v>18303.4562256</v>
      </c>
      <c r="AB33" s="100">
        <f t="shared" si="10"/>
        <v>0</v>
      </c>
      <c r="AC33" s="100">
        <f t="shared" si="11"/>
        <v>0</v>
      </c>
      <c r="AD33" s="100">
        <f t="shared" si="4"/>
        <v>2424.2300160000004</v>
      </c>
      <c r="AE33" s="100">
        <f t="shared" si="5"/>
        <v>29818.029196800002</v>
      </c>
      <c r="AF33" s="100">
        <f t="shared" si="6"/>
        <v>5000.199408</v>
      </c>
      <c r="AG33" s="107">
        <f t="shared" si="7"/>
        <v>61502.4527184</v>
      </c>
    </row>
    <row r="34" spans="2:33" ht="12.75">
      <c r="B34" s="23"/>
      <c r="C34" s="102">
        <v>2006</v>
      </c>
      <c r="D34" s="209">
        <v>38558474</v>
      </c>
      <c r="E34" s="142">
        <v>24.6</v>
      </c>
      <c r="F34" s="100">
        <f>(D34*E34)/2000</f>
        <v>474269.23020000005</v>
      </c>
      <c r="G34" s="100">
        <f>D34*$H$6</f>
        <v>18508067.52</v>
      </c>
      <c r="H34" s="100">
        <f>F34*$H$6</f>
        <v>227649.230496</v>
      </c>
      <c r="I34" s="100">
        <f>D34*$J$6</f>
        <v>20050406.48</v>
      </c>
      <c r="J34" s="100">
        <f>F34*$J$6</f>
        <v>246619.99970400005</v>
      </c>
      <c r="K34" s="150">
        <v>0.25</v>
      </c>
      <c r="L34" s="164">
        <v>0.25</v>
      </c>
      <c r="M34" s="164">
        <v>0.25</v>
      </c>
      <c r="N34" s="164">
        <v>0.25</v>
      </c>
      <c r="O34" s="164">
        <v>0.4</v>
      </c>
      <c r="P34" s="164">
        <v>0.6</v>
      </c>
      <c r="Q34" s="164">
        <v>0</v>
      </c>
      <c r="R34" s="100">
        <f t="shared" si="13"/>
        <v>113.6538</v>
      </c>
      <c r="S34" s="100">
        <f t="shared" si="14"/>
        <v>1397.9417399999998</v>
      </c>
      <c r="T34" s="100">
        <f t="shared" si="15"/>
        <v>113.6538</v>
      </c>
      <c r="U34" s="100">
        <f t="shared" si="16"/>
        <v>1397.9417399999998</v>
      </c>
      <c r="V34" s="100">
        <f t="shared" si="17"/>
        <v>113.6538</v>
      </c>
      <c r="W34" s="100">
        <f t="shared" si="18"/>
        <v>1397.9417399999998</v>
      </c>
      <c r="X34" s="100">
        <f t="shared" si="19"/>
        <v>113.6538</v>
      </c>
      <c r="Y34" s="100">
        <f t="shared" si="20"/>
        <v>1397.9417399999998</v>
      </c>
      <c r="Z34" s="100">
        <f t="shared" si="8"/>
        <v>2058.587232</v>
      </c>
      <c r="AA34" s="100">
        <f t="shared" si="9"/>
        <v>25320.622953600003</v>
      </c>
      <c r="AB34" s="100">
        <f t="shared" si="10"/>
        <v>0</v>
      </c>
      <c r="AC34" s="100">
        <f t="shared" si="11"/>
        <v>0</v>
      </c>
      <c r="AD34" s="100">
        <f t="shared" si="4"/>
        <v>3754.1318880000003</v>
      </c>
      <c r="AE34" s="100">
        <f t="shared" si="5"/>
        <v>46175.822222400006</v>
      </c>
      <c r="AF34" s="100">
        <f t="shared" si="6"/>
        <v>6267.33432</v>
      </c>
      <c r="AG34" s="107">
        <f t="shared" si="7"/>
        <v>77088.21213600002</v>
      </c>
    </row>
    <row r="35" spans="2:33" ht="12.75">
      <c r="B35" s="23"/>
      <c r="C35" s="102">
        <v>2007</v>
      </c>
      <c r="D35" s="209">
        <v>37008238</v>
      </c>
      <c r="E35" s="142">
        <v>24.6</v>
      </c>
      <c r="F35" s="100">
        <f>(D35*E35)/2000</f>
        <v>455201.3274</v>
      </c>
      <c r="G35" s="100">
        <f>D35*$H$6</f>
        <v>17763954.24</v>
      </c>
      <c r="H35" s="100">
        <f>F35*$H$6</f>
        <v>218496.637152</v>
      </c>
      <c r="I35" s="100">
        <f>D35*$J$6</f>
        <v>19244283.76</v>
      </c>
      <c r="J35" s="100">
        <f>F35*$J$6</f>
        <v>236704.690248</v>
      </c>
      <c r="K35" s="150">
        <v>0.25</v>
      </c>
      <c r="L35" s="164">
        <v>0.25</v>
      </c>
      <c r="M35" s="164">
        <v>0.25</v>
      </c>
      <c r="N35" s="164">
        <v>0.25</v>
      </c>
      <c r="O35" s="164">
        <v>0.4</v>
      </c>
      <c r="P35" s="164">
        <v>0.6</v>
      </c>
      <c r="Q35" s="164">
        <v>0</v>
      </c>
      <c r="R35" s="100">
        <f>(G26*K26)/1000</f>
        <v>176.19119999999998</v>
      </c>
      <c r="S35" s="100">
        <f t="shared" si="14"/>
        <v>2167.15176</v>
      </c>
      <c r="T35" s="100">
        <f>(G26*L26)/1000</f>
        <v>176.19119999999998</v>
      </c>
      <c r="U35" s="100">
        <f t="shared" si="16"/>
        <v>2167.15176</v>
      </c>
      <c r="V35" s="100">
        <f t="shared" si="17"/>
        <v>176.19119999999998</v>
      </c>
      <c r="W35" s="100">
        <f t="shared" si="18"/>
        <v>2167.15176</v>
      </c>
      <c r="X35" s="100">
        <f t="shared" si="19"/>
        <v>176.19119999999998</v>
      </c>
      <c r="Y35" s="100">
        <f t="shared" si="20"/>
        <v>2167.15176</v>
      </c>
      <c r="Z35" s="100">
        <f>$I30*P30/1000</f>
        <v>3636.3450239999997</v>
      </c>
      <c r="AA35" s="100">
        <f t="shared" si="9"/>
        <v>44727.0437952</v>
      </c>
      <c r="AB35" s="100">
        <f t="shared" si="10"/>
        <v>0</v>
      </c>
      <c r="AC35" s="100">
        <f t="shared" si="11"/>
        <v>0</v>
      </c>
      <c r="AD35" s="100">
        <f>$I32*$O32/1000</f>
        <v>4714.773232</v>
      </c>
      <c r="AE35" s="100">
        <f t="shared" si="5"/>
        <v>57991.71075360001</v>
      </c>
      <c r="AF35" s="100">
        <f>R35+T35+V35+X35+Z35+AB35+AD35</f>
        <v>9055.883055999999</v>
      </c>
      <c r="AG35" s="107">
        <f>S35+U35+W35+Y35+AA35+AC35+AE35</f>
        <v>111387.3615888</v>
      </c>
    </row>
    <row r="36" spans="3:33" ht="12.75">
      <c r="C36" s="102">
        <v>2008</v>
      </c>
      <c r="D36" s="99"/>
      <c r="E36" s="99"/>
      <c r="F36" s="100"/>
      <c r="G36" s="100"/>
      <c r="H36" s="100"/>
      <c r="I36" s="100"/>
      <c r="J36" s="100"/>
      <c r="K36" s="150"/>
      <c r="L36" s="164"/>
      <c r="M36" s="164"/>
      <c r="N36" s="164"/>
      <c r="O36" s="164"/>
      <c r="P36" s="164"/>
      <c r="Q36" s="164"/>
      <c r="R36" s="100">
        <f t="shared" si="13"/>
        <v>339.55104</v>
      </c>
      <c r="S36" s="100">
        <f t="shared" si="14"/>
        <v>4176.477792</v>
      </c>
      <c r="T36" s="100">
        <f t="shared" si="15"/>
        <v>339.55104</v>
      </c>
      <c r="U36" s="100">
        <f t="shared" si="16"/>
        <v>4176.477792</v>
      </c>
      <c r="V36" s="100">
        <f t="shared" si="17"/>
        <v>339.55104</v>
      </c>
      <c r="W36" s="100">
        <f t="shared" si="18"/>
        <v>4176.477792</v>
      </c>
      <c r="X36" s="100">
        <f t="shared" si="19"/>
        <v>339.55104</v>
      </c>
      <c r="Y36" s="100">
        <f t="shared" si="20"/>
        <v>4176.477792</v>
      </c>
      <c r="Z36" s="100">
        <f t="shared" si="8"/>
        <v>5631.197832000001</v>
      </c>
      <c r="AA36" s="100">
        <f t="shared" si="9"/>
        <v>69263.7333336</v>
      </c>
      <c r="AB36" s="100">
        <f t="shared" si="10"/>
        <v>0</v>
      </c>
      <c r="AC36" s="100">
        <f t="shared" si="11"/>
        <v>0</v>
      </c>
      <c r="AD36" s="100">
        <f t="shared" si="4"/>
        <v>6864.583232000001</v>
      </c>
      <c r="AE36" s="100">
        <f t="shared" si="5"/>
        <v>84434.37375360003</v>
      </c>
      <c r="AF36" s="100">
        <f t="shared" si="6"/>
        <v>13853.985224000002</v>
      </c>
      <c r="AG36" s="107">
        <f t="shared" si="7"/>
        <v>170404.01825520003</v>
      </c>
    </row>
    <row r="37" spans="3:33" ht="12.75">
      <c r="C37" s="102">
        <v>2009</v>
      </c>
      <c r="D37" s="99"/>
      <c r="E37" s="99"/>
      <c r="F37" s="100"/>
      <c r="G37" s="100"/>
      <c r="H37" s="100"/>
      <c r="I37" s="100"/>
      <c r="J37" s="100"/>
      <c r="K37" s="150"/>
      <c r="L37" s="164"/>
      <c r="M37" s="164"/>
      <c r="N37" s="164"/>
      <c r="O37" s="164"/>
      <c r="P37" s="164"/>
      <c r="Q37" s="164"/>
      <c r="R37" s="100">
        <f t="shared" si="13"/>
        <v>572.3407199999999</v>
      </c>
      <c r="S37" s="100">
        <f t="shared" si="14"/>
        <v>7039.7908560000005</v>
      </c>
      <c r="T37" s="100">
        <f t="shared" si="15"/>
        <v>572.3407199999999</v>
      </c>
      <c r="U37" s="100">
        <f t="shared" si="16"/>
        <v>7039.7908560000005</v>
      </c>
      <c r="V37" s="100">
        <f t="shared" si="17"/>
        <v>572.3407199999999</v>
      </c>
      <c r="W37" s="100">
        <f t="shared" si="18"/>
        <v>7039.7908560000005</v>
      </c>
      <c r="X37" s="100">
        <f t="shared" si="19"/>
        <v>572.3407199999999</v>
      </c>
      <c r="Y37" s="100">
        <f t="shared" si="20"/>
        <v>7039.7908560000005</v>
      </c>
      <c r="Z37" s="100">
        <f t="shared" si="8"/>
        <v>7072.159848</v>
      </c>
      <c r="AA37" s="100">
        <f t="shared" si="9"/>
        <v>86987.56613040001</v>
      </c>
      <c r="AB37" s="100">
        <f t="shared" si="10"/>
        <v>0</v>
      </c>
      <c r="AC37" s="100">
        <f t="shared" si="11"/>
        <v>0</v>
      </c>
      <c r="AD37" s="100">
        <f t="shared" si="4"/>
        <v>8020.162592000001</v>
      </c>
      <c r="AE37" s="100">
        <f t="shared" si="5"/>
        <v>98647.99988160003</v>
      </c>
      <c r="AF37" s="100">
        <f t="shared" si="6"/>
        <v>17381.68532</v>
      </c>
      <c r="AG37" s="107">
        <f t="shared" si="7"/>
        <v>213794.72943600005</v>
      </c>
    </row>
    <row r="38" spans="3:33" ht="12.75">
      <c r="C38" s="102">
        <v>2010</v>
      </c>
      <c r="D38" s="99"/>
      <c r="E38" s="99"/>
      <c r="F38" s="100"/>
      <c r="G38" s="100"/>
      <c r="H38" s="100"/>
      <c r="I38" s="100"/>
      <c r="J38" s="100"/>
      <c r="K38" s="150"/>
      <c r="L38" s="164"/>
      <c r="M38" s="164"/>
      <c r="N38" s="164"/>
      <c r="O38" s="164"/>
      <c r="P38" s="164"/>
      <c r="Q38" s="164"/>
      <c r="R38" s="100">
        <f>(G29*K29)/1000</f>
        <v>791.76432</v>
      </c>
      <c r="S38" s="100">
        <f t="shared" si="14"/>
        <v>9738.701136000001</v>
      </c>
      <c r="T38" s="100">
        <f t="shared" si="15"/>
        <v>791.76432</v>
      </c>
      <c r="U38" s="100">
        <f t="shared" si="16"/>
        <v>9738.701136000001</v>
      </c>
      <c r="V38" s="100">
        <f t="shared" si="17"/>
        <v>791.76432</v>
      </c>
      <c r="W38" s="100">
        <f t="shared" si="18"/>
        <v>9738.701136000001</v>
      </c>
      <c r="X38" s="100">
        <f t="shared" si="19"/>
        <v>791.76432</v>
      </c>
      <c r="Y38" s="100">
        <f t="shared" si="20"/>
        <v>9738.701136000001</v>
      </c>
      <c r="Z38" s="100">
        <f t="shared" si="8"/>
        <v>10296.874848000001</v>
      </c>
      <c r="AA38" s="100">
        <f t="shared" si="9"/>
        <v>126651.56063040002</v>
      </c>
      <c r="AB38" s="100">
        <f t="shared" si="10"/>
        <v>0</v>
      </c>
      <c r="AC38" s="100">
        <f t="shared" si="11"/>
        <v>0</v>
      </c>
      <c r="AD38" s="100">
        <f t="shared" si="4"/>
        <v>7697.713504</v>
      </c>
      <c r="AE38" s="100">
        <f t="shared" si="5"/>
        <v>94681.8760992</v>
      </c>
      <c r="AF38" s="100">
        <f t="shared" si="6"/>
        <v>21161.645632</v>
      </c>
      <c r="AG38" s="107">
        <f t="shared" si="7"/>
        <v>260288.24127360003</v>
      </c>
    </row>
    <row r="39" spans="3:33" ht="13.5" thickBot="1">
      <c r="C39" s="114"/>
      <c r="D39" s="115" t="s">
        <v>5</v>
      </c>
      <c r="E39" s="115"/>
      <c r="F39" s="119"/>
      <c r="G39" s="119"/>
      <c r="H39" s="119"/>
      <c r="I39" s="119"/>
      <c r="J39" s="119"/>
      <c r="K39" s="157"/>
      <c r="L39" s="165"/>
      <c r="M39" s="165"/>
      <c r="N39" s="165"/>
      <c r="O39" s="165"/>
      <c r="P39" s="165"/>
      <c r="Q39" s="165"/>
      <c r="R39" s="119">
        <f>SUM(R10:R38)</f>
        <v>3800.7988800000003</v>
      </c>
      <c r="S39" s="119">
        <f aca="true" t="shared" si="21" ref="S39:Y39">SUM(S10:S38)</f>
        <v>46749.826224000004</v>
      </c>
      <c r="T39" s="119">
        <f t="shared" si="21"/>
        <v>3800.7988800000003</v>
      </c>
      <c r="U39" s="119">
        <f t="shared" si="21"/>
        <v>46749.826224000004</v>
      </c>
      <c r="V39" s="119">
        <f t="shared" si="21"/>
        <v>3800.7988800000003</v>
      </c>
      <c r="W39" s="119">
        <f t="shared" si="21"/>
        <v>46749.826224000004</v>
      </c>
      <c r="X39" s="119">
        <f t="shared" si="21"/>
        <v>3800.7988800000003</v>
      </c>
      <c r="Y39" s="119">
        <f t="shared" si="21"/>
        <v>46749.826224000004</v>
      </c>
      <c r="Z39" s="119">
        <f aca="true" t="shared" si="22" ref="Z39:AG39">SUM(Z8:Z38)</f>
        <v>36518.65464</v>
      </c>
      <c r="AA39" s="119">
        <f t="shared" si="22"/>
        <v>449179.452072</v>
      </c>
      <c r="AB39" s="119">
        <f t="shared" si="22"/>
        <v>0</v>
      </c>
      <c r="AC39" s="119">
        <f t="shared" si="22"/>
        <v>0</v>
      </c>
      <c r="AD39" s="119">
        <f t="shared" si="22"/>
        <v>40063.645856</v>
      </c>
      <c r="AE39" s="119">
        <f t="shared" si="22"/>
        <v>492782.8440288</v>
      </c>
      <c r="AF39" s="119">
        <f t="shared" si="22"/>
        <v>91785.496016</v>
      </c>
      <c r="AG39" s="119">
        <f t="shared" si="22"/>
        <v>1128961.6009968002</v>
      </c>
    </row>
    <row r="40" spans="3:33" ht="13.5" customHeight="1" hidden="1" thickBot="1">
      <c r="C40" s="13"/>
      <c r="D40" s="170"/>
      <c r="E40" s="170"/>
      <c r="F40" s="82">
        <f>D40*$F$2</f>
        <v>0</v>
      </c>
      <c r="G40" s="82"/>
      <c r="H40" s="82"/>
      <c r="I40" s="82"/>
      <c r="J40" s="82"/>
      <c r="K40" s="83"/>
      <c r="L40" s="171"/>
      <c r="M40" s="171"/>
      <c r="N40" s="171"/>
      <c r="O40" s="94"/>
      <c r="P40" s="94"/>
      <c r="Q40" s="94"/>
      <c r="R40" s="25"/>
      <c r="S40" s="25"/>
      <c r="T40" s="25"/>
      <c r="U40" s="25"/>
      <c r="V40" s="84"/>
      <c r="W40" s="84"/>
      <c r="X40" s="82"/>
      <c r="Y40" s="82"/>
      <c r="Z40" s="82"/>
      <c r="AA40" s="82"/>
      <c r="AB40" s="82"/>
      <c r="AC40" s="82"/>
      <c r="AD40" s="82"/>
      <c r="AE40" s="82"/>
      <c r="AF40" s="82"/>
      <c r="AG40" s="82"/>
    </row>
    <row r="41" spans="7:33" ht="12.75">
      <c r="G41" s="81"/>
      <c r="H41" s="81"/>
      <c r="I41" s="81"/>
      <c r="J41" s="81"/>
      <c r="O41" s="33"/>
      <c r="P41" s="33"/>
      <c r="Q41" s="33"/>
      <c r="Z41" s="81"/>
      <c r="AA41" s="81"/>
      <c r="AB41" s="81"/>
      <c r="AC41" s="81"/>
      <c r="AD41" s="81"/>
      <c r="AE41" s="81"/>
      <c r="AF41" s="81"/>
      <c r="AG41" s="81"/>
    </row>
    <row r="42" spans="18:22" ht="12.75">
      <c r="R42" s="21"/>
      <c r="S42" s="21"/>
      <c r="T42" s="81"/>
      <c r="U42" s="266"/>
      <c r="V42" s="267"/>
    </row>
    <row r="43" spans="18:22" ht="12.75">
      <c r="R43" s="21"/>
      <c r="S43" s="21"/>
      <c r="T43" s="81"/>
      <c r="U43" s="81"/>
      <c r="V43" s="81"/>
    </row>
    <row r="44" spans="3:22" ht="12.75">
      <c r="C44" s="21" t="s">
        <v>224</v>
      </c>
      <c r="D44" s="21"/>
      <c r="E44" s="21"/>
      <c r="F44" s="21"/>
      <c r="G44" s="21"/>
      <c r="H44" s="21"/>
      <c r="I44" s="21"/>
      <c r="J44" s="21" t="s">
        <v>238</v>
      </c>
      <c r="K44" s="97"/>
      <c r="L44" s="21"/>
      <c r="M44" s="21" t="s">
        <v>239</v>
      </c>
      <c r="N44" s="21"/>
      <c r="O44" s="21"/>
      <c r="R44" s="21"/>
      <c r="S44" s="21"/>
      <c r="T44" s="81"/>
      <c r="U44" s="81"/>
      <c r="V44" s="81"/>
    </row>
    <row r="45" spans="3:25" ht="12.75">
      <c r="C45" s="21"/>
      <c r="D45" s="21"/>
      <c r="E45" s="21"/>
      <c r="F45" s="21" t="s">
        <v>147</v>
      </c>
      <c r="G45" s="21"/>
      <c r="H45" s="21"/>
      <c r="I45" s="21"/>
      <c r="J45" s="21"/>
      <c r="K45" s="97"/>
      <c r="L45" s="21"/>
      <c r="M45" s="21"/>
      <c r="N45" s="21"/>
      <c r="O45" s="21"/>
      <c r="P45" s="21"/>
      <c r="Q45" s="21"/>
      <c r="R45" s="21" t="s">
        <v>147</v>
      </c>
      <c r="S45" s="21" t="s">
        <v>188</v>
      </c>
      <c r="T45" s="21"/>
      <c r="U45" s="21"/>
      <c r="V45" s="81"/>
      <c r="W45" s="21"/>
      <c r="X45" s="86"/>
      <c r="Y45" s="21"/>
    </row>
    <row r="46" spans="3:25" ht="12.75">
      <c r="C46" s="21" t="str">
        <f>C6</f>
        <v>Year</v>
      </c>
      <c r="D46" s="21" t="s">
        <v>141</v>
      </c>
      <c r="E46" s="21" t="s">
        <v>141</v>
      </c>
      <c r="F46" s="284" t="s">
        <v>240</v>
      </c>
      <c r="G46" s="284" t="s">
        <v>144</v>
      </c>
      <c r="H46" s="544" t="s">
        <v>145</v>
      </c>
      <c r="I46" s="544"/>
      <c r="J46" s="21" t="s">
        <v>149</v>
      </c>
      <c r="K46" s="544" t="s">
        <v>150</v>
      </c>
      <c r="L46" s="503"/>
      <c r="M46" s="21" t="s">
        <v>151</v>
      </c>
      <c r="N46" s="544" t="s">
        <v>151</v>
      </c>
      <c r="O46" s="503"/>
      <c r="P46" s="572" t="s">
        <v>167</v>
      </c>
      <c r="Q46" s="573"/>
      <c r="R46" s="284" t="s">
        <v>146</v>
      </c>
      <c r="S46" s="284"/>
      <c r="T46" s="544" t="s">
        <v>170</v>
      </c>
      <c r="U46" s="544"/>
      <c r="V46" s="544" t="s">
        <v>171</v>
      </c>
      <c r="W46" s="544"/>
      <c r="X46" s="574" t="s">
        <v>189</v>
      </c>
      <c r="Y46" s="510"/>
    </row>
    <row r="47" spans="3:25" ht="12.75">
      <c r="C47" s="21"/>
      <c r="D47" s="21" t="s">
        <v>142</v>
      </c>
      <c r="E47" s="21" t="s">
        <v>143</v>
      </c>
      <c r="F47" s="21" t="s">
        <v>148</v>
      </c>
      <c r="G47" s="21" t="s">
        <v>148</v>
      </c>
      <c r="H47" s="21" t="s">
        <v>1</v>
      </c>
      <c r="I47" s="21" t="s">
        <v>2</v>
      </c>
      <c r="J47" s="21" t="s">
        <v>148</v>
      </c>
      <c r="K47" s="97" t="s">
        <v>1</v>
      </c>
      <c r="L47" s="21" t="s">
        <v>2</v>
      </c>
      <c r="M47" s="21" t="s">
        <v>148</v>
      </c>
      <c r="N47" s="97" t="s">
        <v>1</v>
      </c>
      <c r="O47" s="21" t="s">
        <v>2</v>
      </c>
      <c r="P47" s="409" t="s">
        <v>142</v>
      </c>
      <c r="Q47" s="17" t="s">
        <v>143</v>
      </c>
      <c r="R47" s="21" t="s">
        <v>148</v>
      </c>
      <c r="S47" s="111" t="s">
        <v>148</v>
      </c>
      <c r="T47" s="21" t="s">
        <v>1</v>
      </c>
      <c r="U47" s="21" t="s">
        <v>2</v>
      </c>
      <c r="V47" s="21" t="s">
        <v>1</v>
      </c>
      <c r="W47" s="21" t="s">
        <v>2</v>
      </c>
      <c r="X47" s="21" t="s">
        <v>1</v>
      </c>
      <c r="Y47" s="21" t="s">
        <v>2</v>
      </c>
    </row>
    <row r="48" spans="3:25" ht="12.75">
      <c r="C48" s="21">
        <f aca="true" t="shared" si="23" ref="C48:C75">C8</f>
        <v>0</v>
      </c>
      <c r="D48" s="86">
        <f aca="true" t="shared" si="24" ref="D48:E72">G8</f>
        <v>0</v>
      </c>
      <c r="E48" s="86">
        <f t="shared" si="24"/>
        <v>0</v>
      </c>
      <c r="F48" s="21">
        <v>1</v>
      </c>
      <c r="G48" s="21">
        <v>0</v>
      </c>
      <c r="H48" s="86">
        <f aca="true" t="shared" si="25" ref="H48:H72">D48-(F48*D48)-(D48*G48)</f>
        <v>0</v>
      </c>
      <c r="I48" s="86">
        <f aca="true" t="shared" si="26" ref="I48:I72">E48-(F48*E48)-(E48*G48)</f>
        <v>0</v>
      </c>
      <c r="J48" s="21"/>
      <c r="K48" s="21"/>
      <c r="L48" s="21"/>
      <c r="M48" s="21"/>
      <c r="N48" s="21"/>
      <c r="O48" s="21"/>
      <c r="P48" s="410">
        <f>I8</f>
        <v>0</v>
      </c>
      <c r="Q48" s="24">
        <f>J8</f>
        <v>0</v>
      </c>
      <c r="R48" s="21">
        <v>1</v>
      </c>
      <c r="S48" s="21">
        <v>0</v>
      </c>
      <c r="T48" s="86">
        <f>P48*$R48</f>
        <v>0</v>
      </c>
      <c r="U48" s="86">
        <f>Q48*$R48</f>
        <v>0</v>
      </c>
      <c r="V48" s="86">
        <f>D48*$F48</f>
        <v>0</v>
      </c>
      <c r="W48" s="86">
        <f>E48*$F48</f>
        <v>0</v>
      </c>
      <c r="X48" s="21">
        <f>P48*$S48</f>
        <v>0</v>
      </c>
      <c r="Y48" s="21">
        <f>Q48*$S48</f>
        <v>0</v>
      </c>
    </row>
    <row r="49" spans="3:25" ht="12.75">
      <c r="C49" s="21">
        <f t="shared" si="23"/>
        <v>0</v>
      </c>
      <c r="D49" s="86">
        <f t="shared" si="24"/>
        <v>0</v>
      </c>
      <c r="E49" s="86">
        <f t="shared" si="24"/>
        <v>0</v>
      </c>
      <c r="F49" s="21">
        <v>1</v>
      </c>
      <c r="G49" s="21">
        <v>0</v>
      </c>
      <c r="H49" s="86">
        <f t="shared" si="25"/>
        <v>0</v>
      </c>
      <c r="I49" s="86">
        <f t="shared" si="26"/>
        <v>0</v>
      </c>
      <c r="J49" s="21"/>
      <c r="K49" s="21"/>
      <c r="L49" s="21"/>
      <c r="M49" s="21"/>
      <c r="N49" s="21"/>
      <c r="O49" s="21"/>
      <c r="P49" s="411">
        <f aca="true" t="shared" si="27" ref="P49:Q73">I9</f>
        <v>0</v>
      </c>
      <c r="Q49" s="412">
        <f t="shared" si="27"/>
        <v>0</v>
      </c>
      <c r="R49" s="21">
        <v>1</v>
      </c>
      <c r="S49" s="21">
        <v>0</v>
      </c>
      <c r="T49" s="86">
        <f aca="true" t="shared" si="28" ref="T49:U75">P49*$R49</f>
        <v>0</v>
      </c>
      <c r="U49" s="86">
        <f t="shared" si="28"/>
        <v>0</v>
      </c>
      <c r="V49" s="86">
        <f aca="true" t="shared" si="29" ref="V49:W72">D49*$F49</f>
        <v>0</v>
      </c>
      <c r="W49" s="86">
        <f t="shared" si="29"/>
        <v>0</v>
      </c>
      <c r="X49" s="21">
        <f aca="true" t="shared" si="30" ref="X49:Y73">P49*$S49</f>
        <v>0</v>
      </c>
      <c r="Y49" s="21">
        <f t="shared" si="30"/>
        <v>0</v>
      </c>
    </row>
    <row r="50" spans="3:25" ht="12.75">
      <c r="C50" s="21">
        <f t="shared" si="23"/>
        <v>1982</v>
      </c>
      <c r="D50" s="86">
        <f t="shared" si="24"/>
        <v>0</v>
      </c>
      <c r="E50" s="86">
        <f t="shared" si="24"/>
        <v>0</v>
      </c>
      <c r="F50" s="21">
        <v>1</v>
      </c>
      <c r="G50" s="21">
        <v>0</v>
      </c>
      <c r="H50" s="86">
        <f t="shared" si="25"/>
        <v>0</v>
      </c>
      <c r="I50" s="86">
        <f t="shared" si="26"/>
        <v>0</v>
      </c>
      <c r="J50" s="21"/>
      <c r="K50" s="21"/>
      <c r="L50" s="21"/>
      <c r="M50" s="21"/>
      <c r="N50" s="21"/>
      <c r="O50" s="21"/>
      <c r="P50" s="411">
        <f t="shared" si="27"/>
        <v>0</v>
      </c>
      <c r="Q50" s="412">
        <f t="shared" si="27"/>
        <v>0</v>
      </c>
      <c r="R50" s="21">
        <v>1</v>
      </c>
      <c r="S50" s="21">
        <v>0</v>
      </c>
      <c r="T50" s="86">
        <f t="shared" si="28"/>
        <v>0</v>
      </c>
      <c r="U50" s="86">
        <f t="shared" si="28"/>
        <v>0</v>
      </c>
      <c r="V50" s="86">
        <f t="shared" si="29"/>
        <v>0</v>
      </c>
      <c r="W50" s="86">
        <f t="shared" si="29"/>
        <v>0</v>
      </c>
      <c r="X50" s="21">
        <f t="shared" si="30"/>
        <v>0</v>
      </c>
      <c r="Y50" s="21">
        <f t="shared" si="30"/>
        <v>0</v>
      </c>
    </row>
    <row r="51" spans="3:25" ht="12.75">
      <c r="C51" s="21">
        <f t="shared" si="23"/>
        <v>1983</v>
      </c>
      <c r="D51" s="86">
        <f t="shared" si="24"/>
        <v>0</v>
      </c>
      <c r="E51" s="86">
        <f t="shared" si="24"/>
        <v>0</v>
      </c>
      <c r="F51" s="21">
        <v>1</v>
      </c>
      <c r="G51" s="21">
        <v>0</v>
      </c>
      <c r="H51" s="86">
        <f t="shared" si="25"/>
        <v>0</v>
      </c>
      <c r="I51" s="86">
        <f t="shared" si="26"/>
        <v>0</v>
      </c>
      <c r="J51" s="21"/>
      <c r="K51" s="21"/>
      <c r="L51" s="21"/>
      <c r="M51" s="21"/>
      <c r="N51" s="21"/>
      <c r="O51" s="21"/>
      <c r="P51" s="411">
        <f t="shared" si="27"/>
        <v>0</v>
      </c>
      <c r="Q51" s="412">
        <f t="shared" si="27"/>
        <v>0</v>
      </c>
      <c r="R51" s="21">
        <v>1</v>
      </c>
      <c r="S51" s="21">
        <v>0</v>
      </c>
      <c r="T51" s="86">
        <f t="shared" si="28"/>
        <v>0</v>
      </c>
      <c r="U51" s="86">
        <f t="shared" si="28"/>
        <v>0</v>
      </c>
      <c r="V51" s="86">
        <f t="shared" si="29"/>
        <v>0</v>
      </c>
      <c r="W51" s="86">
        <f t="shared" si="29"/>
        <v>0</v>
      </c>
      <c r="X51" s="21">
        <f t="shared" si="30"/>
        <v>0</v>
      </c>
      <c r="Y51" s="21">
        <f t="shared" si="30"/>
        <v>0</v>
      </c>
    </row>
    <row r="52" spans="3:25" ht="12.75">
      <c r="C52" s="21">
        <f t="shared" si="23"/>
        <v>1984</v>
      </c>
      <c r="D52" s="86">
        <f t="shared" si="24"/>
        <v>0</v>
      </c>
      <c r="E52" s="86">
        <f t="shared" si="24"/>
        <v>0</v>
      </c>
      <c r="F52" s="21">
        <v>1</v>
      </c>
      <c r="G52" s="21">
        <v>0</v>
      </c>
      <c r="H52" s="86">
        <f t="shared" si="25"/>
        <v>0</v>
      </c>
      <c r="I52" s="86">
        <f t="shared" si="26"/>
        <v>0</v>
      </c>
      <c r="J52" s="21"/>
      <c r="K52" s="21"/>
      <c r="L52" s="21"/>
      <c r="M52" s="21"/>
      <c r="N52" s="21"/>
      <c r="O52" s="21"/>
      <c r="P52" s="411">
        <f t="shared" si="27"/>
        <v>0</v>
      </c>
      <c r="Q52" s="412">
        <f t="shared" si="27"/>
        <v>0</v>
      </c>
      <c r="R52" s="21">
        <v>1</v>
      </c>
      <c r="S52" s="21">
        <v>0</v>
      </c>
      <c r="T52" s="86">
        <f t="shared" si="28"/>
        <v>0</v>
      </c>
      <c r="U52" s="86">
        <f t="shared" si="28"/>
        <v>0</v>
      </c>
      <c r="V52" s="86">
        <f t="shared" si="29"/>
        <v>0</v>
      </c>
      <c r="W52" s="86">
        <f t="shared" si="29"/>
        <v>0</v>
      </c>
      <c r="X52" s="21">
        <f t="shared" si="30"/>
        <v>0</v>
      </c>
      <c r="Y52" s="21">
        <f t="shared" si="30"/>
        <v>0</v>
      </c>
    </row>
    <row r="53" spans="3:25" ht="12.75">
      <c r="C53" s="21">
        <f t="shared" si="23"/>
        <v>1985</v>
      </c>
      <c r="D53" s="86">
        <f t="shared" si="24"/>
        <v>0</v>
      </c>
      <c r="E53" s="86">
        <f t="shared" si="24"/>
        <v>0</v>
      </c>
      <c r="F53" s="21">
        <v>1</v>
      </c>
      <c r="G53" s="21">
        <v>0</v>
      </c>
      <c r="H53" s="86">
        <f t="shared" si="25"/>
        <v>0</v>
      </c>
      <c r="I53" s="86">
        <f t="shared" si="26"/>
        <v>0</v>
      </c>
      <c r="J53" s="21"/>
      <c r="K53" s="21"/>
      <c r="L53" s="21"/>
      <c r="M53" s="21"/>
      <c r="N53" s="21"/>
      <c r="O53" s="21"/>
      <c r="P53" s="411">
        <f t="shared" si="27"/>
        <v>0</v>
      </c>
      <c r="Q53" s="412">
        <f t="shared" si="27"/>
        <v>0</v>
      </c>
      <c r="R53" s="21">
        <v>1</v>
      </c>
      <c r="S53" s="21">
        <v>0</v>
      </c>
      <c r="T53" s="86">
        <f t="shared" si="28"/>
        <v>0</v>
      </c>
      <c r="U53" s="86">
        <f t="shared" si="28"/>
        <v>0</v>
      </c>
      <c r="V53" s="86">
        <f t="shared" si="29"/>
        <v>0</v>
      </c>
      <c r="W53" s="86">
        <f t="shared" si="29"/>
        <v>0</v>
      </c>
      <c r="X53" s="21">
        <f t="shared" si="30"/>
        <v>0</v>
      </c>
      <c r="Y53" s="21">
        <f t="shared" si="30"/>
        <v>0</v>
      </c>
    </row>
    <row r="54" spans="3:25" ht="12.75">
      <c r="C54" s="21">
        <f t="shared" si="23"/>
        <v>1986</v>
      </c>
      <c r="D54" s="86">
        <f t="shared" si="24"/>
        <v>0</v>
      </c>
      <c r="E54" s="86">
        <f t="shared" si="24"/>
        <v>0</v>
      </c>
      <c r="F54" s="21">
        <v>1</v>
      </c>
      <c r="G54" s="21">
        <v>0</v>
      </c>
      <c r="H54" s="86">
        <f t="shared" si="25"/>
        <v>0</v>
      </c>
      <c r="I54" s="86">
        <f t="shared" si="26"/>
        <v>0</v>
      </c>
      <c r="J54" s="21"/>
      <c r="K54" s="21"/>
      <c r="L54" s="21"/>
      <c r="M54" s="21"/>
      <c r="N54" s="21"/>
      <c r="O54" s="21"/>
      <c r="P54" s="411">
        <f t="shared" si="27"/>
        <v>0</v>
      </c>
      <c r="Q54" s="412">
        <f t="shared" si="27"/>
        <v>0</v>
      </c>
      <c r="R54" s="21">
        <v>1</v>
      </c>
      <c r="S54" s="21">
        <v>0</v>
      </c>
      <c r="T54" s="86">
        <f t="shared" si="28"/>
        <v>0</v>
      </c>
      <c r="U54" s="86">
        <f t="shared" si="28"/>
        <v>0</v>
      </c>
      <c r="V54" s="86">
        <f t="shared" si="29"/>
        <v>0</v>
      </c>
      <c r="W54" s="86">
        <f t="shared" si="29"/>
        <v>0</v>
      </c>
      <c r="X54" s="21">
        <f t="shared" si="30"/>
        <v>0</v>
      </c>
      <c r="Y54" s="21">
        <f t="shared" si="30"/>
        <v>0</v>
      </c>
    </row>
    <row r="55" spans="3:25" ht="12.75">
      <c r="C55" s="21">
        <f t="shared" si="23"/>
        <v>1987</v>
      </c>
      <c r="D55" s="86">
        <f t="shared" si="24"/>
        <v>0</v>
      </c>
      <c r="E55" s="86">
        <f t="shared" si="24"/>
        <v>0</v>
      </c>
      <c r="F55" s="21">
        <v>1</v>
      </c>
      <c r="G55" s="21">
        <v>0</v>
      </c>
      <c r="H55" s="86">
        <f t="shared" si="25"/>
        <v>0</v>
      </c>
      <c r="I55" s="86">
        <f t="shared" si="26"/>
        <v>0</v>
      </c>
      <c r="J55" s="21"/>
      <c r="K55" s="21"/>
      <c r="L55" s="21"/>
      <c r="M55" s="21"/>
      <c r="N55" s="21"/>
      <c r="O55" s="21"/>
      <c r="P55" s="411">
        <f t="shared" si="27"/>
        <v>0</v>
      </c>
      <c r="Q55" s="412">
        <f t="shared" si="27"/>
        <v>0</v>
      </c>
      <c r="R55" s="21">
        <v>1</v>
      </c>
      <c r="S55" s="21">
        <v>0</v>
      </c>
      <c r="T55" s="86">
        <f t="shared" si="28"/>
        <v>0</v>
      </c>
      <c r="U55" s="86">
        <f t="shared" si="28"/>
        <v>0</v>
      </c>
      <c r="V55" s="86">
        <f t="shared" si="29"/>
        <v>0</v>
      </c>
      <c r="W55" s="86">
        <f t="shared" si="29"/>
        <v>0</v>
      </c>
      <c r="X55" s="21">
        <f t="shared" si="30"/>
        <v>0</v>
      </c>
      <c r="Y55" s="21">
        <f t="shared" si="30"/>
        <v>0</v>
      </c>
    </row>
    <row r="56" spans="3:25" ht="12.75">
      <c r="C56" s="21">
        <f t="shared" si="23"/>
        <v>1988</v>
      </c>
      <c r="D56" s="86">
        <f t="shared" si="24"/>
        <v>0</v>
      </c>
      <c r="E56" s="86">
        <f t="shared" si="24"/>
        <v>0</v>
      </c>
      <c r="F56" s="21">
        <v>1</v>
      </c>
      <c r="G56" s="21">
        <v>0</v>
      </c>
      <c r="H56" s="86">
        <f t="shared" si="25"/>
        <v>0</v>
      </c>
      <c r="I56" s="86">
        <f t="shared" si="26"/>
        <v>0</v>
      </c>
      <c r="J56" s="21"/>
      <c r="K56" s="21"/>
      <c r="L56" s="21"/>
      <c r="M56" s="21"/>
      <c r="N56" s="21"/>
      <c r="O56" s="21"/>
      <c r="P56" s="411">
        <f t="shared" si="27"/>
        <v>0</v>
      </c>
      <c r="Q56" s="412">
        <f t="shared" si="27"/>
        <v>0</v>
      </c>
      <c r="R56" s="21">
        <v>1</v>
      </c>
      <c r="S56" s="21">
        <v>0</v>
      </c>
      <c r="T56" s="86">
        <f t="shared" si="28"/>
        <v>0</v>
      </c>
      <c r="U56" s="86">
        <f t="shared" si="28"/>
        <v>0</v>
      </c>
      <c r="V56" s="86">
        <f t="shared" si="29"/>
        <v>0</v>
      </c>
      <c r="W56" s="86">
        <f t="shared" si="29"/>
        <v>0</v>
      </c>
      <c r="X56" s="21">
        <f t="shared" si="30"/>
        <v>0</v>
      </c>
      <c r="Y56" s="21">
        <f t="shared" si="30"/>
        <v>0</v>
      </c>
    </row>
    <row r="57" spans="3:25" ht="12.75">
      <c r="C57" s="21">
        <f t="shared" si="23"/>
        <v>1989</v>
      </c>
      <c r="D57" s="86">
        <f>G17</f>
        <v>520127.04</v>
      </c>
      <c r="E57" s="86">
        <f t="shared" si="24"/>
        <v>6397.562591999999</v>
      </c>
      <c r="F57" s="21">
        <v>1</v>
      </c>
      <c r="G57" s="21">
        <v>0</v>
      </c>
      <c r="H57" s="86">
        <f t="shared" si="25"/>
        <v>0</v>
      </c>
      <c r="I57" s="86">
        <f t="shared" si="26"/>
        <v>0</v>
      </c>
      <c r="J57" s="21"/>
      <c r="K57" s="21"/>
      <c r="L57" s="21"/>
      <c r="M57" s="21"/>
      <c r="N57" s="21"/>
      <c r="O57" s="21"/>
      <c r="P57" s="411">
        <f t="shared" si="27"/>
        <v>563470.96</v>
      </c>
      <c r="Q57" s="412">
        <f t="shared" si="27"/>
        <v>6930.692808000001</v>
      </c>
      <c r="R57" s="21">
        <v>1</v>
      </c>
      <c r="S57" s="21">
        <v>0</v>
      </c>
      <c r="T57" s="86">
        <f t="shared" si="28"/>
        <v>563470.96</v>
      </c>
      <c r="U57" s="86">
        <f t="shared" si="28"/>
        <v>6930.692808000001</v>
      </c>
      <c r="V57" s="86">
        <f t="shared" si="29"/>
        <v>520127.04</v>
      </c>
      <c r="W57" s="86">
        <f t="shared" si="29"/>
        <v>6397.562591999999</v>
      </c>
      <c r="X57" s="21">
        <f t="shared" si="30"/>
        <v>0</v>
      </c>
      <c r="Y57" s="21">
        <f t="shared" si="30"/>
        <v>0</v>
      </c>
    </row>
    <row r="58" spans="3:25" ht="12.75">
      <c r="C58" s="21">
        <f t="shared" si="23"/>
        <v>1990</v>
      </c>
      <c r="D58" s="86">
        <f t="shared" si="24"/>
        <v>423699.36</v>
      </c>
      <c r="E58" s="86">
        <f t="shared" si="24"/>
        <v>5211.502128</v>
      </c>
      <c r="F58" s="21">
        <v>1</v>
      </c>
      <c r="G58" s="21">
        <v>0</v>
      </c>
      <c r="H58" s="86">
        <f t="shared" si="25"/>
        <v>0</v>
      </c>
      <c r="I58" s="86">
        <f t="shared" si="26"/>
        <v>0</v>
      </c>
      <c r="J58" s="21"/>
      <c r="K58" s="21"/>
      <c r="L58" s="21"/>
      <c r="M58" s="21"/>
      <c r="N58" s="21"/>
      <c r="O58" s="21"/>
      <c r="P58" s="411">
        <f t="shared" si="27"/>
        <v>459007.64</v>
      </c>
      <c r="Q58" s="412">
        <f t="shared" si="27"/>
        <v>5645.793972000001</v>
      </c>
      <c r="R58" s="21">
        <v>1</v>
      </c>
      <c r="S58" s="21">
        <v>0</v>
      </c>
      <c r="T58" s="86">
        <f t="shared" si="28"/>
        <v>459007.64</v>
      </c>
      <c r="U58" s="86">
        <f t="shared" si="28"/>
        <v>5645.793972000001</v>
      </c>
      <c r="V58" s="86">
        <f t="shared" si="29"/>
        <v>423699.36</v>
      </c>
      <c r="W58" s="86">
        <f t="shared" si="29"/>
        <v>5211.502128</v>
      </c>
      <c r="X58" s="21">
        <f t="shared" si="30"/>
        <v>0</v>
      </c>
      <c r="Y58" s="21">
        <f t="shared" si="30"/>
        <v>0</v>
      </c>
    </row>
    <row r="59" spans="3:25" ht="12.75">
      <c r="C59" s="21">
        <f t="shared" si="23"/>
        <v>1991</v>
      </c>
      <c r="D59" s="86">
        <f t="shared" si="24"/>
        <v>719810.4</v>
      </c>
      <c r="E59" s="86">
        <f t="shared" si="24"/>
        <v>8853.66792</v>
      </c>
      <c r="F59" s="21">
        <v>1</v>
      </c>
      <c r="G59" s="21">
        <v>0</v>
      </c>
      <c r="H59" s="86">
        <f t="shared" si="25"/>
        <v>0</v>
      </c>
      <c r="I59" s="86">
        <f t="shared" si="26"/>
        <v>0</v>
      </c>
      <c r="J59" s="21"/>
      <c r="K59" s="21"/>
      <c r="L59" s="21"/>
      <c r="M59" s="21"/>
      <c r="N59" s="21"/>
      <c r="O59" s="21"/>
      <c r="P59" s="411">
        <f t="shared" si="27"/>
        <v>779794.6</v>
      </c>
      <c r="Q59" s="412">
        <f t="shared" si="27"/>
        <v>9591.473580000002</v>
      </c>
      <c r="R59" s="21">
        <v>1</v>
      </c>
      <c r="S59" s="21">
        <v>0</v>
      </c>
      <c r="T59" s="86">
        <f t="shared" si="28"/>
        <v>779794.6</v>
      </c>
      <c r="U59" s="86">
        <f t="shared" si="28"/>
        <v>9591.473580000002</v>
      </c>
      <c r="V59" s="86">
        <f t="shared" si="29"/>
        <v>719810.4</v>
      </c>
      <c r="W59" s="86">
        <f t="shared" si="29"/>
        <v>8853.66792</v>
      </c>
      <c r="X59" s="21">
        <f t="shared" si="30"/>
        <v>0</v>
      </c>
      <c r="Y59" s="21">
        <f t="shared" si="30"/>
        <v>0</v>
      </c>
    </row>
    <row r="60" spans="3:25" ht="12.75">
      <c r="C60" s="21">
        <f t="shared" si="23"/>
        <v>1992</v>
      </c>
      <c r="D60" s="86">
        <f t="shared" si="24"/>
        <v>828727.6799999999</v>
      </c>
      <c r="E60" s="86">
        <f t="shared" si="24"/>
        <v>10193.350464000001</v>
      </c>
      <c r="F60" s="21">
        <v>1</v>
      </c>
      <c r="G60" s="21">
        <v>0</v>
      </c>
      <c r="H60" s="86">
        <f t="shared" si="25"/>
        <v>0</v>
      </c>
      <c r="I60" s="86">
        <f t="shared" si="26"/>
        <v>0</v>
      </c>
      <c r="J60" s="21"/>
      <c r="K60" s="21"/>
      <c r="L60" s="21"/>
      <c r="M60" s="21"/>
      <c r="N60" s="21"/>
      <c r="O60" s="21"/>
      <c r="P60" s="411">
        <f t="shared" si="27"/>
        <v>897788.3200000001</v>
      </c>
      <c r="Q60" s="412">
        <f t="shared" si="27"/>
        <v>11042.796336000001</v>
      </c>
      <c r="R60" s="21">
        <v>1</v>
      </c>
      <c r="S60" s="21">
        <v>0</v>
      </c>
      <c r="T60" s="86">
        <f t="shared" si="28"/>
        <v>897788.3200000001</v>
      </c>
      <c r="U60" s="86">
        <f t="shared" si="28"/>
        <v>11042.796336000001</v>
      </c>
      <c r="V60" s="86">
        <f t="shared" si="29"/>
        <v>828727.6799999999</v>
      </c>
      <c r="W60" s="86">
        <f t="shared" si="29"/>
        <v>10193.350464000001</v>
      </c>
      <c r="X60" s="21">
        <f t="shared" si="30"/>
        <v>0</v>
      </c>
      <c r="Y60" s="21">
        <f t="shared" si="30"/>
        <v>0</v>
      </c>
    </row>
    <row r="61" spans="3:25" ht="12.75">
      <c r="C61" s="21">
        <f t="shared" si="23"/>
        <v>1993</v>
      </c>
      <c r="D61" s="86">
        <f t="shared" si="24"/>
        <v>882970.08</v>
      </c>
      <c r="E61" s="86">
        <f t="shared" si="24"/>
        <v>10860.531984</v>
      </c>
      <c r="F61" s="21">
        <v>1</v>
      </c>
      <c r="G61" s="21">
        <v>0</v>
      </c>
      <c r="H61" s="86">
        <f t="shared" si="25"/>
        <v>0</v>
      </c>
      <c r="I61" s="86">
        <f t="shared" si="26"/>
        <v>0</v>
      </c>
      <c r="J61" s="21"/>
      <c r="K61" s="21"/>
      <c r="L61" s="21"/>
      <c r="M61" s="21"/>
      <c r="N61" s="21"/>
      <c r="O61" s="21"/>
      <c r="P61" s="411">
        <f t="shared" si="27"/>
        <v>956550.92</v>
      </c>
      <c r="Q61" s="412">
        <f t="shared" si="27"/>
        <v>11765.576316</v>
      </c>
      <c r="R61" s="21">
        <v>1</v>
      </c>
      <c r="S61" s="21">
        <v>0</v>
      </c>
      <c r="T61" s="86">
        <f t="shared" si="28"/>
        <v>956550.92</v>
      </c>
      <c r="U61" s="86">
        <f t="shared" si="28"/>
        <v>11765.576316</v>
      </c>
      <c r="V61" s="86">
        <f t="shared" si="29"/>
        <v>882970.08</v>
      </c>
      <c r="W61" s="86">
        <f t="shared" si="29"/>
        <v>10860.531984</v>
      </c>
      <c r="X61" s="21">
        <f t="shared" si="30"/>
        <v>0</v>
      </c>
      <c r="Y61" s="21">
        <f t="shared" si="30"/>
        <v>0</v>
      </c>
    </row>
    <row r="62" spans="3:25" ht="12.75">
      <c r="C62" s="21">
        <f t="shared" si="23"/>
        <v>1994</v>
      </c>
      <c r="D62" s="86">
        <f t="shared" si="24"/>
        <v>1341739.2</v>
      </c>
      <c r="E62" s="86">
        <f t="shared" si="24"/>
        <v>16503.39216</v>
      </c>
      <c r="F62" s="21">
        <v>1</v>
      </c>
      <c r="G62" s="21">
        <v>0</v>
      </c>
      <c r="H62" s="86">
        <f t="shared" si="25"/>
        <v>0</v>
      </c>
      <c r="I62" s="86">
        <f t="shared" si="26"/>
        <v>0</v>
      </c>
      <c r="J62" s="21"/>
      <c r="K62" s="21"/>
      <c r="L62" s="21"/>
      <c r="M62" s="21"/>
      <c r="N62" s="21"/>
      <c r="O62" s="21"/>
      <c r="P62" s="411">
        <f t="shared" si="27"/>
        <v>1453550.8</v>
      </c>
      <c r="Q62" s="412">
        <f t="shared" si="27"/>
        <v>17878.674840000003</v>
      </c>
      <c r="R62" s="21">
        <v>1</v>
      </c>
      <c r="S62" s="21">
        <v>0</v>
      </c>
      <c r="T62" s="86">
        <f t="shared" si="28"/>
        <v>1453550.8</v>
      </c>
      <c r="U62" s="86">
        <f t="shared" si="28"/>
        <v>17878.674840000003</v>
      </c>
      <c r="V62" s="86">
        <f t="shared" si="29"/>
        <v>1341739.2</v>
      </c>
      <c r="W62" s="86">
        <f t="shared" si="29"/>
        <v>16503.39216</v>
      </c>
      <c r="X62" s="21">
        <f t="shared" si="30"/>
        <v>0</v>
      </c>
      <c r="Y62" s="21">
        <f t="shared" si="30"/>
        <v>0</v>
      </c>
    </row>
    <row r="63" spans="3:25" ht="12.75">
      <c r="C63" s="21">
        <f t="shared" si="23"/>
        <v>1995</v>
      </c>
      <c r="D63" s="86">
        <f t="shared" si="24"/>
        <v>1424233.92</v>
      </c>
      <c r="E63" s="86">
        <f t="shared" si="24"/>
        <v>17518.077216</v>
      </c>
      <c r="F63" s="21">
        <v>1</v>
      </c>
      <c r="G63" s="21">
        <v>0</v>
      </c>
      <c r="H63" s="86">
        <f t="shared" si="25"/>
        <v>0</v>
      </c>
      <c r="I63" s="86">
        <f t="shared" si="26"/>
        <v>0</v>
      </c>
      <c r="J63" s="21"/>
      <c r="K63" s="21"/>
      <c r="L63" s="21"/>
      <c r="M63" s="21"/>
      <c r="N63" s="21"/>
      <c r="O63" s="21"/>
      <c r="P63" s="411">
        <f t="shared" si="27"/>
        <v>1542920.08</v>
      </c>
      <c r="Q63" s="412">
        <f t="shared" si="27"/>
        <v>18977.916984</v>
      </c>
      <c r="R63" s="21">
        <v>1</v>
      </c>
      <c r="S63" s="21">
        <v>0</v>
      </c>
      <c r="T63" s="86">
        <f t="shared" si="28"/>
        <v>1542920.08</v>
      </c>
      <c r="U63" s="86">
        <f t="shared" si="28"/>
        <v>18977.916984</v>
      </c>
      <c r="V63" s="86">
        <f t="shared" si="29"/>
        <v>1424233.92</v>
      </c>
      <c r="W63" s="86">
        <f t="shared" si="29"/>
        <v>17518.077216</v>
      </c>
      <c r="X63" s="21">
        <f t="shared" si="30"/>
        <v>0</v>
      </c>
      <c r="Y63" s="21">
        <f t="shared" si="30"/>
        <v>0</v>
      </c>
    </row>
    <row r="64" spans="3:25" ht="12.75">
      <c r="C64" s="21">
        <f t="shared" si="23"/>
        <v>1996</v>
      </c>
      <c r="D64" s="86">
        <f t="shared" si="24"/>
        <v>1087883.52</v>
      </c>
      <c r="E64" s="86">
        <f t="shared" si="24"/>
        <v>13380.967296</v>
      </c>
      <c r="F64" s="21">
        <v>1</v>
      </c>
      <c r="G64" s="21">
        <v>0</v>
      </c>
      <c r="H64" s="86">
        <f t="shared" si="25"/>
        <v>0</v>
      </c>
      <c r="I64" s="86">
        <f t="shared" si="26"/>
        <v>0</v>
      </c>
      <c r="J64" s="21"/>
      <c r="K64" s="21"/>
      <c r="L64" s="21"/>
      <c r="M64" s="21"/>
      <c r="N64" s="21"/>
      <c r="O64" s="21"/>
      <c r="P64" s="411">
        <f t="shared" si="27"/>
        <v>1178540.48</v>
      </c>
      <c r="Q64" s="412">
        <f t="shared" si="27"/>
        <v>14496.047904000001</v>
      </c>
      <c r="R64" s="21">
        <v>1</v>
      </c>
      <c r="S64" s="21">
        <v>0</v>
      </c>
      <c r="T64" s="86">
        <f t="shared" si="28"/>
        <v>1178540.48</v>
      </c>
      <c r="U64" s="86">
        <f t="shared" si="28"/>
        <v>14496.047904000001</v>
      </c>
      <c r="V64" s="86">
        <f t="shared" si="29"/>
        <v>1087883.52</v>
      </c>
      <c r="W64" s="86">
        <f t="shared" si="29"/>
        <v>13380.967296</v>
      </c>
      <c r="X64" s="21">
        <f t="shared" si="30"/>
        <v>0</v>
      </c>
      <c r="Y64" s="21">
        <f t="shared" si="30"/>
        <v>0</v>
      </c>
    </row>
    <row r="65" spans="3:25" ht="12.75">
      <c r="C65" s="21">
        <f t="shared" si="23"/>
        <v>1997</v>
      </c>
      <c r="D65" s="86">
        <f t="shared" si="24"/>
        <v>454615.2</v>
      </c>
      <c r="E65" s="86">
        <f t="shared" si="24"/>
        <v>5591.766959999999</v>
      </c>
      <c r="F65" s="21">
        <v>1</v>
      </c>
      <c r="G65" s="21">
        <v>0</v>
      </c>
      <c r="H65" s="86">
        <f t="shared" si="25"/>
        <v>0</v>
      </c>
      <c r="I65" s="86">
        <f t="shared" si="26"/>
        <v>0</v>
      </c>
      <c r="J65" s="21"/>
      <c r="K65" s="21"/>
      <c r="L65" s="21"/>
      <c r="M65" s="21"/>
      <c r="N65" s="21"/>
      <c r="O65" s="21"/>
      <c r="P65" s="411">
        <f t="shared" si="27"/>
        <v>492499.8</v>
      </c>
      <c r="Q65" s="412">
        <f t="shared" si="27"/>
        <v>6057.74754</v>
      </c>
      <c r="R65" s="21">
        <v>1</v>
      </c>
      <c r="S65" s="21">
        <v>0</v>
      </c>
      <c r="T65" s="86">
        <f t="shared" si="28"/>
        <v>492499.8</v>
      </c>
      <c r="U65" s="86">
        <f t="shared" si="28"/>
        <v>6057.74754</v>
      </c>
      <c r="V65" s="86">
        <f t="shared" si="29"/>
        <v>454615.2</v>
      </c>
      <c r="W65" s="86">
        <f t="shared" si="29"/>
        <v>5591.766959999999</v>
      </c>
      <c r="X65" s="21">
        <f t="shared" si="30"/>
        <v>0</v>
      </c>
      <c r="Y65" s="21">
        <f t="shared" si="30"/>
        <v>0</v>
      </c>
    </row>
    <row r="66" spans="3:25" ht="12.75">
      <c r="C66" s="21">
        <f t="shared" si="23"/>
        <v>1998</v>
      </c>
      <c r="D66" s="86">
        <f t="shared" si="24"/>
        <v>704764.7999999999</v>
      </c>
      <c r="E66" s="86">
        <f t="shared" si="24"/>
        <v>8668.60704</v>
      </c>
      <c r="F66" s="21">
        <v>1</v>
      </c>
      <c r="G66" s="21">
        <v>0</v>
      </c>
      <c r="H66" s="86">
        <f t="shared" si="25"/>
        <v>0</v>
      </c>
      <c r="I66" s="86">
        <f t="shared" si="26"/>
        <v>0</v>
      </c>
      <c r="J66" s="21"/>
      <c r="K66" s="283"/>
      <c r="L66" s="283"/>
      <c r="M66" s="21"/>
      <c r="N66" s="283"/>
      <c r="O66" s="283"/>
      <c r="P66" s="411">
        <f t="shared" si="27"/>
        <v>763495.2000000001</v>
      </c>
      <c r="Q66" s="412">
        <f t="shared" si="27"/>
        <v>9390.990960000001</v>
      </c>
      <c r="R66" s="21">
        <v>1</v>
      </c>
      <c r="S66" s="21">
        <v>0</v>
      </c>
      <c r="T66" s="86">
        <f t="shared" si="28"/>
        <v>763495.2000000001</v>
      </c>
      <c r="U66" s="86">
        <f t="shared" si="28"/>
        <v>9390.990960000001</v>
      </c>
      <c r="V66" s="86">
        <f t="shared" si="29"/>
        <v>704764.7999999999</v>
      </c>
      <c r="W66" s="86">
        <f t="shared" si="29"/>
        <v>8668.60704</v>
      </c>
      <c r="X66" s="21">
        <f t="shared" si="30"/>
        <v>0</v>
      </c>
      <c r="Y66" s="21">
        <f t="shared" si="30"/>
        <v>0</v>
      </c>
    </row>
    <row r="67" spans="3:25" ht="12.75">
      <c r="C67" s="21">
        <f t="shared" si="23"/>
        <v>1999</v>
      </c>
      <c r="D67" s="86">
        <f t="shared" si="24"/>
        <v>1358204.16</v>
      </c>
      <c r="E67" s="86">
        <f t="shared" si="24"/>
        <v>16705.911168</v>
      </c>
      <c r="F67" s="21">
        <v>0</v>
      </c>
      <c r="G67" s="21">
        <v>0</v>
      </c>
      <c r="H67" s="86">
        <f t="shared" si="25"/>
        <v>1358204.16</v>
      </c>
      <c r="I67" s="86">
        <f t="shared" si="26"/>
        <v>16705.911168</v>
      </c>
      <c r="J67" s="21"/>
      <c r="K67" s="283"/>
      <c r="L67" s="283"/>
      <c r="M67" s="21"/>
      <c r="N67" s="283"/>
      <c r="O67" s="283"/>
      <c r="P67" s="411">
        <f t="shared" si="27"/>
        <v>1471387.84</v>
      </c>
      <c r="Q67" s="412">
        <f t="shared" si="27"/>
        <v>18098.070432</v>
      </c>
      <c r="R67" s="21">
        <v>1</v>
      </c>
      <c r="S67" s="21">
        <v>0</v>
      </c>
      <c r="T67" s="86">
        <f t="shared" si="28"/>
        <v>1471387.84</v>
      </c>
      <c r="U67" s="86">
        <f t="shared" si="28"/>
        <v>18098.070432</v>
      </c>
      <c r="V67" s="86">
        <f t="shared" si="29"/>
        <v>0</v>
      </c>
      <c r="W67" s="86">
        <f t="shared" si="29"/>
        <v>0</v>
      </c>
      <c r="X67" s="21">
        <f t="shared" si="30"/>
        <v>0</v>
      </c>
      <c r="Y67" s="21">
        <f t="shared" si="30"/>
        <v>0</v>
      </c>
    </row>
    <row r="68" spans="3:25" ht="12.75">
      <c r="C68" s="21">
        <f t="shared" si="23"/>
        <v>2000</v>
      </c>
      <c r="D68" s="86">
        <f t="shared" si="24"/>
        <v>2289362.88</v>
      </c>
      <c r="E68" s="86">
        <f t="shared" si="24"/>
        <v>28159.163424000002</v>
      </c>
      <c r="F68" s="21">
        <v>0</v>
      </c>
      <c r="G68" s="21">
        <v>0</v>
      </c>
      <c r="H68" s="86">
        <f t="shared" si="25"/>
        <v>2289362.88</v>
      </c>
      <c r="I68" s="86">
        <f t="shared" si="26"/>
        <v>28159.163424000002</v>
      </c>
      <c r="J68" s="21"/>
      <c r="K68" s="283"/>
      <c r="L68" s="283"/>
      <c r="M68" s="21"/>
      <c r="N68" s="283"/>
      <c r="O68" s="283"/>
      <c r="P68" s="411">
        <f>I28</f>
        <v>2480143.12</v>
      </c>
      <c r="Q68" s="412">
        <f t="shared" si="27"/>
        <v>30505.760376000002</v>
      </c>
      <c r="R68" s="21">
        <v>1</v>
      </c>
      <c r="S68" s="21">
        <v>0</v>
      </c>
      <c r="T68" s="86">
        <f t="shared" si="28"/>
        <v>2480143.12</v>
      </c>
      <c r="U68" s="86">
        <f t="shared" si="28"/>
        <v>30505.760376000002</v>
      </c>
      <c r="V68" s="86">
        <f t="shared" si="29"/>
        <v>0</v>
      </c>
      <c r="W68" s="86">
        <f t="shared" si="29"/>
        <v>0</v>
      </c>
      <c r="X68" s="21">
        <f t="shared" si="30"/>
        <v>0</v>
      </c>
      <c r="Y68" s="21">
        <f t="shared" si="30"/>
        <v>0</v>
      </c>
    </row>
    <row r="69" spans="3:25" ht="12.75">
      <c r="C69" s="21">
        <f t="shared" si="23"/>
        <v>2001</v>
      </c>
      <c r="D69" s="86">
        <f t="shared" si="24"/>
        <v>3167057.28</v>
      </c>
      <c r="E69" s="86">
        <f t="shared" si="24"/>
        <v>38954.804544000006</v>
      </c>
      <c r="F69" s="21">
        <v>0</v>
      </c>
      <c r="G69" s="21">
        <v>1</v>
      </c>
      <c r="H69" s="86">
        <f t="shared" si="25"/>
        <v>0</v>
      </c>
      <c r="I69" s="86">
        <f t="shared" si="26"/>
        <v>0</v>
      </c>
      <c r="J69" s="21">
        <v>1</v>
      </c>
      <c r="K69" s="283">
        <f aca="true" t="shared" si="31" ref="K69:K75">D69*J69</f>
        <v>3167057.28</v>
      </c>
      <c r="L69" s="283">
        <f aca="true" t="shared" si="32" ref="L69:L75">E69*J69</f>
        <v>38954.804544000006</v>
      </c>
      <c r="M69" s="21"/>
      <c r="N69" s="283">
        <f>D69*$M69</f>
        <v>0</v>
      </c>
      <c r="O69" s="283">
        <f aca="true" t="shared" si="33" ref="N69:O72">E69*$M69</f>
        <v>0</v>
      </c>
      <c r="P69" s="411">
        <f t="shared" si="27"/>
        <v>3430978.72</v>
      </c>
      <c r="Q69" s="412">
        <f t="shared" si="27"/>
        <v>42201.03825600001</v>
      </c>
      <c r="R69" s="21">
        <v>1</v>
      </c>
      <c r="S69" s="21">
        <v>0</v>
      </c>
      <c r="T69" s="86">
        <f t="shared" si="28"/>
        <v>3430978.72</v>
      </c>
      <c r="U69" s="86">
        <f t="shared" si="28"/>
        <v>42201.03825600001</v>
      </c>
      <c r="V69" s="86">
        <f t="shared" si="29"/>
        <v>0</v>
      </c>
      <c r="W69" s="86">
        <f t="shared" si="29"/>
        <v>0</v>
      </c>
      <c r="X69" s="21">
        <f t="shared" si="30"/>
        <v>0</v>
      </c>
      <c r="Y69" s="21">
        <f t="shared" si="30"/>
        <v>0</v>
      </c>
    </row>
    <row r="70" spans="3:25" ht="12.75">
      <c r="C70" s="21">
        <f t="shared" si="23"/>
        <v>2002</v>
      </c>
      <c r="D70" s="86">
        <f t="shared" si="24"/>
        <v>5594376.96</v>
      </c>
      <c r="E70" s="86">
        <f t="shared" si="24"/>
        <v>68810.83660799998</v>
      </c>
      <c r="F70" s="21">
        <v>0</v>
      </c>
      <c r="G70" s="21">
        <v>1</v>
      </c>
      <c r="H70" s="86">
        <f t="shared" si="25"/>
        <v>0</v>
      </c>
      <c r="I70" s="86">
        <f t="shared" si="26"/>
        <v>0</v>
      </c>
      <c r="J70" s="21">
        <v>1</v>
      </c>
      <c r="K70" s="283">
        <f t="shared" si="31"/>
        <v>5594376.96</v>
      </c>
      <c r="L70" s="283">
        <f t="shared" si="32"/>
        <v>68810.83660799998</v>
      </c>
      <c r="M70" s="21"/>
      <c r="N70" s="283">
        <f t="shared" si="33"/>
        <v>0</v>
      </c>
      <c r="O70" s="283">
        <f t="shared" si="33"/>
        <v>0</v>
      </c>
      <c r="P70" s="411">
        <f t="shared" si="27"/>
        <v>6060575.04</v>
      </c>
      <c r="Q70" s="412">
        <f t="shared" si="27"/>
        <v>74545.072992</v>
      </c>
      <c r="R70" s="21">
        <v>1</v>
      </c>
      <c r="S70" s="21">
        <v>0</v>
      </c>
      <c r="T70" s="86">
        <f t="shared" si="28"/>
        <v>6060575.04</v>
      </c>
      <c r="U70" s="86">
        <f t="shared" si="28"/>
        <v>74545.072992</v>
      </c>
      <c r="V70" s="86">
        <f t="shared" si="29"/>
        <v>0</v>
      </c>
      <c r="W70" s="86">
        <f t="shared" si="29"/>
        <v>0</v>
      </c>
      <c r="X70" s="21">
        <f t="shared" si="30"/>
        <v>0</v>
      </c>
      <c r="Y70" s="21">
        <f t="shared" si="30"/>
        <v>0</v>
      </c>
    </row>
    <row r="71" spans="3:25" ht="12.75">
      <c r="C71" s="21">
        <f t="shared" si="23"/>
        <v>2003</v>
      </c>
      <c r="D71" s="86">
        <f t="shared" si="24"/>
        <v>8663381.28</v>
      </c>
      <c r="E71" s="86">
        <f t="shared" si="24"/>
        <v>106559.589744</v>
      </c>
      <c r="F71" s="21">
        <v>0</v>
      </c>
      <c r="G71" s="21">
        <v>1</v>
      </c>
      <c r="H71" s="86">
        <f t="shared" si="25"/>
        <v>0</v>
      </c>
      <c r="I71" s="86">
        <f t="shared" si="26"/>
        <v>0</v>
      </c>
      <c r="J71" s="21">
        <v>1</v>
      </c>
      <c r="K71" s="283">
        <f t="shared" si="31"/>
        <v>8663381.28</v>
      </c>
      <c r="L71" s="283">
        <f t="shared" si="32"/>
        <v>106559.589744</v>
      </c>
      <c r="M71" s="21"/>
      <c r="N71" s="283">
        <f t="shared" si="33"/>
        <v>0</v>
      </c>
      <c r="O71" s="283">
        <f t="shared" si="33"/>
        <v>0</v>
      </c>
      <c r="P71" s="411">
        <f>I31</f>
        <v>9385329.72</v>
      </c>
      <c r="Q71" s="412">
        <f t="shared" si="27"/>
        <v>115439.555556</v>
      </c>
      <c r="R71" s="21">
        <v>0.3</v>
      </c>
      <c r="S71" s="21">
        <v>0.7</v>
      </c>
      <c r="T71" s="86">
        <f t="shared" si="28"/>
        <v>2815598.916</v>
      </c>
      <c r="U71" s="86">
        <f t="shared" si="28"/>
        <v>34631.8666668</v>
      </c>
      <c r="V71" s="86">
        <f t="shared" si="29"/>
        <v>0</v>
      </c>
      <c r="W71" s="86">
        <f t="shared" si="29"/>
        <v>0</v>
      </c>
      <c r="X71" s="86">
        <f>P71*$S71</f>
        <v>6569730.8040000005</v>
      </c>
      <c r="Y71" s="86">
        <f t="shared" si="30"/>
        <v>80807.6888892</v>
      </c>
    </row>
    <row r="72" spans="3:25" ht="12.75">
      <c r="C72" s="21">
        <f t="shared" si="23"/>
        <v>2004</v>
      </c>
      <c r="D72" s="86">
        <f t="shared" si="24"/>
        <v>10880245.92</v>
      </c>
      <c r="E72" s="86">
        <f t="shared" si="24"/>
        <v>133827.024816</v>
      </c>
      <c r="F72" s="21">
        <v>0</v>
      </c>
      <c r="G72" s="21">
        <v>1</v>
      </c>
      <c r="H72" s="86">
        <f t="shared" si="25"/>
        <v>0</v>
      </c>
      <c r="I72" s="86">
        <f t="shared" si="26"/>
        <v>0</v>
      </c>
      <c r="J72" s="21">
        <v>0</v>
      </c>
      <c r="K72" s="283">
        <f t="shared" si="31"/>
        <v>0</v>
      </c>
      <c r="L72" s="283">
        <f t="shared" si="32"/>
        <v>0</v>
      </c>
      <c r="M72" s="21">
        <v>1</v>
      </c>
      <c r="N72" s="283">
        <f t="shared" si="33"/>
        <v>10880245.92</v>
      </c>
      <c r="O72" s="283">
        <f t="shared" si="33"/>
        <v>133827.024816</v>
      </c>
      <c r="P72" s="411">
        <f t="shared" si="27"/>
        <v>11786933.08</v>
      </c>
      <c r="Q72" s="412">
        <f t="shared" si="27"/>
        <v>144979.27688400002</v>
      </c>
      <c r="R72" s="21">
        <v>0.3</v>
      </c>
      <c r="S72" s="21">
        <v>0.7</v>
      </c>
      <c r="T72" s="86">
        <f t="shared" si="28"/>
        <v>3536079.924</v>
      </c>
      <c r="U72" s="86">
        <f t="shared" si="28"/>
        <v>43493.783065200005</v>
      </c>
      <c r="V72" s="86">
        <f t="shared" si="29"/>
        <v>0</v>
      </c>
      <c r="W72" s="86">
        <f t="shared" si="29"/>
        <v>0</v>
      </c>
      <c r="X72" s="86">
        <f t="shared" si="30"/>
        <v>8250853.1559999995</v>
      </c>
      <c r="Y72" s="86">
        <f t="shared" si="30"/>
        <v>101485.49381880001</v>
      </c>
    </row>
    <row r="73" spans="3:26" ht="12.75">
      <c r="C73" s="21">
        <f t="shared" si="23"/>
        <v>2005</v>
      </c>
      <c r="D73" s="86">
        <f aca="true" t="shared" si="34" ref="D73:E75">G33</f>
        <v>15841345.92</v>
      </c>
      <c r="E73" s="86">
        <f t="shared" si="34"/>
        <v>194848.55481600002</v>
      </c>
      <c r="F73" s="21">
        <v>0</v>
      </c>
      <c r="G73" s="21">
        <v>1</v>
      </c>
      <c r="H73" s="86">
        <f>D73-(F73*D73)-(D73*G73)</f>
        <v>0</v>
      </c>
      <c r="I73" s="86">
        <f>E73-(F73*E73)-(E73*G73)</f>
        <v>0</v>
      </c>
      <c r="J73" s="21">
        <v>0</v>
      </c>
      <c r="K73" s="283">
        <f t="shared" si="31"/>
        <v>0</v>
      </c>
      <c r="L73" s="283">
        <f t="shared" si="32"/>
        <v>0</v>
      </c>
      <c r="M73" s="21">
        <v>1</v>
      </c>
      <c r="N73" s="283">
        <f aca="true" t="shared" si="35" ref="N73:O75">D73*$M73</f>
        <v>15841345.92</v>
      </c>
      <c r="O73" s="283">
        <f t="shared" si="35"/>
        <v>194848.55481600002</v>
      </c>
      <c r="P73" s="411">
        <f t="shared" si="27"/>
        <v>17161458.080000002</v>
      </c>
      <c r="Q73" s="412">
        <f t="shared" si="27"/>
        <v>211085.93438400005</v>
      </c>
      <c r="R73" s="21">
        <v>0</v>
      </c>
      <c r="S73" s="21">
        <v>1</v>
      </c>
      <c r="T73" s="86">
        <f t="shared" si="28"/>
        <v>0</v>
      </c>
      <c r="U73" s="86">
        <f t="shared" si="28"/>
        <v>0</v>
      </c>
      <c r="V73" s="86">
        <f aca="true" t="shared" si="36" ref="V73:W75">D73*$F73</f>
        <v>0</v>
      </c>
      <c r="W73" s="86">
        <f t="shared" si="36"/>
        <v>0</v>
      </c>
      <c r="X73" s="86">
        <f>P73*$S73</f>
        <v>17161458.080000002</v>
      </c>
      <c r="Y73" s="86">
        <f t="shared" si="30"/>
        <v>211085.93438400005</v>
      </c>
      <c r="Z73" s="23"/>
    </row>
    <row r="74" spans="3:26" ht="12.75">
      <c r="C74" s="21">
        <f t="shared" si="23"/>
        <v>2006</v>
      </c>
      <c r="D74" s="86">
        <f t="shared" si="34"/>
        <v>18508067.52</v>
      </c>
      <c r="E74" s="86">
        <f t="shared" si="34"/>
        <v>227649.230496</v>
      </c>
      <c r="F74" s="21">
        <v>0</v>
      </c>
      <c r="G74" s="21">
        <v>1</v>
      </c>
      <c r="H74" s="86">
        <f>D74-(F74*D74)-(D74*G74)</f>
        <v>0</v>
      </c>
      <c r="I74" s="86">
        <f>E74-(F74*E74)-(E74*G74)</f>
        <v>0</v>
      </c>
      <c r="J74" s="21">
        <v>0</v>
      </c>
      <c r="K74" s="283">
        <f t="shared" si="31"/>
        <v>0</v>
      </c>
      <c r="L74" s="283">
        <f t="shared" si="32"/>
        <v>0</v>
      </c>
      <c r="M74" s="21">
        <v>1</v>
      </c>
      <c r="N74" s="283">
        <f t="shared" si="35"/>
        <v>18508067.52</v>
      </c>
      <c r="O74" s="283">
        <f t="shared" si="35"/>
        <v>227649.230496</v>
      </c>
      <c r="P74" s="411">
        <f>I34</f>
        <v>20050406.48</v>
      </c>
      <c r="Q74" s="412">
        <f>J34</f>
        <v>246619.99970400005</v>
      </c>
      <c r="R74" s="21">
        <v>0</v>
      </c>
      <c r="S74" s="21">
        <v>1</v>
      </c>
      <c r="T74" s="86">
        <f t="shared" si="28"/>
        <v>0</v>
      </c>
      <c r="U74" s="86">
        <f t="shared" si="28"/>
        <v>0</v>
      </c>
      <c r="V74" s="86">
        <f t="shared" si="36"/>
        <v>0</v>
      </c>
      <c r="W74" s="86">
        <f t="shared" si="36"/>
        <v>0</v>
      </c>
      <c r="X74" s="86">
        <f>P74*$S74</f>
        <v>20050406.48</v>
      </c>
      <c r="Y74" s="86">
        <f>Q74*$S74</f>
        <v>246619.99970400005</v>
      </c>
      <c r="Z74" s="23"/>
    </row>
    <row r="75" spans="3:26" ht="12.75">
      <c r="C75" s="21">
        <f t="shared" si="23"/>
        <v>2007</v>
      </c>
      <c r="D75" s="86">
        <f t="shared" si="34"/>
        <v>17763954.24</v>
      </c>
      <c r="E75" s="86">
        <f t="shared" si="34"/>
        <v>218496.637152</v>
      </c>
      <c r="F75" s="21">
        <v>0</v>
      </c>
      <c r="G75" s="21">
        <v>1</v>
      </c>
      <c r="H75" s="86">
        <f>D75-(F75*D75)-(D75*G75)</f>
        <v>0</v>
      </c>
      <c r="I75" s="86">
        <f>E75-(F75*E75)-(E75*G75)</f>
        <v>0</v>
      </c>
      <c r="J75" s="21">
        <v>0</v>
      </c>
      <c r="K75" s="283">
        <f t="shared" si="31"/>
        <v>0</v>
      </c>
      <c r="L75" s="283">
        <f t="shared" si="32"/>
        <v>0</v>
      </c>
      <c r="M75" s="21">
        <v>1</v>
      </c>
      <c r="N75" s="283">
        <f t="shared" si="35"/>
        <v>17763954.24</v>
      </c>
      <c r="O75" s="283">
        <f t="shared" si="35"/>
        <v>218496.637152</v>
      </c>
      <c r="P75" s="411">
        <f>I35</f>
        <v>19244283.76</v>
      </c>
      <c r="Q75" s="412">
        <f>J35</f>
        <v>236704.690248</v>
      </c>
      <c r="R75" s="21">
        <v>0</v>
      </c>
      <c r="S75" s="21">
        <v>1</v>
      </c>
      <c r="T75" s="86">
        <f t="shared" si="28"/>
        <v>0</v>
      </c>
      <c r="U75" s="86">
        <f t="shared" si="28"/>
        <v>0</v>
      </c>
      <c r="V75" s="86">
        <f t="shared" si="36"/>
        <v>0</v>
      </c>
      <c r="W75" s="86">
        <f t="shared" si="36"/>
        <v>0</v>
      </c>
      <c r="X75" s="86">
        <f>P75*$S75</f>
        <v>19244283.76</v>
      </c>
      <c r="Y75" s="86">
        <f>Q75*$S75</f>
        <v>236704.690248</v>
      </c>
      <c r="Z75" s="23"/>
    </row>
    <row r="76" spans="3:25" ht="12.75">
      <c r="C76" s="21" t="s">
        <v>22</v>
      </c>
      <c r="D76" s="283">
        <f>SUM(D48:D75)</f>
        <v>92454567.36</v>
      </c>
      <c r="E76" s="21"/>
      <c r="F76" s="21"/>
      <c r="G76" s="21"/>
      <c r="H76" s="283">
        <f>SUM(H48:H75)</f>
        <v>3647567.04</v>
      </c>
      <c r="I76" s="283">
        <f>SUM(I48:I75)</f>
        <v>44865.074592000004</v>
      </c>
      <c r="J76" s="86"/>
      <c r="K76" s="283">
        <f>SUM(K48:K75)</f>
        <v>17424815.52</v>
      </c>
      <c r="L76" s="283">
        <f>SUM(L48:L75)</f>
        <v>214325.230896</v>
      </c>
      <c r="M76" s="21"/>
      <c r="N76" s="283">
        <f>SUM(N48:N75)</f>
        <v>62993613.599999994</v>
      </c>
      <c r="O76" s="283">
        <f>SUM(O48:O75)</f>
        <v>774821.44728</v>
      </c>
      <c r="P76" s="411">
        <f>SUM(P48:P75)</f>
        <v>100159114.64000002</v>
      </c>
      <c r="Q76" s="21"/>
      <c r="R76" s="21"/>
      <c r="S76" s="21"/>
      <c r="T76" s="283">
        <f aca="true" t="shared" si="37" ref="T76:Y76">SUM(T48:T75)</f>
        <v>28882382.360000003</v>
      </c>
      <c r="U76" s="283">
        <f t="shared" si="37"/>
        <v>355253.303028</v>
      </c>
      <c r="V76" s="283">
        <f t="shared" si="37"/>
        <v>8388571.199999999</v>
      </c>
      <c r="W76" s="283">
        <f t="shared" si="37"/>
        <v>103179.42576</v>
      </c>
      <c r="X76" s="283">
        <f t="shared" si="37"/>
        <v>71276732.28</v>
      </c>
      <c r="Y76" s="283">
        <f t="shared" si="37"/>
        <v>876703.8070440001</v>
      </c>
    </row>
    <row r="77" spans="3:15" ht="12.75">
      <c r="C77" s="21"/>
      <c r="D77" s="21"/>
      <c r="E77" s="21"/>
      <c r="F77" s="21"/>
      <c r="G77" s="21"/>
      <c r="H77" s="21"/>
      <c r="I77" s="21"/>
      <c r="J77" s="21"/>
      <c r="K77" s="97"/>
      <c r="L77" s="21"/>
      <c r="M77" s="21"/>
      <c r="N77" s="21"/>
      <c r="O77" s="21"/>
    </row>
  </sheetData>
  <mergeCells count="24">
    <mergeCell ref="P46:Q46"/>
    <mergeCell ref="T46:U46"/>
    <mergeCell ref="V46:W46"/>
    <mergeCell ref="X46:Y46"/>
    <mergeCell ref="H46:I46"/>
    <mergeCell ref="K46:L46"/>
    <mergeCell ref="N46:O46"/>
    <mergeCell ref="C1:AG1"/>
    <mergeCell ref="K5:N5"/>
    <mergeCell ref="R5:AG5"/>
    <mergeCell ref="X6:Y6"/>
    <mergeCell ref="AF6:AG6"/>
    <mergeCell ref="C3:F3"/>
    <mergeCell ref="K6:N6"/>
    <mergeCell ref="AB6:AC6"/>
    <mergeCell ref="AD6:AE6"/>
    <mergeCell ref="C5:F5"/>
    <mergeCell ref="G5:H5"/>
    <mergeCell ref="I5:J5"/>
    <mergeCell ref="O6:Q6"/>
    <mergeCell ref="R6:S6"/>
    <mergeCell ref="T6:U6"/>
    <mergeCell ref="V6:W6"/>
    <mergeCell ref="Z6:AA6"/>
  </mergeCells>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BA279"/>
  <sheetViews>
    <sheetView workbookViewId="0" topLeftCell="A1">
      <selection activeCell="D32" sqref="D32"/>
    </sheetView>
  </sheetViews>
  <sheetFormatPr defaultColWidth="9.140625" defaultRowHeight="12.75"/>
  <cols>
    <col min="1" max="3" width="9.140625" style="21" customWidth="1"/>
    <col min="4" max="4" width="10.140625" style="21" bestFit="1" customWidth="1"/>
    <col min="5" max="6" width="9.140625" style="21" customWidth="1"/>
    <col min="7" max="7" width="9.7109375" style="21" customWidth="1"/>
    <col min="8" max="8" width="9.28125" style="21" customWidth="1"/>
    <col min="9" max="9" width="9.57421875" style="21" customWidth="1"/>
    <col min="10" max="10" width="9.140625" style="21" customWidth="1"/>
    <col min="11" max="17" width="7.140625" style="21" customWidth="1"/>
    <col min="18" max="18" width="9.140625" style="21" customWidth="1"/>
    <col min="19" max="19" width="10.57421875" style="21" customWidth="1"/>
    <col min="20" max="21" width="10.28125" style="21" bestFit="1" customWidth="1"/>
    <col min="22" max="22" width="9.140625" style="21" customWidth="1"/>
    <col min="23" max="23" width="10.00390625" style="21" customWidth="1"/>
    <col min="24" max="16384" width="9.140625" style="21" customWidth="1"/>
  </cols>
  <sheetData>
    <row r="1" spans="3:53" ht="12.75">
      <c r="C1" s="552" t="s">
        <v>116</v>
      </c>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17"/>
      <c r="AI1" s="17"/>
      <c r="AJ1" s="17"/>
      <c r="AK1" s="17"/>
      <c r="AL1" s="17"/>
      <c r="AM1" s="17"/>
      <c r="AN1" s="17"/>
      <c r="AO1" s="17"/>
      <c r="AP1" s="17"/>
      <c r="AQ1" s="17"/>
      <c r="AR1" s="17"/>
      <c r="AS1" s="17"/>
      <c r="AT1" s="17"/>
      <c r="AU1" s="17"/>
      <c r="AV1" s="17"/>
      <c r="AW1" s="17"/>
      <c r="AX1" s="17"/>
      <c r="AY1" s="17"/>
      <c r="AZ1" s="17"/>
      <c r="BA1" s="17"/>
    </row>
    <row r="2" spans="4:53" ht="12.75" hidden="1">
      <c r="D2" s="26"/>
      <c r="E2" s="26"/>
      <c r="F2" s="85"/>
      <c r="G2" s="85"/>
      <c r="H2" s="85"/>
      <c r="I2" s="85"/>
      <c r="J2" s="85"/>
      <c r="K2" s="86"/>
      <c r="L2" s="8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row>
    <row r="3" spans="3:53" ht="17.25" customHeight="1" thickBot="1">
      <c r="C3" s="565"/>
      <c r="D3" s="565"/>
      <c r="E3" s="565"/>
      <c r="F3" s="565"/>
      <c r="G3" s="79"/>
      <c r="H3" s="79"/>
      <c r="I3" s="79"/>
      <c r="J3" s="79"/>
      <c r="K3" s="187"/>
      <c r="L3" s="187"/>
      <c r="M3" s="187"/>
      <c r="N3" s="187"/>
      <c r="O3" s="187"/>
      <c r="P3" s="187"/>
      <c r="Q3" s="18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row>
    <row r="4" spans="3:33" ht="13.5" hidden="1" thickBot="1">
      <c r="C4" s="79"/>
      <c r="D4" s="79"/>
      <c r="E4" s="79"/>
      <c r="F4" s="79"/>
      <c r="G4" s="79"/>
      <c r="H4" s="79"/>
      <c r="I4" s="79"/>
      <c r="J4" s="79"/>
      <c r="K4" s="79"/>
      <c r="L4" s="79"/>
      <c r="M4" s="79"/>
      <c r="N4" s="79"/>
      <c r="O4" s="79"/>
      <c r="P4" s="79"/>
      <c r="Q4" s="79"/>
      <c r="X4" s="146"/>
      <c r="Y4" s="17"/>
      <c r="Z4" s="17"/>
      <c r="AA4" s="17"/>
      <c r="AB4" s="17"/>
      <c r="AC4" s="17"/>
      <c r="AD4" s="17"/>
      <c r="AE4" s="17"/>
      <c r="AF4" s="17"/>
      <c r="AG4" s="17"/>
    </row>
    <row r="5" spans="3:33" ht="12.75">
      <c r="C5" s="88" t="s">
        <v>6</v>
      </c>
      <c r="D5" s="189"/>
      <c r="E5" s="89"/>
      <c r="F5" s="190"/>
      <c r="G5" s="567" t="s">
        <v>121</v>
      </c>
      <c r="H5" s="566"/>
      <c r="I5" s="567" t="s">
        <v>122</v>
      </c>
      <c r="J5" s="566"/>
      <c r="K5" s="567" t="s">
        <v>14</v>
      </c>
      <c r="L5" s="458"/>
      <c r="M5" s="458"/>
      <c r="N5" s="566"/>
      <c r="O5" s="271"/>
      <c r="P5" s="271"/>
      <c r="Q5" s="271"/>
      <c r="R5" s="567" t="s">
        <v>48</v>
      </c>
      <c r="S5" s="458"/>
      <c r="T5" s="458"/>
      <c r="U5" s="458"/>
      <c r="V5" s="458"/>
      <c r="W5" s="458"/>
      <c r="X5" s="458"/>
      <c r="Y5" s="458"/>
      <c r="Z5" s="458"/>
      <c r="AA5" s="458"/>
      <c r="AB5" s="458"/>
      <c r="AC5" s="458"/>
      <c r="AD5" s="458"/>
      <c r="AE5" s="458"/>
      <c r="AF5" s="458"/>
      <c r="AG5" s="459"/>
    </row>
    <row r="6" spans="3:33" ht="12.75">
      <c r="C6" s="120" t="s">
        <v>0</v>
      </c>
      <c r="D6" s="91" t="s">
        <v>1</v>
      </c>
      <c r="E6" s="91" t="s">
        <v>3</v>
      </c>
      <c r="F6" s="91" t="s">
        <v>2</v>
      </c>
      <c r="G6" s="270" t="s">
        <v>123</v>
      </c>
      <c r="H6" s="121">
        <v>0.48</v>
      </c>
      <c r="I6" s="270" t="s">
        <v>124</v>
      </c>
      <c r="J6" s="121">
        <v>0.52</v>
      </c>
      <c r="K6" s="540" t="s">
        <v>15</v>
      </c>
      <c r="L6" s="547"/>
      <c r="M6" s="547"/>
      <c r="N6" s="541"/>
      <c r="O6" s="540" t="s">
        <v>131</v>
      </c>
      <c r="P6" s="547"/>
      <c r="Q6" s="541"/>
      <c r="R6" s="568" t="s">
        <v>132</v>
      </c>
      <c r="S6" s="557"/>
      <c r="T6" s="557" t="s">
        <v>133</v>
      </c>
      <c r="U6" s="557"/>
      <c r="V6" s="557" t="s">
        <v>128</v>
      </c>
      <c r="W6" s="557"/>
      <c r="X6" s="557" t="s">
        <v>135</v>
      </c>
      <c r="Y6" s="557"/>
      <c r="Z6" s="540" t="s">
        <v>125</v>
      </c>
      <c r="AA6" s="569"/>
      <c r="AB6" s="540" t="s">
        <v>126</v>
      </c>
      <c r="AC6" s="541"/>
      <c r="AD6" s="540" t="s">
        <v>140</v>
      </c>
      <c r="AE6" s="541"/>
      <c r="AF6" s="550" t="s">
        <v>16</v>
      </c>
      <c r="AG6" s="551"/>
    </row>
    <row r="7" spans="3:33" ht="12.75">
      <c r="C7" s="158"/>
      <c r="D7" s="15"/>
      <c r="E7" s="15" t="s">
        <v>4</v>
      </c>
      <c r="F7" s="15"/>
      <c r="G7" s="124" t="s">
        <v>1</v>
      </c>
      <c r="H7" s="124" t="s">
        <v>2</v>
      </c>
      <c r="I7" s="124" t="s">
        <v>1</v>
      </c>
      <c r="J7" s="124" t="s">
        <v>2</v>
      </c>
      <c r="K7" s="98">
        <v>5</v>
      </c>
      <c r="L7" s="98">
        <v>8</v>
      </c>
      <c r="M7" s="98">
        <v>10</v>
      </c>
      <c r="N7" s="98">
        <v>13</v>
      </c>
      <c r="O7" s="152">
        <v>3</v>
      </c>
      <c r="P7" s="152">
        <v>5</v>
      </c>
      <c r="Q7" s="152">
        <v>7</v>
      </c>
      <c r="R7" s="131" t="s">
        <v>46</v>
      </c>
      <c r="S7" s="131" t="s">
        <v>2</v>
      </c>
      <c r="T7" s="131" t="s">
        <v>46</v>
      </c>
      <c r="U7" s="131" t="s">
        <v>2</v>
      </c>
      <c r="V7" s="131" t="s">
        <v>46</v>
      </c>
      <c r="W7" s="131" t="s">
        <v>2</v>
      </c>
      <c r="X7" s="131" t="s">
        <v>46</v>
      </c>
      <c r="Y7" s="131" t="s">
        <v>2</v>
      </c>
      <c r="Z7" s="152" t="s">
        <v>46</v>
      </c>
      <c r="AA7" s="152" t="s">
        <v>2</v>
      </c>
      <c r="AB7" s="152" t="s">
        <v>46</v>
      </c>
      <c r="AC7" s="152" t="s">
        <v>2</v>
      </c>
      <c r="AD7" s="152" t="s">
        <v>46</v>
      </c>
      <c r="AE7" s="152" t="s">
        <v>2</v>
      </c>
      <c r="AF7" s="152" t="s">
        <v>46</v>
      </c>
      <c r="AG7" s="217" t="s">
        <v>2</v>
      </c>
    </row>
    <row r="8" spans="3:33" ht="12.75">
      <c r="C8" s="158">
        <v>1980</v>
      </c>
      <c r="D8" s="148">
        <f>Desktops!C8</f>
        <v>980645.1612903225</v>
      </c>
      <c r="E8" s="142">
        <v>24.5</v>
      </c>
      <c r="F8" s="100">
        <f>(D8*E8)/2000</f>
        <v>12012.90322580645</v>
      </c>
      <c r="G8" s="100">
        <f>D8*$H$6</f>
        <v>470709.6774193548</v>
      </c>
      <c r="H8" s="100">
        <f>F8*$H$6</f>
        <v>5766.193548387097</v>
      </c>
      <c r="I8" s="100">
        <f>D8*$J$6</f>
        <v>509935.48387096776</v>
      </c>
      <c r="J8" s="100">
        <f>F8*$J$6</f>
        <v>6246.709677419354</v>
      </c>
      <c r="K8" s="150">
        <v>0.25</v>
      </c>
      <c r="L8" s="164">
        <v>0.25</v>
      </c>
      <c r="M8" s="164">
        <v>0.25</v>
      </c>
      <c r="N8" s="164">
        <v>0.25</v>
      </c>
      <c r="O8" s="164">
        <v>0.4</v>
      </c>
      <c r="P8" s="164">
        <v>0.6</v>
      </c>
      <c r="Q8" s="164">
        <v>0</v>
      </c>
      <c r="R8" s="131"/>
      <c r="S8" s="131"/>
      <c r="T8" s="131"/>
      <c r="U8" s="131"/>
      <c r="V8" s="131"/>
      <c r="W8" s="131"/>
      <c r="X8" s="131"/>
      <c r="Y8" s="131"/>
      <c r="Z8" s="98"/>
      <c r="AA8" s="246"/>
      <c r="AB8" s="98"/>
      <c r="AC8" s="98"/>
      <c r="AD8" s="98"/>
      <c r="AE8" s="98"/>
      <c r="AF8" s="98"/>
      <c r="AG8" s="103"/>
    </row>
    <row r="9" spans="3:33" ht="12.75">
      <c r="C9" s="158">
        <v>1981</v>
      </c>
      <c r="D9" s="148">
        <f>Desktops!C9</f>
        <v>1961290.322580645</v>
      </c>
      <c r="E9" s="142">
        <v>24.5</v>
      </c>
      <c r="F9" s="100">
        <f>(D9*E9)/2000</f>
        <v>24025.8064516129</v>
      </c>
      <c r="G9" s="100">
        <f aca="true" t="shared" si="0" ref="G9:G32">D9*$H$6</f>
        <v>941419.3548387096</v>
      </c>
      <c r="H9" s="100">
        <f aca="true" t="shared" si="1" ref="H9:H32">F9*$H$6</f>
        <v>11532.387096774193</v>
      </c>
      <c r="I9" s="100">
        <f aca="true" t="shared" si="2" ref="I9:I32">D9*$J$6</f>
        <v>1019870.9677419355</v>
      </c>
      <c r="J9" s="100">
        <f aca="true" t="shared" si="3" ref="J9:J32">F9*$J$6</f>
        <v>12493.419354838708</v>
      </c>
      <c r="K9" s="150">
        <v>0.25</v>
      </c>
      <c r="L9" s="164">
        <v>0.25</v>
      </c>
      <c r="M9" s="164">
        <v>0.25</v>
      </c>
      <c r="N9" s="164">
        <v>0.25</v>
      </c>
      <c r="O9" s="164">
        <v>0.4</v>
      </c>
      <c r="P9" s="164">
        <v>0.6</v>
      </c>
      <c r="Q9" s="164">
        <v>0</v>
      </c>
      <c r="R9" s="131"/>
      <c r="S9" s="131"/>
      <c r="T9" s="131"/>
      <c r="U9" s="131"/>
      <c r="V9" s="131"/>
      <c r="W9" s="131"/>
      <c r="X9" s="131"/>
      <c r="Y9" s="131"/>
      <c r="Z9" s="98"/>
      <c r="AA9" s="246"/>
      <c r="AB9" s="98"/>
      <c r="AC9" s="98"/>
      <c r="AD9" s="98"/>
      <c r="AE9" s="98"/>
      <c r="AF9" s="98"/>
      <c r="AG9" s="103"/>
    </row>
    <row r="10" spans="3:33" ht="12.75">
      <c r="C10" s="140">
        <v>1982</v>
      </c>
      <c r="D10" s="148">
        <f>Desktops!C10</f>
        <v>3040000</v>
      </c>
      <c r="E10" s="142">
        <v>24.5</v>
      </c>
      <c r="F10" s="100">
        <f aca="true" t="shared" si="4" ref="F10:F16">(D10*E10)/2000</f>
        <v>37240</v>
      </c>
      <c r="G10" s="100">
        <f t="shared" si="0"/>
        <v>1459200</v>
      </c>
      <c r="H10" s="100">
        <f t="shared" si="1"/>
        <v>17875.2</v>
      </c>
      <c r="I10" s="100">
        <f t="shared" si="2"/>
        <v>1580800</v>
      </c>
      <c r="J10" s="100">
        <f t="shared" si="3"/>
        <v>19364.8</v>
      </c>
      <c r="K10" s="150">
        <v>0.25</v>
      </c>
      <c r="L10" s="164">
        <v>0.25</v>
      </c>
      <c r="M10" s="164">
        <v>0.25</v>
      </c>
      <c r="N10" s="164">
        <v>0.25</v>
      </c>
      <c r="O10" s="164">
        <v>0.4</v>
      </c>
      <c r="P10" s="164">
        <v>0.6</v>
      </c>
      <c r="Q10" s="164">
        <v>0</v>
      </c>
      <c r="R10" s="100"/>
      <c r="S10" s="100"/>
      <c r="T10" s="100"/>
      <c r="U10" s="100"/>
      <c r="V10" s="100"/>
      <c r="W10" s="100"/>
      <c r="X10" s="100"/>
      <c r="Y10" s="100"/>
      <c r="Z10" s="98"/>
      <c r="AA10" s="246"/>
      <c r="AB10" s="100"/>
      <c r="AC10" s="100"/>
      <c r="AD10" s="100"/>
      <c r="AE10" s="100"/>
      <c r="AF10" s="100">
        <f>R10+T10+V10+X10+Z10+AB10+AD10</f>
        <v>0</v>
      </c>
      <c r="AG10" s="107">
        <f>S10+U10+W10+Y10+AA10+AC10+AE10</f>
        <v>0</v>
      </c>
    </row>
    <row r="11" spans="3:33" ht="12.75">
      <c r="C11" s="140">
        <v>1983</v>
      </c>
      <c r="D11" s="148">
        <f>Desktops!C11</f>
        <v>5450000</v>
      </c>
      <c r="E11" s="142">
        <v>24.5</v>
      </c>
      <c r="F11" s="100">
        <f t="shared" si="4"/>
        <v>66762.5</v>
      </c>
      <c r="G11" s="100">
        <f t="shared" si="0"/>
        <v>2616000</v>
      </c>
      <c r="H11" s="100">
        <f t="shared" si="1"/>
        <v>32046</v>
      </c>
      <c r="I11" s="100">
        <f t="shared" si="2"/>
        <v>2834000</v>
      </c>
      <c r="J11" s="100">
        <f t="shared" si="3"/>
        <v>34716.5</v>
      </c>
      <c r="K11" s="150">
        <v>0.25</v>
      </c>
      <c r="L11" s="164">
        <v>0.25</v>
      </c>
      <c r="M11" s="164">
        <v>0.25</v>
      </c>
      <c r="N11" s="164">
        <v>0.25</v>
      </c>
      <c r="O11" s="164">
        <v>0.4</v>
      </c>
      <c r="P11" s="164">
        <v>0.6</v>
      </c>
      <c r="Q11" s="164">
        <v>0</v>
      </c>
      <c r="R11" s="100"/>
      <c r="S11" s="100"/>
      <c r="T11" s="100"/>
      <c r="U11" s="100"/>
      <c r="V11" s="100"/>
      <c r="W11" s="100"/>
      <c r="X11" s="100"/>
      <c r="Y11" s="100"/>
      <c r="Z11" s="98"/>
      <c r="AA11" s="246"/>
      <c r="AB11" s="100"/>
      <c r="AC11" s="100"/>
      <c r="AD11" s="100">
        <f aca="true" t="shared" si="5" ref="AD11:AD38">$I8*$O8/1000</f>
        <v>203.97419354838712</v>
      </c>
      <c r="AE11" s="100">
        <f aca="true" t="shared" si="6" ref="AE11:AE38">J8*O8</f>
        <v>2498.6838709677418</v>
      </c>
      <c r="AF11" s="100">
        <f aca="true" t="shared" si="7" ref="AF11:AF38">R11+T11+V11+X11+Z11+AB11+AD11</f>
        <v>203.97419354838712</v>
      </c>
      <c r="AG11" s="107">
        <f aca="true" t="shared" si="8" ref="AG11:AG38">S11+U11+W11+Y11+AA11+AC11+AE11</f>
        <v>2498.6838709677418</v>
      </c>
    </row>
    <row r="12" spans="3:33" ht="12.75">
      <c r="C12" s="140">
        <v>1984</v>
      </c>
      <c r="D12" s="148">
        <f>Desktops!C12</f>
        <v>6660000</v>
      </c>
      <c r="E12" s="142">
        <v>24.5</v>
      </c>
      <c r="F12" s="100">
        <f t="shared" si="4"/>
        <v>81585</v>
      </c>
      <c r="G12" s="100">
        <f t="shared" si="0"/>
        <v>3196800</v>
      </c>
      <c r="H12" s="100">
        <f t="shared" si="1"/>
        <v>39160.799999999996</v>
      </c>
      <c r="I12" s="100">
        <f t="shared" si="2"/>
        <v>3463200</v>
      </c>
      <c r="J12" s="100">
        <f t="shared" si="3"/>
        <v>42424.200000000004</v>
      </c>
      <c r="K12" s="150">
        <v>0.25</v>
      </c>
      <c r="L12" s="164">
        <v>0.25</v>
      </c>
      <c r="M12" s="164">
        <v>0.25</v>
      </c>
      <c r="N12" s="164">
        <v>0.25</v>
      </c>
      <c r="O12" s="164">
        <v>0.4</v>
      </c>
      <c r="P12" s="164">
        <v>0.6</v>
      </c>
      <c r="Q12" s="164">
        <v>0</v>
      </c>
      <c r="R12" s="100"/>
      <c r="S12" s="100"/>
      <c r="T12" s="100"/>
      <c r="U12" s="100"/>
      <c r="V12" s="100"/>
      <c r="W12" s="100"/>
      <c r="X12" s="100"/>
      <c r="Y12" s="100"/>
      <c r="Z12" s="98"/>
      <c r="AA12" s="246"/>
      <c r="AB12" s="100"/>
      <c r="AC12" s="100"/>
      <c r="AD12" s="100">
        <f t="shared" si="5"/>
        <v>407.94838709677424</v>
      </c>
      <c r="AE12" s="100">
        <f t="shared" si="6"/>
        <v>4997.3677419354835</v>
      </c>
      <c r="AF12" s="100">
        <f t="shared" si="7"/>
        <v>407.94838709677424</v>
      </c>
      <c r="AG12" s="107">
        <f t="shared" si="8"/>
        <v>4997.3677419354835</v>
      </c>
    </row>
    <row r="13" spans="3:33" ht="12.75">
      <c r="C13" s="140">
        <v>1985</v>
      </c>
      <c r="D13" s="148">
        <f>Desktops!C13</f>
        <v>5760000</v>
      </c>
      <c r="E13" s="142">
        <v>24.5</v>
      </c>
      <c r="F13" s="100">
        <f t="shared" si="4"/>
        <v>70560</v>
      </c>
      <c r="G13" s="100">
        <f t="shared" si="0"/>
        <v>2764800</v>
      </c>
      <c r="H13" s="100">
        <f t="shared" si="1"/>
        <v>33868.799999999996</v>
      </c>
      <c r="I13" s="100">
        <f t="shared" si="2"/>
        <v>2995200</v>
      </c>
      <c r="J13" s="100">
        <f t="shared" si="3"/>
        <v>36691.200000000004</v>
      </c>
      <c r="K13" s="150">
        <v>0.25</v>
      </c>
      <c r="L13" s="164">
        <v>0.25</v>
      </c>
      <c r="M13" s="164">
        <v>0.25</v>
      </c>
      <c r="N13" s="164">
        <v>0.25</v>
      </c>
      <c r="O13" s="164">
        <v>0.4</v>
      </c>
      <c r="P13" s="164">
        <v>0.6</v>
      </c>
      <c r="Q13" s="164">
        <v>0</v>
      </c>
      <c r="R13" s="100">
        <f>(G8*K8)/1000</f>
        <v>117.67741935483869</v>
      </c>
      <c r="S13" s="100">
        <f>H8*K8</f>
        <v>1441.5483870967741</v>
      </c>
      <c r="T13" s="100"/>
      <c r="U13" s="100"/>
      <c r="V13" s="100"/>
      <c r="W13" s="100"/>
      <c r="X13" s="100"/>
      <c r="Y13" s="100"/>
      <c r="Z13" s="100">
        <f>$I8*P8/1000</f>
        <v>305.9612903225807</v>
      </c>
      <c r="AA13" s="100">
        <f>J8*P8</f>
        <v>3748.0258064516124</v>
      </c>
      <c r="AB13" s="100"/>
      <c r="AC13" s="100"/>
      <c r="AD13" s="100">
        <f t="shared" si="5"/>
        <v>632.32</v>
      </c>
      <c r="AE13" s="100">
        <f t="shared" si="6"/>
        <v>7745.92</v>
      </c>
      <c r="AF13" s="100">
        <f t="shared" si="7"/>
        <v>1055.9587096774194</v>
      </c>
      <c r="AG13" s="107">
        <f t="shared" si="8"/>
        <v>12935.494193548388</v>
      </c>
    </row>
    <row r="14" spans="3:33" ht="12.75">
      <c r="C14" s="140">
        <v>1986</v>
      </c>
      <c r="D14" s="148">
        <f>Desktops!C14</f>
        <v>6851000</v>
      </c>
      <c r="E14" s="142">
        <v>24.5</v>
      </c>
      <c r="F14" s="100">
        <f t="shared" si="4"/>
        <v>83924.75</v>
      </c>
      <c r="G14" s="100">
        <f t="shared" si="0"/>
        <v>3288480</v>
      </c>
      <c r="H14" s="100">
        <f t="shared" si="1"/>
        <v>40283.88</v>
      </c>
      <c r="I14" s="100">
        <f t="shared" si="2"/>
        <v>3562520</v>
      </c>
      <c r="J14" s="100">
        <f t="shared" si="3"/>
        <v>43640.87</v>
      </c>
      <c r="K14" s="150">
        <v>0.25</v>
      </c>
      <c r="L14" s="164">
        <v>0.25</v>
      </c>
      <c r="M14" s="164">
        <v>0.25</v>
      </c>
      <c r="N14" s="164">
        <v>0.25</v>
      </c>
      <c r="O14" s="164">
        <v>0.4</v>
      </c>
      <c r="P14" s="164">
        <v>0.6</v>
      </c>
      <c r="Q14" s="164">
        <v>0</v>
      </c>
      <c r="R14" s="100">
        <f aca="true" t="shared" si="9" ref="R14:R38">(G9*K9)/1000</f>
        <v>235.35483870967738</v>
      </c>
      <c r="S14" s="100">
        <f aca="true" t="shared" si="10" ref="S14:S38">H9*K9</f>
        <v>2883.0967741935483</v>
      </c>
      <c r="T14" s="100"/>
      <c r="U14" s="100"/>
      <c r="V14" s="100"/>
      <c r="W14" s="100"/>
      <c r="X14" s="100"/>
      <c r="Y14" s="100"/>
      <c r="Z14" s="100">
        <f aca="true" t="shared" si="11" ref="Z14:Z38">$I9*P9/1000</f>
        <v>611.9225806451614</v>
      </c>
      <c r="AA14" s="100">
        <f aca="true" t="shared" si="12" ref="AA14:AA38">J9*P9</f>
        <v>7496.051612903225</v>
      </c>
      <c r="AB14" s="100"/>
      <c r="AC14" s="100"/>
      <c r="AD14" s="100">
        <f t="shared" si="5"/>
        <v>1133.6</v>
      </c>
      <c r="AE14" s="100">
        <f t="shared" si="6"/>
        <v>13886.6</v>
      </c>
      <c r="AF14" s="100">
        <f t="shared" si="7"/>
        <v>1980.8774193548386</v>
      </c>
      <c r="AG14" s="107">
        <f t="shared" si="8"/>
        <v>24265.748387096774</v>
      </c>
    </row>
    <row r="15" spans="3:33" ht="12.75">
      <c r="C15" s="140">
        <v>1987</v>
      </c>
      <c r="D15" s="148">
        <f>Desktops!C15</f>
        <v>8202000</v>
      </c>
      <c r="E15" s="142">
        <v>24.5</v>
      </c>
      <c r="F15" s="100">
        <f t="shared" si="4"/>
        <v>100474.5</v>
      </c>
      <c r="G15" s="100">
        <f t="shared" si="0"/>
        <v>3936960</v>
      </c>
      <c r="H15" s="100">
        <f t="shared" si="1"/>
        <v>48227.759999999995</v>
      </c>
      <c r="I15" s="100">
        <f t="shared" si="2"/>
        <v>4265040</v>
      </c>
      <c r="J15" s="100">
        <f t="shared" si="3"/>
        <v>52246.740000000005</v>
      </c>
      <c r="K15" s="150">
        <v>0.25</v>
      </c>
      <c r="L15" s="164">
        <v>0.25</v>
      </c>
      <c r="M15" s="164">
        <v>0.25</v>
      </c>
      <c r="N15" s="164">
        <v>0.25</v>
      </c>
      <c r="O15" s="164">
        <v>0.4</v>
      </c>
      <c r="P15" s="164">
        <v>0.6</v>
      </c>
      <c r="Q15" s="164">
        <v>0</v>
      </c>
      <c r="R15" s="100">
        <f t="shared" si="9"/>
        <v>364.8</v>
      </c>
      <c r="S15" s="100">
        <f t="shared" si="10"/>
        <v>4468.8</v>
      </c>
      <c r="T15" s="100"/>
      <c r="U15" s="100"/>
      <c r="V15" s="100"/>
      <c r="W15" s="100"/>
      <c r="X15" s="100"/>
      <c r="Y15" s="100"/>
      <c r="Z15" s="100">
        <f t="shared" si="11"/>
        <v>948.48</v>
      </c>
      <c r="AA15" s="100">
        <f t="shared" si="12"/>
        <v>11618.88</v>
      </c>
      <c r="AB15" s="100">
        <f>$I8*Q8/1000</f>
        <v>0</v>
      </c>
      <c r="AC15" s="100">
        <f>J8*Q8</f>
        <v>0</v>
      </c>
      <c r="AD15" s="100">
        <f t="shared" si="5"/>
        <v>1385.28</v>
      </c>
      <c r="AE15" s="100">
        <f t="shared" si="6"/>
        <v>16969.680000000004</v>
      </c>
      <c r="AF15" s="100">
        <f t="shared" si="7"/>
        <v>2698.56</v>
      </c>
      <c r="AG15" s="107">
        <f t="shared" si="8"/>
        <v>33057.36</v>
      </c>
    </row>
    <row r="16" spans="3:33" ht="12.75">
      <c r="C16" s="140">
        <v>1988</v>
      </c>
      <c r="D16" s="148">
        <f>Desktops!C16</f>
        <v>8724000</v>
      </c>
      <c r="E16" s="142">
        <v>24.5</v>
      </c>
      <c r="F16" s="100">
        <f t="shared" si="4"/>
        <v>106869</v>
      </c>
      <c r="G16" s="100">
        <f t="shared" si="0"/>
        <v>4187520</v>
      </c>
      <c r="H16" s="100">
        <f t="shared" si="1"/>
        <v>51297.119999999995</v>
      </c>
      <c r="I16" s="100">
        <f t="shared" si="2"/>
        <v>4536480</v>
      </c>
      <c r="J16" s="100">
        <f t="shared" si="3"/>
        <v>55571.880000000005</v>
      </c>
      <c r="K16" s="150">
        <v>0.25</v>
      </c>
      <c r="L16" s="164">
        <v>0.25</v>
      </c>
      <c r="M16" s="164">
        <v>0.25</v>
      </c>
      <c r="N16" s="164">
        <v>0.25</v>
      </c>
      <c r="O16" s="164">
        <v>0.4</v>
      </c>
      <c r="P16" s="164">
        <v>0.6</v>
      </c>
      <c r="Q16" s="164">
        <v>0</v>
      </c>
      <c r="R16" s="100">
        <f t="shared" si="9"/>
        <v>654</v>
      </c>
      <c r="S16" s="100">
        <f t="shared" si="10"/>
        <v>8011.5</v>
      </c>
      <c r="T16" s="100">
        <f>G8*L8/1000</f>
        <v>117.67741935483869</v>
      </c>
      <c r="U16" s="100">
        <f>H8*L8</f>
        <v>1441.5483870967741</v>
      </c>
      <c r="V16" s="100"/>
      <c r="W16" s="100"/>
      <c r="X16" s="100"/>
      <c r="Y16" s="100"/>
      <c r="Z16" s="100">
        <f t="shared" si="11"/>
        <v>1700.4</v>
      </c>
      <c r="AA16" s="100">
        <f t="shared" si="12"/>
        <v>20829.899999999998</v>
      </c>
      <c r="AB16" s="100">
        <f aca="true" t="shared" si="13" ref="AB16:AB38">$I9*Q9/1000</f>
        <v>0</v>
      </c>
      <c r="AC16" s="100">
        <f aca="true" t="shared" si="14" ref="AC16:AC38">J9*Q9</f>
        <v>0</v>
      </c>
      <c r="AD16" s="100">
        <f t="shared" si="5"/>
        <v>1198.08</v>
      </c>
      <c r="AE16" s="100">
        <f t="shared" si="6"/>
        <v>14676.480000000003</v>
      </c>
      <c r="AF16" s="100">
        <f t="shared" si="7"/>
        <v>3670.1574193548386</v>
      </c>
      <c r="AG16" s="107">
        <f t="shared" si="8"/>
        <v>44959.42838709678</v>
      </c>
    </row>
    <row r="17" spans="3:33" ht="12.75">
      <c r="C17" s="140">
        <v>1989</v>
      </c>
      <c r="D17" s="148">
        <v>8389497</v>
      </c>
      <c r="E17" s="142">
        <v>24.5</v>
      </c>
      <c r="F17" s="100">
        <f>(D17*E17)/2000</f>
        <v>102771.33825</v>
      </c>
      <c r="G17" s="100">
        <f t="shared" si="0"/>
        <v>4026958.56</v>
      </c>
      <c r="H17" s="100">
        <f t="shared" si="1"/>
        <v>49330.24236</v>
      </c>
      <c r="I17" s="100">
        <f t="shared" si="2"/>
        <v>4362538.44</v>
      </c>
      <c r="J17" s="100">
        <f t="shared" si="3"/>
        <v>53441.095890000004</v>
      </c>
      <c r="K17" s="150">
        <v>0.25</v>
      </c>
      <c r="L17" s="164">
        <v>0.25</v>
      </c>
      <c r="M17" s="164">
        <v>0.25</v>
      </c>
      <c r="N17" s="164">
        <v>0.25</v>
      </c>
      <c r="O17" s="164">
        <v>0.4</v>
      </c>
      <c r="P17" s="164">
        <v>0.6</v>
      </c>
      <c r="Q17" s="164">
        <v>0</v>
      </c>
      <c r="R17" s="100">
        <f t="shared" si="9"/>
        <v>799.2</v>
      </c>
      <c r="S17" s="100">
        <f t="shared" si="10"/>
        <v>9790.199999999999</v>
      </c>
      <c r="T17" s="100">
        <f aca="true" t="shared" si="15" ref="T17:T38">G9*L9/1000</f>
        <v>235.35483870967738</v>
      </c>
      <c r="U17" s="100">
        <f aca="true" t="shared" si="16" ref="U17:U38">H9*L9</f>
        <v>2883.0967741935483</v>
      </c>
      <c r="V17" s="100"/>
      <c r="W17" s="100"/>
      <c r="X17" s="100"/>
      <c r="Y17" s="100"/>
      <c r="Z17" s="100">
        <f t="shared" si="11"/>
        <v>2077.92</v>
      </c>
      <c r="AA17" s="100">
        <f t="shared" si="12"/>
        <v>25454.52</v>
      </c>
      <c r="AB17" s="100">
        <f t="shared" si="13"/>
        <v>0</v>
      </c>
      <c r="AC17" s="100">
        <f t="shared" si="14"/>
        <v>0</v>
      </c>
      <c r="AD17" s="100">
        <f t="shared" si="5"/>
        <v>1425.008</v>
      </c>
      <c r="AE17" s="100">
        <f t="shared" si="6"/>
        <v>17456.348</v>
      </c>
      <c r="AF17" s="100">
        <f t="shared" si="7"/>
        <v>4537.482838709678</v>
      </c>
      <c r="AG17" s="107">
        <f t="shared" si="8"/>
        <v>55584.164774193545</v>
      </c>
    </row>
    <row r="18" spans="3:33" ht="12.75">
      <c r="C18" s="140">
        <v>1990</v>
      </c>
      <c r="D18" s="148">
        <v>9398360</v>
      </c>
      <c r="E18" s="142">
        <v>24.63</v>
      </c>
      <c r="F18" s="100">
        <f aca="true" t="shared" si="17" ref="F18:F32">(D18*E18)/2000</f>
        <v>115740.80339999999</v>
      </c>
      <c r="G18" s="100">
        <f t="shared" si="0"/>
        <v>4511212.8</v>
      </c>
      <c r="H18" s="100">
        <f t="shared" si="1"/>
        <v>55555.585631999995</v>
      </c>
      <c r="I18" s="100">
        <f t="shared" si="2"/>
        <v>4887147.2</v>
      </c>
      <c r="J18" s="100">
        <f t="shared" si="3"/>
        <v>60185.217767999995</v>
      </c>
      <c r="K18" s="150">
        <v>0.25</v>
      </c>
      <c r="L18" s="164">
        <v>0.25</v>
      </c>
      <c r="M18" s="164">
        <v>0.25</v>
      </c>
      <c r="N18" s="164">
        <v>0.25</v>
      </c>
      <c r="O18" s="164">
        <v>0.4</v>
      </c>
      <c r="P18" s="164">
        <v>0.6</v>
      </c>
      <c r="Q18" s="164">
        <v>0</v>
      </c>
      <c r="R18" s="100">
        <f t="shared" si="9"/>
        <v>691.2</v>
      </c>
      <c r="S18" s="100">
        <f t="shared" si="10"/>
        <v>8467.199999999999</v>
      </c>
      <c r="T18" s="100">
        <f t="shared" si="15"/>
        <v>364.8</v>
      </c>
      <c r="U18" s="100">
        <f t="shared" si="16"/>
        <v>4468.8</v>
      </c>
      <c r="V18" s="100">
        <f>(G8*M8)/1000</f>
        <v>117.67741935483869</v>
      </c>
      <c r="W18" s="100">
        <f>H8*M8</f>
        <v>1441.5483870967741</v>
      </c>
      <c r="X18" s="100"/>
      <c r="Y18" s="100"/>
      <c r="Z18" s="100">
        <f t="shared" si="11"/>
        <v>1797.12</v>
      </c>
      <c r="AA18" s="100">
        <f t="shared" si="12"/>
        <v>22014.72</v>
      </c>
      <c r="AB18" s="100">
        <f t="shared" si="13"/>
        <v>0</v>
      </c>
      <c r="AC18" s="100">
        <f t="shared" si="14"/>
        <v>0</v>
      </c>
      <c r="AD18" s="100">
        <f t="shared" si="5"/>
        <v>1706.016</v>
      </c>
      <c r="AE18" s="100">
        <f t="shared" si="6"/>
        <v>20898.696000000004</v>
      </c>
      <c r="AF18" s="100">
        <f t="shared" si="7"/>
        <v>4676.813419354839</v>
      </c>
      <c r="AG18" s="107">
        <f t="shared" si="8"/>
        <v>57290.96438709678</v>
      </c>
    </row>
    <row r="19" spans="1:33" ht="12.75">
      <c r="A19" s="21" t="s">
        <v>234</v>
      </c>
      <c r="C19" s="140">
        <v>1991</v>
      </c>
      <c r="D19" s="148">
        <v>10475034</v>
      </c>
      <c r="E19" s="142">
        <v>24.75</v>
      </c>
      <c r="F19" s="100">
        <f t="shared" si="17"/>
        <v>129628.54575</v>
      </c>
      <c r="G19" s="100">
        <f t="shared" si="0"/>
        <v>5028016.319999999</v>
      </c>
      <c r="H19" s="100">
        <f t="shared" si="1"/>
        <v>62221.70196</v>
      </c>
      <c r="I19" s="100">
        <f t="shared" si="2"/>
        <v>5447017.680000001</v>
      </c>
      <c r="J19" s="100">
        <f t="shared" si="3"/>
        <v>67406.84379</v>
      </c>
      <c r="K19" s="150">
        <v>0.25</v>
      </c>
      <c r="L19" s="164">
        <v>0.25</v>
      </c>
      <c r="M19" s="164">
        <v>0.25</v>
      </c>
      <c r="N19" s="164">
        <v>0.25</v>
      </c>
      <c r="O19" s="164">
        <v>0.4</v>
      </c>
      <c r="P19" s="164">
        <v>0.6</v>
      </c>
      <c r="Q19" s="164">
        <v>0</v>
      </c>
      <c r="R19" s="100">
        <f t="shared" si="9"/>
        <v>822.12</v>
      </c>
      <c r="S19" s="100">
        <f t="shared" si="10"/>
        <v>10070.97</v>
      </c>
      <c r="T19" s="100">
        <f t="shared" si="15"/>
        <v>654</v>
      </c>
      <c r="U19" s="100">
        <f t="shared" si="16"/>
        <v>8011.5</v>
      </c>
      <c r="V19" s="100">
        <f aca="true" t="shared" si="18" ref="V19:V38">(G9*M9)/1000</f>
        <v>235.35483870967738</v>
      </c>
      <c r="W19" s="100">
        <f aca="true" t="shared" si="19" ref="W19:W38">H9*M9</f>
        <v>2883.0967741935483</v>
      </c>
      <c r="X19" s="100"/>
      <c r="Y19" s="100"/>
      <c r="Z19" s="100">
        <f t="shared" si="11"/>
        <v>2137.512</v>
      </c>
      <c r="AA19" s="100">
        <f t="shared" si="12"/>
        <v>26184.522</v>
      </c>
      <c r="AB19" s="100">
        <f t="shared" si="13"/>
        <v>0</v>
      </c>
      <c r="AC19" s="100">
        <f t="shared" si="14"/>
        <v>0</v>
      </c>
      <c r="AD19" s="100">
        <f t="shared" si="5"/>
        <v>1814.592</v>
      </c>
      <c r="AE19" s="100">
        <f t="shared" si="6"/>
        <v>22228.752000000004</v>
      </c>
      <c r="AF19" s="100">
        <f t="shared" si="7"/>
        <v>5663.578838709678</v>
      </c>
      <c r="AG19" s="107">
        <f t="shared" si="8"/>
        <v>69378.84077419355</v>
      </c>
    </row>
    <row r="20" spans="1:33" ht="12.75">
      <c r="A20" s="21" t="s">
        <v>235</v>
      </c>
      <c r="C20" s="140">
        <v>1992</v>
      </c>
      <c r="D20" s="148">
        <v>13398131</v>
      </c>
      <c r="E20" s="142">
        <v>24.88</v>
      </c>
      <c r="F20" s="100">
        <f t="shared" si="17"/>
        <v>166672.74964</v>
      </c>
      <c r="G20" s="100">
        <f t="shared" si="0"/>
        <v>6431102.88</v>
      </c>
      <c r="H20" s="100">
        <f t="shared" si="1"/>
        <v>80002.91982719999</v>
      </c>
      <c r="I20" s="100">
        <f t="shared" si="2"/>
        <v>6967028.12</v>
      </c>
      <c r="J20" s="100">
        <f t="shared" si="3"/>
        <v>86669.8298128</v>
      </c>
      <c r="K20" s="150">
        <v>0.25</v>
      </c>
      <c r="L20" s="164">
        <v>0.25</v>
      </c>
      <c r="M20" s="164">
        <v>0.25</v>
      </c>
      <c r="N20" s="164">
        <v>0.25</v>
      </c>
      <c r="O20" s="164">
        <v>0.4</v>
      </c>
      <c r="P20" s="164">
        <v>0.6</v>
      </c>
      <c r="Q20" s="164">
        <v>0</v>
      </c>
      <c r="R20" s="100">
        <f t="shared" si="9"/>
        <v>984.24</v>
      </c>
      <c r="S20" s="100">
        <f t="shared" si="10"/>
        <v>12056.939999999999</v>
      </c>
      <c r="T20" s="100">
        <f t="shared" si="15"/>
        <v>799.2</v>
      </c>
      <c r="U20" s="100">
        <f t="shared" si="16"/>
        <v>9790.199999999999</v>
      </c>
      <c r="V20" s="100">
        <f t="shared" si="18"/>
        <v>364.8</v>
      </c>
      <c r="W20" s="100">
        <f t="shared" si="19"/>
        <v>4468.8</v>
      </c>
      <c r="X20" s="100"/>
      <c r="Y20" s="100"/>
      <c r="Z20" s="100">
        <f t="shared" si="11"/>
        <v>2559.024</v>
      </c>
      <c r="AA20" s="100">
        <f t="shared" si="12"/>
        <v>31348.044</v>
      </c>
      <c r="AB20" s="100">
        <f t="shared" si="13"/>
        <v>0</v>
      </c>
      <c r="AC20" s="100">
        <f t="shared" si="14"/>
        <v>0</v>
      </c>
      <c r="AD20" s="100">
        <f t="shared" si="5"/>
        <v>1745.015376</v>
      </c>
      <c r="AE20" s="100">
        <f t="shared" si="6"/>
        <v>21376.438356000002</v>
      </c>
      <c r="AF20" s="100">
        <f t="shared" si="7"/>
        <v>6452.279376</v>
      </c>
      <c r="AG20" s="107">
        <f t="shared" si="8"/>
        <v>79040.422356</v>
      </c>
    </row>
    <row r="21" spans="1:33" ht="12.75">
      <c r="A21" s="86" t="s">
        <v>63</v>
      </c>
      <c r="B21" s="21" t="s">
        <v>227</v>
      </c>
      <c r="C21" s="140">
        <v>1993</v>
      </c>
      <c r="D21" s="148">
        <v>17337347</v>
      </c>
      <c r="E21" s="142">
        <v>25</v>
      </c>
      <c r="F21" s="100">
        <f t="shared" si="17"/>
        <v>216716.8375</v>
      </c>
      <c r="G21" s="100">
        <f t="shared" si="0"/>
        <v>8321926.56</v>
      </c>
      <c r="H21" s="100">
        <f t="shared" si="1"/>
        <v>104024.082</v>
      </c>
      <c r="I21" s="100">
        <f t="shared" si="2"/>
        <v>9015420.44</v>
      </c>
      <c r="J21" s="100">
        <f t="shared" si="3"/>
        <v>112692.7555</v>
      </c>
      <c r="K21" s="150">
        <v>0.25</v>
      </c>
      <c r="L21" s="164">
        <v>0.25</v>
      </c>
      <c r="M21" s="164">
        <v>0.25</v>
      </c>
      <c r="N21" s="164">
        <v>0.25</v>
      </c>
      <c r="O21" s="164">
        <v>0.4</v>
      </c>
      <c r="P21" s="164">
        <v>0.6</v>
      </c>
      <c r="Q21" s="164">
        <v>0</v>
      </c>
      <c r="R21" s="100">
        <f t="shared" si="9"/>
        <v>1046.88</v>
      </c>
      <c r="S21" s="100">
        <f t="shared" si="10"/>
        <v>12824.279999999999</v>
      </c>
      <c r="T21" s="100">
        <f t="shared" si="15"/>
        <v>691.2</v>
      </c>
      <c r="U21" s="100">
        <f t="shared" si="16"/>
        <v>8467.199999999999</v>
      </c>
      <c r="V21" s="100">
        <f t="shared" si="18"/>
        <v>654</v>
      </c>
      <c r="W21" s="100">
        <f t="shared" si="19"/>
        <v>8011.5</v>
      </c>
      <c r="X21" s="100">
        <f>(G8*N8)/1000</f>
        <v>117.67741935483869</v>
      </c>
      <c r="Y21" s="100">
        <f>H8*N8</f>
        <v>1441.5483870967741</v>
      </c>
      <c r="Z21" s="100">
        <f t="shared" si="11"/>
        <v>2721.888</v>
      </c>
      <c r="AA21" s="100">
        <f t="shared" si="12"/>
        <v>33343.128000000004</v>
      </c>
      <c r="AB21" s="100">
        <f t="shared" si="13"/>
        <v>0</v>
      </c>
      <c r="AC21" s="100">
        <f t="shared" si="14"/>
        <v>0</v>
      </c>
      <c r="AD21" s="100">
        <f t="shared" si="5"/>
        <v>1954.8588800000002</v>
      </c>
      <c r="AE21" s="100">
        <f t="shared" si="6"/>
        <v>24074.0871072</v>
      </c>
      <c r="AF21" s="100">
        <f t="shared" si="7"/>
        <v>7186.504299354838</v>
      </c>
      <c r="AG21" s="107">
        <f t="shared" si="8"/>
        <v>88161.74349429677</v>
      </c>
    </row>
    <row r="22" spans="1:33" ht="12.75">
      <c r="A22" s="86">
        <v>22199093</v>
      </c>
      <c r="B22" s="86">
        <f>A22-D22</f>
        <v>4133621</v>
      </c>
      <c r="C22" s="140">
        <v>1994</v>
      </c>
      <c r="D22" s="148">
        <v>18065472</v>
      </c>
      <c r="E22" s="185">
        <v>28.86</v>
      </c>
      <c r="F22" s="100">
        <f t="shared" si="17"/>
        <v>260684.76096</v>
      </c>
      <c r="G22" s="100">
        <f t="shared" si="0"/>
        <v>8671426.56</v>
      </c>
      <c r="H22" s="100">
        <f t="shared" si="1"/>
        <v>125128.6852608</v>
      </c>
      <c r="I22" s="100">
        <f t="shared" si="2"/>
        <v>9394045.44</v>
      </c>
      <c r="J22" s="100">
        <f t="shared" si="3"/>
        <v>135556.0756992</v>
      </c>
      <c r="K22" s="150">
        <v>0.25</v>
      </c>
      <c r="L22" s="164">
        <v>0.25</v>
      </c>
      <c r="M22" s="164">
        <v>0.25</v>
      </c>
      <c r="N22" s="164">
        <v>0.25</v>
      </c>
      <c r="O22" s="164">
        <v>0.4</v>
      </c>
      <c r="P22" s="164">
        <v>0.6</v>
      </c>
      <c r="Q22" s="164">
        <v>0</v>
      </c>
      <c r="R22" s="100">
        <f t="shared" si="9"/>
        <v>1006.73964</v>
      </c>
      <c r="S22" s="100">
        <f t="shared" si="10"/>
        <v>12332.56059</v>
      </c>
      <c r="T22" s="100">
        <f t="shared" si="15"/>
        <v>822.12</v>
      </c>
      <c r="U22" s="100">
        <f t="shared" si="16"/>
        <v>10070.97</v>
      </c>
      <c r="V22" s="100">
        <f t="shared" si="18"/>
        <v>799.2</v>
      </c>
      <c r="W22" s="100">
        <f t="shared" si="19"/>
        <v>9790.199999999999</v>
      </c>
      <c r="X22" s="100">
        <f aca="true" t="shared" si="20" ref="X22:X38">(G9*N9)/1000</f>
        <v>235.35483870967738</v>
      </c>
      <c r="Y22" s="100">
        <f aca="true" t="shared" si="21" ref="Y22:Y38">H9*N9</f>
        <v>2883.0967741935483</v>
      </c>
      <c r="Z22" s="100">
        <f t="shared" si="11"/>
        <v>2617.5230640000004</v>
      </c>
      <c r="AA22" s="100">
        <f t="shared" si="12"/>
        <v>32064.657534</v>
      </c>
      <c r="AB22" s="100">
        <f t="shared" si="13"/>
        <v>0</v>
      </c>
      <c r="AC22" s="100">
        <f t="shared" si="14"/>
        <v>0</v>
      </c>
      <c r="AD22" s="100">
        <f t="shared" si="5"/>
        <v>2178.807072</v>
      </c>
      <c r="AE22" s="100">
        <f t="shared" si="6"/>
        <v>26962.737516</v>
      </c>
      <c r="AF22" s="100">
        <f t="shared" si="7"/>
        <v>7659.744614709678</v>
      </c>
      <c r="AG22" s="107">
        <f t="shared" si="8"/>
        <v>94104.22241419356</v>
      </c>
    </row>
    <row r="23" spans="1:33" ht="12.75">
      <c r="A23" s="86">
        <v>25260275</v>
      </c>
      <c r="B23" s="86">
        <f aca="true" t="shared" si="22" ref="B23:B31">A23-D23</f>
        <v>3025358</v>
      </c>
      <c r="C23" s="140">
        <v>1995</v>
      </c>
      <c r="D23" s="148">
        <v>22234917</v>
      </c>
      <c r="E23" s="185">
        <v>32.71</v>
      </c>
      <c r="F23" s="100">
        <f t="shared" si="17"/>
        <v>363652.06753500004</v>
      </c>
      <c r="G23" s="100">
        <f t="shared" si="0"/>
        <v>10672760.16</v>
      </c>
      <c r="H23" s="100">
        <f t="shared" si="1"/>
        <v>174552.9924168</v>
      </c>
      <c r="I23" s="100">
        <f t="shared" si="2"/>
        <v>11562156.84</v>
      </c>
      <c r="J23" s="100">
        <f t="shared" si="3"/>
        <v>189099.07511820004</v>
      </c>
      <c r="K23" s="150">
        <v>0.25</v>
      </c>
      <c r="L23" s="164">
        <v>0.25</v>
      </c>
      <c r="M23" s="164">
        <v>0.25</v>
      </c>
      <c r="N23" s="164">
        <v>0.25</v>
      </c>
      <c r="O23" s="164">
        <v>0.4</v>
      </c>
      <c r="P23" s="164">
        <v>0.6</v>
      </c>
      <c r="Q23" s="164">
        <v>0</v>
      </c>
      <c r="R23" s="100">
        <f t="shared" si="9"/>
        <v>1127.8032</v>
      </c>
      <c r="S23" s="100">
        <f t="shared" si="10"/>
        <v>13888.896407999999</v>
      </c>
      <c r="T23" s="100">
        <f t="shared" si="15"/>
        <v>984.24</v>
      </c>
      <c r="U23" s="100">
        <f t="shared" si="16"/>
        <v>12056.939999999999</v>
      </c>
      <c r="V23" s="100">
        <f t="shared" si="18"/>
        <v>691.2</v>
      </c>
      <c r="W23" s="100">
        <f t="shared" si="19"/>
        <v>8467.199999999999</v>
      </c>
      <c r="X23" s="100">
        <f t="shared" si="20"/>
        <v>364.8</v>
      </c>
      <c r="Y23" s="100">
        <f t="shared" si="21"/>
        <v>4468.8</v>
      </c>
      <c r="Z23" s="100">
        <f t="shared" si="11"/>
        <v>2932.2883199999997</v>
      </c>
      <c r="AA23" s="100">
        <f t="shared" si="12"/>
        <v>36111.130660799994</v>
      </c>
      <c r="AB23" s="100">
        <f t="shared" si="13"/>
        <v>0</v>
      </c>
      <c r="AC23" s="100">
        <f t="shared" si="14"/>
        <v>0</v>
      </c>
      <c r="AD23" s="100">
        <f t="shared" si="5"/>
        <v>2786.811248</v>
      </c>
      <c r="AE23" s="100">
        <f t="shared" si="6"/>
        <v>34667.93192512</v>
      </c>
      <c r="AF23" s="100">
        <f t="shared" si="7"/>
        <v>8887.142768</v>
      </c>
      <c r="AG23" s="107">
        <f t="shared" si="8"/>
        <v>109660.89899391998</v>
      </c>
    </row>
    <row r="24" spans="1:33" ht="12.75">
      <c r="A24" s="86">
        <v>26984910</v>
      </c>
      <c r="B24" s="86">
        <f t="shared" si="22"/>
        <v>3922619</v>
      </c>
      <c r="C24" s="140">
        <v>1996</v>
      </c>
      <c r="D24" s="148">
        <v>23062291</v>
      </c>
      <c r="E24" s="185">
        <v>36.57</v>
      </c>
      <c r="F24" s="100">
        <f t="shared" si="17"/>
        <v>421693.990935</v>
      </c>
      <c r="G24" s="100">
        <f t="shared" si="0"/>
        <v>11069899.68</v>
      </c>
      <c r="H24" s="100">
        <f t="shared" si="1"/>
        <v>202413.11564879998</v>
      </c>
      <c r="I24" s="100">
        <f t="shared" si="2"/>
        <v>11992391.32</v>
      </c>
      <c r="J24" s="100">
        <f t="shared" si="3"/>
        <v>219280.87528620003</v>
      </c>
      <c r="K24" s="150">
        <v>0.25</v>
      </c>
      <c r="L24" s="164">
        <v>0.25</v>
      </c>
      <c r="M24" s="164">
        <v>0.25</v>
      </c>
      <c r="N24" s="164">
        <v>0.25</v>
      </c>
      <c r="O24" s="164">
        <v>0.4</v>
      </c>
      <c r="P24" s="164">
        <v>0.6</v>
      </c>
      <c r="Q24" s="164">
        <v>0</v>
      </c>
      <c r="R24" s="100">
        <f t="shared" si="9"/>
        <v>1257.00408</v>
      </c>
      <c r="S24" s="100">
        <f t="shared" si="10"/>
        <v>15555.42549</v>
      </c>
      <c r="T24" s="100">
        <f t="shared" si="15"/>
        <v>1046.88</v>
      </c>
      <c r="U24" s="100">
        <f t="shared" si="16"/>
        <v>12824.279999999999</v>
      </c>
      <c r="V24" s="100">
        <f t="shared" si="18"/>
        <v>822.12</v>
      </c>
      <c r="W24" s="100">
        <f t="shared" si="19"/>
        <v>10070.97</v>
      </c>
      <c r="X24" s="100">
        <f t="shared" si="20"/>
        <v>654</v>
      </c>
      <c r="Y24" s="100">
        <f t="shared" si="21"/>
        <v>8011.5</v>
      </c>
      <c r="Z24" s="100">
        <f t="shared" si="11"/>
        <v>3268.2106080000003</v>
      </c>
      <c r="AA24" s="100">
        <f t="shared" si="12"/>
        <v>40444.106274</v>
      </c>
      <c r="AB24" s="100">
        <f t="shared" si="13"/>
        <v>0</v>
      </c>
      <c r="AC24" s="100">
        <f t="shared" si="14"/>
        <v>0</v>
      </c>
      <c r="AD24" s="100">
        <f t="shared" si="5"/>
        <v>3606.168176</v>
      </c>
      <c r="AE24" s="100">
        <f t="shared" si="6"/>
        <v>45077.1022</v>
      </c>
      <c r="AF24" s="100">
        <f t="shared" si="7"/>
        <v>10654.382864</v>
      </c>
      <c r="AG24" s="107">
        <f t="shared" si="8"/>
        <v>131983.383964</v>
      </c>
    </row>
    <row r="25" spans="1:33" ht="12.75">
      <c r="A25" s="86">
        <v>30082183</v>
      </c>
      <c r="B25" s="86">
        <f t="shared" si="22"/>
        <v>3498420</v>
      </c>
      <c r="C25" s="140">
        <v>1997</v>
      </c>
      <c r="D25" s="148">
        <v>26583763</v>
      </c>
      <c r="E25" s="185">
        <v>40.43</v>
      </c>
      <c r="F25" s="100">
        <f t="shared" si="17"/>
        <v>537390.769045</v>
      </c>
      <c r="G25" s="100">
        <f t="shared" si="0"/>
        <v>12760206.24</v>
      </c>
      <c r="H25" s="100">
        <f t="shared" si="1"/>
        <v>257947.56914159996</v>
      </c>
      <c r="I25" s="100">
        <f t="shared" si="2"/>
        <v>13823556.76</v>
      </c>
      <c r="J25" s="100">
        <f t="shared" si="3"/>
        <v>279443.1999034</v>
      </c>
      <c r="K25" s="150">
        <v>0.25</v>
      </c>
      <c r="L25" s="164">
        <v>0.25</v>
      </c>
      <c r="M25" s="164">
        <v>0.25</v>
      </c>
      <c r="N25" s="164">
        <v>0.25</v>
      </c>
      <c r="O25" s="164">
        <v>0.4</v>
      </c>
      <c r="P25" s="164">
        <v>0.6</v>
      </c>
      <c r="Q25" s="164">
        <v>0</v>
      </c>
      <c r="R25" s="100">
        <f t="shared" si="9"/>
        <v>1607.7757199999999</v>
      </c>
      <c r="S25" s="100">
        <f t="shared" si="10"/>
        <v>20000.729956799998</v>
      </c>
      <c r="T25" s="100">
        <f t="shared" si="15"/>
        <v>1006.73964</v>
      </c>
      <c r="U25" s="100">
        <f t="shared" si="16"/>
        <v>12332.56059</v>
      </c>
      <c r="V25" s="100">
        <f t="shared" si="18"/>
        <v>984.24</v>
      </c>
      <c r="W25" s="100">
        <f t="shared" si="19"/>
        <v>12056.939999999999</v>
      </c>
      <c r="X25" s="100">
        <f t="shared" si="20"/>
        <v>799.2</v>
      </c>
      <c r="Y25" s="100">
        <f t="shared" si="21"/>
        <v>9790.199999999999</v>
      </c>
      <c r="Z25" s="100">
        <f t="shared" si="11"/>
        <v>4180.216872</v>
      </c>
      <c r="AA25" s="100">
        <f t="shared" si="12"/>
        <v>52001.89788768</v>
      </c>
      <c r="AB25" s="100">
        <f t="shared" si="13"/>
        <v>0</v>
      </c>
      <c r="AC25" s="100">
        <f t="shared" si="14"/>
        <v>0</v>
      </c>
      <c r="AD25" s="100">
        <f t="shared" si="5"/>
        <v>3757.618176</v>
      </c>
      <c r="AE25" s="100">
        <f t="shared" si="6"/>
        <v>54222.430279680004</v>
      </c>
      <c r="AF25" s="100">
        <f t="shared" si="7"/>
        <v>12335.790408</v>
      </c>
      <c r="AG25" s="107">
        <f t="shared" si="8"/>
        <v>160404.75871416</v>
      </c>
    </row>
    <row r="26" spans="1:33" ht="12.75">
      <c r="A26" s="86">
        <v>29134443</v>
      </c>
      <c r="B26" s="86">
        <f t="shared" si="22"/>
        <v>-3441533</v>
      </c>
      <c r="C26" s="140">
        <v>1998</v>
      </c>
      <c r="D26" s="148">
        <v>32575976</v>
      </c>
      <c r="E26" s="185">
        <v>44.29</v>
      </c>
      <c r="F26" s="100">
        <f t="shared" si="17"/>
        <v>721394.98852</v>
      </c>
      <c r="G26" s="100">
        <f t="shared" si="0"/>
        <v>15636468.479999999</v>
      </c>
      <c r="H26" s="100">
        <f t="shared" si="1"/>
        <v>346269.5944896</v>
      </c>
      <c r="I26" s="100">
        <f t="shared" si="2"/>
        <v>16939507.52</v>
      </c>
      <c r="J26" s="100">
        <f t="shared" si="3"/>
        <v>375125.3940304</v>
      </c>
      <c r="K26" s="150">
        <v>0.25</v>
      </c>
      <c r="L26" s="164">
        <v>0.25</v>
      </c>
      <c r="M26" s="164">
        <v>0.25</v>
      </c>
      <c r="N26" s="164">
        <v>0.25</v>
      </c>
      <c r="O26" s="164">
        <v>0.4</v>
      </c>
      <c r="P26" s="164">
        <v>0.6</v>
      </c>
      <c r="Q26" s="164">
        <v>0</v>
      </c>
      <c r="R26" s="100">
        <f t="shared" si="9"/>
        <v>2080.48164</v>
      </c>
      <c r="S26" s="100">
        <f t="shared" si="10"/>
        <v>26006.0205</v>
      </c>
      <c r="T26" s="100">
        <f t="shared" si="15"/>
        <v>1127.8032</v>
      </c>
      <c r="U26" s="100">
        <f t="shared" si="16"/>
        <v>13888.896407999999</v>
      </c>
      <c r="V26" s="100">
        <f t="shared" si="18"/>
        <v>1046.88</v>
      </c>
      <c r="W26" s="100">
        <f t="shared" si="19"/>
        <v>12824.279999999999</v>
      </c>
      <c r="X26" s="100">
        <f t="shared" si="20"/>
        <v>691.2</v>
      </c>
      <c r="Y26" s="100">
        <f t="shared" si="21"/>
        <v>8467.199999999999</v>
      </c>
      <c r="Z26" s="100">
        <f t="shared" si="11"/>
        <v>5409.252264</v>
      </c>
      <c r="AA26" s="100">
        <f t="shared" si="12"/>
        <v>67615.65329999999</v>
      </c>
      <c r="AB26" s="100">
        <f t="shared" si="13"/>
        <v>0</v>
      </c>
      <c r="AC26" s="100">
        <f t="shared" si="14"/>
        <v>0</v>
      </c>
      <c r="AD26" s="100">
        <f t="shared" si="5"/>
        <v>4624.862736000001</v>
      </c>
      <c r="AE26" s="100">
        <f t="shared" si="6"/>
        <v>75639.63004728002</v>
      </c>
      <c r="AF26" s="100">
        <f t="shared" si="7"/>
        <v>14980.479840000002</v>
      </c>
      <c r="AG26" s="107">
        <f t="shared" si="8"/>
        <v>204441.68025528</v>
      </c>
    </row>
    <row r="27" spans="1:33" ht="12.75">
      <c r="A27" s="86">
        <v>32147271</v>
      </c>
      <c r="B27" s="86">
        <f t="shared" si="22"/>
        <v>-4791186</v>
      </c>
      <c r="C27" s="140">
        <v>1999</v>
      </c>
      <c r="D27" s="148">
        <v>36938457</v>
      </c>
      <c r="E27" s="185">
        <v>48.14</v>
      </c>
      <c r="F27" s="100">
        <f t="shared" si="17"/>
        <v>889108.65999</v>
      </c>
      <c r="G27" s="100">
        <f t="shared" si="0"/>
        <v>17730459.36</v>
      </c>
      <c r="H27" s="100">
        <f t="shared" si="1"/>
        <v>426772.15679519996</v>
      </c>
      <c r="I27" s="100">
        <f t="shared" si="2"/>
        <v>19207997.64</v>
      </c>
      <c r="J27" s="100">
        <f t="shared" si="3"/>
        <v>462336.5031948</v>
      </c>
      <c r="K27" s="150">
        <v>0.25</v>
      </c>
      <c r="L27" s="164">
        <v>0.25</v>
      </c>
      <c r="M27" s="164">
        <v>0.25</v>
      </c>
      <c r="N27" s="164">
        <v>0.25</v>
      </c>
      <c r="O27" s="164">
        <v>0.4</v>
      </c>
      <c r="P27" s="164">
        <v>0.6</v>
      </c>
      <c r="Q27" s="164">
        <v>0</v>
      </c>
      <c r="R27" s="100">
        <f t="shared" si="9"/>
        <v>2167.85664</v>
      </c>
      <c r="S27" s="100">
        <f t="shared" si="10"/>
        <v>31282.1713152</v>
      </c>
      <c r="T27" s="100">
        <f t="shared" si="15"/>
        <v>1257.00408</v>
      </c>
      <c r="U27" s="100">
        <f t="shared" si="16"/>
        <v>15555.42549</v>
      </c>
      <c r="V27" s="100">
        <f t="shared" si="18"/>
        <v>1006.73964</v>
      </c>
      <c r="W27" s="100">
        <f t="shared" si="19"/>
        <v>12332.56059</v>
      </c>
      <c r="X27" s="100">
        <f t="shared" si="20"/>
        <v>822.12</v>
      </c>
      <c r="Y27" s="100">
        <f t="shared" si="21"/>
        <v>10070.97</v>
      </c>
      <c r="Z27" s="100">
        <f t="shared" si="11"/>
        <v>5636.427264</v>
      </c>
      <c r="AA27" s="100">
        <f t="shared" si="12"/>
        <v>81333.64541952</v>
      </c>
      <c r="AB27" s="100">
        <f t="shared" si="13"/>
        <v>0</v>
      </c>
      <c r="AC27" s="100">
        <f t="shared" si="14"/>
        <v>0</v>
      </c>
      <c r="AD27" s="100">
        <f t="shared" si="5"/>
        <v>4796.956528</v>
      </c>
      <c r="AE27" s="100">
        <f t="shared" si="6"/>
        <v>87712.35011448001</v>
      </c>
      <c r="AF27" s="100">
        <f t="shared" si="7"/>
        <v>15687.104152</v>
      </c>
      <c r="AG27" s="107">
        <f t="shared" si="8"/>
        <v>238287.1229292</v>
      </c>
    </row>
    <row r="28" spans="1:33" ht="12.75">
      <c r="A28" s="86">
        <v>37942132</v>
      </c>
      <c r="B28" s="86">
        <f t="shared" si="22"/>
        <v>474898</v>
      </c>
      <c r="C28" s="140">
        <v>2000</v>
      </c>
      <c r="D28" s="148">
        <v>37467234</v>
      </c>
      <c r="E28" s="185">
        <v>52</v>
      </c>
      <c r="F28" s="100">
        <f t="shared" si="17"/>
        <v>974148.084</v>
      </c>
      <c r="G28" s="100">
        <f t="shared" si="0"/>
        <v>17984272.32</v>
      </c>
      <c r="H28" s="100">
        <f t="shared" si="1"/>
        <v>467591.08032</v>
      </c>
      <c r="I28" s="100">
        <f t="shared" si="2"/>
        <v>19482961.68</v>
      </c>
      <c r="J28" s="100">
        <f t="shared" si="3"/>
        <v>506557.00368</v>
      </c>
      <c r="K28" s="150">
        <v>0.25</v>
      </c>
      <c r="L28" s="164">
        <v>0.25</v>
      </c>
      <c r="M28" s="164">
        <v>0.25</v>
      </c>
      <c r="N28" s="164">
        <v>0.25</v>
      </c>
      <c r="O28" s="164">
        <v>0.4</v>
      </c>
      <c r="P28" s="164">
        <v>0.6</v>
      </c>
      <c r="Q28" s="164">
        <v>0</v>
      </c>
      <c r="R28" s="100">
        <f t="shared" si="9"/>
        <v>2668.19004</v>
      </c>
      <c r="S28" s="100">
        <f t="shared" si="10"/>
        <v>43638.2481042</v>
      </c>
      <c r="T28" s="100">
        <f t="shared" si="15"/>
        <v>1607.7757199999999</v>
      </c>
      <c r="U28" s="100">
        <f t="shared" si="16"/>
        <v>20000.729956799998</v>
      </c>
      <c r="V28" s="100">
        <f t="shared" si="18"/>
        <v>1127.8032</v>
      </c>
      <c r="W28" s="100">
        <f t="shared" si="19"/>
        <v>13888.896407999999</v>
      </c>
      <c r="X28" s="100">
        <f t="shared" si="20"/>
        <v>984.24</v>
      </c>
      <c r="Y28" s="100">
        <f t="shared" si="21"/>
        <v>12056.939999999999</v>
      </c>
      <c r="Z28" s="100">
        <f t="shared" si="11"/>
        <v>6937.294104</v>
      </c>
      <c r="AA28" s="100">
        <f t="shared" si="12"/>
        <v>113459.44507092002</v>
      </c>
      <c r="AB28" s="100">
        <f t="shared" si="13"/>
        <v>0</v>
      </c>
      <c r="AC28" s="100">
        <f t="shared" si="14"/>
        <v>0</v>
      </c>
      <c r="AD28" s="100">
        <f t="shared" si="5"/>
        <v>5529.422704</v>
      </c>
      <c r="AE28" s="100">
        <f t="shared" si="6"/>
        <v>111777.27996136</v>
      </c>
      <c r="AF28" s="100">
        <f t="shared" si="7"/>
        <v>18854.725768</v>
      </c>
      <c r="AG28" s="107">
        <f t="shared" si="8"/>
        <v>314821.53950128</v>
      </c>
    </row>
    <row r="29" spans="1:33" ht="12.75">
      <c r="A29" s="86">
        <v>30744002</v>
      </c>
      <c r="B29" s="86">
        <f t="shared" si="22"/>
        <v>3502883</v>
      </c>
      <c r="C29" s="140">
        <v>2001</v>
      </c>
      <c r="D29" s="148">
        <v>27241119</v>
      </c>
      <c r="E29" s="185">
        <v>51.62</v>
      </c>
      <c r="F29" s="100">
        <f t="shared" si="17"/>
        <v>703093.28139</v>
      </c>
      <c r="G29" s="100">
        <f t="shared" si="0"/>
        <v>13075737.12</v>
      </c>
      <c r="H29" s="100">
        <f t="shared" si="1"/>
        <v>337484.7750672</v>
      </c>
      <c r="I29" s="100">
        <f t="shared" si="2"/>
        <v>14165381.88</v>
      </c>
      <c r="J29" s="100">
        <f t="shared" si="3"/>
        <v>365608.5063228</v>
      </c>
      <c r="K29" s="150">
        <v>0.25</v>
      </c>
      <c r="L29" s="164">
        <v>0.25</v>
      </c>
      <c r="M29" s="164">
        <v>0.25</v>
      </c>
      <c r="N29" s="164">
        <v>0.25</v>
      </c>
      <c r="O29" s="164">
        <v>0.4</v>
      </c>
      <c r="P29" s="164">
        <v>0.6</v>
      </c>
      <c r="Q29" s="164">
        <v>0</v>
      </c>
      <c r="R29" s="100">
        <f t="shared" si="9"/>
        <v>2767.47492</v>
      </c>
      <c r="S29" s="100">
        <f t="shared" si="10"/>
        <v>50603.278912199996</v>
      </c>
      <c r="T29" s="100">
        <f t="shared" si="15"/>
        <v>2080.48164</v>
      </c>
      <c r="U29" s="100">
        <f t="shared" si="16"/>
        <v>26006.0205</v>
      </c>
      <c r="V29" s="100">
        <f t="shared" si="18"/>
        <v>1257.00408</v>
      </c>
      <c r="W29" s="100">
        <f t="shared" si="19"/>
        <v>15555.42549</v>
      </c>
      <c r="X29" s="100">
        <f t="shared" si="20"/>
        <v>1046.88</v>
      </c>
      <c r="Y29" s="100">
        <f t="shared" si="21"/>
        <v>12824.279999999999</v>
      </c>
      <c r="Z29" s="100">
        <f t="shared" si="11"/>
        <v>7195.434792</v>
      </c>
      <c r="AA29" s="100">
        <f t="shared" si="12"/>
        <v>131568.52517172002</v>
      </c>
      <c r="AB29" s="100">
        <f t="shared" si="13"/>
        <v>0</v>
      </c>
      <c r="AC29" s="100">
        <f t="shared" si="14"/>
        <v>0</v>
      </c>
      <c r="AD29" s="100">
        <f t="shared" si="5"/>
        <v>6775.803008000001</v>
      </c>
      <c r="AE29" s="100">
        <f t="shared" si="6"/>
        <v>150050.15761216002</v>
      </c>
      <c r="AF29" s="100">
        <f t="shared" si="7"/>
        <v>21123.07844</v>
      </c>
      <c r="AG29" s="107">
        <f t="shared" si="8"/>
        <v>386607.68768608</v>
      </c>
    </row>
    <row r="30" spans="1:33" ht="12.75">
      <c r="A30" s="86">
        <v>24317884</v>
      </c>
      <c r="B30" s="86">
        <f t="shared" si="22"/>
        <v>1021791</v>
      </c>
      <c r="C30" s="140">
        <v>2002</v>
      </c>
      <c r="D30" s="177">
        <v>23296093</v>
      </c>
      <c r="E30" s="185">
        <v>51.25</v>
      </c>
      <c r="F30" s="100">
        <f t="shared" si="17"/>
        <v>596962.383125</v>
      </c>
      <c r="G30" s="100">
        <f t="shared" si="0"/>
        <v>11182124.639999999</v>
      </c>
      <c r="H30" s="100">
        <f t="shared" si="1"/>
        <v>286541.9439</v>
      </c>
      <c r="I30" s="100">
        <f t="shared" si="2"/>
        <v>12113968.360000001</v>
      </c>
      <c r="J30" s="100">
        <f t="shared" si="3"/>
        <v>310420.43922500004</v>
      </c>
      <c r="K30" s="150">
        <v>0.25</v>
      </c>
      <c r="L30" s="164">
        <v>0.25</v>
      </c>
      <c r="M30" s="164">
        <v>0.25</v>
      </c>
      <c r="N30" s="164">
        <v>0.25</v>
      </c>
      <c r="O30" s="164">
        <v>0.4</v>
      </c>
      <c r="P30" s="164">
        <v>0.6</v>
      </c>
      <c r="Q30" s="164">
        <v>0</v>
      </c>
      <c r="R30" s="100">
        <f t="shared" si="9"/>
        <v>3190.05156</v>
      </c>
      <c r="S30" s="100">
        <f t="shared" si="10"/>
        <v>64486.89228539999</v>
      </c>
      <c r="T30" s="100">
        <f t="shared" si="15"/>
        <v>2167.85664</v>
      </c>
      <c r="U30" s="100">
        <f t="shared" si="16"/>
        <v>31282.1713152</v>
      </c>
      <c r="V30" s="100">
        <f t="shared" si="18"/>
        <v>1607.7757199999999</v>
      </c>
      <c r="W30" s="100">
        <f t="shared" si="19"/>
        <v>20000.729956799998</v>
      </c>
      <c r="X30" s="100">
        <f t="shared" si="20"/>
        <v>1006.73964</v>
      </c>
      <c r="Y30" s="100">
        <f t="shared" si="21"/>
        <v>12332.56059</v>
      </c>
      <c r="Z30" s="100">
        <f t="shared" si="11"/>
        <v>8294.134055999999</v>
      </c>
      <c r="AA30" s="100">
        <f t="shared" si="12"/>
        <v>167665.91994203997</v>
      </c>
      <c r="AB30" s="100">
        <f t="shared" si="13"/>
        <v>0</v>
      </c>
      <c r="AC30" s="100">
        <f t="shared" si="14"/>
        <v>0</v>
      </c>
      <c r="AD30" s="100">
        <f t="shared" si="5"/>
        <v>7683.199056</v>
      </c>
      <c r="AE30" s="100">
        <f t="shared" si="6"/>
        <v>184934.60127792</v>
      </c>
      <c r="AF30" s="100">
        <f t="shared" si="7"/>
        <v>23949.756672</v>
      </c>
      <c r="AG30" s="107">
        <f t="shared" si="8"/>
        <v>480702.87536735996</v>
      </c>
    </row>
    <row r="31" spans="1:33" ht="12.75">
      <c r="A31" s="86">
        <v>16057790</v>
      </c>
      <c r="B31" s="86">
        <f t="shared" si="22"/>
        <v>298945</v>
      </c>
      <c r="C31" s="140">
        <v>2003</v>
      </c>
      <c r="D31" s="177">
        <v>15758845</v>
      </c>
      <c r="E31" s="185">
        <v>50.87</v>
      </c>
      <c r="F31" s="100">
        <f t="shared" si="17"/>
        <v>400826.22257499996</v>
      </c>
      <c r="G31" s="100">
        <f t="shared" si="0"/>
        <v>7564245.6</v>
      </c>
      <c r="H31" s="100">
        <f t="shared" si="1"/>
        <v>192396.58683599997</v>
      </c>
      <c r="I31" s="100">
        <f t="shared" si="2"/>
        <v>8194599.4</v>
      </c>
      <c r="J31" s="100">
        <f t="shared" si="3"/>
        <v>208429.635739</v>
      </c>
      <c r="K31" s="150">
        <v>0.25</v>
      </c>
      <c r="L31" s="164">
        <v>0.25</v>
      </c>
      <c r="M31" s="164">
        <v>0.25</v>
      </c>
      <c r="N31" s="164">
        <v>0.25</v>
      </c>
      <c r="O31" s="164">
        <v>0.4</v>
      </c>
      <c r="P31" s="164">
        <v>0.6</v>
      </c>
      <c r="Q31" s="164">
        <v>0</v>
      </c>
      <c r="R31" s="100">
        <f t="shared" si="9"/>
        <v>3909.1171199999994</v>
      </c>
      <c r="S31" s="100">
        <f t="shared" si="10"/>
        <v>86567.3986224</v>
      </c>
      <c r="T31" s="100">
        <f t="shared" si="15"/>
        <v>2668.19004</v>
      </c>
      <c r="U31" s="100">
        <f t="shared" si="16"/>
        <v>43638.2481042</v>
      </c>
      <c r="V31" s="100">
        <f t="shared" si="18"/>
        <v>2080.48164</v>
      </c>
      <c r="W31" s="100">
        <f t="shared" si="19"/>
        <v>26006.0205</v>
      </c>
      <c r="X31" s="100">
        <f t="shared" si="20"/>
        <v>1127.8032</v>
      </c>
      <c r="Y31" s="100">
        <f t="shared" si="21"/>
        <v>13888.896407999999</v>
      </c>
      <c r="Z31" s="100">
        <f t="shared" si="11"/>
        <v>10163.704512</v>
      </c>
      <c r="AA31" s="100">
        <f t="shared" si="12"/>
        <v>225075.23641824</v>
      </c>
      <c r="AB31" s="100">
        <f t="shared" si="13"/>
        <v>0</v>
      </c>
      <c r="AC31" s="100">
        <f t="shared" si="14"/>
        <v>0</v>
      </c>
      <c r="AD31" s="100">
        <f t="shared" si="5"/>
        <v>7793.184672</v>
      </c>
      <c r="AE31" s="100">
        <f t="shared" si="6"/>
        <v>202622.80147200002</v>
      </c>
      <c r="AF31" s="100">
        <f t="shared" si="7"/>
        <v>27742.481184</v>
      </c>
      <c r="AG31" s="107">
        <f t="shared" si="8"/>
        <v>597798.6015248401</v>
      </c>
    </row>
    <row r="32" spans="1:33" ht="12.75">
      <c r="A32" s="86"/>
      <c r="B32" s="86"/>
      <c r="C32" s="140">
        <v>2004</v>
      </c>
      <c r="D32" s="177">
        <v>13949473</v>
      </c>
      <c r="E32" s="185">
        <v>50.5</v>
      </c>
      <c r="F32" s="100">
        <f t="shared" si="17"/>
        <v>352224.19325</v>
      </c>
      <c r="G32" s="100">
        <f t="shared" si="0"/>
        <v>6695747.04</v>
      </c>
      <c r="H32" s="100">
        <f t="shared" si="1"/>
        <v>169067.61276</v>
      </c>
      <c r="I32" s="100">
        <f t="shared" si="2"/>
        <v>7253725.96</v>
      </c>
      <c r="J32" s="100">
        <f t="shared" si="3"/>
        <v>183156.58049000002</v>
      </c>
      <c r="K32" s="150">
        <v>0.25</v>
      </c>
      <c r="L32" s="164">
        <v>0.25</v>
      </c>
      <c r="M32" s="164">
        <v>0.25</v>
      </c>
      <c r="N32" s="164">
        <v>0.25</v>
      </c>
      <c r="O32" s="164">
        <v>0.4</v>
      </c>
      <c r="P32" s="164">
        <v>0.6</v>
      </c>
      <c r="Q32" s="164">
        <v>0</v>
      </c>
      <c r="R32" s="100">
        <f t="shared" si="9"/>
        <v>4432.61484</v>
      </c>
      <c r="S32" s="100">
        <f t="shared" si="10"/>
        <v>106693.03919879999</v>
      </c>
      <c r="T32" s="100">
        <f t="shared" si="15"/>
        <v>2767.47492</v>
      </c>
      <c r="U32" s="100">
        <f t="shared" si="16"/>
        <v>50603.278912199996</v>
      </c>
      <c r="V32" s="100">
        <f t="shared" si="18"/>
        <v>2167.85664</v>
      </c>
      <c r="W32" s="100">
        <f t="shared" si="19"/>
        <v>31282.1713152</v>
      </c>
      <c r="X32" s="100">
        <f t="shared" si="20"/>
        <v>1257.00408</v>
      </c>
      <c r="Y32" s="100">
        <f t="shared" si="21"/>
        <v>15555.42549</v>
      </c>
      <c r="Z32" s="100">
        <f t="shared" si="11"/>
        <v>11524.798584</v>
      </c>
      <c r="AA32" s="100">
        <f t="shared" si="12"/>
        <v>277401.90191688</v>
      </c>
      <c r="AB32" s="100">
        <f t="shared" si="13"/>
        <v>0</v>
      </c>
      <c r="AC32" s="100">
        <f t="shared" si="14"/>
        <v>0</v>
      </c>
      <c r="AD32" s="100">
        <f t="shared" si="5"/>
        <v>5666.152752</v>
      </c>
      <c r="AE32" s="100">
        <f t="shared" si="6"/>
        <v>146243.40252912</v>
      </c>
      <c r="AF32" s="100">
        <f t="shared" si="7"/>
        <v>27815.901816000005</v>
      </c>
      <c r="AG32" s="107">
        <f t="shared" si="8"/>
        <v>627779.2193622</v>
      </c>
    </row>
    <row r="33" spans="1:33" ht="12.75">
      <c r="A33" s="86"/>
      <c r="B33" s="86"/>
      <c r="C33" s="140">
        <v>2005</v>
      </c>
      <c r="D33" s="108">
        <v>7756959</v>
      </c>
      <c r="E33" s="185">
        <v>50.5</v>
      </c>
      <c r="F33" s="100">
        <f>(D33*E33)/2000</f>
        <v>195863.21475</v>
      </c>
      <c r="G33" s="100">
        <f>D33*$H$6</f>
        <v>3723340.32</v>
      </c>
      <c r="H33" s="100">
        <f>F33*$H$6</f>
        <v>94014.34308</v>
      </c>
      <c r="I33" s="100">
        <f>D33*$J$6</f>
        <v>4033618.68</v>
      </c>
      <c r="J33" s="100">
        <f>F33*$J$6</f>
        <v>101848.87167000001</v>
      </c>
      <c r="K33" s="150">
        <v>0.25</v>
      </c>
      <c r="L33" s="164">
        <v>0.25</v>
      </c>
      <c r="M33" s="164">
        <v>0.25</v>
      </c>
      <c r="N33" s="164">
        <v>0.25</v>
      </c>
      <c r="O33" s="164">
        <v>0.4</v>
      </c>
      <c r="P33" s="164">
        <v>0.6</v>
      </c>
      <c r="Q33" s="164">
        <v>0</v>
      </c>
      <c r="R33" s="100">
        <f t="shared" si="9"/>
        <v>4496.06808</v>
      </c>
      <c r="S33" s="100">
        <f t="shared" si="10"/>
        <v>116897.77008</v>
      </c>
      <c r="T33" s="100">
        <f t="shared" si="15"/>
        <v>3190.05156</v>
      </c>
      <c r="U33" s="100">
        <f t="shared" si="16"/>
        <v>64486.89228539999</v>
      </c>
      <c r="V33" s="100">
        <f t="shared" si="18"/>
        <v>2668.19004</v>
      </c>
      <c r="W33" s="100">
        <f t="shared" si="19"/>
        <v>43638.2481042</v>
      </c>
      <c r="X33" s="100">
        <f t="shared" si="20"/>
        <v>1607.7757199999999</v>
      </c>
      <c r="Y33" s="100">
        <f t="shared" si="21"/>
        <v>20000.729956799998</v>
      </c>
      <c r="Z33" s="100">
        <f t="shared" si="11"/>
        <v>11689.777008</v>
      </c>
      <c r="AA33" s="100">
        <f t="shared" si="12"/>
        <v>303934.202208</v>
      </c>
      <c r="AB33" s="100">
        <f t="shared" si="13"/>
        <v>0</v>
      </c>
      <c r="AC33" s="100">
        <f t="shared" si="14"/>
        <v>0</v>
      </c>
      <c r="AD33" s="100">
        <f t="shared" si="5"/>
        <v>4845.5873440000005</v>
      </c>
      <c r="AE33" s="100">
        <f t="shared" si="6"/>
        <v>124168.17569000002</v>
      </c>
      <c r="AF33" s="100">
        <f t="shared" si="7"/>
        <v>28497.449752</v>
      </c>
      <c r="AG33" s="107">
        <f t="shared" si="8"/>
        <v>673126.0183244001</v>
      </c>
    </row>
    <row r="34" spans="1:33" ht="12.75">
      <c r="A34" s="86"/>
      <c r="B34" s="86"/>
      <c r="C34" s="140">
        <v>2006</v>
      </c>
      <c r="D34" s="108">
        <v>3484431</v>
      </c>
      <c r="E34" s="185">
        <v>50.5</v>
      </c>
      <c r="F34" s="100">
        <f>(D34*E34)/2000</f>
        <v>87981.88275</v>
      </c>
      <c r="G34" s="100">
        <f>D34*$H$6</f>
        <v>1672526.88</v>
      </c>
      <c r="H34" s="100">
        <f>F34*$H$6</f>
        <v>42231.30372</v>
      </c>
      <c r="I34" s="100">
        <f>D34*$J$6</f>
        <v>1811904.12</v>
      </c>
      <c r="J34" s="100">
        <f>F34*$J$6</f>
        <v>45750.57903</v>
      </c>
      <c r="K34" s="150">
        <v>0.25</v>
      </c>
      <c r="L34" s="164">
        <v>0.25</v>
      </c>
      <c r="M34" s="164">
        <v>0.25</v>
      </c>
      <c r="N34" s="164">
        <v>0.25</v>
      </c>
      <c r="O34" s="164">
        <v>0.4</v>
      </c>
      <c r="P34" s="164">
        <v>0.6</v>
      </c>
      <c r="Q34" s="164">
        <v>0</v>
      </c>
      <c r="R34" s="100">
        <f t="shared" si="9"/>
        <v>3268.93428</v>
      </c>
      <c r="S34" s="100">
        <f t="shared" si="10"/>
        <v>84371.1937668</v>
      </c>
      <c r="T34" s="100">
        <f t="shared" si="15"/>
        <v>3909.1171199999994</v>
      </c>
      <c r="U34" s="100">
        <f t="shared" si="16"/>
        <v>86567.3986224</v>
      </c>
      <c r="V34" s="100">
        <f t="shared" si="18"/>
        <v>2767.47492</v>
      </c>
      <c r="W34" s="100">
        <f t="shared" si="19"/>
        <v>50603.278912199996</v>
      </c>
      <c r="X34" s="100">
        <f t="shared" si="20"/>
        <v>2080.48164</v>
      </c>
      <c r="Y34" s="100">
        <f t="shared" si="21"/>
        <v>26006.0205</v>
      </c>
      <c r="Z34" s="100">
        <f t="shared" si="11"/>
        <v>8499.229128</v>
      </c>
      <c r="AA34" s="100">
        <f t="shared" si="12"/>
        <v>219365.10379368</v>
      </c>
      <c r="AB34" s="100">
        <f t="shared" si="13"/>
        <v>0</v>
      </c>
      <c r="AC34" s="100">
        <f t="shared" si="14"/>
        <v>0</v>
      </c>
      <c r="AD34" s="100">
        <f t="shared" si="5"/>
        <v>3277.8397600000003</v>
      </c>
      <c r="AE34" s="100">
        <f t="shared" si="6"/>
        <v>83371.8542956</v>
      </c>
      <c r="AF34" s="100">
        <f t="shared" si="7"/>
        <v>23803.076848</v>
      </c>
      <c r="AG34" s="107">
        <f t="shared" si="8"/>
        <v>550284.8498906799</v>
      </c>
    </row>
    <row r="35" spans="1:33" ht="12.75">
      <c r="A35" s="86"/>
      <c r="B35" s="86"/>
      <c r="C35" s="140">
        <v>2007</v>
      </c>
      <c r="D35" s="86">
        <v>1017772</v>
      </c>
      <c r="E35" s="185">
        <v>50.5</v>
      </c>
      <c r="F35" s="100">
        <f>(D35*E35)/2000</f>
        <v>25698.743</v>
      </c>
      <c r="G35" s="100">
        <f>D35*$H$6</f>
        <v>488530.56</v>
      </c>
      <c r="H35" s="100">
        <f>F35*$H$6</f>
        <v>12335.396639999999</v>
      </c>
      <c r="I35" s="100">
        <f>D35*$J$6</f>
        <v>529241.4400000001</v>
      </c>
      <c r="J35" s="100">
        <f>F35*$J$6</f>
        <v>13363.34636</v>
      </c>
      <c r="K35" s="150">
        <v>0.25</v>
      </c>
      <c r="L35" s="164">
        <v>0.25</v>
      </c>
      <c r="M35" s="164">
        <v>0.25</v>
      </c>
      <c r="N35" s="164">
        <v>0.25</v>
      </c>
      <c r="O35" s="164">
        <v>0.4</v>
      </c>
      <c r="P35" s="164">
        <v>0.6</v>
      </c>
      <c r="Q35" s="164">
        <v>0</v>
      </c>
      <c r="R35" s="100">
        <f t="shared" si="9"/>
        <v>2795.5311599999995</v>
      </c>
      <c r="S35" s="100">
        <f t="shared" si="10"/>
        <v>71635.485975</v>
      </c>
      <c r="T35" s="100">
        <f t="shared" si="15"/>
        <v>4432.61484</v>
      </c>
      <c r="U35" s="100">
        <f t="shared" si="16"/>
        <v>106693.03919879999</v>
      </c>
      <c r="V35" s="100">
        <f t="shared" si="18"/>
        <v>3190.05156</v>
      </c>
      <c r="W35" s="100">
        <f t="shared" si="19"/>
        <v>64486.89228539999</v>
      </c>
      <c r="X35" s="100">
        <f t="shared" si="20"/>
        <v>2167.85664</v>
      </c>
      <c r="Y35" s="100">
        <f t="shared" si="21"/>
        <v>31282.1713152</v>
      </c>
      <c r="Z35" s="100">
        <f t="shared" si="11"/>
        <v>7268.381016000001</v>
      </c>
      <c r="AA35" s="100">
        <f t="shared" si="12"/>
        <v>186252.263535</v>
      </c>
      <c r="AB35" s="100">
        <f t="shared" si="13"/>
        <v>0</v>
      </c>
      <c r="AC35" s="100">
        <f t="shared" si="14"/>
        <v>0</v>
      </c>
      <c r="AD35" s="100">
        <f t="shared" si="5"/>
        <v>2901.490384</v>
      </c>
      <c r="AE35" s="100">
        <f t="shared" si="6"/>
        <v>73262.632196</v>
      </c>
      <c r="AF35" s="100">
        <f t="shared" si="7"/>
        <v>22755.925600000002</v>
      </c>
      <c r="AG35" s="107">
        <f t="shared" si="8"/>
        <v>533612.4845054</v>
      </c>
    </row>
    <row r="36" spans="1:33" ht="12.75">
      <c r="A36" s="86"/>
      <c r="C36" s="140">
        <v>2008</v>
      </c>
      <c r="D36" s="99"/>
      <c r="E36" s="99"/>
      <c r="F36" s="100"/>
      <c r="G36" s="100"/>
      <c r="H36" s="100"/>
      <c r="I36" s="100"/>
      <c r="J36" s="100"/>
      <c r="K36" s="150"/>
      <c r="L36" s="164"/>
      <c r="M36" s="164"/>
      <c r="N36" s="164"/>
      <c r="O36" s="164"/>
      <c r="P36" s="164"/>
      <c r="Q36" s="164"/>
      <c r="R36" s="100">
        <f t="shared" si="9"/>
        <v>1891.0613999999998</v>
      </c>
      <c r="S36" s="100">
        <f t="shared" si="10"/>
        <v>48099.14670899999</v>
      </c>
      <c r="T36" s="100">
        <f t="shared" si="15"/>
        <v>4496.06808</v>
      </c>
      <c r="U36" s="100">
        <f t="shared" si="16"/>
        <v>116897.77008</v>
      </c>
      <c r="V36" s="100">
        <f t="shared" si="18"/>
        <v>3909.1171199999994</v>
      </c>
      <c r="W36" s="100">
        <f t="shared" si="19"/>
        <v>86567.3986224</v>
      </c>
      <c r="X36" s="100">
        <f t="shared" si="20"/>
        <v>2668.19004</v>
      </c>
      <c r="Y36" s="100">
        <f t="shared" si="21"/>
        <v>43638.2481042</v>
      </c>
      <c r="Z36" s="100">
        <f t="shared" si="11"/>
        <v>4916.759639999999</v>
      </c>
      <c r="AA36" s="100">
        <f t="shared" si="12"/>
        <v>125057.78144339999</v>
      </c>
      <c r="AB36" s="100">
        <f t="shared" si="13"/>
        <v>0</v>
      </c>
      <c r="AC36" s="100">
        <f t="shared" si="14"/>
        <v>0</v>
      </c>
      <c r="AD36" s="100">
        <f t="shared" si="5"/>
        <v>1613.447472</v>
      </c>
      <c r="AE36" s="100">
        <f t="shared" si="6"/>
        <v>40739.548668</v>
      </c>
      <c r="AF36" s="100">
        <f t="shared" si="7"/>
        <v>19494.643751999996</v>
      </c>
      <c r="AG36" s="107">
        <f t="shared" si="8"/>
        <v>460999.89362700004</v>
      </c>
    </row>
    <row r="37" spans="1:33" ht="12.75">
      <c r="A37" s="86"/>
      <c r="C37" s="140">
        <v>2009</v>
      </c>
      <c r="D37" s="99"/>
      <c r="E37" s="99"/>
      <c r="F37" s="100"/>
      <c r="G37" s="100"/>
      <c r="H37" s="100"/>
      <c r="I37" s="100"/>
      <c r="J37" s="100"/>
      <c r="K37" s="150"/>
      <c r="L37" s="164"/>
      <c r="M37" s="164"/>
      <c r="N37" s="164"/>
      <c r="O37" s="164"/>
      <c r="P37" s="164"/>
      <c r="Q37" s="164"/>
      <c r="R37" s="100">
        <f t="shared" si="9"/>
        <v>1673.93676</v>
      </c>
      <c r="S37" s="100">
        <f t="shared" si="10"/>
        <v>42266.90319</v>
      </c>
      <c r="T37" s="100">
        <f t="shared" si="15"/>
        <v>3268.93428</v>
      </c>
      <c r="U37" s="100">
        <f t="shared" si="16"/>
        <v>84371.1937668</v>
      </c>
      <c r="V37" s="100">
        <f t="shared" si="18"/>
        <v>4432.61484</v>
      </c>
      <c r="W37" s="100">
        <f t="shared" si="19"/>
        <v>106693.03919879999</v>
      </c>
      <c r="X37" s="100">
        <f t="shared" si="20"/>
        <v>2767.47492</v>
      </c>
      <c r="Y37" s="100">
        <f t="shared" si="21"/>
        <v>50603.278912199996</v>
      </c>
      <c r="Z37" s="100">
        <f t="shared" si="11"/>
        <v>4352.235575999999</v>
      </c>
      <c r="AA37" s="100">
        <f t="shared" si="12"/>
        <v>109893.94829400002</v>
      </c>
      <c r="AB37" s="100">
        <f t="shared" si="13"/>
        <v>0</v>
      </c>
      <c r="AC37" s="100">
        <f t="shared" si="14"/>
        <v>0</v>
      </c>
      <c r="AD37" s="100">
        <f t="shared" si="5"/>
        <v>724.761648</v>
      </c>
      <c r="AE37" s="100">
        <f t="shared" si="6"/>
        <v>18300.231612</v>
      </c>
      <c r="AF37" s="100">
        <f t="shared" si="7"/>
        <v>17219.958024</v>
      </c>
      <c r="AG37" s="107">
        <f t="shared" si="8"/>
        <v>412128.59497379995</v>
      </c>
    </row>
    <row r="38" spans="1:33" ht="12.75">
      <c r="A38" s="86"/>
      <c r="C38" s="140">
        <v>2010</v>
      </c>
      <c r="D38" s="99"/>
      <c r="E38" s="99"/>
      <c r="F38" s="100"/>
      <c r="G38" s="100"/>
      <c r="H38" s="100"/>
      <c r="I38" s="100"/>
      <c r="J38" s="100"/>
      <c r="K38" s="150"/>
      <c r="L38" s="164"/>
      <c r="M38" s="164"/>
      <c r="N38" s="164"/>
      <c r="O38" s="164"/>
      <c r="P38" s="164"/>
      <c r="Q38" s="164"/>
      <c r="R38" s="100">
        <f t="shared" si="9"/>
        <v>930.83508</v>
      </c>
      <c r="S38" s="100">
        <f t="shared" si="10"/>
        <v>23503.58577</v>
      </c>
      <c r="T38" s="100">
        <f t="shared" si="15"/>
        <v>2795.5311599999995</v>
      </c>
      <c r="U38" s="100">
        <f t="shared" si="16"/>
        <v>71635.485975</v>
      </c>
      <c r="V38" s="100">
        <f t="shared" si="18"/>
        <v>4496.06808</v>
      </c>
      <c r="W38" s="100">
        <f t="shared" si="19"/>
        <v>116897.77008</v>
      </c>
      <c r="X38" s="100">
        <f t="shared" si="20"/>
        <v>3190.05156</v>
      </c>
      <c r="Y38" s="100">
        <f t="shared" si="21"/>
        <v>64486.89228539999</v>
      </c>
      <c r="Z38" s="100">
        <f t="shared" si="11"/>
        <v>2420.171208</v>
      </c>
      <c r="AA38" s="100">
        <f t="shared" si="12"/>
        <v>61109.323002000005</v>
      </c>
      <c r="AB38" s="100">
        <f t="shared" si="13"/>
        <v>0</v>
      </c>
      <c r="AC38" s="100">
        <f t="shared" si="14"/>
        <v>0</v>
      </c>
      <c r="AD38" s="100">
        <f t="shared" si="5"/>
        <v>211.69657600000002</v>
      </c>
      <c r="AE38" s="100">
        <f t="shared" si="6"/>
        <v>5345.338544</v>
      </c>
      <c r="AF38" s="100">
        <f t="shared" si="7"/>
        <v>14044.353664</v>
      </c>
      <c r="AG38" s="107">
        <f t="shared" si="8"/>
        <v>342978.3956564</v>
      </c>
    </row>
    <row r="39" spans="1:33" ht="13.5" thickBot="1">
      <c r="A39" s="86"/>
      <c r="C39" s="114"/>
      <c r="D39" s="115" t="s">
        <v>5</v>
      </c>
      <c r="E39" s="115"/>
      <c r="F39" s="119"/>
      <c r="G39" s="119"/>
      <c r="H39" s="119"/>
      <c r="I39" s="119"/>
      <c r="J39" s="119"/>
      <c r="K39" s="157"/>
      <c r="L39" s="165"/>
      <c r="M39" s="165"/>
      <c r="N39" s="165"/>
      <c r="O39" s="165"/>
      <c r="P39" s="165"/>
      <c r="Q39" s="165"/>
      <c r="R39" s="119">
        <f>SUM(R8:R38)</f>
        <v>46986.94841806451</v>
      </c>
      <c r="S39" s="119">
        <f aca="true" t="shared" si="23" ref="S39:AG39">SUM(S8:S38)</f>
        <v>927843.2820350903</v>
      </c>
      <c r="T39" s="119">
        <f t="shared" si="23"/>
        <v>42491.115178064516</v>
      </c>
      <c r="U39" s="119">
        <f t="shared" si="23"/>
        <v>813973.6463660903</v>
      </c>
      <c r="V39" s="119">
        <f t="shared" si="23"/>
        <v>36426.649738064516</v>
      </c>
      <c r="W39" s="119">
        <f t="shared" si="23"/>
        <v>657966.9666242903</v>
      </c>
      <c r="X39" s="119">
        <f t="shared" si="23"/>
        <v>23588.849698064518</v>
      </c>
      <c r="Y39" s="119">
        <f t="shared" si="23"/>
        <v>347808.7587230903</v>
      </c>
      <c r="Z39" s="119">
        <f t="shared" si="23"/>
        <v>122166.06588696774</v>
      </c>
      <c r="AA39" s="119">
        <f t="shared" si="23"/>
        <v>2412392.5332912346</v>
      </c>
      <c r="AB39" s="119">
        <f t="shared" si="23"/>
        <v>0</v>
      </c>
      <c r="AC39" s="119">
        <f t="shared" si="23"/>
        <v>0</v>
      </c>
      <c r="AD39" s="119">
        <f t="shared" si="23"/>
        <v>82380.50214864517</v>
      </c>
      <c r="AE39" s="119">
        <f t="shared" si="23"/>
        <v>1631907.259016823</v>
      </c>
      <c r="AF39" s="119">
        <f t="shared" si="23"/>
        <v>354040.131067871</v>
      </c>
      <c r="AG39" s="119">
        <f t="shared" si="23"/>
        <v>6791892.44605662</v>
      </c>
    </row>
    <row r="40" spans="1:33" ht="13.5" customHeight="1" hidden="1" thickBot="1">
      <c r="A40" s="86"/>
      <c r="C40" s="93"/>
      <c r="D40" s="84"/>
      <c r="E40" s="84"/>
      <c r="F40" s="82">
        <f>D40*$F$2</f>
        <v>0</v>
      </c>
      <c r="G40" s="82"/>
      <c r="H40" s="82"/>
      <c r="I40" s="82"/>
      <c r="J40" s="82"/>
      <c r="K40" s="83"/>
      <c r="L40" s="94"/>
      <c r="M40" s="94"/>
      <c r="N40" s="94"/>
      <c r="O40" s="94"/>
      <c r="P40" s="94"/>
      <c r="Q40" s="94"/>
      <c r="R40" s="95"/>
      <c r="S40" s="95"/>
      <c r="T40" s="95"/>
      <c r="U40" s="95"/>
      <c r="V40" s="84"/>
      <c r="W40" s="84"/>
      <c r="X40" s="82"/>
      <c r="Y40" s="82"/>
      <c r="Z40" s="82"/>
      <c r="AA40" s="82"/>
      <c r="AB40" s="82"/>
      <c r="AC40" s="82"/>
      <c r="AD40" s="82"/>
      <c r="AE40" s="82"/>
      <c r="AF40" s="82"/>
      <c r="AG40" s="82"/>
    </row>
    <row r="41" spans="1:33" ht="12.75">
      <c r="A41" s="86"/>
      <c r="C41" s="17"/>
      <c r="D41" s="18"/>
      <c r="E41" s="18"/>
      <c r="F41" s="81"/>
      <c r="G41" s="81"/>
      <c r="H41" s="81"/>
      <c r="I41" s="81"/>
      <c r="J41" s="81"/>
      <c r="K41" s="80"/>
      <c r="L41" s="33"/>
      <c r="M41" s="33"/>
      <c r="N41" s="33"/>
      <c r="O41" s="33"/>
      <c r="P41" s="33"/>
      <c r="Q41" s="33"/>
      <c r="R41" s="81"/>
      <c r="S41" s="81"/>
      <c r="T41" s="110"/>
      <c r="U41" s="81"/>
      <c r="V41" s="18"/>
      <c r="W41" s="18"/>
      <c r="X41" s="81"/>
      <c r="Y41" s="81"/>
      <c r="Z41" s="81"/>
      <c r="AA41" s="81"/>
      <c r="AB41" s="81"/>
      <c r="AC41" s="81"/>
      <c r="AD41" s="81"/>
      <c r="AE41" s="81"/>
      <c r="AF41" s="81"/>
      <c r="AG41" s="81"/>
    </row>
    <row r="42" spans="1:33" ht="12.75">
      <c r="A42" s="86"/>
      <c r="C42" s="17"/>
      <c r="D42" s="18"/>
      <c r="E42" s="18"/>
      <c r="F42" s="81"/>
      <c r="G42" s="81"/>
      <c r="H42" s="81"/>
      <c r="I42" s="81"/>
      <c r="J42" s="81"/>
      <c r="K42" s="80"/>
      <c r="L42" s="33"/>
      <c r="M42" s="33"/>
      <c r="N42" s="33"/>
      <c r="O42" s="33"/>
      <c r="P42" s="33"/>
      <c r="Q42" s="33"/>
      <c r="R42" s="81"/>
      <c r="S42" s="81"/>
      <c r="T42" s="81"/>
      <c r="U42" s="81"/>
      <c r="V42" s="18"/>
      <c r="W42" s="18"/>
      <c r="X42" s="81"/>
      <c r="Y42" s="81"/>
      <c r="Z42" s="81"/>
      <c r="AA42" s="81"/>
      <c r="AB42" s="81"/>
      <c r="AC42" s="81"/>
      <c r="AD42" s="81"/>
      <c r="AE42" s="81"/>
      <c r="AF42" s="81"/>
      <c r="AG42" s="81"/>
    </row>
    <row r="43" spans="1:33" ht="12.75">
      <c r="A43" s="86"/>
      <c r="C43" s="17"/>
      <c r="D43" s="18"/>
      <c r="E43" s="18"/>
      <c r="F43" s="81"/>
      <c r="G43" s="81"/>
      <c r="H43" s="81"/>
      <c r="I43" s="81"/>
      <c r="J43" s="81"/>
      <c r="K43" s="80"/>
      <c r="L43" s="33"/>
      <c r="M43" s="33"/>
      <c r="N43" s="33"/>
      <c r="O43" s="33"/>
      <c r="P43" s="33"/>
      <c r="Q43" s="33"/>
      <c r="R43" s="81"/>
      <c r="S43" s="81"/>
      <c r="T43" s="81"/>
      <c r="U43" s="81"/>
      <c r="V43" s="18"/>
      <c r="W43" s="18"/>
      <c r="X43" s="81"/>
      <c r="Y43" s="81"/>
      <c r="Z43" s="81"/>
      <c r="AA43" s="81"/>
      <c r="AB43" s="81"/>
      <c r="AC43" s="81"/>
      <c r="AD43" s="81"/>
      <c r="AE43" s="81"/>
      <c r="AF43" s="81"/>
      <c r="AG43" s="81"/>
    </row>
    <row r="44" spans="1:33" ht="12.75">
      <c r="A44" s="86"/>
      <c r="C44" s="21" t="s">
        <v>224</v>
      </c>
      <c r="J44" s="21" t="s">
        <v>238</v>
      </c>
      <c r="K44" s="97"/>
      <c r="M44" s="21" t="s">
        <v>239</v>
      </c>
      <c r="P44" s="33"/>
      <c r="Q44" s="33"/>
      <c r="R44" s="81"/>
      <c r="S44" s="81"/>
      <c r="T44" s="81"/>
      <c r="U44" s="81"/>
      <c r="V44" s="18"/>
      <c r="W44" s="18"/>
      <c r="X44" s="81"/>
      <c r="Y44" s="81"/>
      <c r="Z44" s="81"/>
      <c r="AA44" s="81"/>
      <c r="AB44" s="81"/>
      <c r="AC44" s="81"/>
      <c r="AD44" s="81"/>
      <c r="AE44" s="81"/>
      <c r="AF44" s="81"/>
      <c r="AG44" s="81"/>
    </row>
    <row r="45" spans="1:33" ht="12.75">
      <c r="A45" s="86"/>
      <c r="F45" s="21" t="s">
        <v>147</v>
      </c>
      <c r="K45" s="97"/>
      <c r="R45" s="21" t="s">
        <v>147</v>
      </c>
      <c r="S45" s="21" t="s">
        <v>188</v>
      </c>
      <c r="V45" s="81"/>
      <c r="X45" s="86"/>
      <c r="Z45" s="81"/>
      <c r="AA45" s="81"/>
      <c r="AB45" s="81"/>
      <c r="AC45" s="81"/>
      <c r="AD45" s="81"/>
      <c r="AE45" s="81"/>
      <c r="AF45" s="81"/>
      <c r="AG45" s="81"/>
    </row>
    <row r="46" spans="1:33" ht="12.75">
      <c r="A46" s="86"/>
      <c r="C46" s="21" t="str">
        <f>C6</f>
        <v>Year</v>
      </c>
      <c r="D46" s="21" t="s">
        <v>141</v>
      </c>
      <c r="E46" s="21" t="s">
        <v>141</v>
      </c>
      <c r="F46" s="284" t="s">
        <v>240</v>
      </c>
      <c r="G46" s="284" t="s">
        <v>144</v>
      </c>
      <c r="H46" s="544" t="s">
        <v>145</v>
      </c>
      <c r="I46" s="544"/>
      <c r="J46" s="21" t="s">
        <v>149</v>
      </c>
      <c r="K46" s="544" t="s">
        <v>150</v>
      </c>
      <c r="L46" s="503"/>
      <c r="M46" s="21" t="s">
        <v>151</v>
      </c>
      <c r="N46" s="544" t="s">
        <v>151</v>
      </c>
      <c r="O46" s="503"/>
      <c r="P46" s="544" t="s">
        <v>167</v>
      </c>
      <c r="Q46" s="544"/>
      <c r="R46" s="284" t="s">
        <v>240</v>
      </c>
      <c r="S46" s="284"/>
      <c r="T46" s="544" t="s">
        <v>170</v>
      </c>
      <c r="U46" s="544"/>
      <c r="V46" s="544" t="s">
        <v>171</v>
      </c>
      <c r="W46" s="544"/>
      <c r="X46" s="574" t="s">
        <v>189</v>
      </c>
      <c r="Y46" s="510"/>
      <c r="Z46" s="81"/>
      <c r="AA46" s="81"/>
      <c r="AB46" s="81"/>
      <c r="AC46" s="81"/>
      <c r="AD46" s="81"/>
      <c r="AE46" s="81"/>
      <c r="AF46" s="81"/>
      <c r="AG46" s="81"/>
    </row>
    <row r="47" spans="1:33" ht="12.75">
      <c r="A47" s="86"/>
      <c r="D47" s="21" t="s">
        <v>142</v>
      </c>
      <c r="E47" s="21" t="s">
        <v>143</v>
      </c>
      <c r="F47" s="21" t="s">
        <v>148</v>
      </c>
      <c r="G47" s="21" t="s">
        <v>148</v>
      </c>
      <c r="H47" s="21" t="s">
        <v>1</v>
      </c>
      <c r="I47" s="21" t="s">
        <v>2</v>
      </c>
      <c r="J47" s="21" t="s">
        <v>148</v>
      </c>
      <c r="K47" s="97" t="s">
        <v>1</v>
      </c>
      <c r="L47" s="21" t="s">
        <v>2</v>
      </c>
      <c r="M47" s="21" t="s">
        <v>148</v>
      </c>
      <c r="N47" s="97" t="s">
        <v>1</v>
      </c>
      <c r="O47" s="21" t="s">
        <v>2</v>
      </c>
      <c r="P47" s="21" t="s">
        <v>142</v>
      </c>
      <c r="Q47" s="21" t="s">
        <v>143</v>
      </c>
      <c r="R47" s="21" t="s">
        <v>148</v>
      </c>
      <c r="S47" s="111" t="s">
        <v>148</v>
      </c>
      <c r="T47" s="21" t="s">
        <v>1</v>
      </c>
      <c r="U47" s="21" t="s">
        <v>2</v>
      </c>
      <c r="V47" s="21" t="s">
        <v>1</v>
      </c>
      <c r="W47" s="21" t="s">
        <v>2</v>
      </c>
      <c r="X47" s="21" t="s">
        <v>1</v>
      </c>
      <c r="Y47" s="21" t="s">
        <v>2</v>
      </c>
      <c r="Z47" s="81"/>
      <c r="AA47" s="81"/>
      <c r="AB47" s="81"/>
      <c r="AC47" s="81"/>
      <c r="AD47" s="81"/>
      <c r="AE47" s="81"/>
      <c r="AF47" s="81"/>
      <c r="AG47" s="81"/>
    </row>
    <row r="48" spans="1:33" ht="12.75">
      <c r="A48" s="86"/>
      <c r="C48" s="21">
        <f aca="true" t="shared" si="24" ref="C48:C75">C8</f>
        <v>1980</v>
      </c>
      <c r="D48" s="86">
        <f aca="true" t="shared" si="25" ref="D48:E73">G8</f>
        <v>470709.6774193548</v>
      </c>
      <c r="E48" s="86">
        <f t="shared" si="25"/>
        <v>5766.193548387097</v>
      </c>
      <c r="F48" s="21">
        <v>1</v>
      </c>
      <c r="G48" s="21">
        <v>0</v>
      </c>
      <c r="H48" s="86">
        <f aca="true" t="shared" si="26" ref="H48:H75">D48-(F48*D48)-(D48*G48)</f>
        <v>0</v>
      </c>
      <c r="I48" s="86">
        <f aca="true" t="shared" si="27" ref="I48:I75">E48-(F48*E48)-(E48*G48)</f>
        <v>0</v>
      </c>
      <c r="P48" s="86">
        <f>I8</f>
        <v>509935.48387096776</v>
      </c>
      <c r="Q48" s="86">
        <f>J8</f>
        <v>6246.709677419354</v>
      </c>
      <c r="R48" s="21">
        <v>1</v>
      </c>
      <c r="S48" s="21">
        <v>0</v>
      </c>
      <c r="T48" s="86">
        <f>P48*$R48</f>
        <v>509935.48387096776</v>
      </c>
      <c r="U48" s="86">
        <f>Q48*$R48</f>
        <v>6246.709677419354</v>
      </c>
      <c r="V48" s="86">
        <f>D48*$F48</f>
        <v>470709.6774193548</v>
      </c>
      <c r="W48" s="86">
        <f>E48*$F48</f>
        <v>5766.193548387097</v>
      </c>
      <c r="X48" s="21">
        <f>P48*$S48</f>
        <v>0</v>
      </c>
      <c r="Y48" s="21">
        <f>Q48*$S48</f>
        <v>0</v>
      </c>
      <c r="Z48" s="81"/>
      <c r="AA48" s="81"/>
      <c r="AB48" s="81"/>
      <c r="AC48" s="81"/>
      <c r="AD48" s="81"/>
      <c r="AE48" s="81"/>
      <c r="AF48" s="81"/>
      <c r="AG48" s="81"/>
    </row>
    <row r="49" spans="1:33" ht="12.75">
      <c r="A49" s="86"/>
      <c r="C49" s="21">
        <f t="shared" si="24"/>
        <v>1981</v>
      </c>
      <c r="D49" s="86">
        <f t="shared" si="25"/>
        <v>941419.3548387096</v>
      </c>
      <c r="E49" s="86">
        <f t="shared" si="25"/>
        <v>11532.387096774193</v>
      </c>
      <c r="F49" s="21">
        <v>1</v>
      </c>
      <c r="G49" s="21">
        <v>0</v>
      </c>
      <c r="H49" s="86">
        <f t="shared" si="26"/>
        <v>0</v>
      </c>
      <c r="I49" s="86">
        <f t="shared" si="27"/>
        <v>0</v>
      </c>
      <c r="P49" s="283">
        <f aca="true" t="shared" si="28" ref="P49:Q72">I9</f>
        <v>1019870.9677419355</v>
      </c>
      <c r="Q49" s="283">
        <f t="shared" si="28"/>
        <v>12493.419354838708</v>
      </c>
      <c r="R49" s="21">
        <v>1</v>
      </c>
      <c r="S49" s="21">
        <v>0</v>
      </c>
      <c r="T49" s="86">
        <f aca="true" t="shared" si="29" ref="T49:U72">P49*$R49</f>
        <v>1019870.9677419355</v>
      </c>
      <c r="U49" s="86">
        <f t="shared" si="29"/>
        <v>12493.419354838708</v>
      </c>
      <c r="V49" s="86">
        <f aca="true" t="shared" si="30" ref="V49:W72">D49*$F49</f>
        <v>941419.3548387096</v>
      </c>
      <c r="W49" s="86">
        <f t="shared" si="30"/>
        <v>11532.387096774193</v>
      </c>
      <c r="X49" s="21">
        <f aca="true" t="shared" si="31" ref="X49:Y71">P49*$S49</f>
        <v>0</v>
      </c>
      <c r="Y49" s="21">
        <f t="shared" si="31"/>
        <v>0</v>
      </c>
      <c r="Z49" s="81"/>
      <c r="AA49" s="81"/>
      <c r="AB49" s="81"/>
      <c r="AC49" s="81"/>
      <c r="AD49" s="81"/>
      <c r="AE49" s="81"/>
      <c r="AF49" s="81"/>
      <c r="AG49" s="81"/>
    </row>
    <row r="50" spans="1:33" ht="12.75">
      <c r="A50" s="86"/>
      <c r="C50" s="21">
        <f t="shared" si="24"/>
        <v>1982</v>
      </c>
      <c r="D50" s="86">
        <f t="shared" si="25"/>
        <v>1459200</v>
      </c>
      <c r="E50" s="86">
        <f t="shared" si="25"/>
        <v>17875.2</v>
      </c>
      <c r="F50" s="21">
        <v>1</v>
      </c>
      <c r="G50" s="21">
        <v>0</v>
      </c>
      <c r="H50" s="86">
        <f t="shared" si="26"/>
        <v>0</v>
      </c>
      <c r="I50" s="86">
        <f t="shared" si="27"/>
        <v>0</v>
      </c>
      <c r="P50" s="283">
        <f t="shared" si="28"/>
        <v>1580800</v>
      </c>
      <c r="Q50" s="283">
        <f t="shared" si="28"/>
        <v>19364.8</v>
      </c>
      <c r="R50" s="21">
        <v>1</v>
      </c>
      <c r="S50" s="21">
        <v>0</v>
      </c>
      <c r="T50" s="86">
        <f t="shared" si="29"/>
        <v>1580800</v>
      </c>
      <c r="U50" s="86">
        <f t="shared" si="29"/>
        <v>19364.8</v>
      </c>
      <c r="V50" s="86">
        <f t="shared" si="30"/>
        <v>1459200</v>
      </c>
      <c r="W50" s="86">
        <f t="shared" si="30"/>
        <v>17875.2</v>
      </c>
      <c r="X50" s="21">
        <f t="shared" si="31"/>
        <v>0</v>
      </c>
      <c r="Y50" s="21">
        <f t="shared" si="31"/>
        <v>0</v>
      </c>
      <c r="Z50" s="81"/>
      <c r="AA50" s="81"/>
      <c r="AB50" s="81"/>
      <c r="AC50" s="81"/>
      <c r="AD50" s="81"/>
      <c r="AE50" s="81"/>
      <c r="AF50" s="81"/>
      <c r="AG50" s="81"/>
    </row>
    <row r="51" spans="1:33" ht="12.75">
      <c r="A51" s="86"/>
      <c r="C51" s="21">
        <f t="shared" si="24"/>
        <v>1983</v>
      </c>
      <c r="D51" s="86">
        <f t="shared" si="25"/>
        <v>2616000</v>
      </c>
      <c r="E51" s="86">
        <f t="shared" si="25"/>
        <v>32046</v>
      </c>
      <c r="F51" s="21">
        <v>1</v>
      </c>
      <c r="G51" s="21">
        <v>0</v>
      </c>
      <c r="H51" s="86">
        <f t="shared" si="26"/>
        <v>0</v>
      </c>
      <c r="I51" s="86">
        <f t="shared" si="27"/>
        <v>0</v>
      </c>
      <c r="P51" s="283">
        <f t="shared" si="28"/>
        <v>2834000</v>
      </c>
      <c r="Q51" s="283">
        <f t="shared" si="28"/>
        <v>34716.5</v>
      </c>
      <c r="R51" s="21">
        <v>1</v>
      </c>
      <c r="S51" s="21">
        <v>0</v>
      </c>
      <c r="T51" s="86">
        <f t="shared" si="29"/>
        <v>2834000</v>
      </c>
      <c r="U51" s="86">
        <f t="shared" si="29"/>
        <v>34716.5</v>
      </c>
      <c r="V51" s="86">
        <f t="shared" si="30"/>
        <v>2616000</v>
      </c>
      <c r="W51" s="86">
        <f t="shared" si="30"/>
        <v>32046</v>
      </c>
      <c r="X51" s="21">
        <f t="shared" si="31"/>
        <v>0</v>
      </c>
      <c r="Y51" s="21">
        <f t="shared" si="31"/>
        <v>0</v>
      </c>
      <c r="Z51" s="81"/>
      <c r="AA51" s="81"/>
      <c r="AB51" s="81"/>
      <c r="AC51" s="81"/>
      <c r="AD51" s="81"/>
      <c r="AE51" s="81"/>
      <c r="AF51" s="81"/>
      <c r="AG51" s="81"/>
    </row>
    <row r="52" spans="1:33" ht="12.75">
      <c r="A52" s="86"/>
      <c r="C52" s="21">
        <f t="shared" si="24"/>
        <v>1984</v>
      </c>
      <c r="D52" s="86">
        <f t="shared" si="25"/>
        <v>3196800</v>
      </c>
      <c r="E52" s="86">
        <f t="shared" si="25"/>
        <v>39160.799999999996</v>
      </c>
      <c r="F52" s="21">
        <v>1</v>
      </c>
      <c r="G52" s="21">
        <v>0</v>
      </c>
      <c r="H52" s="86">
        <f t="shared" si="26"/>
        <v>0</v>
      </c>
      <c r="I52" s="86">
        <f t="shared" si="27"/>
        <v>0</v>
      </c>
      <c r="P52" s="283">
        <f t="shared" si="28"/>
        <v>3463200</v>
      </c>
      <c r="Q52" s="283">
        <f t="shared" si="28"/>
        <v>42424.200000000004</v>
      </c>
      <c r="R52" s="21">
        <v>1</v>
      </c>
      <c r="S52" s="21">
        <v>0</v>
      </c>
      <c r="T52" s="86">
        <f t="shared" si="29"/>
        <v>3463200</v>
      </c>
      <c r="U52" s="86">
        <f t="shared" si="29"/>
        <v>42424.200000000004</v>
      </c>
      <c r="V52" s="86">
        <f t="shared" si="30"/>
        <v>3196800</v>
      </c>
      <c r="W52" s="86">
        <f t="shared" si="30"/>
        <v>39160.799999999996</v>
      </c>
      <c r="X52" s="21">
        <f t="shared" si="31"/>
        <v>0</v>
      </c>
      <c r="Y52" s="21">
        <f t="shared" si="31"/>
        <v>0</v>
      </c>
      <c r="Z52" s="81"/>
      <c r="AA52" s="81"/>
      <c r="AB52" s="81"/>
      <c r="AC52" s="81"/>
      <c r="AD52" s="81"/>
      <c r="AE52" s="81"/>
      <c r="AF52" s="81"/>
      <c r="AG52" s="81"/>
    </row>
    <row r="53" spans="1:33" ht="12.75">
      <c r="A53" s="86"/>
      <c r="C53" s="21">
        <f t="shared" si="24"/>
        <v>1985</v>
      </c>
      <c r="D53" s="86">
        <f t="shared" si="25"/>
        <v>2764800</v>
      </c>
      <c r="E53" s="86">
        <f t="shared" si="25"/>
        <v>33868.799999999996</v>
      </c>
      <c r="F53" s="21">
        <v>1</v>
      </c>
      <c r="G53" s="21">
        <v>0</v>
      </c>
      <c r="H53" s="86">
        <f t="shared" si="26"/>
        <v>0</v>
      </c>
      <c r="I53" s="86">
        <f t="shared" si="27"/>
        <v>0</v>
      </c>
      <c r="P53" s="283">
        <f t="shared" si="28"/>
        <v>2995200</v>
      </c>
      <c r="Q53" s="283">
        <f t="shared" si="28"/>
        <v>36691.200000000004</v>
      </c>
      <c r="R53" s="21">
        <v>1</v>
      </c>
      <c r="S53" s="21">
        <v>0</v>
      </c>
      <c r="T53" s="86">
        <f t="shared" si="29"/>
        <v>2995200</v>
      </c>
      <c r="U53" s="86">
        <f t="shared" si="29"/>
        <v>36691.200000000004</v>
      </c>
      <c r="V53" s="86">
        <f t="shared" si="30"/>
        <v>2764800</v>
      </c>
      <c r="W53" s="86">
        <f t="shared" si="30"/>
        <v>33868.799999999996</v>
      </c>
      <c r="X53" s="21">
        <f t="shared" si="31"/>
        <v>0</v>
      </c>
      <c r="Y53" s="21">
        <f t="shared" si="31"/>
        <v>0</v>
      </c>
      <c r="Z53" s="81"/>
      <c r="AA53" s="81"/>
      <c r="AB53" s="81"/>
      <c r="AC53" s="81"/>
      <c r="AD53" s="81"/>
      <c r="AE53" s="81"/>
      <c r="AF53" s="81"/>
      <c r="AG53" s="81"/>
    </row>
    <row r="54" spans="1:33" ht="12.75">
      <c r="A54" s="86"/>
      <c r="C54" s="21">
        <f t="shared" si="24"/>
        <v>1986</v>
      </c>
      <c r="D54" s="86">
        <f t="shared" si="25"/>
        <v>3288480</v>
      </c>
      <c r="E54" s="86">
        <f t="shared" si="25"/>
        <v>40283.88</v>
      </c>
      <c r="F54" s="21">
        <v>1</v>
      </c>
      <c r="G54" s="21">
        <v>0</v>
      </c>
      <c r="H54" s="86">
        <f t="shared" si="26"/>
        <v>0</v>
      </c>
      <c r="I54" s="86">
        <f t="shared" si="27"/>
        <v>0</v>
      </c>
      <c r="P54" s="283">
        <f t="shared" si="28"/>
        <v>3562520</v>
      </c>
      <c r="Q54" s="283">
        <f t="shared" si="28"/>
        <v>43640.87</v>
      </c>
      <c r="R54" s="21">
        <v>1</v>
      </c>
      <c r="S54" s="21">
        <v>0</v>
      </c>
      <c r="T54" s="86">
        <f t="shared" si="29"/>
        <v>3562520</v>
      </c>
      <c r="U54" s="86">
        <f t="shared" si="29"/>
        <v>43640.87</v>
      </c>
      <c r="V54" s="86">
        <f t="shared" si="30"/>
        <v>3288480</v>
      </c>
      <c r="W54" s="86">
        <f t="shared" si="30"/>
        <v>40283.88</v>
      </c>
      <c r="X54" s="21">
        <f t="shared" si="31"/>
        <v>0</v>
      </c>
      <c r="Y54" s="21">
        <f t="shared" si="31"/>
        <v>0</v>
      </c>
      <c r="Z54" s="81"/>
      <c r="AA54" s="81"/>
      <c r="AB54" s="81"/>
      <c r="AC54" s="81"/>
      <c r="AD54" s="81"/>
      <c r="AE54" s="81"/>
      <c r="AF54" s="81"/>
      <c r="AG54" s="81"/>
    </row>
    <row r="55" spans="1:33" ht="12.75">
      <c r="A55" s="86"/>
      <c r="C55" s="21">
        <f t="shared" si="24"/>
        <v>1987</v>
      </c>
      <c r="D55" s="86">
        <f t="shared" si="25"/>
        <v>3936960</v>
      </c>
      <c r="E55" s="86">
        <f t="shared" si="25"/>
        <v>48227.759999999995</v>
      </c>
      <c r="F55" s="21">
        <v>1</v>
      </c>
      <c r="G55" s="21">
        <v>0</v>
      </c>
      <c r="H55" s="86">
        <f t="shared" si="26"/>
        <v>0</v>
      </c>
      <c r="I55" s="86">
        <f t="shared" si="27"/>
        <v>0</v>
      </c>
      <c r="P55" s="283">
        <f t="shared" si="28"/>
        <v>4265040</v>
      </c>
      <c r="Q55" s="283">
        <f t="shared" si="28"/>
        <v>52246.740000000005</v>
      </c>
      <c r="R55" s="21">
        <v>1</v>
      </c>
      <c r="S55" s="21">
        <v>0</v>
      </c>
      <c r="T55" s="86">
        <f t="shared" si="29"/>
        <v>4265040</v>
      </c>
      <c r="U55" s="86">
        <f t="shared" si="29"/>
        <v>52246.740000000005</v>
      </c>
      <c r="V55" s="86">
        <f t="shared" si="30"/>
        <v>3936960</v>
      </c>
      <c r="W55" s="86">
        <f t="shared" si="30"/>
        <v>48227.759999999995</v>
      </c>
      <c r="X55" s="21">
        <f t="shared" si="31"/>
        <v>0</v>
      </c>
      <c r="Y55" s="21">
        <f t="shared" si="31"/>
        <v>0</v>
      </c>
      <c r="Z55" s="81"/>
      <c r="AA55" s="81"/>
      <c r="AB55" s="81"/>
      <c r="AC55" s="81"/>
      <c r="AD55" s="81"/>
      <c r="AE55" s="81"/>
      <c r="AF55" s="81"/>
      <c r="AG55" s="81"/>
    </row>
    <row r="56" spans="1:33" ht="12.75">
      <c r="A56" s="86"/>
      <c r="C56" s="21">
        <f t="shared" si="24"/>
        <v>1988</v>
      </c>
      <c r="D56" s="86">
        <f t="shared" si="25"/>
        <v>4187520</v>
      </c>
      <c r="E56" s="86">
        <f t="shared" si="25"/>
        <v>51297.119999999995</v>
      </c>
      <c r="F56" s="21">
        <v>1</v>
      </c>
      <c r="G56" s="21">
        <v>0</v>
      </c>
      <c r="H56" s="86">
        <f t="shared" si="26"/>
        <v>0</v>
      </c>
      <c r="I56" s="86">
        <f t="shared" si="27"/>
        <v>0</v>
      </c>
      <c r="P56" s="283">
        <f t="shared" si="28"/>
        <v>4536480</v>
      </c>
      <c r="Q56" s="283">
        <f t="shared" si="28"/>
        <v>55571.880000000005</v>
      </c>
      <c r="R56" s="21">
        <v>1</v>
      </c>
      <c r="S56" s="21">
        <v>0</v>
      </c>
      <c r="T56" s="86">
        <f t="shared" si="29"/>
        <v>4536480</v>
      </c>
      <c r="U56" s="86">
        <f t="shared" si="29"/>
        <v>55571.880000000005</v>
      </c>
      <c r="V56" s="86">
        <f t="shared" si="30"/>
        <v>4187520</v>
      </c>
      <c r="W56" s="86">
        <f t="shared" si="30"/>
        <v>51297.119999999995</v>
      </c>
      <c r="X56" s="21">
        <f t="shared" si="31"/>
        <v>0</v>
      </c>
      <c r="Y56" s="21">
        <f t="shared" si="31"/>
        <v>0</v>
      </c>
      <c r="Z56" s="81"/>
      <c r="AA56" s="81"/>
      <c r="AB56" s="81"/>
      <c r="AC56" s="81"/>
      <c r="AD56" s="81"/>
      <c r="AE56" s="81"/>
      <c r="AF56" s="81"/>
      <c r="AG56" s="81"/>
    </row>
    <row r="57" spans="1:33" ht="12.75">
      <c r="A57" s="86"/>
      <c r="C57" s="21">
        <f t="shared" si="24"/>
        <v>1989</v>
      </c>
      <c r="D57" s="86">
        <f t="shared" si="25"/>
        <v>4026958.56</v>
      </c>
      <c r="E57" s="86">
        <f t="shared" si="25"/>
        <v>49330.24236</v>
      </c>
      <c r="F57" s="21">
        <v>1</v>
      </c>
      <c r="G57" s="21">
        <v>0</v>
      </c>
      <c r="H57" s="86">
        <f t="shared" si="26"/>
        <v>0</v>
      </c>
      <c r="I57" s="86">
        <f t="shared" si="27"/>
        <v>0</v>
      </c>
      <c r="P57" s="283">
        <f t="shared" si="28"/>
        <v>4362538.44</v>
      </c>
      <c r="Q57" s="283">
        <f t="shared" si="28"/>
        <v>53441.095890000004</v>
      </c>
      <c r="R57" s="21">
        <v>1</v>
      </c>
      <c r="S57" s="21">
        <v>0</v>
      </c>
      <c r="T57" s="86">
        <f t="shared" si="29"/>
        <v>4362538.44</v>
      </c>
      <c r="U57" s="86">
        <f t="shared" si="29"/>
        <v>53441.095890000004</v>
      </c>
      <c r="V57" s="86">
        <f t="shared" si="30"/>
        <v>4026958.56</v>
      </c>
      <c r="W57" s="86">
        <f t="shared" si="30"/>
        <v>49330.24236</v>
      </c>
      <c r="X57" s="21">
        <f t="shared" si="31"/>
        <v>0</v>
      </c>
      <c r="Y57" s="21">
        <f t="shared" si="31"/>
        <v>0</v>
      </c>
      <c r="Z57" s="81"/>
      <c r="AA57" s="81"/>
      <c r="AB57" s="81"/>
      <c r="AC57" s="81"/>
      <c r="AD57" s="81"/>
      <c r="AE57" s="81"/>
      <c r="AF57" s="81"/>
      <c r="AG57" s="81"/>
    </row>
    <row r="58" spans="1:33" ht="12.75">
      <c r="A58" s="86"/>
      <c r="C58" s="21">
        <f t="shared" si="24"/>
        <v>1990</v>
      </c>
      <c r="D58" s="86">
        <f t="shared" si="25"/>
        <v>4511212.8</v>
      </c>
      <c r="E58" s="86">
        <f t="shared" si="25"/>
        <v>55555.585631999995</v>
      </c>
      <c r="F58" s="21">
        <v>1</v>
      </c>
      <c r="G58" s="21">
        <v>0</v>
      </c>
      <c r="H58" s="86">
        <f t="shared" si="26"/>
        <v>0</v>
      </c>
      <c r="I58" s="86">
        <f t="shared" si="27"/>
        <v>0</v>
      </c>
      <c r="P58" s="283">
        <f t="shared" si="28"/>
        <v>4887147.2</v>
      </c>
      <c r="Q58" s="283">
        <f t="shared" si="28"/>
        <v>60185.217767999995</v>
      </c>
      <c r="R58" s="21">
        <v>1</v>
      </c>
      <c r="S58" s="21">
        <v>0</v>
      </c>
      <c r="T58" s="86">
        <f t="shared" si="29"/>
        <v>4887147.2</v>
      </c>
      <c r="U58" s="86">
        <f t="shared" si="29"/>
        <v>60185.217767999995</v>
      </c>
      <c r="V58" s="86">
        <f t="shared" si="30"/>
        <v>4511212.8</v>
      </c>
      <c r="W58" s="86">
        <f t="shared" si="30"/>
        <v>55555.585631999995</v>
      </c>
      <c r="X58" s="21">
        <f t="shared" si="31"/>
        <v>0</v>
      </c>
      <c r="Y58" s="21">
        <f t="shared" si="31"/>
        <v>0</v>
      </c>
      <c r="Z58" s="81"/>
      <c r="AA58" s="81"/>
      <c r="AB58" s="81"/>
      <c r="AC58" s="81"/>
      <c r="AD58" s="81"/>
      <c r="AE58" s="81"/>
      <c r="AF58" s="81"/>
      <c r="AG58" s="81"/>
    </row>
    <row r="59" spans="1:33" ht="12.75">
      <c r="A59" s="86"/>
      <c r="C59" s="21">
        <f t="shared" si="24"/>
        <v>1991</v>
      </c>
      <c r="D59" s="86">
        <f t="shared" si="25"/>
        <v>5028016.319999999</v>
      </c>
      <c r="E59" s="86">
        <f t="shared" si="25"/>
        <v>62221.70196</v>
      </c>
      <c r="F59" s="21">
        <v>1</v>
      </c>
      <c r="G59" s="21">
        <v>0</v>
      </c>
      <c r="H59" s="86">
        <f t="shared" si="26"/>
        <v>0</v>
      </c>
      <c r="I59" s="86">
        <f t="shared" si="27"/>
        <v>0</v>
      </c>
      <c r="P59" s="283">
        <f t="shared" si="28"/>
        <v>5447017.680000001</v>
      </c>
      <c r="Q59" s="283">
        <f t="shared" si="28"/>
        <v>67406.84379</v>
      </c>
      <c r="R59" s="21">
        <v>1</v>
      </c>
      <c r="S59" s="21">
        <v>0</v>
      </c>
      <c r="T59" s="86">
        <f t="shared" si="29"/>
        <v>5447017.680000001</v>
      </c>
      <c r="U59" s="86">
        <f t="shared" si="29"/>
        <v>67406.84379</v>
      </c>
      <c r="V59" s="86">
        <f t="shared" si="30"/>
        <v>5028016.319999999</v>
      </c>
      <c r="W59" s="86">
        <f t="shared" si="30"/>
        <v>62221.70196</v>
      </c>
      <c r="X59" s="21">
        <f t="shared" si="31"/>
        <v>0</v>
      </c>
      <c r="Y59" s="21">
        <f t="shared" si="31"/>
        <v>0</v>
      </c>
      <c r="Z59" s="81"/>
      <c r="AA59" s="81"/>
      <c r="AB59" s="81"/>
      <c r="AC59" s="81"/>
      <c r="AD59" s="81"/>
      <c r="AE59" s="81"/>
      <c r="AF59" s="81"/>
      <c r="AG59" s="81"/>
    </row>
    <row r="60" spans="1:33" ht="12.75">
      <c r="A60" s="86"/>
      <c r="C60" s="21">
        <f t="shared" si="24"/>
        <v>1992</v>
      </c>
      <c r="D60" s="86">
        <f t="shared" si="25"/>
        <v>6431102.88</v>
      </c>
      <c r="E60" s="86">
        <f t="shared" si="25"/>
        <v>80002.91982719999</v>
      </c>
      <c r="F60" s="21">
        <v>1</v>
      </c>
      <c r="G60" s="21">
        <v>0</v>
      </c>
      <c r="H60" s="86">
        <f t="shared" si="26"/>
        <v>0</v>
      </c>
      <c r="I60" s="86">
        <f t="shared" si="27"/>
        <v>0</v>
      </c>
      <c r="P60" s="283">
        <f t="shared" si="28"/>
        <v>6967028.12</v>
      </c>
      <c r="Q60" s="283">
        <f t="shared" si="28"/>
        <v>86669.8298128</v>
      </c>
      <c r="R60" s="21">
        <v>1</v>
      </c>
      <c r="S60" s="21">
        <v>0</v>
      </c>
      <c r="T60" s="86">
        <f t="shared" si="29"/>
        <v>6967028.12</v>
      </c>
      <c r="U60" s="86">
        <f t="shared" si="29"/>
        <v>86669.8298128</v>
      </c>
      <c r="V60" s="86">
        <f t="shared" si="30"/>
        <v>6431102.88</v>
      </c>
      <c r="W60" s="86">
        <f t="shared" si="30"/>
        <v>80002.91982719999</v>
      </c>
      <c r="X60" s="21">
        <f t="shared" si="31"/>
        <v>0</v>
      </c>
      <c r="Y60" s="21">
        <f t="shared" si="31"/>
        <v>0</v>
      </c>
      <c r="Z60" s="81"/>
      <c r="AA60" s="81"/>
      <c r="AB60" s="81"/>
      <c r="AC60" s="81"/>
      <c r="AD60" s="81"/>
      <c r="AE60" s="81"/>
      <c r="AF60" s="81"/>
      <c r="AG60" s="81"/>
    </row>
    <row r="61" spans="1:33" ht="12.75">
      <c r="A61" s="86"/>
      <c r="C61" s="21">
        <f t="shared" si="24"/>
        <v>1993</v>
      </c>
      <c r="D61" s="86">
        <f t="shared" si="25"/>
        <v>8321926.56</v>
      </c>
      <c r="E61" s="86">
        <f t="shared" si="25"/>
        <v>104024.082</v>
      </c>
      <c r="F61" s="21">
        <v>1</v>
      </c>
      <c r="G61" s="21">
        <v>0</v>
      </c>
      <c r="H61" s="86">
        <f t="shared" si="26"/>
        <v>0</v>
      </c>
      <c r="I61" s="86">
        <f t="shared" si="27"/>
        <v>0</v>
      </c>
      <c r="P61" s="283">
        <f t="shared" si="28"/>
        <v>9015420.44</v>
      </c>
      <c r="Q61" s="283">
        <f t="shared" si="28"/>
        <v>112692.7555</v>
      </c>
      <c r="R61" s="21">
        <v>1</v>
      </c>
      <c r="S61" s="21">
        <v>0</v>
      </c>
      <c r="T61" s="86">
        <f t="shared" si="29"/>
        <v>9015420.44</v>
      </c>
      <c r="U61" s="86">
        <f t="shared" si="29"/>
        <v>112692.7555</v>
      </c>
      <c r="V61" s="86">
        <f t="shared" si="30"/>
        <v>8321926.56</v>
      </c>
      <c r="W61" s="86">
        <f t="shared" si="30"/>
        <v>104024.082</v>
      </c>
      <c r="X61" s="21">
        <f t="shared" si="31"/>
        <v>0</v>
      </c>
      <c r="Y61" s="21">
        <f t="shared" si="31"/>
        <v>0</v>
      </c>
      <c r="Z61" s="81"/>
      <c r="AA61" s="81"/>
      <c r="AB61" s="81"/>
      <c r="AC61" s="81"/>
      <c r="AD61" s="81"/>
      <c r="AE61" s="81"/>
      <c r="AF61" s="81"/>
      <c r="AG61" s="81"/>
    </row>
    <row r="62" spans="1:25" ht="12.75">
      <c r="A62" s="86"/>
      <c r="C62" s="21">
        <f t="shared" si="24"/>
        <v>1994</v>
      </c>
      <c r="D62" s="86">
        <f t="shared" si="25"/>
        <v>8671426.56</v>
      </c>
      <c r="E62" s="86">
        <f t="shared" si="25"/>
        <v>125128.6852608</v>
      </c>
      <c r="F62" s="21">
        <v>1</v>
      </c>
      <c r="G62" s="21">
        <v>0</v>
      </c>
      <c r="H62" s="86">
        <f t="shared" si="26"/>
        <v>0</v>
      </c>
      <c r="I62" s="86">
        <f t="shared" si="27"/>
        <v>0</v>
      </c>
      <c r="P62" s="283">
        <f t="shared" si="28"/>
        <v>9394045.44</v>
      </c>
      <c r="Q62" s="283">
        <f t="shared" si="28"/>
        <v>135556.0756992</v>
      </c>
      <c r="R62" s="21">
        <v>1</v>
      </c>
      <c r="S62" s="21">
        <v>0</v>
      </c>
      <c r="T62" s="86">
        <f t="shared" si="29"/>
        <v>9394045.44</v>
      </c>
      <c r="U62" s="86">
        <f t="shared" si="29"/>
        <v>135556.0756992</v>
      </c>
      <c r="V62" s="86">
        <f t="shared" si="30"/>
        <v>8671426.56</v>
      </c>
      <c r="W62" s="86">
        <f t="shared" si="30"/>
        <v>125128.6852608</v>
      </c>
      <c r="X62" s="21">
        <f t="shared" si="31"/>
        <v>0</v>
      </c>
      <c r="Y62" s="21">
        <f t="shared" si="31"/>
        <v>0</v>
      </c>
    </row>
    <row r="63" spans="1:25" ht="12.75">
      <c r="A63" s="86"/>
      <c r="C63" s="21">
        <f t="shared" si="24"/>
        <v>1995</v>
      </c>
      <c r="D63" s="86">
        <f t="shared" si="25"/>
        <v>10672760.16</v>
      </c>
      <c r="E63" s="86">
        <f t="shared" si="25"/>
        <v>174552.9924168</v>
      </c>
      <c r="F63" s="21">
        <v>0.75</v>
      </c>
      <c r="G63" s="21">
        <v>0</v>
      </c>
      <c r="H63" s="86">
        <f t="shared" si="26"/>
        <v>2668190.04</v>
      </c>
      <c r="I63" s="86">
        <f t="shared" si="27"/>
        <v>43638.2481042</v>
      </c>
      <c r="P63" s="283">
        <f t="shared" si="28"/>
        <v>11562156.84</v>
      </c>
      <c r="Q63" s="283">
        <f t="shared" si="28"/>
        <v>189099.07511820004</v>
      </c>
      <c r="R63" s="21">
        <v>1</v>
      </c>
      <c r="S63" s="21">
        <v>0</v>
      </c>
      <c r="T63" s="86">
        <f t="shared" si="29"/>
        <v>11562156.84</v>
      </c>
      <c r="U63" s="86">
        <f t="shared" si="29"/>
        <v>189099.07511820004</v>
      </c>
      <c r="V63" s="86">
        <f t="shared" si="30"/>
        <v>8004570.12</v>
      </c>
      <c r="W63" s="86">
        <f t="shared" si="30"/>
        <v>130914.7443126</v>
      </c>
      <c r="X63" s="21">
        <f t="shared" si="31"/>
        <v>0</v>
      </c>
      <c r="Y63" s="21">
        <f t="shared" si="31"/>
        <v>0</v>
      </c>
    </row>
    <row r="64" spans="1:25" ht="12.75">
      <c r="A64" s="86"/>
      <c r="C64" s="21">
        <f t="shared" si="24"/>
        <v>1996</v>
      </c>
      <c r="D64" s="86">
        <f t="shared" si="25"/>
        <v>11069899.68</v>
      </c>
      <c r="E64" s="86">
        <f t="shared" si="25"/>
        <v>202413.11564879998</v>
      </c>
      <c r="F64" s="21">
        <v>0.75</v>
      </c>
      <c r="G64" s="21">
        <v>0</v>
      </c>
      <c r="H64" s="86">
        <f t="shared" si="26"/>
        <v>2767474.92</v>
      </c>
      <c r="I64" s="86">
        <f t="shared" si="27"/>
        <v>50603.27891220001</v>
      </c>
      <c r="P64" s="283">
        <f t="shared" si="28"/>
        <v>11992391.32</v>
      </c>
      <c r="Q64" s="283">
        <f t="shared" si="28"/>
        <v>219280.87528620003</v>
      </c>
      <c r="R64" s="21">
        <v>1</v>
      </c>
      <c r="S64" s="21">
        <v>0</v>
      </c>
      <c r="T64" s="86">
        <f t="shared" si="29"/>
        <v>11992391.32</v>
      </c>
      <c r="U64" s="86">
        <f t="shared" si="29"/>
        <v>219280.87528620003</v>
      </c>
      <c r="V64" s="86">
        <f t="shared" si="30"/>
        <v>8302424.76</v>
      </c>
      <c r="W64" s="86">
        <f t="shared" si="30"/>
        <v>151809.83673659997</v>
      </c>
      <c r="X64" s="21">
        <f t="shared" si="31"/>
        <v>0</v>
      </c>
      <c r="Y64" s="21">
        <f t="shared" si="31"/>
        <v>0</v>
      </c>
    </row>
    <row r="65" spans="1:25" ht="12.75">
      <c r="A65" s="86"/>
      <c r="C65" s="21">
        <f t="shared" si="24"/>
        <v>1997</v>
      </c>
      <c r="D65" s="86">
        <f t="shared" si="25"/>
        <v>12760206.24</v>
      </c>
      <c r="E65" s="86">
        <f t="shared" si="25"/>
        <v>257947.56914159996</v>
      </c>
      <c r="F65" s="21">
        <v>0.75</v>
      </c>
      <c r="G65" s="21">
        <v>0</v>
      </c>
      <c r="H65" s="86">
        <f t="shared" si="26"/>
        <v>3190051.5600000005</v>
      </c>
      <c r="I65" s="86">
        <f t="shared" si="27"/>
        <v>64486.89228539998</v>
      </c>
      <c r="P65" s="283">
        <f t="shared" si="28"/>
        <v>13823556.76</v>
      </c>
      <c r="Q65" s="283">
        <f t="shared" si="28"/>
        <v>279443.1999034</v>
      </c>
      <c r="R65" s="21">
        <v>1</v>
      </c>
      <c r="S65" s="21">
        <v>0</v>
      </c>
      <c r="T65" s="86">
        <f t="shared" si="29"/>
        <v>13823556.76</v>
      </c>
      <c r="U65" s="86">
        <f t="shared" si="29"/>
        <v>279443.1999034</v>
      </c>
      <c r="V65" s="86">
        <f t="shared" si="30"/>
        <v>9570154.68</v>
      </c>
      <c r="W65" s="86">
        <f t="shared" si="30"/>
        <v>193460.67685619998</v>
      </c>
      <c r="X65" s="21">
        <f t="shared" si="31"/>
        <v>0</v>
      </c>
      <c r="Y65" s="21">
        <f t="shared" si="31"/>
        <v>0</v>
      </c>
    </row>
    <row r="66" spans="1:25" ht="12.75">
      <c r="A66" s="86"/>
      <c r="C66" s="21">
        <f t="shared" si="24"/>
        <v>1998</v>
      </c>
      <c r="D66" s="86">
        <f t="shared" si="25"/>
        <v>15636468.479999999</v>
      </c>
      <c r="E66" s="86">
        <f t="shared" si="25"/>
        <v>346269.5944896</v>
      </c>
      <c r="F66" s="203">
        <v>0.5</v>
      </c>
      <c r="G66" s="21">
        <v>0</v>
      </c>
      <c r="H66" s="86">
        <f t="shared" si="26"/>
        <v>7818234.239999999</v>
      </c>
      <c r="I66" s="86">
        <f t="shared" si="27"/>
        <v>173134.7972448</v>
      </c>
      <c r="K66" s="283"/>
      <c r="L66" s="283"/>
      <c r="N66" s="283"/>
      <c r="O66" s="283"/>
      <c r="P66" s="283">
        <f t="shared" si="28"/>
        <v>16939507.52</v>
      </c>
      <c r="Q66" s="283">
        <f t="shared" si="28"/>
        <v>375125.3940304</v>
      </c>
      <c r="R66" s="21">
        <v>1</v>
      </c>
      <c r="S66" s="21">
        <v>0</v>
      </c>
      <c r="T66" s="86">
        <f t="shared" si="29"/>
        <v>16939507.52</v>
      </c>
      <c r="U66" s="86">
        <f t="shared" si="29"/>
        <v>375125.3940304</v>
      </c>
      <c r="V66" s="86">
        <f t="shared" si="30"/>
        <v>7818234.239999999</v>
      </c>
      <c r="W66" s="86">
        <f t="shared" si="30"/>
        <v>173134.7972448</v>
      </c>
      <c r="X66" s="21">
        <f t="shared" si="31"/>
        <v>0</v>
      </c>
      <c r="Y66" s="21">
        <f t="shared" si="31"/>
        <v>0</v>
      </c>
    </row>
    <row r="67" spans="1:25" ht="12.75">
      <c r="A67" s="86"/>
      <c r="C67" s="21">
        <f t="shared" si="24"/>
        <v>1999</v>
      </c>
      <c r="D67" s="86">
        <f t="shared" si="25"/>
        <v>17730459.36</v>
      </c>
      <c r="E67" s="86">
        <f t="shared" si="25"/>
        <v>426772.15679519996</v>
      </c>
      <c r="F67" s="203">
        <v>0.5</v>
      </c>
      <c r="G67" s="21">
        <v>0</v>
      </c>
      <c r="H67" s="86">
        <f t="shared" si="26"/>
        <v>8865229.68</v>
      </c>
      <c r="I67" s="86">
        <f t="shared" si="27"/>
        <v>213386.07839759998</v>
      </c>
      <c r="K67" s="283"/>
      <c r="L67" s="283"/>
      <c r="N67" s="283"/>
      <c r="O67" s="283"/>
      <c r="P67" s="283">
        <f t="shared" si="28"/>
        <v>19207997.64</v>
      </c>
      <c r="Q67" s="283">
        <f t="shared" si="28"/>
        <v>462336.5031948</v>
      </c>
      <c r="R67" s="21">
        <v>1</v>
      </c>
      <c r="S67" s="21">
        <v>0</v>
      </c>
      <c r="T67" s="86">
        <f t="shared" si="29"/>
        <v>19207997.64</v>
      </c>
      <c r="U67" s="86">
        <f t="shared" si="29"/>
        <v>462336.5031948</v>
      </c>
      <c r="V67" s="86">
        <f t="shared" si="30"/>
        <v>8865229.68</v>
      </c>
      <c r="W67" s="86">
        <f t="shared" si="30"/>
        <v>213386.07839759998</v>
      </c>
      <c r="X67" s="21">
        <f t="shared" si="31"/>
        <v>0</v>
      </c>
      <c r="Y67" s="21">
        <f t="shared" si="31"/>
        <v>0</v>
      </c>
    </row>
    <row r="68" spans="1:25" ht="12.75">
      <c r="A68" s="86"/>
      <c r="C68" s="21">
        <f t="shared" si="24"/>
        <v>2000</v>
      </c>
      <c r="D68" s="86">
        <f t="shared" si="25"/>
        <v>17984272.32</v>
      </c>
      <c r="E68" s="86">
        <f t="shared" si="25"/>
        <v>467591.08032</v>
      </c>
      <c r="F68" s="21">
        <v>0.25</v>
      </c>
      <c r="G68" s="21">
        <v>0</v>
      </c>
      <c r="H68" s="86">
        <f>D68-(F68*D68)-(D68*G68)</f>
        <v>13488204.24</v>
      </c>
      <c r="I68" s="86">
        <f t="shared" si="27"/>
        <v>350693.31024</v>
      </c>
      <c r="K68" s="283"/>
      <c r="L68" s="283"/>
      <c r="N68" s="283"/>
      <c r="O68" s="283"/>
      <c r="P68" s="283">
        <f t="shared" si="28"/>
        <v>19482961.68</v>
      </c>
      <c r="Q68" s="283">
        <f t="shared" si="28"/>
        <v>506557.00368</v>
      </c>
      <c r="R68" s="21">
        <v>1</v>
      </c>
      <c r="S68" s="21">
        <v>0</v>
      </c>
      <c r="T68" s="86">
        <f t="shared" si="29"/>
        <v>19482961.68</v>
      </c>
      <c r="U68" s="86">
        <f t="shared" si="29"/>
        <v>506557.00368</v>
      </c>
      <c r="V68" s="86">
        <f>D68*$F68</f>
        <v>4496068.08</v>
      </c>
      <c r="W68" s="86">
        <f t="shared" si="30"/>
        <v>116897.77008</v>
      </c>
      <c r="X68" s="21">
        <f t="shared" si="31"/>
        <v>0</v>
      </c>
      <c r="Y68" s="21">
        <f t="shared" si="31"/>
        <v>0</v>
      </c>
    </row>
    <row r="69" spans="1:25" ht="12.75">
      <c r="A69" s="86"/>
      <c r="C69" s="21">
        <f t="shared" si="24"/>
        <v>2001</v>
      </c>
      <c r="D69" s="86">
        <f t="shared" si="25"/>
        <v>13075737.12</v>
      </c>
      <c r="E69" s="86">
        <f t="shared" si="25"/>
        <v>337484.7750672</v>
      </c>
      <c r="F69" s="21">
        <v>0.25</v>
      </c>
      <c r="G69" s="21">
        <v>0.75</v>
      </c>
      <c r="H69" s="86">
        <f t="shared" si="26"/>
        <v>0</v>
      </c>
      <c r="I69" s="86">
        <f t="shared" si="27"/>
        <v>0</v>
      </c>
      <c r="J69" s="21">
        <v>0.75</v>
      </c>
      <c r="K69" s="283">
        <f aca="true" t="shared" si="32" ref="K69:K75">D69*J69</f>
        <v>9806802.84</v>
      </c>
      <c r="L69" s="283">
        <f aca="true" t="shared" si="33" ref="L69:L75">E69*J69</f>
        <v>253113.58130040002</v>
      </c>
      <c r="M69" s="21">
        <v>0</v>
      </c>
      <c r="N69" s="283">
        <f>D69*$M69</f>
        <v>0</v>
      </c>
      <c r="O69" s="283">
        <f aca="true" t="shared" si="34" ref="N69:O75">E69*$M69</f>
        <v>0</v>
      </c>
      <c r="P69" s="283">
        <f t="shared" si="28"/>
        <v>14165381.88</v>
      </c>
      <c r="Q69" s="283">
        <f t="shared" si="28"/>
        <v>365608.5063228</v>
      </c>
      <c r="R69" s="21">
        <v>1</v>
      </c>
      <c r="S69" s="21">
        <v>0</v>
      </c>
      <c r="T69" s="86">
        <f t="shared" si="29"/>
        <v>14165381.88</v>
      </c>
      <c r="U69" s="86">
        <f t="shared" si="29"/>
        <v>365608.5063228</v>
      </c>
      <c r="V69" s="86">
        <f t="shared" si="30"/>
        <v>3268934.28</v>
      </c>
      <c r="W69" s="86">
        <f t="shared" si="30"/>
        <v>84371.1937668</v>
      </c>
      <c r="X69" s="21">
        <f t="shared" si="31"/>
        <v>0</v>
      </c>
      <c r="Y69" s="21">
        <f t="shared" si="31"/>
        <v>0</v>
      </c>
    </row>
    <row r="70" spans="1:25" ht="12.75">
      <c r="A70" s="86"/>
      <c r="C70" s="21">
        <f t="shared" si="24"/>
        <v>2002</v>
      </c>
      <c r="D70" s="86">
        <f t="shared" si="25"/>
        <v>11182124.639999999</v>
      </c>
      <c r="E70" s="86">
        <f t="shared" si="25"/>
        <v>286541.9439</v>
      </c>
      <c r="F70" s="21">
        <v>0.25</v>
      </c>
      <c r="G70" s="21">
        <v>0.75</v>
      </c>
      <c r="H70" s="86">
        <f t="shared" si="26"/>
        <v>0</v>
      </c>
      <c r="I70" s="86">
        <f t="shared" si="27"/>
        <v>0</v>
      </c>
      <c r="J70" s="21">
        <v>0.75</v>
      </c>
      <c r="K70" s="283">
        <f t="shared" si="32"/>
        <v>8386593.479999999</v>
      </c>
      <c r="L70" s="283">
        <f t="shared" si="33"/>
        <v>214906.457925</v>
      </c>
      <c r="M70" s="21">
        <v>0</v>
      </c>
      <c r="N70" s="283">
        <f t="shared" si="34"/>
        <v>0</v>
      </c>
      <c r="O70" s="283">
        <f t="shared" si="34"/>
        <v>0</v>
      </c>
      <c r="P70" s="283">
        <f t="shared" si="28"/>
        <v>12113968.360000001</v>
      </c>
      <c r="Q70" s="283">
        <f t="shared" si="28"/>
        <v>310420.43922500004</v>
      </c>
      <c r="R70" s="21">
        <v>1</v>
      </c>
      <c r="S70" s="21">
        <v>0</v>
      </c>
      <c r="T70" s="86">
        <f t="shared" si="29"/>
        <v>12113968.360000001</v>
      </c>
      <c r="U70" s="86">
        <f t="shared" si="29"/>
        <v>310420.43922500004</v>
      </c>
      <c r="V70" s="86">
        <f t="shared" si="30"/>
        <v>2795531.1599999997</v>
      </c>
      <c r="W70" s="86">
        <f t="shared" si="30"/>
        <v>71635.485975</v>
      </c>
      <c r="X70" s="21">
        <f t="shared" si="31"/>
        <v>0</v>
      </c>
      <c r="Y70" s="21">
        <f t="shared" si="31"/>
        <v>0</v>
      </c>
    </row>
    <row r="71" spans="1:25" ht="12.75">
      <c r="A71" s="86"/>
      <c r="C71" s="21">
        <f t="shared" si="24"/>
        <v>2003</v>
      </c>
      <c r="D71" s="86">
        <f t="shared" si="25"/>
        <v>7564245.6</v>
      </c>
      <c r="E71" s="86">
        <f t="shared" si="25"/>
        <v>192396.58683599997</v>
      </c>
      <c r="F71" s="21">
        <v>0</v>
      </c>
      <c r="G71" s="21">
        <v>1</v>
      </c>
      <c r="H71" s="86">
        <f t="shared" si="26"/>
        <v>0</v>
      </c>
      <c r="I71" s="86">
        <f t="shared" si="27"/>
        <v>0</v>
      </c>
      <c r="J71" s="21">
        <v>1</v>
      </c>
      <c r="K71" s="283">
        <f t="shared" si="32"/>
        <v>7564245.6</v>
      </c>
      <c r="L71" s="283">
        <f t="shared" si="33"/>
        <v>192396.58683599997</v>
      </c>
      <c r="M71" s="21">
        <v>0</v>
      </c>
      <c r="N71" s="283">
        <f t="shared" si="34"/>
        <v>0</v>
      </c>
      <c r="O71" s="283">
        <f t="shared" si="34"/>
        <v>0</v>
      </c>
      <c r="P71" s="283">
        <f t="shared" si="28"/>
        <v>8194599.4</v>
      </c>
      <c r="Q71" s="283">
        <f t="shared" si="28"/>
        <v>208429.635739</v>
      </c>
      <c r="R71" s="21">
        <v>0.3</v>
      </c>
      <c r="S71" s="21">
        <v>0.7</v>
      </c>
      <c r="T71" s="86">
        <f t="shared" si="29"/>
        <v>2458379.82</v>
      </c>
      <c r="U71" s="86">
        <f t="shared" si="29"/>
        <v>62528.890721699994</v>
      </c>
      <c r="V71" s="86">
        <f t="shared" si="30"/>
        <v>0</v>
      </c>
      <c r="W71" s="86">
        <f t="shared" si="30"/>
        <v>0</v>
      </c>
      <c r="X71" s="86">
        <f>P71*$S71</f>
        <v>5736219.58</v>
      </c>
      <c r="Y71" s="86">
        <f t="shared" si="31"/>
        <v>145900.74501729998</v>
      </c>
    </row>
    <row r="72" spans="1:25" ht="12.75">
      <c r="A72" s="86"/>
      <c r="C72" s="21">
        <f t="shared" si="24"/>
        <v>2004</v>
      </c>
      <c r="D72" s="86">
        <f t="shared" si="25"/>
        <v>6695747.04</v>
      </c>
      <c r="E72" s="86">
        <f t="shared" si="25"/>
        <v>169067.61276</v>
      </c>
      <c r="F72" s="21">
        <v>0</v>
      </c>
      <c r="G72" s="21">
        <v>1</v>
      </c>
      <c r="H72" s="86">
        <f t="shared" si="26"/>
        <v>0</v>
      </c>
      <c r="I72" s="86">
        <f t="shared" si="27"/>
        <v>0</v>
      </c>
      <c r="J72" s="21">
        <v>0</v>
      </c>
      <c r="K72" s="283">
        <f t="shared" si="32"/>
        <v>0</v>
      </c>
      <c r="L72" s="283">
        <f t="shared" si="33"/>
        <v>0</v>
      </c>
      <c r="M72" s="21">
        <v>1</v>
      </c>
      <c r="N72" s="283">
        <f t="shared" si="34"/>
        <v>6695747.04</v>
      </c>
      <c r="O72" s="283">
        <f t="shared" si="34"/>
        <v>169067.61276</v>
      </c>
      <c r="P72" s="283">
        <f t="shared" si="28"/>
        <v>7253725.96</v>
      </c>
      <c r="Q72" s="283">
        <f t="shared" si="28"/>
        <v>183156.58049000002</v>
      </c>
      <c r="R72" s="21">
        <v>0.3</v>
      </c>
      <c r="S72" s="21">
        <v>0.7</v>
      </c>
      <c r="T72" s="86">
        <f t="shared" si="29"/>
        <v>2176117.7879999997</v>
      </c>
      <c r="U72" s="86">
        <f t="shared" si="29"/>
        <v>54946.97414700001</v>
      </c>
      <c r="V72" s="86">
        <f t="shared" si="30"/>
        <v>0</v>
      </c>
      <c r="W72" s="86">
        <f t="shared" si="30"/>
        <v>0</v>
      </c>
      <c r="X72" s="86">
        <f>P72*$S72</f>
        <v>5077608.171999999</v>
      </c>
      <c r="Y72" s="86">
        <f>Q72*$S72</f>
        <v>128209.606343</v>
      </c>
    </row>
    <row r="73" spans="1:25" ht="12.75">
      <c r="A73" s="86"/>
      <c r="C73" s="21">
        <f t="shared" si="24"/>
        <v>2005</v>
      </c>
      <c r="D73" s="86">
        <f t="shared" si="25"/>
        <v>3723340.32</v>
      </c>
      <c r="E73" s="86">
        <f t="shared" si="25"/>
        <v>94014.34308</v>
      </c>
      <c r="F73" s="21">
        <v>0</v>
      </c>
      <c r="G73" s="21">
        <v>1</v>
      </c>
      <c r="H73" s="86">
        <f t="shared" si="26"/>
        <v>0</v>
      </c>
      <c r="I73" s="86">
        <f t="shared" si="27"/>
        <v>0</v>
      </c>
      <c r="J73" s="21">
        <v>0</v>
      </c>
      <c r="K73" s="283">
        <f t="shared" si="32"/>
        <v>0</v>
      </c>
      <c r="L73" s="283">
        <f t="shared" si="33"/>
        <v>0</v>
      </c>
      <c r="M73" s="21">
        <v>1</v>
      </c>
      <c r="N73" s="283">
        <f t="shared" si="34"/>
        <v>3723340.32</v>
      </c>
      <c r="O73" s="283">
        <f t="shared" si="34"/>
        <v>94014.34308</v>
      </c>
      <c r="P73" s="283">
        <f aca="true" t="shared" si="35" ref="P73:Q75">I33</f>
        <v>4033618.68</v>
      </c>
      <c r="Q73" s="283">
        <f t="shared" si="35"/>
        <v>101848.87167000001</v>
      </c>
      <c r="R73" s="21">
        <v>0</v>
      </c>
      <c r="S73" s="21">
        <v>1</v>
      </c>
      <c r="T73" s="86">
        <f aca="true" t="shared" si="36" ref="T73:U75">P73*$R73</f>
        <v>0</v>
      </c>
      <c r="U73" s="86">
        <f t="shared" si="36"/>
        <v>0</v>
      </c>
      <c r="V73" s="86">
        <f aca="true" t="shared" si="37" ref="V73:W75">D73*$F73</f>
        <v>0</v>
      </c>
      <c r="W73" s="86">
        <f t="shared" si="37"/>
        <v>0</v>
      </c>
      <c r="X73" s="86">
        <f>P73*$S73</f>
        <v>4033618.68</v>
      </c>
      <c r="Y73" s="86">
        <f>Q73*$S73</f>
        <v>101848.87167000001</v>
      </c>
    </row>
    <row r="74" spans="1:25" ht="12.75">
      <c r="A74" s="86"/>
      <c r="C74" s="21">
        <f t="shared" si="24"/>
        <v>2006</v>
      </c>
      <c r="D74" s="86">
        <f>G34</f>
        <v>1672526.88</v>
      </c>
      <c r="E74" s="86">
        <f>H34</f>
        <v>42231.30372</v>
      </c>
      <c r="F74" s="21">
        <v>0</v>
      </c>
      <c r="G74" s="21">
        <v>1</v>
      </c>
      <c r="H74" s="86">
        <f t="shared" si="26"/>
        <v>0</v>
      </c>
      <c r="I74" s="86">
        <f t="shared" si="27"/>
        <v>0</v>
      </c>
      <c r="J74" s="21">
        <v>0</v>
      </c>
      <c r="K74" s="283">
        <f t="shared" si="32"/>
        <v>0</v>
      </c>
      <c r="L74" s="283">
        <f t="shared" si="33"/>
        <v>0</v>
      </c>
      <c r="M74" s="21">
        <v>1</v>
      </c>
      <c r="N74" s="283">
        <f t="shared" si="34"/>
        <v>1672526.88</v>
      </c>
      <c r="O74" s="283">
        <f t="shared" si="34"/>
        <v>42231.30372</v>
      </c>
      <c r="P74" s="283">
        <f t="shared" si="35"/>
        <v>1811904.12</v>
      </c>
      <c r="Q74" s="283">
        <f t="shared" si="35"/>
        <v>45750.57903</v>
      </c>
      <c r="R74" s="21">
        <v>0</v>
      </c>
      <c r="S74" s="21">
        <v>1</v>
      </c>
      <c r="T74" s="86">
        <f t="shared" si="36"/>
        <v>0</v>
      </c>
      <c r="U74" s="86">
        <f t="shared" si="36"/>
        <v>0</v>
      </c>
      <c r="V74" s="86">
        <f t="shared" si="37"/>
        <v>0</v>
      </c>
      <c r="W74" s="86">
        <f t="shared" si="37"/>
        <v>0</v>
      </c>
      <c r="X74" s="86">
        <f>P74*$S74</f>
        <v>1811904.12</v>
      </c>
      <c r="Y74" s="86">
        <f>Q74*$S74</f>
        <v>45750.57903</v>
      </c>
    </row>
    <row r="75" spans="1:25" ht="12.75">
      <c r="A75" s="86"/>
      <c r="C75" s="21">
        <f t="shared" si="24"/>
        <v>2007</v>
      </c>
      <c r="D75" s="86">
        <f>G35</f>
        <v>488530.56</v>
      </c>
      <c r="E75" s="86">
        <f>H35</f>
        <v>12335.396639999999</v>
      </c>
      <c r="F75" s="21">
        <v>0</v>
      </c>
      <c r="G75" s="21">
        <v>1</v>
      </c>
      <c r="H75" s="86">
        <f t="shared" si="26"/>
        <v>0</v>
      </c>
      <c r="I75" s="86">
        <f t="shared" si="27"/>
        <v>0</v>
      </c>
      <c r="J75" s="21">
        <v>0</v>
      </c>
      <c r="K75" s="283">
        <f t="shared" si="32"/>
        <v>0</v>
      </c>
      <c r="L75" s="283">
        <f t="shared" si="33"/>
        <v>0</v>
      </c>
      <c r="M75" s="21">
        <v>1</v>
      </c>
      <c r="N75" s="283">
        <f t="shared" si="34"/>
        <v>488530.56</v>
      </c>
      <c r="O75" s="283">
        <f t="shared" si="34"/>
        <v>12335.396639999999</v>
      </c>
      <c r="P75" s="283">
        <f t="shared" si="35"/>
        <v>529241.4400000001</v>
      </c>
      <c r="Q75" s="283">
        <f t="shared" si="35"/>
        <v>13363.34636</v>
      </c>
      <c r="R75" s="21">
        <v>0</v>
      </c>
      <c r="S75" s="21">
        <v>1</v>
      </c>
      <c r="T75" s="86">
        <f t="shared" si="36"/>
        <v>0</v>
      </c>
      <c r="U75" s="86">
        <f t="shared" si="36"/>
        <v>0</v>
      </c>
      <c r="V75" s="86">
        <f t="shared" si="37"/>
        <v>0</v>
      </c>
      <c r="W75" s="86">
        <f t="shared" si="37"/>
        <v>0</v>
      </c>
      <c r="X75" s="86">
        <f>P75*$S75</f>
        <v>529241.4400000001</v>
      </c>
      <c r="Y75" s="86">
        <f>Q75*$S75</f>
        <v>13363.34636</v>
      </c>
    </row>
    <row r="76" spans="1:25" s="414" customFormat="1" ht="12.75">
      <c r="A76" s="283"/>
      <c r="C76" s="414" t="s">
        <v>22</v>
      </c>
      <c r="D76" s="283">
        <f>SUM(D48:D75)</f>
        <v>190108851.11225805</v>
      </c>
      <c r="H76" s="283">
        <f>SUM(H48:H75)</f>
        <v>38797384.68</v>
      </c>
      <c r="I76" s="283">
        <f>SUM(I48:I75)</f>
        <v>895942.6051842</v>
      </c>
      <c r="J76" s="283"/>
      <c r="K76" s="283">
        <f>SUM(K48:K75)</f>
        <v>25757641.92</v>
      </c>
      <c r="L76" s="283">
        <f>SUM(L48:L75)</f>
        <v>660416.6260613999</v>
      </c>
      <c r="N76" s="283">
        <f>SUM(N48:N75)</f>
        <v>12580144.799999999</v>
      </c>
      <c r="O76" s="283">
        <f>SUM(O48:O75)</f>
        <v>317648.6562</v>
      </c>
      <c r="P76" s="283">
        <f>SUM(P48:P75)</f>
        <v>205951255.37161297</v>
      </c>
      <c r="T76" s="283">
        <f aca="true" t="shared" si="38" ref="T76:Y76">SUM(T48:T75)</f>
        <v>188762663.37961292</v>
      </c>
      <c r="U76" s="283">
        <f t="shared" si="38"/>
        <v>3644694.999121758</v>
      </c>
      <c r="V76" s="283">
        <f t="shared" si="38"/>
        <v>112973679.71225806</v>
      </c>
      <c r="W76" s="283">
        <f t="shared" si="38"/>
        <v>1891931.941054761</v>
      </c>
      <c r="X76" s="283">
        <f t="shared" si="38"/>
        <v>17188591.992000002</v>
      </c>
      <c r="Y76" s="283">
        <f t="shared" si="38"/>
        <v>435073.14842030004</v>
      </c>
    </row>
    <row r="77" spans="1:22" ht="12.75">
      <c r="A77" s="86"/>
      <c r="K77" s="97"/>
      <c r="T77" s="81"/>
      <c r="U77" s="81"/>
      <c r="V77" s="81"/>
    </row>
    <row r="78" spans="1:23" ht="12.75">
      <c r="A78" s="86"/>
      <c r="C78" s="26"/>
      <c r="F78" s="21" t="s">
        <v>67</v>
      </c>
      <c r="K78" s="97"/>
      <c r="T78" s="81"/>
      <c r="U78" s="81"/>
      <c r="V78" s="81"/>
      <c r="W78" s="96"/>
    </row>
    <row r="79" spans="1:23" ht="12.75">
      <c r="A79" s="86"/>
      <c r="C79" s="26"/>
      <c r="D79" s="21" t="s">
        <v>63</v>
      </c>
      <c r="F79" s="21" t="s">
        <v>65</v>
      </c>
      <c r="T79" s="81"/>
      <c r="U79" s="81"/>
      <c r="V79" s="81"/>
      <c r="W79" s="96"/>
    </row>
    <row r="80" spans="1:22" ht="12.75">
      <c r="A80" s="86"/>
      <c r="D80" s="21" t="s">
        <v>64</v>
      </c>
      <c r="E80" s="21" t="s">
        <v>30</v>
      </c>
      <c r="F80" s="21" t="s">
        <v>66</v>
      </c>
      <c r="U80" s="97"/>
      <c r="V80" s="97"/>
    </row>
    <row r="81" spans="1:22" ht="12.75">
      <c r="A81" s="86"/>
      <c r="C81" s="20">
        <v>1982</v>
      </c>
      <c r="V81" s="96"/>
    </row>
    <row r="82" spans="1:22" ht="12.75">
      <c r="A82" s="86"/>
      <c r="C82" s="20">
        <v>1983</v>
      </c>
      <c r="R82" s="111"/>
      <c r="V82" s="96"/>
    </row>
    <row r="83" spans="1:22" ht="12.75">
      <c r="A83" s="86"/>
      <c r="C83" s="20">
        <v>1984</v>
      </c>
      <c r="V83" s="96"/>
    </row>
    <row r="84" spans="1:3" ht="12.75">
      <c r="A84" s="86"/>
      <c r="C84" s="20">
        <v>1985</v>
      </c>
    </row>
    <row r="85" spans="1:3" ht="12.75">
      <c r="A85" s="86"/>
      <c r="C85" s="20">
        <v>1986</v>
      </c>
    </row>
    <row r="86" spans="1:3" ht="12.75">
      <c r="A86" s="86"/>
      <c r="C86" s="20">
        <v>1987</v>
      </c>
    </row>
    <row r="87" spans="1:3" ht="12.75">
      <c r="A87" s="86"/>
      <c r="C87" s="20">
        <v>1988</v>
      </c>
    </row>
    <row r="88" spans="1:10" ht="12.75">
      <c r="A88" s="86"/>
      <c r="C88" s="20">
        <v>1989</v>
      </c>
      <c r="D88" s="86">
        <f>D17</f>
        <v>8389497</v>
      </c>
      <c r="E88" s="86">
        <f>Desktops!C17</f>
        <v>8905801</v>
      </c>
      <c r="F88" s="186">
        <f>D88/E88</f>
        <v>0.9420261018632686</v>
      </c>
      <c r="G88" s="186"/>
      <c r="H88" s="186"/>
      <c r="I88" s="186"/>
      <c r="J88" s="186"/>
    </row>
    <row r="89" spans="1:10" ht="12.75">
      <c r="A89" s="86"/>
      <c r="C89" s="20">
        <v>1990</v>
      </c>
      <c r="D89" s="86">
        <f aca="true" t="shared" si="39" ref="D89:D106">D18</f>
        <v>9398360</v>
      </c>
      <c r="E89" s="86">
        <f>Desktops!C18</f>
        <v>9485529</v>
      </c>
      <c r="F89" s="186">
        <f aca="true" t="shared" si="40" ref="F89:F106">D89/E89</f>
        <v>0.9908103174846653</v>
      </c>
      <c r="G89" s="186"/>
      <c r="H89" s="186"/>
      <c r="I89" s="186"/>
      <c r="J89" s="186"/>
    </row>
    <row r="90" spans="1:10" ht="12.75">
      <c r="A90" s="86"/>
      <c r="C90" s="20">
        <v>1991</v>
      </c>
      <c r="D90" s="86">
        <f t="shared" si="39"/>
        <v>10475034</v>
      </c>
      <c r="E90" s="86">
        <f>Desktops!C19</f>
        <v>9523762</v>
      </c>
      <c r="F90" s="186">
        <f t="shared" si="40"/>
        <v>1.0998840584214515</v>
      </c>
      <c r="G90" s="186"/>
      <c r="H90" s="186"/>
      <c r="I90" s="186"/>
      <c r="J90" s="186"/>
    </row>
    <row r="91" spans="1:10" ht="12.75">
      <c r="A91" s="86"/>
      <c r="C91" s="20">
        <v>1992</v>
      </c>
      <c r="D91" s="86">
        <f t="shared" si="39"/>
        <v>13398131</v>
      </c>
      <c r="E91" s="86">
        <f>Desktops!C20</f>
        <v>9911000</v>
      </c>
      <c r="F91" s="186">
        <f t="shared" si="40"/>
        <v>1.3518445161941277</v>
      </c>
      <c r="G91" s="186"/>
      <c r="H91" s="186"/>
      <c r="I91" s="186"/>
      <c r="J91" s="186"/>
    </row>
    <row r="92" spans="1:10" ht="12.75">
      <c r="A92" s="86"/>
      <c r="C92" s="20">
        <v>1993</v>
      </c>
      <c r="D92" s="86">
        <f t="shared" si="39"/>
        <v>17337347</v>
      </c>
      <c r="E92" s="86">
        <f>Desktops!C21</f>
        <v>13022020.56</v>
      </c>
      <c r="F92" s="186">
        <f t="shared" si="40"/>
        <v>1.3313868550672907</v>
      </c>
      <c r="G92" s="186"/>
      <c r="H92" s="186"/>
      <c r="I92" s="186"/>
      <c r="J92" s="186"/>
    </row>
    <row r="93" spans="1:10" ht="12.75">
      <c r="A93" s="86"/>
      <c r="C93" s="20">
        <v>1994</v>
      </c>
      <c r="D93" s="86">
        <f t="shared" si="39"/>
        <v>18065472</v>
      </c>
      <c r="E93" s="86">
        <f>Desktops!C22</f>
        <v>15296184</v>
      </c>
      <c r="F93" s="186">
        <f t="shared" si="40"/>
        <v>1.1810443702821567</v>
      </c>
      <c r="G93" s="186"/>
      <c r="H93" s="186"/>
      <c r="I93" s="186"/>
      <c r="J93" s="186"/>
    </row>
    <row r="94" spans="1:10" ht="12.75">
      <c r="A94" s="86"/>
      <c r="C94" s="20">
        <v>1995</v>
      </c>
      <c r="D94" s="86">
        <f t="shared" si="39"/>
        <v>22234917</v>
      </c>
      <c r="E94" s="86">
        <f>Desktops!C23</f>
        <v>19139858</v>
      </c>
      <c r="F94" s="186">
        <f t="shared" si="40"/>
        <v>1.1617075215500554</v>
      </c>
      <c r="G94" s="186"/>
      <c r="H94" s="186"/>
      <c r="I94" s="186"/>
      <c r="J94" s="186"/>
    </row>
    <row r="95" spans="1:10" ht="12.75">
      <c r="A95" s="86"/>
      <c r="C95" s="20">
        <v>1996</v>
      </c>
      <c r="D95" s="86">
        <f t="shared" si="39"/>
        <v>23062291</v>
      </c>
      <c r="E95" s="86">
        <f>Desktops!C24</f>
        <v>22420954</v>
      </c>
      <c r="F95" s="186">
        <f t="shared" si="40"/>
        <v>1.028604358226684</v>
      </c>
      <c r="G95" s="186"/>
      <c r="H95" s="186"/>
      <c r="I95" s="186"/>
      <c r="J95" s="186"/>
    </row>
    <row r="96" spans="1:10" ht="12.75">
      <c r="A96" s="86"/>
      <c r="C96" s="20">
        <v>1997</v>
      </c>
      <c r="D96" s="86">
        <f t="shared" si="39"/>
        <v>26583763</v>
      </c>
      <c r="E96" s="86">
        <f>Desktops!C25</f>
        <v>26767206</v>
      </c>
      <c r="F96" s="186">
        <f t="shared" si="40"/>
        <v>0.9931467258853988</v>
      </c>
      <c r="G96" s="186"/>
      <c r="H96" s="186"/>
      <c r="I96" s="186"/>
      <c r="J96" s="186"/>
    </row>
    <row r="97" spans="1:10" ht="12.75">
      <c r="A97" s="86"/>
      <c r="C97" s="20">
        <v>1998</v>
      </c>
      <c r="D97" s="86">
        <f t="shared" si="39"/>
        <v>32575976</v>
      </c>
      <c r="E97" s="86">
        <f>Desktops!C26</f>
        <v>32525826</v>
      </c>
      <c r="F97" s="186">
        <f t="shared" si="40"/>
        <v>1.0015418516965564</v>
      </c>
      <c r="G97" s="186"/>
      <c r="H97" s="186"/>
      <c r="I97" s="186"/>
      <c r="J97" s="186"/>
    </row>
    <row r="98" spans="1:10" ht="12.75">
      <c r="A98" s="86"/>
      <c r="C98" s="20">
        <v>1999</v>
      </c>
      <c r="D98" s="86">
        <f t="shared" si="39"/>
        <v>36938457</v>
      </c>
      <c r="E98" s="86">
        <f>Desktops!C27</f>
        <v>39488308</v>
      </c>
      <c r="F98" s="186">
        <f t="shared" si="40"/>
        <v>0.9354276967248129</v>
      </c>
      <c r="G98" s="186"/>
      <c r="H98" s="186"/>
      <c r="I98" s="186"/>
      <c r="J98" s="186"/>
    </row>
    <row r="99" spans="1:10" ht="12.75">
      <c r="A99" s="86"/>
      <c r="C99" s="20">
        <v>2000</v>
      </c>
      <c r="D99" s="86">
        <f t="shared" si="39"/>
        <v>37467234</v>
      </c>
      <c r="E99" s="86">
        <f>Desktops!C28</f>
        <v>40822348</v>
      </c>
      <c r="F99" s="186">
        <f t="shared" si="40"/>
        <v>0.9178118318916884</v>
      </c>
      <c r="G99" s="186"/>
      <c r="H99" s="186"/>
      <c r="I99" s="186"/>
      <c r="J99" s="186"/>
    </row>
    <row r="100" spans="1:10" ht="12.75">
      <c r="A100" s="86"/>
      <c r="C100" s="20">
        <v>2001</v>
      </c>
      <c r="D100" s="86">
        <f t="shared" si="39"/>
        <v>27241119</v>
      </c>
      <c r="E100" s="86">
        <f>Desktops!C29</f>
        <v>35092536</v>
      </c>
      <c r="F100" s="186">
        <f t="shared" si="40"/>
        <v>0.7762653289007099</v>
      </c>
      <c r="G100" s="186"/>
      <c r="H100" s="186"/>
      <c r="I100" s="186"/>
      <c r="J100" s="186"/>
    </row>
    <row r="101" spans="1:10" ht="12.75">
      <c r="A101" s="86"/>
      <c r="C101" s="20">
        <v>2002</v>
      </c>
      <c r="D101" s="86">
        <f t="shared" si="39"/>
        <v>23296093</v>
      </c>
      <c r="E101" s="86">
        <f>Desktops!C30</f>
        <v>35082080</v>
      </c>
      <c r="F101" s="186">
        <f t="shared" si="40"/>
        <v>0.6640453758728103</v>
      </c>
      <c r="G101" s="186"/>
      <c r="H101" s="186"/>
      <c r="I101" s="186"/>
      <c r="J101" s="186"/>
    </row>
    <row r="102" spans="1:10" ht="12.75">
      <c r="A102" s="86"/>
      <c r="C102" s="20">
        <v>2003</v>
      </c>
      <c r="D102" s="86">
        <f t="shared" si="39"/>
        <v>15758845</v>
      </c>
      <c r="E102" s="86">
        <f>Desktops!C31</f>
        <v>36959328</v>
      </c>
      <c r="F102" s="186">
        <f t="shared" si="40"/>
        <v>0.4263834288329052</v>
      </c>
      <c r="G102" s="186"/>
      <c r="H102" s="186"/>
      <c r="I102" s="186"/>
      <c r="J102" s="186"/>
    </row>
    <row r="103" spans="1:10" ht="12.75">
      <c r="A103" s="86"/>
      <c r="C103" s="20">
        <v>2004</v>
      </c>
      <c r="D103" s="86">
        <f t="shared" si="39"/>
        <v>13949473</v>
      </c>
      <c r="E103" s="86">
        <f>Desktops!C32</f>
        <v>39352168</v>
      </c>
      <c r="F103" s="186">
        <f t="shared" si="40"/>
        <v>0.35447787781349177</v>
      </c>
      <c r="G103" s="186"/>
      <c r="H103" s="186"/>
      <c r="I103" s="186"/>
      <c r="J103" s="186"/>
    </row>
    <row r="104" spans="1:6" ht="12.75">
      <c r="A104" s="86"/>
      <c r="C104" s="20">
        <v>2005</v>
      </c>
      <c r="D104" s="86">
        <f t="shared" si="39"/>
        <v>7756959</v>
      </c>
      <c r="E104" s="86">
        <f>Desktops!C33</f>
        <v>38047902</v>
      </c>
      <c r="F104" s="186">
        <f t="shared" si="40"/>
        <v>0.203873501356264</v>
      </c>
    </row>
    <row r="105" spans="1:6" ht="12.75">
      <c r="A105" s="86"/>
      <c r="C105" s="20">
        <v>2006</v>
      </c>
      <c r="D105" s="86">
        <f t="shared" si="39"/>
        <v>3484431</v>
      </c>
      <c r="E105" s="86">
        <f>Desktops!C34</f>
        <v>35418676</v>
      </c>
      <c r="F105" s="186">
        <f t="shared" si="40"/>
        <v>0.09837835270861056</v>
      </c>
    </row>
    <row r="106" spans="1:6" ht="12.75">
      <c r="A106" s="86"/>
      <c r="C106" s="20">
        <v>2007</v>
      </c>
      <c r="D106" s="86">
        <f t="shared" si="39"/>
        <v>1017772</v>
      </c>
      <c r="E106" s="86">
        <f>Desktops!C35</f>
        <v>34211601</v>
      </c>
      <c r="F106" s="186">
        <f t="shared" si="40"/>
        <v>0.02974932392085363</v>
      </c>
    </row>
    <row r="107" ht="12.75">
      <c r="A107" s="86"/>
    </row>
    <row r="108" ht="12.75">
      <c r="A108" s="86"/>
    </row>
    <row r="109" ht="12.75">
      <c r="A109" s="86"/>
    </row>
    <row r="110" ht="12.75">
      <c r="A110" s="86"/>
    </row>
    <row r="111" ht="12.75">
      <c r="A111" s="86"/>
    </row>
    <row r="112" ht="12.75">
      <c r="A112" s="86"/>
    </row>
    <row r="113" ht="12.75">
      <c r="A113" s="86"/>
    </row>
    <row r="114" ht="12.75">
      <c r="A114" s="86"/>
    </row>
    <row r="115" ht="12.75">
      <c r="A115" s="86"/>
    </row>
    <row r="116" ht="12.75">
      <c r="A116" s="86"/>
    </row>
    <row r="117" ht="12.75">
      <c r="A117" s="86"/>
    </row>
    <row r="118" ht="12.75">
      <c r="A118" s="86"/>
    </row>
    <row r="119" ht="12.75">
      <c r="A119" s="86"/>
    </row>
    <row r="120" ht="12.75">
      <c r="A120" s="86"/>
    </row>
    <row r="121" ht="12.75">
      <c r="A121" s="86"/>
    </row>
    <row r="122" ht="12.75">
      <c r="A122" s="86"/>
    </row>
    <row r="123" ht="12.75">
      <c r="A123" s="86"/>
    </row>
    <row r="124" ht="12.75">
      <c r="A124" s="86"/>
    </row>
    <row r="125" ht="12.75">
      <c r="A125" s="86"/>
    </row>
    <row r="126" ht="12.75">
      <c r="A126" s="86"/>
    </row>
    <row r="127" ht="12.75">
      <c r="A127" s="86"/>
    </row>
    <row r="128" ht="12.75">
      <c r="A128" s="86"/>
    </row>
    <row r="129" ht="12.75">
      <c r="A129" s="86"/>
    </row>
    <row r="130" ht="12.75">
      <c r="A130" s="86"/>
    </row>
    <row r="131" ht="12.75">
      <c r="A131" s="86"/>
    </row>
    <row r="132" ht="12.75">
      <c r="A132" s="86"/>
    </row>
    <row r="133" ht="12.75">
      <c r="A133" s="86"/>
    </row>
    <row r="134" ht="12.75">
      <c r="A134" s="86"/>
    </row>
    <row r="135" ht="12.75">
      <c r="A135" s="86"/>
    </row>
    <row r="136" ht="12.75">
      <c r="A136" s="86"/>
    </row>
    <row r="137" ht="12.75">
      <c r="A137" s="86"/>
    </row>
    <row r="138" ht="12.75">
      <c r="A138" s="86"/>
    </row>
    <row r="139" ht="12.75">
      <c r="A139" s="86"/>
    </row>
    <row r="140" ht="12.75">
      <c r="A140" s="86"/>
    </row>
    <row r="141" ht="12.75">
      <c r="A141" s="86"/>
    </row>
    <row r="142" ht="12.75">
      <c r="A142" s="86"/>
    </row>
    <row r="143" ht="12.75">
      <c r="A143" s="86"/>
    </row>
    <row r="144" ht="12.75">
      <c r="A144" s="86"/>
    </row>
    <row r="145" ht="12.75">
      <c r="A145" s="86"/>
    </row>
    <row r="146" ht="12.75">
      <c r="A146" s="86"/>
    </row>
    <row r="147" ht="12.75">
      <c r="A147" s="86"/>
    </row>
    <row r="148" ht="12.75">
      <c r="A148" s="86"/>
    </row>
    <row r="149" ht="12.75">
      <c r="A149" s="86"/>
    </row>
    <row r="150" ht="12.75">
      <c r="A150" s="86"/>
    </row>
    <row r="151" ht="12.75">
      <c r="A151" s="86"/>
    </row>
    <row r="152" ht="12.75">
      <c r="A152" s="86"/>
    </row>
    <row r="153" ht="12.75">
      <c r="A153" s="86"/>
    </row>
    <row r="154" ht="12.75">
      <c r="A154" s="86"/>
    </row>
    <row r="155" ht="12.75">
      <c r="A155" s="86"/>
    </row>
    <row r="156" ht="12.75">
      <c r="A156" s="86"/>
    </row>
    <row r="157" ht="12.75">
      <c r="A157" s="86"/>
    </row>
    <row r="158" ht="12.75">
      <c r="A158" s="86"/>
    </row>
    <row r="159" ht="12.75">
      <c r="A159" s="86"/>
    </row>
    <row r="160" ht="12.75">
      <c r="A160" s="86"/>
    </row>
    <row r="161" ht="12.75">
      <c r="A161" s="86"/>
    </row>
    <row r="162" ht="12.75">
      <c r="A162" s="86"/>
    </row>
    <row r="163" ht="12.75">
      <c r="A163" s="86"/>
    </row>
    <row r="164" ht="12.75">
      <c r="A164" s="86"/>
    </row>
    <row r="165" ht="12.75">
      <c r="A165" s="86"/>
    </row>
    <row r="166" ht="12.75">
      <c r="A166" s="86"/>
    </row>
    <row r="167" ht="12.75">
      <c r="A167" s="86"/>
    </row>
    <row r="168" ht="12.75">
      <c r="A168" s="86"/>
    </row>
    <row r="169" ht="12.75">
      <c r="A169" s="86"/>
    </row>
    <row r="170" ht="12.75">
      <c r="A170" s="86"/>
    </row>
    <row r="171" ht="12.75">
      <c r="A171" s="86"/>
    </row>
    <row r="172" ht="12.75">
      <c r="A172" s="86"/>
    </row>
    <row r="173" ht="12.75">
      <c r="A173" s="86"/>
    </row>
    <row r="174" ht="12.75">
      <c r="A174" s="86"/>
    </row>
    <row r="175" ht="12.75">
      <c r="A175" s="86"/>
    </row>
    <row r="176" ht="12.75">
      <c r="A176" s="86"/>
    </row>
    <row r="177" ht="12.75">
      <c r="A177" s="86"/>
    </row>
    <row r="178" ht="12.75">
      <c r="A178" s="86"/>
    </row>
    <row r="179" ht="12.75">
      <c r="A179" s="86"/>
    </row>
    <row r="180" ht="12.75">
      <c r="A180" s="86"/>
    </row>
    <row r="181" ht="12.75">
      <c r="A181" s="86"/>
    </row>
    <row r="182" ht="12.75">
      <c r="A182" s="86"/>
    </row>
    <row r="183" ht="12.75">
      <c r="A183" s="86"/>
    </row>
    <row r="184" ht="12.75">
      <c r="A184" s="86"/>
    </row>
    <row r="185" ht="12.75">
      <c r="A185" s="86"/>
    </row>
    <row r="186" ht="12.75">
      <c r="A186" s="86"/>
    </row>
    <row r="187" ht="12.75">
      <c r="A187" s="86"/>
    </row>
    <row r="188" ht="12.75">
      <c r="A188" s="86"/>
    </row>
    <row r="189" ht="12.75">
      <c r="A189" s="86"/>
    </row>
    <row r="190" ht="12.75">
      <c r="A190" s="86"/>
    </row>
    <row r="191" ht="12.75">
      <c r="A191" s="86"/>
    </row>
    <row r="192" ht="12.75">
      <c r="A192" s="86"/>
    </row>
    <row r="193" ht="12.75">
      <c r="A193" s="86"/>
    </row>
    <row r="194" ht="12.75">
      <c r="A194" s="86"/>
    </row>
    <row r="195" ht="12.75">
      <c r="A195" s="86"/>
    </row>
    <row r="196" ht="12.75">
      <c r="A196" s="86"/>
    </row>
    <row r="197" ht="12.75">
      <c r="A197" s="86"/>
    </row>
    <row r="198" ht="12.75">
      <c r="A198" s="86"/>
    </row>
    <row r="199" ht="12.75">
      <c r="A199" s="86"/>
    </row>
    <row r="200" ht="12.75">
      <c r="A200" s="86"/>
    </row>
    <row r="201" ht="12.75">
      <c r="A201" s="86"/>
    </row>
    <row r="202" ht="12.75">
      <c r="A202" s="86"/>
    </row>
    <row r="203" ht="12.75">
      <c r="A203" s="86"/>
    </row>
    <row r="204" ht="12.75">
      <c r="A204" s="86"/>
    </row>
    <row r="205" ht="12.75">
      <c r="A205" s="86"/>
    </row>
    <row r="206" ht="12.75">
      <c r="A206" s="86"/>
    </row>
    <row r="207" ht="12.75">
      <c r="A207" s="86"/>
    </row>
    <row r="208" ht="12.75">
      <c r="A208" s="86"/>
    </row>
    <row r="209" ht="12.75">
      <c r="A209" s="86"/>
    </row>
    <row r="210" ht="12.75">
      <c r="A210" s="86"/>
    </row>
    <row r="211" ht="12.75">
      <c r="A211" s="86"/>
    </row>
    <row r="212" ht="12.75">
      <c r="A212" s="86"/>
    </row>
    <row r="213" ht="12.75">
      <c r="A213" s="86"/>
    </row>
    <row r="214" ht="12.75">
      <c r="A214" s="86"/>
    </row>
    <row r="215" ht="12.75">
      <c r="A215" s="86"/>
    </row>
    <row r="216" ht="12.75">
      <c r="A216" s="86"/>
    </row>
    <row r="217" ht="12.75">
      <c r="A217" s="86"/>
    </row>
    <row r="218" ht="12.75">
      <c r="A218" s="86"/>
    </row>
    <row r="219" ht="12.75">
      <c r="A219" s="86"/>
    </row>
    <row r="220" ht="12.75">
      <c r="A220" s="86"/>
    </row>
    <row r="221" ht="12.75">
      <c r="A221" s="86"/>
    </row>
    <row r="222" ht="12.75">
      <c r="A222" s="86"/>
    </row>
    <row r="223" ht="12.75">
      <c r="A223" s="86"/>
    </row>
    <row r="224" ht="12.75">
      <c r="A224" s="86"/>
    </row>
    <row r="225" ht="12.75">
      <c r="A225" s="86"/>
    </row>
    <row r="226" ht="12.75">
      <c r="A226" s="86"/>
    </row>
    <row r="227" ht="12.75">
      <c r="A227" s="86"/>
    </row>
    <row r="228" ht="12.75">
      <c r="A228" s="86"/>
    </row>
    <row r="229" ht="12.75">
      <c r="A229" s="86"/>
    </row>
    <row r="230" ht="12.75">
      <c r="A230" s="86"/>
    </row>
    <row r="231" ht="12.75">
      <c r="A231" s="86"/>
    </row>
    <row r="232" ht="12.75">
      <c r="A232" s="86"/>
    </row>
    <row r="233" ht="12.75">
      <c r="A233" s="86"/>
    </row>
    <row r="234" ht="12.75">
      <c r="A234" s="86"/>
    </row>
    <row r="235" ht="12.75">
      <c r="A235" s="86"/>
    </row>
    <row r="236" ht="12.75">
      <c r="A236" s="86"/>
    </row>
    <row r="237" ht="12.75">
      <c r="A237" s="86"/>
    </row>
    <row r="238" ht="12.75">
      <c r="A238" s="86"/>
    </row>
    <row r="239" ht="12.75">
      <c r="A239" s="86"/>
    </row>
    <row r="240" ht="12.75">
      <c r="A240" s="86"/>
    </row>
    <row r="241" ht="12.75">
      <c r="A241" s="86"/>
    </row>
    <row r="242" ht="12.75">
      <c r="A242" s="86"/>
    </row>
    <row r="243" ht="12.75">
      <c r="A243" s="86"/>
    </row>
    <row r="244" ht="12.75">
      <c r="A244" s="86"/>
    </row>
    <row r="245" ht="12.75">
      <c r="A245" s="86"/>
    </row>
    <row r="246" ht="12.75">
      <c r="A246" s="86"/>
    </row>
    <row r="247" ht="12.75">
      <c r="A247" s="86"/>
    </row>
    <row r="248" ht="12.75">
      <c r="A248" s="86"/>
    </row>
    <row r="249" ht="12.75">
      <c r="A249" s="86"/>
    </row>
    <row r="250" ht="12.75">
      <c r="A250" s="86"/>
    </row>
    <row r="251" ht="12.75">
      <c r="A251" s="86"/>
    </row>
    <row r="252" ht="12.75">
      <c r="A252" s="86"/>
    </row>
    <row r="253" ht="12.75">
      <c r="A253" s="86"/>
    </row>
    <row r="254" ht="12.75">
      <c r="A254" s="86"/>
    </row>
    <row r="255" ht="12.75">
      <c r="A255" s="86"/>
    </row>
    <row r="256" ht="12.75">
      <c r="A256" s="86"/>
    </row>
    <row r="257" ht="12.75">
      <c r="A257" s="86"/>
    </row>
    <row r="258" ht="12.75">
      <c r="A258" s="86"/>
    </row>
    <row r="259" ht="12.75">
      <c r="A259" s="86"/>
    </row>
    <row r="260" ht="12.75">
      <c r="A260" s="86"/>
    </row>
    <row r="261" ht="12.75">
      <c r="A261" s="86"/>
    </row>
    <row r="262" ht="12.75">
      <c r="A262" s="86"/>
    </row>
    <row r="263" ht="12.75">
      <c r="A263" s="86"/>
    </row>
    <row r="264" ht="12.75">
      <c r="A264" s="86"/>
    </row>
    <row r="265" ht="12.75">
      <c r="A265" s="86"/>
    </row>
    <row r="266" ht="12.75">
      <c r="A266" s="86"/>
    </row>
    <row r="267" ht="12.75">
      <c r="A267" s="86"/>
    </row>
    <row r="268" ht="12.75">
      <c r="A268" s="86"/>
    </row>
    <row r="269" ht="12.75">
      <c r="A269" s="86"/>
    </row>
    <row r="270" ht="12.75">
      <c r="A270" s="86"/>
    </row>
    <row r="271" ht="12.75">
      <c r="A271" s="86"/>
    </row>
    <row r="272" ht="12.75">
      <c r="A272" s="86"/>
    </row>
    <row r="273" ht="12.75">
      <c r="A273" s="86"/>
    </row>
    <row r="274" ht="12.75">
      <c r="A274" s="86"/>
    </row>
    <row r="275" ht="12.75">
      <c r="A275" s="86"/>
    </row>
    <row r="276" ht="12.75">
      <c r="A276" s="86"/>
    </row>
    <row r="277" ht="12.75">
      <c r="A277" s="86"/>
    </row>
    <row r="278" ht="12.75">
      <c r="A278" s="86"/>
    </row>
    <row r="279" ht="12.75">
      <c r="A279" s="86"/>
    </row>
  </sheetData>
  <mergeCells count="23">
    <mergeCell ref="P46:Q46"/>
    <mergeCell ref="T46:U46"/>
    <mergeCell ref="V46:W46"/>
    <mergeCell ref="X46:Y46"/>
    <mergeCell ref="H46:I46"/>
    <mergeCell ref="K46:L46"/>
    <mergeCell ref="N46:O46"/>
    <mergeCell ref="C1:AG1"/>
    <mergeCell ref="K5:N5"/>
    <mergeCell ref="R5:AG5"/>
    <mergeCell ref="K6:N6"/>
    <mergeCell ref="R6:S6"/>
    <mergeCell ref="T6:U6"/>
    <mergeCell ref="V6:W6"/>
    <mergeCell ref="X6:Y6"/>
    <mergeCell ref="AF6:AG6"/>
    <mergeCell ref="C3:F3"/>
    <mergeCell ref="AB6:AC6"/>
    <mergeCell ref="AD6:AE6"/>
    <mergeCell ref="G5:H5"/>
    <mergeCell ref="I5:J5"/>
    <mergeCell ref="O6:Q6"/>
    <mergeCell ref="Z6:AA6"/>
  </mergeCells>
  <printOptions/>
  <pageMargins left="0.75" right="0.75" top="1" bottom="1" header="0.5" footer="0.5"/>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A1:CN147"/>
  <sheetViews>
    <sheetView workbookViewId="0" topLeftCell="A1">
      <selection activeCell="K50" sqref="K50:L50"/>
    </sheetView>
  </sheetViews>
  <sheetFormatPr defaultColWidth="9.140625" defaultRowHeight="12.75"/>
  <cols>
    <col min="1" max="1" width="9.140625" style="21" customWidth="1"/>
    <col min="2" max="2" width="10.140625" style="21" bestFit="1" customWidth="1"/>
    <col min="3" max="3" width="11.7109375" style="21" customWidth="1"/>
    <col min="4" max="4" width="11.28125" style="21" customWidth="1"/>
    <col min="5" max="5" width="10.140625" style="21" bestFit="1" customWidth="1"/>
    <col min="6" max="9" width="10.140625" style="21" customWidth="1"/>
    <col min="10" max="16" width="7.28125" style="21" customWidth="1"/>
    <col min="17" max="20" width="9.140625" style="21" customWidth="1"/>
    <col min="21" max="21" width="10.28125" style="21" bestFit="1" customWidth="1"/>
    <col min="22" max="31" width="9.140625" style="21" customWidth="1"/>
    <col min="32" max="32" width="10.57421875" style="21" customWidth="1"/>
    <col min="33" max="59" width="9.140625" style="17" customWidth="1"/>
    <col min="60" max="16384" width="9.140625" style="21" customWidth="1"/>
  </cols>
  <sheetData>
    <row r="1" spans="2:92" ht="12.75">
      <c r="B1" s="552" t="s">
        <v>117</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row>
    <row r="2" spans="3:92" ht="12.75" hidden="1">
      <c r="C2" s="26"/>
      <c r="D2" s="26"/>
      <c r="E2" s="85"/>
      <c r="F2" s="85"/>
      <c r="G2" s="85"/>
      <c r="H2" s="85"/>
      <c r="I2" s="85"/>
      <c r="J2" s="86"/>
      <c r="K2" s="87"/>
      <c r="V2" s="17"/>
      <c r="W2" s="17"/>
      <c r="X2" s="17"/>
      <c r="Y2" s="17"/>
      <c r="Z2" s="17"/>
      <c r="AA2" s="17"/>
      <c r="AB2" s="17"/>
      <c r="AC2" s="17"/>
      <c r="AD2" s="17"/>
      <c r="AE2" s="17"/>
      <c r="AF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row>
    <row r="3" spans="2:92" ht="13.5" customHeight="1" thickBot="1">
      <c r="B3" s="565"/>
      <c r="C3" s="565"/>
      <c r="D3" s="565"/>
      <c r="E3" s="565"/>
      <c r="F3" s="79"/>
      <c r="G3" s="79"/>
      <c r="H3" s="79"/>
      <c r="I3" s="79"/>
      <c r="J3" s="187"/>
      <c r="K3" s="187"/>
      <c r="L3" s="187"/>
      <c r="M3" s="187"/>
      <c r="N3" s="187"/>
      <c r="O3" s="187"/>
      <c r="P3" s="187"/>
      <c r="V3" s="17"/>
      <c r="W3" s="17"/>
      <c r="X3" s="17"/>
      <c r="Y3" s="17"/>
      <c r="Z3" s="17"/>
      <c r="AA3" s="17"/>
      <c r="AB3" s="17"/>
      <c r="AC3" s="17"/>
      <c r="AD3" s="17"/>
      <c r="AE3" s="17"/>
      <c r="AF3" s="17"/>
      <c r="AG3" s="201"/>
      <c r="AH3" s="33"/>
      <c r="AI3" s="201"/>
      <c r="AJ3" s="33"/>
      <c r="AK3" s="33"/>
      <c r="AL3" s="33"/>
      <c r="AM3" s="33"/>
      <c r="AN3" s="33"/>
      <c r="AO3" s="33"/>
      <c r="AP3" s="33"/>
      <c r="AQ3" s="33"/>
      <c r="AR3" s="33"/>
      <c r="AS3" s="201"/>
      <c r="AT3" s="33"/>
      <c r="AU3" s="201"/>
      <c r="AV3" s="33"/>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row>
    <row r="4" spans="2:92" ht="13.5" hidden="1" thickBot="1">
      <c r="B4" s="79"/>
      <c r="C4" s="79"/>
      <c r="D4" s="79"/>
      <c r="E4" s="79"/>
      <c r="F4" s="79"/>
      <c r="G4" s="79"/>
      <c r="H4" s="79"/>
      <c r="I4" s="79"/>
      <c r="J4" s="79"/>
      <c r="K4" s="79"/>
      <c r="L4" s="79"/>
      <c r="M4" s="79"/>
      <c r="N4" s="79"/>
      <c r="O4" s="79"/>
      <c r="P4" s="79"/>
      <c r="V4" s="17"/>
      <c r="W4" s="17"/>
      <c r="X4" s="17"/>
      <c r="Y4" s="17"/>
      <c r="Z4" s="17"/>
      <c r="AA4" s="17"/>
      <c r="AB4" s="17"/>
      <c r="AC4" s="17"/>
      <c r="AD4" s="17"/>
      <c r="AE4" s="17"/>
      <c r="AF4" s="17"/>
      <c r="AG4" s="201"/>
      <c r="AH4" s="33"/>
      <c r="AI4" s="201"/>
      <c r="AJ4" s="33"/>
      <c r="AK4" s="33"/>
      <c r="AL4" s="33"/>
      <c r="AM4" s="33"/>
      <c r="AN4" s="33"/>
      <c r="AO4" s="33"/>
      <c r="AP4" s="33"/>
      <c r="AQ4" s="33"/>
      <c r="AR4" s="33"/>
      <c r="AS4" s="201"/>
      <c r="AT4" s="33"/>
      <c r="AU4" s="201"/>
      <c r="AV4" s="33"/>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row>
    <row r="5" spans="2:49" ht="12.75">
      <c r="B5" s="206" t="s">
        <v>6</v>
      </c>
      <c r="C5" s="188"/>
      <c r="D5" s="188"/>
      <c r="E5" s="181"/>
      <c r="F5" s="567" t="s">
        <v>121</v>
      </c>
      <c r="G5" s="566"/>
      <c r="H5" s="567" t="s">
        <v>122</v>
      </c>
      <c r="I5" s="566"/>
      <c r="J5" s="458" t="s">
        <v>14</v>
      </c>
      <c r="K5" s="458"/>
      <c r="L5" s="458"/>
      <c r="M5" s="458"/>
      <c r="N5" s="271"/>
      <c r="O5" s="271"/>
      <c r="P5" s="271"/>
      <c r="Q5" s="567" t="s">
        <v>48</v>
      </c>
      <c r="R5" s="458"/>
      <c r="S5" s="458"/>
      <c r="T5" s="458"/>
      <c r="U5" s="458"/>
      <c r="V5" s="458"/>
      <c r="W5" s="458"/>
      <c r="X5" s="458"/>
      <c r="Y5" s="458"/>
      <c r="Z5" s="458"/>
      <c r="AA5" s="458"/>
      <c r="AB5" s="458"/>
      <c r="AC5" s="458"/>
      <c r="AD5" s="458"/>
      <c r="AE5" s="458"/>
      <c r="AF5" s="459"/>
      <c r="AG5" s="575"/>
      <c r="AH5" s="575"/>
      <c r="AI5" s="575"/>
      <c r="AJ5" s="575"/>
      <c r="AK5" s="575"/>
      <c r="AL5" s="575"/>
      <c r="AM5" s="575"/>
      <c r="AN5" s="575"/>
      <c r="AO5" s="575"/>
      <c r="AP5" s="575"/>
      <c r="AQ5" s="575"/>
      <c r="AR5" s="575"/>
      <c r="AS5" s="578"/>
      <c r="AT5" s="578"/>
      <c r="AU5" s="578"/>
      <c r="AV5" s="578"/>
      <c r="AW5" s="191"/>
    </row>
    <row r="6" spans="2:48" ht="12.75">
      <c r="B6" s="90" t="s">
        <v>0</v>
      </c>
      <c r="C6" s="91" t="s">
        <v>1</v>
      </c>
      <c r="D6" s="91" t="s">
        <v>3</v>
      </c>
      <c r="E6" s="91" t="s">
        <v>2</v>
      </c>
      <c r="F6" s="270" t="s">
        <v>123</v>
      </c>
      <c r="G6" s="121">
        <v>0.48</v>
      </c>
      <c r="H6" s="270" t="s">
        <v>124</v>
      </c>
      <c r="I6" s="121">
        <v>0.52</v>
      </c>
      <c r="J6" s="540" t="s">
        <v>120</v>
      </c>
      <c r="K6" s="547"/>
      <c r="L6" s="547"/>
      <c r="M6" s="541"/>
      <c r="N6" s="540" t="s">
        <v>131</v>
      </c>
      <c r="O6" s="547"/>
      <c r="P6" s="541"/>
      <c r="Q6" s="568" t="s">
        <v>134</v>
      </c>
      <c r="R6" s="557"/>
      <c r="S6" s="540" t="s">
        <v>127</v>
      </c>
      <c r="T6" s="541"/>
      <c r="U6" s="557" t="s">
        <v>128</v>
      </c>
      <c r="V6" s="557"/>
      <c r="W6" s="540" t="s">
        <v>129</v>
      </c>
      <c r="X6" s="541"/>
      <c r="Y6" s="540" t="s">
        <v>125</v>
      </c>
      <c r="Z6" s="569"/>
      <c r="AA6" s="540" t="s">
        <v>126</v>
      </c>
      <c r="AB6" s="541"/>
      <c r="AC6" s="540" t="s">
        <v>140</v>
      </c>
      <c r="AD6" s="541"/>
      <c r="AE6" s="550" t="s">
        <v>16</v>
      </c>
      <c r="AF6" s="551"/>
      <c r="AS6" s="28"/>
      <c r="AT6" s="28"/>
      <c r="AU6" s="28"/>
      <c r="AV6" s="28"/>
    </row>
    <row r="7" spans="2:48" ht="12.75">
      <c r="B7" s="92"/>
      <c r="C7" s="15"/>
      <c r="D7" s="15" t="s">
        <v>4</v>
      </c>
      <c r="E7" s="15"/>
      <c r="F7" s="124" t="s">
        <v>1</v>
      </c>
      <c r="G7" s="124" t="s">
        <v>2</v>
      </c>
      <c r="H7" s="124" t="s">
        <v>1</v>
      </c>
      <c r="I7" s="124" t="s">
        <v>2</v>
      </c>
      <c r="J7" s="207">
        <v>4</v>
      </c>
      <c r="K7" s="207">
        <v>7</v>
      </c>
      <c r="L7" s="207">
        <v>10</v>
      </c>
      <c r="M7" s="207">
        <v>14</v>
      </c>
      <c r="N7" s="152">
        <v>3</v>
      </c>
      <c r="O7" s="152">
        <v>5</v>
      </c>
      <c r="P7" s="152">
        <v>7</v>
      </c>
      <c r="Q7" s="17" t="s">
        <v>45</v>
      </c>
      <c r="R7" s="98" t="s">
        <v>2</v>
      </c>
      <c r="S7" s="243" t="s">
        <v>45</v>
      </c>
      <c r="T7" s="98" t="s">
        <v>2</v>
      </c>
      <c r="U7" s="17" t="s">
        <v>45</v>
      </c>
      <c r="V7" s="98" t="s">
        <v>2</v>
      </c>
      <c r="W7" s="243" t="s">
        <v>45</v>
      </c>
      <c r="X7" s="98" t="s">
        <v>2</v>
      </c>
      <c r="Y7" s="152" t="s">
        <v>46</v>
      </c>
      <c r="Z7" s="152" t="s">
        <v>2</v>
      </c>
      <c r="AA7" s="152" t="s">
        <v>46</v>
      </c>
      <c r="AB7" s="152" t="s">
        <v>2</v>
      </c>
      <c r="AC7" s="152" t="s">
        <v>46</v>
      </c>
      <c r="AD7" s="152" t="s">
        <v>2</v>
      </c>
      <c r="AE7" s="152" t="s">
        <v>46</v>
      </c>
      <c r="AF7" s="217" t="s">
        <v>2</v>
      </c>
      <c r="AS7" s="28"/>
      <c r="AT7" s="28"/>
      <c r="AU7" s="28"/>
      <c r="AV7" s="28"/>
    </row>
    <row r="8" spans="2:48" ht="12.75">
      <c r="B8" s="92">
        <v>1980</v>
      </c>
      <c r="C8" s="100">
        <f>0.525*Desktops!C8</f>
        <v>514838.70967741933</v>
      </c>
      <c r="D8" s="100">
        <v>18</v>
      </c>
      <c r="E8" s="100">
        <f>C8*D8/2000</f>
        <v>4633.548387096774</v>
      </c>
      <c r="F8" s="100">
        <f>C8*$G$6</f>
        <v>247122.58064516127</v>
      </c>
      <c r="G8" s="100">
        <f>E8*$G$6</f>
        <v>2224.103225806451</v>
      </c>
      <c r="H8" s="100">
        <f>C8*$I$6</f>
        <v>267716.12903225806</v>
      </c>
      <c r="I8" s="100">
        <f>E8*$I$6</f>
        <v>2409.4451612903226</v>
      </c>
      <c r="J8" s="150">
        <v>0.25</v>
      </c>
      <c r="K8" s="164">
        <v>0.25</v>
      </c>
      <c r="L8" s="164">
        <v>0.25</v>
      </c>
      <c r="M8" s="164">
        <v>0.25</v>
      </c>
      <c r="N8" s="164">
        <v>0.4</v>
      </c>
      <c r="O8" s="164">
        <v>0.6</v>
      </c>
      <c r="P8" s="164">
        <v>0</v>
      </c>
      <c r="Q8" s="246"/>
      <c r="R8" s="98"/>
      <c r="S8" s="188"/>
      <c r="T8" s="98"/>
      <c r="U8" s="188"/>
      <c r="V8" s="98"/>
      <c r="W8" s="188"/>
      <c r="X8" s="98"/>
      <c r="Y8" s="98"/>
      <c r="Z8" s="246"/>
      <c r="AA8" s="98"/>
      <c r="AB8" s="98"/>
      <c r="AC8" s="98"/>
      <c r="AD8" s="98"/>
      <c r="AE8" s="98"/>
      <c r="AF8" s="103"/>
      <c r="AS8" s="28"/>
      <c r="AT8" s="28"/>
      <c r="AU8" s="28"/>
      <c r="AV8" s="28"/>
    </row>
    <row r="9" spans="2:48" ht="12.75">
      <c r="B9" s="92">
        <v>1981</v>
      </c>
      <c r="C9" s="100">
        <f>0.525*Desktops!C9</f>
        <v>1029677.4193548387</v>
      </c>
      <c r="D9" s="100">
        <v>18</v>
      </c>
      <c r="E9" s="100">
        <f>C9*D9/2000</f>
        <v>9267.096774193547</v>
      </c>
      <c r="F9" s="100">
        <f aca="true" t="shared" si="0" ref="F9:F32">C9*$G$6</f>
        <v>494245.16129032255</v>
      </c>
      <c r="G9" s="100">
        <f aca="true" t="shared" si="1" ref="G9:G32">E9*$G$6</f>
        <v>4448.206451612902</v>
      </c>
      <c r="H9" s="100">
        <f aca="true" t="shared" si="2" ref="H9:H32">C9*$I$6</f>
        <v>535432.2580645161</v>
      </c>
      <c r="I9" s="100">
        <f aca="true" t="shared" si="3" ref="I9:I32">E9*$I$6</f>
        <v>4818.890322580645</v>
      </c>
      <c r="J9" s="150">
        <v>0.25</v>
      </c>
      <c r="K9" s="164">
        <v>0.25</v>
      </c>
      <c r="L9" s="164">
        <v>0.25</v>
      </c>
      <c r="M9" s="164">
        <v>0.25</v>
      </c>
      <c r="N9" s="164">
        <v>0.4</v>
      </c>
      <c r="O9" s="164">
        <v>0.6</v>
      </c>
      <c r="P9" s="164">
        <v>0</v>
      </c>
      <c r="Q9" s="17"/>
      <c r="R9" s="15"/>
      <c r="S9" s="17"/>
      <c r="T9" s="15"/>
      <c r="U9" s="17"/>
      <c r="V9" s="15"/>
      <c r="W9" s="17"/>
      <c r="X9" s="15"/>
      <c r="Y9" s="98"/>
      <c r="Z9" s="246"/>
      <c r="AA9" s="98"/>
      <c r="AB9" s="98"/>
      <c r="AC9" s="98"/>
      <c r="AD9" s="98"/>
      <c r="AE9" s="98"/>
      <c r="AF9" s="103"/>
      <c r="AS9" s="28"/>
      <c r="AT9" s="28"/>
      <c r="AU9" s="28"/>
      <c r="AV9" s="28"/>
    </row>
    <row r="10" spans="2:48" ht="12.75">
      <c r="B10" s="102">
        <v>1982</v>
      </c>
      <c r="C10" s="100">
        <f>0.525*Desktops!C10</f>
        <v>1596000</v>
      </c>
      <c r="D10" s="100">
        <v>18</v>
      </c>
      <c r="E10" s="100">
        <f>C10*D10/2000</f>
        <v>14364</v>
      </c>
      <c r="F10" s="100">
        <f t="shared" si="0"/>
        <v>766080</v>
      </c>
      <c r="G10" s="100">
        <f t="shared" si="1"/>
        <v>6894.719999999999</v>
      </c>
      <c r="H10" s="100">
        <f t="shared" si="2"/>
        <v>829920</v>
      </c>
      <c r="I10" s="100">
        <f t="shared" si="3"/>
        <v>7469.280000000001</v>
      </c>
      <c r="J10" s="150">
        <v>0.25</v>
      </c>
      <c r="K10" s="164">
        <v>0.25</v>
      </c>
      <c r="L10" s="164">
        <v>0.25</v>
      </c>
      <c r="M10" s="164">
        <v>0.25</v>
      </c>
      <c r="N10" s="164">
        <v>0.4</v>
      </c>
      <c r="O10" s="164">
        <v>0.6</v>
      </c>
      <c r="P10" s="164">
        <v>0</v>
      </c>
      <c r="Q10" s="100"/>
      <c r="R10" s="100"/>
      <c r="S10" s="100"/>
      <c r="T10" s="100"/>
      <c r="U10" s="100"/>
      <c r="V10" s="100"/>
      <c r="W10" s="100"/>
      <c r="X10" s="100"/>
      <c r="Y10" s="98"/>
      <c r="Z10" s="246"/>
      <c r="AA10" s="100"/>
      <c r="AB10" s="100"/>
      <c r="AC10" s="100"/>
      <c r="AD10" s="100"/>
      <c r="AE10" s="100">
        <f>Q10+S10+U10+W10+Y10+AA10+AC10</f>
        <v>0</v>
      </c>
      <c r="AF10" s="107">
        <f>R10+T10+V10+X10+Z10+AB10+AD10</f>
        <v>0</v>
      </c>
      <c r="AG10" s="81"/>
      <c r="AH10" s="81"/>
      <c r="AI10" s="81"/>
      <c r="AJ10" s="81"/>
      <c r="AK10" s="81"/>
      <c r="AL10" s="81"/>
      <c r="AM10" s="81"/>
      <c r="AN10" s="81"/>
      <c r="AO10" s="81"/>
      <c r="AP10" s="81"/>
      <c r="AQ10" s="81"/>
      <c r="AR10" s="81"/>
      <c r="AS10" s="81"/>
      <c r="AT10" s="28"/>
      <c r="AU10" s="28"/>
      <c r="AV10" s="28"/>
    </row>
    <row r="11" spans="2:48" ht="12.75">
      <c r="B11" s="102">
        <v>1983</v>
      </c>
      <c r="C11" s="100">
        <f>0.525*Desktops!C11</f>
        <v>2861250</v>
      </c>
      <c r="D11" s="100">
        <v>18</v>
      </c>
      <c r="E11" s="100">
        <f aca="true" t="shared" si="4" ref="E11:E32">C11*D11/2000</f>
        <v>25751.25</v>
      </c>
      <c r="F11" s="100">
        <f t="shared" si="0"/>
        <v>1373400</v>
      </c>
      <c r="G11" s="100">
        <f t="shared" si="1"/>
        <v>12360.6</v>
      </c>
      <c r="H11" s="100">
        <f t="shared" si="2"/>
        <v>1487850</v>
      </c>
      <c r="I11" s="100">
        <f t="shared" si="3"/>
        <v>13390.65</v>
      </c>
      <c r="J11" s="150">
        <v>0.25</v>
      </c>
      <c r="K11" s="164">
        <v>0.25</v>
      </c>
      <c r="L11" s="164">
        <v>0.25</v>
      </c>
      <c r="M11" s="164">
        <v>0.25</v>
      </c>
      <c r="N11" s="164">
        <v>0.4</v>
      </c>
      <c r="O11" s="164">
        <v>0.6</v>
      </c>
      <c r="P11" s="164">
        <v>0</v>
      </c>
      <c r="Q11" s="100"/>
      <c r="R11" s="100"/>
      <c r="S11" s="100"/>
      <c r="T11" s="100"/>
      <c r="U11" s="100"/>
      <c r="V11" s="100"/>
      <c r="W11" s="100"/>
      <c r="X11" s="100"/>
      <c r="Y11" s="98"/>
      <c r="Z11" s="246"/>
      <c r="AA11" s="100"/>
      <c r="AB11" s="100"/>
      <c r="AC11" s="100">
        <f aca="true" t="shared" si="5" ref="AC11:AC38">$H8*$N8/1000</f>
        <v>107.08645161290323</v>
      </c>
      <c r="AD11" s="100">
        <f aca="true" t="shared" si="6" ref="AD11:AD38">I8*N8</f>
        <v>963.7780645161291</v>
      </c>
      <c r="AE11" s="100">
        <f aca="true" t="shared" si="7" ref="AE11:AE38">Q11+S11+U11+W11+Y11+AA11+AC11</f>
        <v>107.08645161290323</v>
      </c>
      <c r="AF11" s="107">
        <f aca="true" t="shared" si="8" ref="AF11:AF38">R11+T11+V11+X11+Z11+AB11+AD11</f>
        <v>963.7780645161291</v>
      </c>
      <c r="AG11" s="81"/>
      <c r="AH11" s="81"/>
      <c r="AI11" s="81"/>
      <c r="AJ11" s="81"/>
      <c r="AK11" s="81"/>
      <c r="AL11" s="81"/>
      <c r="AM11" s="81"/>
      <c r="AN11" s="81"/>
      <c r="AO11" s="81"/>
      <c r="AP11" s="81"/>
      <c r="AQ11" s="81"/>
      <c r="AR11" s="81"/>
      <c r="AS11" s="81"/>
      <c r="AT11" s="28"/>
      <c r="AU11" s="28"/>
      <c r="AV11" s="28"/>
    </row>
    <row r="12" spans="2:48" ht="12.75">
      <c r="B12" s="102">
        <v>1984</v>
      </c>
      <c r="C12" s="100">
        <f>0.525*Desktops!C12</f>
        <v>3496500</v>
      </c>
      <c r="D12" s="100">
        <v>18</v>
      </c>
      <c r="E12" s="100">
        <f t="shared" si="4"/>
        <v>31468.5</v>
      </c>
      <c r="F12" s="100">
        <f t="shared" si="0"/>
        <v>1678320</v>
      </c>
      <c r="G12" s="100">
        <f t="shared" si="1"/>
        <v>15104.88</v>
      </c>
      <c r="H12" s="100">
        <f t="shared" si="2"/>
        <v>1818180</v>
      </c>
      <c r="I12" s="100">
        <f t="shared" si="3"/>
        <v>16363.62</v>
      </c>
      <c r="J12" s="150">
        <v>0.25</v>
      </c>
      <c r="K12" s="164">
        <v>0.25</v>
      </c>
      <c r="L12" s="164">
        <v>0.25</v>
      </c>
      <c r="M12" s="164">
        <v>0.25</v>
      </c>
      <c r="N12" s="164">
        <v>0.4</v>
      </c>
      <c r="O12" s="164">
        <v>0.6</v>
      </c>
      <c r="P12" s="164">
        <v>0</v>
      </c>
      <c r="Q12" s="100">
        <f>F8*J8/1000</f>
        <v>61.780645161290316</v>
      </c>
      <c r="R12" s="100">
        <f>G8*J8</f>
        <v>556.0258064516128</v>
      </c>
      <c r="S12" s="100"/>
      <c r="T12" s="100"/>
      <c r="U12" s="100"/>
      <c r="V12" s="100"/>
      <c r="W12" s="100"/>
      <c r="X12" s="100"/>
      <c r="Y12" s="98"/>
      <c r="Z12" s="246"/>
      <c r="AA12" s="100"/>
      <c r="AB12" s="100"/>
      <c r="AC12" s="100">
        <f t="shared" si="5"/>
        <v>214.17290322580646</v>
      </c>
      <c r="AD12" s="100">
        <f t="shared" si="6"/>
        <v>1927.5561290322582</v>
      </c>
      <c r="AE12" s="100">
        <f t="shared" si="7"/>
        <v>275.95354838709676</v>
      </c>
      <c r="AF12" s="107">
        <f t="shared" si="8"/>
        <v>2483.581935483871</v>
      </c>
      <c r="AG12" s="81"/>
      <c r="AH12" s="81"/>
      <c r="AI12" s="81"/>
      <c r="AJ12" s="81"/>
      <c r="AK12" s="81"/>
      <c r="AL12" s="81"/>
      <c r="AM12" s="81"/>
      <c r="AN12" s="81"/>
      <c r="AO12" s="81"/>
      <c r="AP12" s="81"/>
      <c r="AQ12" s="81"/>
      <c r="AR12" s="81"/>
      <c r="AS12" s="81"/>
      <c r="AT12" s="28"/>
      <c r="AU12" s="28"/>
      <c r="AV12" s="28"/>
    </row>
    <row r="13" spans="2:48" ht="12.75">
      <c r="B13" s="102">
        <v>1985</v>
      </c>
      <c r="C13" s="100">
        <f>0.525*Desktops!C13</f>
        <v>3024000</v>
      </c>
      <c r="D13" s="100">
        <v>18</v>
      </c>
      <c r="E13" s="100">
        <f t="shared" si="4"/>
        <v>27216</v>
      </c>
      <c r="F13" s="100">
        <f t="shared" si="0"/>
        <v>1451520</v>
      </c>
      <c r="G13" s="100">
        <f t="shared" si="1"/>
        <v>13063.68</v>
      </c>
      <c r="H13" s="100">
        <f t="shared" si="2"/>
        <v>1572480</v>
      </c>
      <c r="I13" s="100">
        <f t="shared" si="3"/>
        <v>14152.32</v>
      </c>
      <c r="J13" s="150">
        <v>0.25</v>
      </c>
      <c r="K13" s="164">
        <v>0.25</v>
      </c>
      <c r="L13" s="164">
        <v>0.25</v>
      </c>
      <c r="M13" s="164">
        <v>0.25</v>
      </c>
      <c r="N13" s="164">
        <v>0.4</v>
      </c>
      <c r="O13" s="164">
        <v>0.6</v>
      </c>
      <c r="P13" s="164">
        <v>0</v>
      </c>
      <c r="Q13" s="100">
        <f aca="true" t="shared" si="9" ref="Q13:Q38">F9*J9/1000</f>
        <v>123.56129032258063</v>
      </c>
      <c r="R13" s="100">
        <f aca="true" t="shared" si="10" ref="R13:R38">G9*J9</f>
        <v>1112.0516129032255</v>
      </c>
      <c r="S13" s="100"/>
      <c r="T13" s="100"/>
      <c r="U13" s="100"/>
      <c r="V13" s="100"/>
      <c r="W13" s="100"/>
      <c r="X13" s="100"/>
      <c r="Y13" s="100">
        <f>$H8*O8/1000</f>
        <v>160.6296774193548</v>
      </c>
      <c r="Z13" s="100">
        <f>I8*O8</f>
        <v>1445.6670967741936</v>
      </c>
      <c r="AA13" s="100"/>
      <c r="AB13" s="100"/>
      <c r="AC13" s="100">
        <f t="shared" si="5"/>
        <v>331.968</v>
      </c>
      <c r="AD13" s="100">
        <f t="shared" si="6"/>
        <v>2987.7120000000004</v>
      </c>
      <c r="AE13" s="100">
        <f t="shared" si="7"/>
        <v>616.1589677419354</v>
      </c>
      <c r="AF13" s="107">
        <f t="shared" si="8"/>
        <v>5545.430709677419</v>
      </c>
      <c r="AG13" s="81"/>
      <c r="AH13" s="81"/>
      <c r="AI13" s="81"/>
      <c r="AJ13" s="81"/>
      <c r="AK13" s="81"/>
      <c r="AL13" s="81"/>
      <c r="AM13" s="81"/>
      <c r="AN13" s="81"/>
      <c r="AO13" s="81"/>
      <c r="AP13" s="81"/>
      <c r="AQ13" s="81"/>
      <c r="AR13" s="81"/>
      <c r="AS13" s="81"/>
      <c r="AT13" s="28"/>
      <c r="AU13" s="28"/>
      <c r="AV13" s="28"/>
    </row>
    <row r="14" spans="2:48" ht="12.75">
      <c r="B14" s="102">
        <v>1986</v>
      </c>
      <c r="C14" s="100">
        <f>0.525*Desktops!C14</f>
        <v>3596775</v>
      </c>
      <c r="D14" s="100">
        <v>18</v>
      </c>
      <c r="E14" s="100">
        <f t="shared" si="4"/>
        <v>32370.975</v>
      </c>
      <c r="F14" s="100">
        <f t="shared" si="0"/>
        <v>1726452</v>
      </c>
      <c r="G14" s="100">
        <f t="shared" si="1"/>
        <v>15538.068</v>
      </c>
      <c r="H14" s="100">
        <f t="shared" si="2"/>
        <v>1870323</v>
      </c>
      <c r="I14" s="100">
        <f t="shared" si="3"/>
        <v>16832.907</v>
      </c>
      <c r="J14" s="150">
        <v>0.25</v>
      </c>
      <c r="K14" s="164">
        <v>0.25</v>
      </c>
      <c r="L14" s="164">
        <v>0.25</v>
      </c>
      <c r="M14" s="164">
        <v>0.25</v>
      </c>
      <c r="N14" s="164">
        <v>0.4</v>
      </c>
      <c r="O14" s="164">
        <v>0.6</v>
      </c>
      <c r="P14" s="164">
        <v>0</v>
      </c>
      <c r="Q14" s="100">
        <f t="shared" si="9"/>
        <v>191.52</v>
      </c>
      <c r="R14" s="100">
        <f t="shared" si="10"/>
        <v>1723.6799999999998</v>
      </c>
      <c r="S14" s="100"/>
      <c r="T14" s="100"/>
      <c r="U14" s="100"/>
      <c r="V14" s="100"/>
      <c r="W14" s="100"/>
      <c r="X14" s="100"/>
      <c r="Y14" s="100">
        <f aca="true" t="shared" si="11" ref="Y14:Y38">$H9*O9/1000</f>
        <v>321.2593548387096</v>
      </c>
      <c r="Z14" s="100">
        <f aca="true" t="shared" si="12" ref="Z14:Z38">I9*O9</f>
        <v>2891.3341935483872</v>
      </c>
      <c r="AA14" s="100"/>
      <c r="AB14" s="100"/>
      <c r="AC14" s="100">
        <f t="shared" si="5"/>
        <v>595.14</v>
      </c>
      <c r="AD14" s="100">
        <f t="shared" si="6"/>
        <v>5356.26</v>
      </c>
      <c r="AE14" s="100">
        <f t="shared" si="7"/>
        <v>1107.9193548387098</v>
      </c>
      <c r="AF14" s="107">
        <f t="shared" si="8"/>
        <v>9971.274193548386</v>
      </c>
      <c r="AG14" s="81"/>
      <c r="AH14" s="81"/>
      <c r="AI14" s="81"/>
      <c r="AJ14" s="81"/>
      <c r="AK14" s="81"/>
      <c r="AL14" s="81"/>
      <c r="AM14" s="81"/>
      <c r="AN14" s="81"/>
      <c r="AO14" s="81"/>
      <c r="AP14" s="81"/>
      <c r="AQ14" s="81"/>
      <c r="AR14" s="81"/>
      <c r="AS14" s="81"/>
      <c r="AT14" s="28"/>
      <c r="AU14" s="28"/>
      <c r="AV14" s="28"/>
    </row>
    <row r="15" spans="2:48" ht="12.75">
      <c r="B15" s="102">
        <v>1987</v>
      </c>
      <c r="C15" s="100">
        <f>0.525*Desktops!C15</f>
        <v>4306050</v>
      </c>
      <c r="D15" s="100">
        <v>18</v>
      </c>
      <c r="E15" s="100">
        <f t="shared" si="4"/>
        <v>38754.45</v>
      </c>
      <c r="F15" s="100">
        <f t="shared" si="0"/>
        <v>2066904</v>
      </c>
      <c r="G15" s="100">
        <f t="shared" si="1"/>
        <v>18602.136</v>
      </c>
      <c r="H15" s="100">
        <f t="shared" si="2"/>
        <v>2239146</v>
      </c>
      <c r="I15" s="100">
        <f t="shared" si="3"/>
        <v>20152.314</v>
      </c>
      <c r="J15" s="150">
        <v>0.25</v>
      </c>
      <c r="K15" s="164">
        <v>0.25</v>
      </c>
      <c r="L15" s="164">
        <v>0.25</v>
      </c>
      <c r="M15" s="164">
        <v>0.25</v>
      </c>
      <c r="N15" s="164">
        <v>0.4</v>
      </c>
      <c r="O15" s="164">
        <v>0.6</v>
      </c>
      <c r="P15" s="164">
        <v>0</v>
      </c>
      <c r="Q15" s="100">
        <f t="shared" si="9"/>
        <v>343.35</v>
      </c>
      <c r="R15" s="100">
        <f t="shared" si="10"/>
        <v>3090.15</v>
      </c>
      <c r="S15" s="100">
        <f>F8*K8/1000</f>
        <v>61.780645161290316</v>
      </c>
      <c r="T15" s="100">
        <f>G8*K8</f>
        <v>556.0258064516128</v>
      </c>
      <c r="U15" s="100"/>
      <c r="V15" s="100"/>
      <c r="W15" s="100"/>
      <c r="X15" s="100"/>
      <c r="Y15" s="100">
        <f t="shared" si="11"/>
        <v>497.952</v>
      </c>
      <c r="Z15" s="100">
        <f t="shared" si="12"/>
        <v>4481.568</v>
      </c>
      <c r="AA15" s="100">
        <f>$H8*P8/1000</f>
        <v>0</v>
      </c>
      <c r="AB15" s="100">
        <f>I8*P8</f>
        <v>0</v>
      </c>
      <c r="AC15" s="100">
        <f t="shared" si="5"/>
        <v>727.272</v>
      </c>
      <c r="AD15" s="100">
        <f t="shared" si="6"/>
        <v>6545.448</v>
      </c>
      <c r="AE15" s="100">
        <f t="shared" si="7"/>
        <v>1630.3546451612904</v>
      </c>
      <c r="AF15" s="107">
        <f t="shared" si="8"/>
        <v>14673.191806451614</v>
      </c>
      <c r="AG15" s="81"/>
      <c r="AH15" s="81"/>
      <c r="AI15" s="81"/>
      <c r="AJ15" s="81"/>
      <c r="AK15" s="81"/>
      <c r="AL15" s="81"/>
      <c r="AM15" s="81"/>
      <c r="AN15" s="81"/>
      <c r="AO15" s="81"/>
      <c r="AP15" s="81"/>
      <c r="AQ15" s="81"/>
      <c r="AR15" s="81"/>
      <c r="AS15" s="81"/>
      <c r="AT15" s="28"/>
      <c r="AU15" s="28"/>
      <c r="AV15" s="28"/>
    </row>
    <row r="16" spans="2:48" ht="12.75">
      <c r="B16" s="102">
        <v>1988</v>
      </c>
      <c r="C16" s="100">
        <f>0.525*Desktops!C16</f>
        <v>4580100</v>
      </c>
      <c r="D16" s="100">
        <v>18</v>
      </c>
      <c r="E16" s="100">
        <f t="shared" si="4"/>
        <v>41220.9</v>
      </c>
      <c r="F16" s="100">
        <f t="shared" si="0"/>
        <v>2198448</v>
      </c>
      <c r="G16" s="100">
        <f t="shared" si="1"/>
        <v>19786.032</v>
      </c>
      <c r="H16" s="100">
        <f t="shared" si="2"/>
        <v>2381652</v>
      </c>
      <c r="I16" s="100">
        <f t="shared" si="3"/>
        <v>21434.868000000002</v>
      </c>
      <c r="J16" s="150">
        <v>0.25</v>
      </c>
      <c r="K16" s="164">
        <v>0.25</v>
      </c>
      <c r="L16" s="164">
        <v>0.25</v>
      </c>
      <c r="M16" s="164">
        <v>0.25</v>
      </c>
      <c r="N16" s="164">
        <v>0.4</v>
      </c>
      <c r="O16" s="164">
        <v>0.6</v>
      </c>
      <c r="P16" s="164">
        <v>0</v>
      </c>
      <c r="Q16" s="100">
        <f t="shared" si="9"/>
        <v>419.58</v>
      </c>
      <c r="R16" s="100">
        <f t="shared" si="10"/>
        <v>3776.22</v>
      </c>
      <c r="S16" s="100">
        <f aca="true" t="shared" si="13" ref="S16:S38">F9*K9/1000</f>
        <v>123.56129032258063</v>
      </c>
      <c r="T16" s="100">
        <f aca="true" t="shared" si="14" ref="T16:T38">G9*K9</f>
        <v>1112.0516129032255</v>
      </c>
      <c r="U16" s="100"/>
      <c r="V16" s="100"/>
      <c r="W16" s="100"/>
      <c r="X16" s="100"/>
      <c r="Y16" s="100">
        <f t="shared" si="11"/>
        <v>892.71</v>
      </c>
      <c r="Z16" s="100">
        <f t="shared" si="12"/>
        <v>8034.389999999999</v>
      </c>
      <c r="AA16" s="100">
        <f aca="true" t="shared" si="15" ref="AA16:AA38">$H9*P9/1000</f>
        <v>0</v>
      </c>
      <c r="AB16" s="100">
        <f aca="true" t="shared" si="16" ref="AB16:AB38">I9*P9</f>
        <v>0</v>
      </c>
      <c r="AC16" s="100">
        <f t="shared" si="5"/>
        <v>628.992</v>
      </c>
      <c r="AD16" s="100">
        <f t="shared" si="6"/>
        <v>5660.928</v>
      </c>
      <c r="AE16" s="100">
        <f t="shared" si="7"/>
        <v>2064.8432903225803</v>
      </c>
      <c r="AF16" s="107">
        <f t="shared" si="8"/>
        <v>18583.589612903226</v>
      </c>
      <c r="AG16" s="81"/>
      <c r="AH16" s="81"/>
      <c r="AI16" s="81"/>
      <c r="AJ16" s="81"/>
      <c r="AK16" s="81"/>
      <c r="AL16" s="81"/>
      <c r="AM16" s="81"/>
      <c r="AN16" s="81"/>
      <c r="AO16" s="81"/>
      <c r="AP16" s="81"/>
      <c r="AQ16" s="81"/>
      <c r="AR16" s="81"/>
      <c r="AS16" s="81"/>
      <c r="AT16" s="28"/>
      <c r="AU16" s="28"/>
      <c r="AV16" s="28"/>
    </row>
    <row r="17" spans="2:48" ht="12.75">
      <c r="B17" s="102">
        <v>1989</v>
      </c>
      <c r="C17" s="100">
        <f aca="true" t="shared" si="17" ref="C17:C23">G106</f>
        <v>4675545.525</v>
      </c>
      <c r="D17" s="204">
        <v>17.86331634129379</v>
      </c>
      <c r="E17" s="100">
        <f t="shared" si="4"/>
        <v>41760.374390597775</v>
      </c>
      <c r="F17" s="100">
        <f t="shared" si="0"/>
        <v>2244261.852</v>
      </c>
      <c r="G17" s="100">
        <f t="shared" si="1"/>
        <v>20044.97970748693</v>
      </c>
      <c r="H17" s="100">
        <f t="shared" si="2"/>
        <v>2431283.6730000004</v>
      </c>
      <c r="I17" s="100">
        <f t="shared" si="3"/>
        <v>21715.394683110844</v>
      </c>
      <c r="J17" s="150">
        <v>0.25</v>
      </c>
      <c r="K17" s="164">
        <v>0.25</v>
      </c>
      <c r="L17" s="164">
        <v>0.25</v>
      </c>
      <c r="M17" s="164">
        <v>0.25</v>
      </c>
      <c r="N17" s="164">
        <v>0.4</v>
      </c>
      <c r="O17" s="164">
        <v>0.6</v>
      </c>
      <c r="P17" s="164">
        <v>0</v>
      </c>
      <c r="Q17" s="100">
        <f t="shared" si="9"/>
        <v>362.88</v>
      </c>
      <c r="R17" s="100">
        <f t="shared" si="10"/>
        <v>3265.92</v>
      </c>
      <c r="S17" s="100">
        <f t="shared" si="13"/>
        <v>191.52</v>
      </c>
      <c r="T17" s="100">
        <f t="shared" si="14"/>
        <v>1723.6799999999998</v>
      </c>
      <c r="U17" s="100"/>
      <c r="V17" s="100"/>
      <c r="W17" s="100"/>
      <c r="X17" s="100"/>
      <c r="Y17" s="100">
        <f t="shared" si="11"/>
        <v>1090.908</v>
      </c>
      <c r="Z17" s="100">
        <f t="shared" si="12"/>
        <v>9818.172</v>
      </c>
      <c r="AA17" s="100">
        <f t="shared" si="15"/>
        <v>0</v>
      </c>
      <c r="AB17" s="100">
        <f t="shared" si="16"/>
        <v>0</v>
      </c>
      <c r="AC17" s="100">
        <f t="shared" si="5"/>
        <v>748.1292000000001</v>
      </c>
      <c r="AD17" s="100">
        <f t="shared" si="6"/>
        <v>6733.1628</v>
      </c>
      <c r="AE17" s="100">
        <f t="shared" si="7"/>
        <v>2393.4372000000003</v>
      </c>
      <c r="AF17" s="107">
        <f t="shared" si="8"/>
        <v>21540.934800000003</v>
      </c>
      <c r="AG17" s="81"/>
      <c r="AH17" s="81"/>
      <c r="AI17" s="81"/>
      <c r="AJ17" s="81"/>
      <c r="AK17" s="81"/>
      <c r="AL17" s="81"/>
      <c r="AM17" s="81"/>
      <c r="AN17" s="81"/>
      <c r="AO17" s="81"/>
      <c r="AP17" s="81"/>
      <c r="AQ17" s="81"/>
      <c r="AR17" s="81"/>
      <c r="AS17" s="81"/>
      <c r="AT17" s="28"/>
      <c r="AU17" s="28"/>
      <c r="AV17" s="28"/>
    </row>
    <row r="18" spans="2:48" ht="12.75">
      <c r="B18" s="102">
        <v>1990</v>
      </c>
      <c r="C18" s="100">
        <f t="shared" si="17"/>
        <v>4979902.725000001</v>
      </c>
      <c r="D18" s="204">
        <v>19.61576938693987</v>
      </c>
      <c r="E18" s="100">
        <f t="shared" si="4"/>
        <v>48842.311711496724</v>
      </c>
      <c r="F18" s="100">
        <f t="shared" si="0"/>
        <v>2390353.308</v>
      </c>
      <c r="G18" s="100">
        <f t="shared" si="1"/>
        <v>23444.309621518427</v>
      </c>
      <c r="H18" s="100">
        <f t="shared" si="2"/>
        <v>2589549.4170000004</v>
      </c>
      <c r="I18" s="100">
        <f t="shared" si="3"/>
        <v>25398.002089978298</v>
      </c>
      <c r="J18" s="150">
        <v>0.25</v>
      </c>
      <c r="K18" s="164">
        <v>0.25</v>
      </c>
      <c r="L18" s="164">
        <v>0.25</v>
      </c>
      <c r="M18" s="164">
        <v>0.25</v>
      </c>
      <c r="N18" s="164">
        <v>0.4</v>
      </c>
      <c r="O18" s="164">
        <v>0.6</v>
      </c>
      <c r="P18" s="164">
        <v>0</v>
      </c>
      <c r="Q18" s="100">
        <f t="shared" si="9"/>
        <v>431.613</v>
      </c>
      <c r="R18" s="100">
        <f t="shared" si="10"/>
        <v>3884.517</v>
      </c>
      <c r="S18" s="100">
        <f t="shared" si="13"/>
        <v>343.35</v>
      </c>
      <c r="T18" s="100">
        <f t="shared" si="14"/>
        <v>3090.15</v>
      </c>
      <c r="U18" s="100">
        <f>F8*L8/1000</f>
        <v>61.780645161290316</v>
      </c>
      <c r="V18" s="100">
        <f>G8*L8</f>
        <v>556.0258064516128</v>
      </c>
      <c r="W18" s="100"/>
      <c r="X18" s="100"/>
      <c r="Y18" s="100">
        <f t="shared" si="11"/>
        <v>943.488</v>
      </c>
      <c r="Z18" s="100">
        <f t="shared" si="12"/>
        <v>8491.392</v>
      </c>
      <c r="AA18" s="100">
        <f t="shared" si="15"/>
        <v>0</v>
      </c>
      <c r="AB18" s="100">
        <f t="shared" si="16"/>
        <v>0</v>
      </c>
      <c r="AC18" s="100">
        <f t="shared" si="5"/>
        <v>895.6584</v>
      </c>
      <c r="AD18" s="100">
        <f t="shared" si="6"/>
        <v>8060.9256</v>
      </c>
      <c r="AE18" s="100">
        <f t="shared" si="7"/>
        <v>2675.8900451612903</v>
      </c>
      <c r="AF18" s="107">
        <f t="shared" si="8"/>
        <v>24083.010406451613</v>
      </c>
      <c r="AG18" s="81"/>
      <c r="AH18" s="81"/>
      <c r="AI18" s="81"/>
      <c r="AJ18" s="81"/>
      <c r="AK18" s="81"/>
      <c r="AL18" s="81"/>
      <c r="AM18" s="81"/>
      <c r="AN18" s="81"/>
      <c r="AO18" s="81"/>
      <c r="AP18" s="81"/>
      <c r="AQ18" s="81"/>
      <c r="AR18" s="81"/>
      <c r="AS18" s="81"/>
      <c r="AT18" s="29"/>
      <c r="AU18" s="192"/>
      <c r="AV18" s="29"/>
    </row>
    <row r="19" spans="2:48" ht="12.75">
      <c r="B19" s="102">
        <v>1991</v>
      </c>
      <c r="C19" s="100">
        <f t="shared" si="17"/>
        <v>4999975.05</v>
      </c>
      <c r="D19" s="204">
        <v>18.36082100743387</v>
      </c>
      <c r="E19" s="100">
        <f t="shared" si="4"/>
        <v>45901.823467342605</v>
      </c>
      <c r="F19" s="100">
        <f t="shared" si="0"/>
        <v>2399988.0239999997</v>
      </c>
      <c r="G19" s="100">
        <f t="shared" si="1"/>
        <v>22032.875264324448</v>
      </c>
      <c r="H19" s="100">
        <f t="shared" si="2"/>
        <v>2599987.026</v>
      </c>
      <c r="I19" s="100">
        <f t="shared" si="3"/>
        <v>23868.948203018157</v>
      </c>
      <c r="J19" s="150">
        <v>0.25</v>
      </c>
      <c r="K19" s="164">
        <v>0.25</v>
      </c>
      <c r="L19" s="164">
        <v>0.25</v>
      </c>
      <c r="M19" s="164">
        <v>0.25</v>
      </c>
      <c r="N19" s="164">
        <v>0.4</v>
      </c>
      <c r="O19" s="164">
        <v>0.6</v>
      </c>
      <c r="P19" s="164">
        <v>0</v>
      </c>
      <c r="Q19" s="100">
        <f t="shared" si="9"/>
        <v>516.726</v>
      </c>
      <c r="R19" s="100">
        <f t="shared" si="10"/>
        <v>4650.534</v>
      </c>
      <c r="S19" s="100">
        <f t="shared" si="13"/>
        <v>419.58</v>
      </c>
      <c r="T19" s="100">
        <f t="shared" si="14"/>
        <v>3776.22</v>
      </c>
      <c r="U19" s="100">
        <f aca="true" t="shared" si="18" ref="U19:U38">F9*L9/1000</f>
        <v>123.56129032258063</v>
      </c>
      <c r="V19" s="100">
        <f aca="true" t="shared" si="19" ref="V19:V38">G9*L9</f>
        <v>1112.0516129032255</v>
      </c>
      <c r="W19" s="100"/>
      <c r="X19" s="100"/>
      <c r="Y19" s="100">
        <f t="shared" si="11"/>
        <v>1122.1938</v>
      </c>
      <c r="Z19" s="100">
        <f t="shared" si="12"/>
        <v>10099.7442</v>
      </c>
      <c r="AA19" s="100">
        <f t="shared" si="15"/>
        <v>0</v>
      </c>
      <c r="AB19" s="100">
        <f t="shared" si="16"/>
        <v>0</v>
      </c>
      <c r="AC19" s="100">
        <f t="shared" si="5"/>
        <v>952.6608</v>
      </c>
      <c r="AD19" s="100">
        <f t="shared" si="6"/>
        <v>8573.9472</v>
      </c>
      <c r="AE19" s="100">
        <f t="shared" si="7"/>
        <v>3134.7218903225807</v>
      </c>
      <c r="AF19" s="107">
        <f t="shared" si="8"/>
        <v>28212.497012903223</v>
      </c>
      <c r="AG19" s="81"/>
      <c r="AH19" s="81"/>
      <c r="AI19" s="81"/>
      <c r="AJ19" s="81"/>
      <c r="AK19" s="81"/>
      <c r="AL19" s="81"/>
      <c r="AM19" s="81"/>
      <c r="AN19" s="81"/>
      <c r="AO19" s="81"/>
      <c r="AP19" s="81"/>
      <c r="AQ19" s="81"/>
      <c r="AR19" s="81"/>
      <c r="AS19" s="81"/>
      <c r="AT19" s="29"/>
      <c r="AU19" s="192"/>
      <c r="AV19" s="29"/>
    </row>
    <row r="20" spans="2:48" ht="12.75">
      <c r="B20" s="102">
        <v>1992</v>
      </c>
      <c r="C20" s="100">
        <f t="shared" si="17"/>
        <v>6174525</v>
      </c>
      <c r="D20" s="204">
        <v>17.43017602235645</v>
      </c>
      <c r="E20" s="100">
        <f t="shared" si="4"/>
        <v>53811.52880222022</v>
      </c>
      <c r="F20" s="100">
        <f t="shared" si="0"/>
        <v>2963772</v>
      </c>
      <c r="G20" s="100">
        <f t="shared" si="1"/>
        <v>25829.533825065704</v>
      </c>
      <c r="H20" s="100">
        <f t="shared" si="2"/>
        <v>3210753</v>
      </c>
      <c r="I20" s="100">
        <f t="shared" si="3"/>
        <v>27981.994977154518</v>
      </c>
      <c r="J20" s="150">
        <v>0.25</v>
      </c>
      <c r="K20" s="164">
        <v>0.25</v>
      </c>
      <c r="L20" s="164">
        <v>0.25</v>
      </c>
      <c r="M20" s="164">
        <v>0.25</v>
      </c>
      <c r="N20" s="164">
        <v>0.4</v>
      </c>
      <c r="O20" s="164">
        <v>0.6</v>
      </c>
      <c r="P20" s="164">
        <v>0</v>
      </c>
      <c r="Q20" s="100">
        <f t="shared" si="9"/>
        <v>549.612</v>
      </c>
      <c r="R20" s="100">
        <f t="shared" si="10"/>
        <v>4946.508</v>
      </c>
      <c r="S20" s="100">
        <f t="shared" si="13"/>
        <v>362.88</v>
      </c>
      <c r="T20" s="100">
        <f t="shared" si="14"/>
        <v>3265.92</v>
      </c>
      <c r="U20" s="100">
        <f t="shared" si="18"/>
        <v>191.52</v>
      </c>
      <c r="V20" s="100">
        <f t="shared" si="19"/>
        <v>1723.6799999999998</v>
      </c>
      <c r="W20" s="100"/>
      <c r="X20" s="100"/>
      <c r="Y20" s="100">
        <f t="shared" si="11"/>
        <v>1343.4876</v>
      </c>
      <c r="Z20" s="100">
        <f t="shared" si="12"/>
        <v>12091.388399999998</v>
      </c>
      <c r="AA20" s="100">
        <f t="shared" si="15"/>
        <v>0</v>
      </c>
      <c r="AB20" s="100">
        <f t="shared" si="16"/>
        <v>0</v>
      </c>
      <c r="AC20" s="100">
        <f t="shared" si="5"/>
        <v>972.5134692000001</v>
      </c>
      <c r="AD20" s="100">
        <f t="shared" si="6"/>
        <v>8686.157873244338</v>
      </c>
      <c r="AE20" s="100">
        <f t="shared" si="7"/>
        <v>3420.0130692000002</v>
      </c>
      <c r="AF20" s="107">
        <f t="shared" si="8"/>
        <v>30713.654273244334</v>
      </c>
      <c r="AG20" s="81"/>
      <c r="AH20" s="81"/>
      <c r="AI20" s="81"/>
      <c r="AJ20" s="81"/>
      <c r="AK20" s="81"/>
      <c r="AL20" s="81"/>
      <c r="AM20" s="81"/>
      <c r="AN20" s="81"/>
      <c r="AO20" s="81"/>
      <c r="AP20" s="81"/>
      <c r="AQ20" s="81"/>
      <c r="AR20" s="81"/>
      <c r="AS20" s="81"/>
      <c r="AT20" s="29"/>
      <c r="AU20" s="192"/>
      <c r="AV20" s="29"/>
    </row>
    <row r="21" spans="2:48" ht="12.75">
      <c r="B21" s="102">
        <v>1993</v>
      </c>
      <c r="C21" s="100">
        <f t="shared" si="17"/>
        <v>8163750</v>
      </c>
      <c r="D21" s="204">
        <v>17.761993549272578</v>
      </c>
      <c r="E21" s="100">
        <f t="shared" si="4"/>
        <v>72502.237418937</v>
      </c>
      <c r="F21" s="100">
        <f t="shared" si="0"/>
        <v>3918600</v>
      </c>
      <c r="G21" s="100">
        <f t="shared" si="1"/>
        <v>34801.07396108976</v>
      </c>
      <c r="H21" s="100">
        <f t="shared" si="2"/>
        <v>4245150</v>
      </c>
      <c r="I21" s="100">
        <f t="shared" si="3"/>
        <v>37701.163457847244</v>
      </c>
      <c r="J21" s="150">
        <v>0.25</v>
      </c>
      <c r="K21" s="164">
        <v>0.25</v>
      </c>
      <c r="L21" s="164">
        <v>0.25</v>
      </c>
      <c r="M21" s="164">
        <v>0.25</v>
      </c>
      <c r="N21" s="164">
        <v>0.4</v>
      </c>
      <c r="O21" s="164">
        <v>0.6</v>
      </c>
      <c r="P21" s="164">
        <v>0</v>
      </c>
      <c r="Q21" s="100">
        <f t="shared" si="9"/>
        <v>561.065463</v>
      </c>
      <c r="R21" s="100">
        <f t="shared" si="10"/>
        <v>5011.244926871733</v>
      </c>
      <c r="S21" s="100">
        <f t="shared" si="13"/>
        <v>431.613</v>
      </c>
      <c r="T21" s="100">
        <f t="shared" si="14"/>
        <v>3884.517</v>
      </c>
      <c r="U21" s="100">
        <f t="shared" si="18"/>
        <v>343.35</v>
      </c>
      <c r="V21" s="100">
        <f t="shared" si="19"/>
        <v>3090.15</v>
      </c>
      <c r="W21" s="100"/>
      <c r="X21" s="100"/>
      <c r="Y21" s="100">
        <f t="shared" si="11"/>
        <v>1428.9912</v>
      </c>
      <c r="Z21" s="100">
        <f t="shared" si="12"/>
        <v>12860.920800000002</v>
      </c>
      <c r="AA21" s="100">
        <f t="shared" si="15"/>
        <v>0</v>
      </c>
      <c r="AB21" s="100">
        <f t="shared" si="16"/>
        <v>0</v>
      </c>
      <c r="AC21" s="100">
        <f t="shared" si="5"/>
        <v>1035.8197668000003</v>
      </c>
      <c r="AD21" s="100">
        <f t="shared" si="6"/>
        <v>10159.20083599132</v>
      </c>
      <c r="AE21" s="100">
        <f t="shared" si="7"/>
        <v>3800.8394298000003</v>
      </c>
      <c r="AF21" s="107">
        <f t="shared" si="8"/>
        <v>35006.03356286306</v>
      </c>
      <c r="AG21" s="81"/>
      <c r="AH21" s="81"/>
      <c r="AI21" s="81"/>
      <c r="AJ21" s="81"/>
      <c r="AK21" s="81"/>
      <c r="AL21" s="81"/>
      <c r="AM21" s="81"/>
      <c r="AN21" s="81"/>
      <c r="AO21" s="81"/>
      <c r="AP21" s="81"/>
      <c r="AQ21" s="81"/>
      <c r="AR21" s="81"/>
      <c r="AS21" s="81"/>
      <c r="AT21" s="29"/>
      <c r="AU21" s="192"/>
      <c r="AV21" s="29"/>
    </row>
    <row r="22" spans="2:48" ht="12.75">
      <c r="B22" s="102">
        <v>1994</v>
      </c>
      <c r="C22" s="100">
        <f t="shared" si="17"/>
        <v>9710740.200000001</v>
      </c>
      <c r="D22" s="204">
        <v>17.809990560683474</v>
      </c>
      <c r="E22" s="100">
        <f t="shared" si="4"/>
        <v>86474.09564962478</v>
      </c>
      <c r="F22" s="100">
        <f t="shared" si="0"/>
        <v>4661155.296</v>
      </c>
      <c r="G22" s="100">
        <f t="shared" si="1"/>
        <v>41507.5659118199</v>
      </c>
      <c r="H22" s="100">
        <f t="shared" si="2"/>
        <v>5049584.904000001</v>
      </c>
      <c r="I22" s="100">
        <f t="shared" si="3"/>
        <v>44966.529737804885</v>
      </c>
      <c r="J22" s="150">
        <v>0.25</v>
      </c>
      <c r="K22" s="164">
        <v>0.25</v>
      </c>
      <c r="L22" s="164">
        <v>0.25</v>
      </c>
      <c r="M22" s="164">
        <v>0.25</v>
      </c>
      <c r="N22" s="164">
        <v>0.4</v>
      </c>
      <c r="O22" s="164">
        <v>0.6</v>
      </c>
      <c r="P22" s="164">
        <v>0</v>
      </c>
      <c r="Q22" s="100">
        <f t="shared" si="9"/>
        <v>597.588327</v>
      </c>
      <c r="R22" s="100">
        <f t="shared" si="10"/>
        <v>5861.077405379607</v>
      </c>
      <c r="S22" s="100">
        <f t="shared" si="13"/>
        <v>516.726</v>
      </c>
      <c r="T22" s="100">
        <f t="shared" si="14"/>
        <v>4650.534</v>
      </c>
      <c r="U22" s="100">
        <f t="shared" si="18"/>
        <v>419.58</v>
      </c>
      <c r="V22" s="100">
        <f t="shared" si="19"/>
        <v>3776.22</v>
      </c>
      <c r="W22" s="100">
        <f>F8*M8/1000</f>
        <v>61.780645161290316</v>
      </c>
      <c r="X22" s="100">
        <f>G8*M8</f>
        <v>556.0258064516128</v>
      </c>
      <c r="Y22" s="100">
        <f t="shared" si="11"/>
        <v>1458.7702038000002</v>
      </c>
      <c r="Z22" s="100">
        <f t="shared" si="12"/>
        <v>13029.236809866507</v>
      </c>
      <c r="AA22" s="100">
        <f t="shared" si="15"/>
        <v>0</v>
      </c>
      <c r="AB22" s="100">
        <f t="shared" si="16"/>
        <v>0</v>
      </c>
      <c r="AC22" s="100">
        <f t="shared" si="5"/>
        <v>1039.9948104</v>
      </c>
      <c r="AD22" s="100">
        <f t="shared" si="6"/>
        <v>9547.579281207263</v>
      </c>
      <c r="AE22" s="100">
        <f t="shared" si="7"/>
        <v>4094.4399863612903</v>
      </c>
      <c r="AF22" s="107">
        <f t="shared" si="8"/>
        <v>37420.67330290499</v>
      </c>
      <c r="AG22" s="81"/>
      <c r="AH22" s="81"/>
      <c r="AI22" s="81"/>
      <c r="AJ22" s="81"/>
      <c r="AK22" s="81"/>
      <c r="AL22" s="81"/>
      <c r="AM22" s="81"/>
      <c r="AN22" s="81"/>
      <c r="AO22" s="81"/>
      <c r="AP22" s="81"/>
      <c r="AQ22" s="81"/>
      <c r="AR22" s="81"/>
      <c r="AS22" s="81"/>
      <c r="AT22" s="29"/>
      <c r="AU22" s="192"/>
      <c r="AV22" s="29"/>
    </row>
    <row r="23" spans="2:48" ht="12.75">
      <c r="B23" s="102">
        <v>1995</v>
      </c>
      <c r="C23" s="100">
        <f t="shared" si="17"/>
        <v>11919424.65</v>
      </c>
      <c r="D23" s="204">
        <v>16.833347913713883</v>
      </c>
      <c r="E23" s="100">
        <f t="shared" si="4"/>
        <v>100321.91103237367</v>
      </c>
      <c r="F23" s="100">
        <f t="shared" si="0"/>
        <v>5721323.832</v>
      </c>
      <c r="G23" s="100">
        <f t="shared" si="1"/>
        <v>48154.51729553936</v>
      </c>
      <c r="H23" s="100">
        <f t="shared" si="2"/>
        <v>6198100.818</v>
      </c>
      <c r="I23" s="100">
        <f t="shared" si="3"/>
        <v>52167.39373683431</v>
      </c>
      <c r="J23" s="150">
        <v>0.25</v>
      </c>
      <c r="K23" s="164">
        <v>0.25</v>
      </c>
      <c r="L23" s="164">
        <v>0.25</v>
      </c>
      <c r="M23" s="164">
        <v>0.25</v>
      </c>
      <c r="N23" s="164">
        <v>0.4</v>
      </c>
      <c r="O23" s="164">
        <v>0.6</v>
      </c>
      <c r="P23" s="164">
        <v>0</v>
      </c>
      <c r="Q23" s="100">
        <f t="shared" si="9"/>
        <v>599.9970059999999</v>
      </c>
      <c r="R23" s="100">
        <f t="shared" si="10"/>
        <v>5508.218816081112</v>
      </c>
      <c r="S23" s="100">
        <f t="shared" si="13"/>
        <v>549.612</v>
      </c>
      <c r="T23" s="100">
        <f t="shared" si="14"/>
        <v>4946.508</v>
      </c>
      <c r="U23" s="100">
        <f t="shared" si="18"/>
        <v>362.88</v>
      </c>
      <c r="V23" s="100">
        <f t="shared" si="19"/>
        <v>3265.92</v>
      </c>
      <c r="W23" s="100">
        <f aca="true" t="shared" si="20" ref="W23:W38">F9*M9/1000</f>
        <v>123.56129032258063</v>
      </c>
      <c r="X23" s="100">
        <f aca="true" t="shared" si="21" ref="X23:X38">G9*M9</f>
        <v>1112.0516129032255</v>
      </c>
      <c r="Y23" s="100">
        <f t="shared" si="11"/>
        <v>1553.7296502000004</v>
      </c>
      <c r="Z23" s="100">
        <f t="shared" si="12"/>
        <v>15238.801253986978</v>
      </c>
      <c r="AA23" s="100">
        <f t="shared" si="15"/>
        <v>0</v>
      </c>
      <c r="AB23" s="100">
        <f t="shared" si="16"/>
        <v>0</v>
      </c>
      <c r="AC23" s="100">
        <f t="shared" si="5"/>
        <v>1284.3012</v>
      </c>
      <c r="AD23" s="100">
        <f t="shared" si="6"/>
        <v>11192.797990861807</v>
      </c>
      <c r="AE23" s="100">
        <f t="shared" si="7"/>
        <v>4474.081146522581</v>
      </c>
      <c r="AF23" s="107">
        <f t="shared" si="8"/>
        <v>41264.29767383312</v>
      </c>
      <c r="AG23" s="81"/>
      <c r="AH23" s="81"/>
      <c r="AI23" s="81"/>
      <c r="AJ23" s="81"/>
      <c r="AK23" s="81"/>
      <c r="AL23" s="81"/>
      <c r="AM23" s="81"/>
      <c r="AN23" s="81"/>
      <c r="AO23" s="81"/>
      <c r="AP23" s="81"/>
      <c r="AQ23" s="81"/>
      <c r="AR23" s="81"/>
      <c r="AS23" s="81"/>
      <c r="AT23" s="29"/>
      <c r="AU23" s="192"/>
      <c r="AV23" s="29"/>
    </row>
    <row r="24" spans="2:48" ht="12.75">
      <c r="B24" s="102">
        <v>1996</v>
      </c>
      <c r="C24" s="108">
        <v>14933634</v>
      </c>
      <c r="D24" s="204">
        <v>15.366657626767351</v>
      </c>
      <c r="E24" s="100">
        <f t="shared" si="4"/>
        <v>114740.0204007261</v>
      </c>
      <c r="F24" s="100">
        <f t="shared" si="0"/>
        <v>7168144.319999999</v>
      </c>
      <c r="G24" s="100">
        <f t="shared" si="1"/>
        <v>55075.20979234853</v>
      </c>
      <c r="H24" s="100">
        <f t="shared" si="2"/>
        <v>7765489.680000001</v>
      </c>
      <c r="I24" s="100">
        <f t="shared" si="3"/>
        <v>59664.81060837758</v>
      </c>
      <c r="J24" s="150">
        <v>0.25</v>
      </c>
      <c r="K24" s="164">
        <v>0.25</v>
      </c>
      <c r="L24" s="164">
        <v>0.25</v>
      </c>
      <c r="M24" s="164">
        <v>0.25</v>
      </c>
      <c r="N24" s="164">
        <v>0.4</v>
      </c>
      <c r="O24" s="164">
        <v>0.6</v>
      </c>
      <c r="P24" s="164">
        <v>0</v>
      </c>
      <c r="Q24" s="100">
        <f t="shared" si="9"/>
        <v>740.943</v>
      </c>
      <c r="R24" s="100">
        <f t="shared" si="10"/>
        <v>6457.383456266426</v>
      </c>
      <c r="S24" s="100">
        <f t="shared" si="13"/>
        <v>561.065463</v>
      </c>
      <c r="T24" s="100">
        <f t="shared" si="14"/>
        <v>5011.244926871733</v>
      </c>
      <c r="U24" s="100">
        <f t="shared" si="18"/>
        <v>431.613</v>
      </c>
      <c r="V24" s="100">
        <f t="shared" si="19"/>
        <v>3884.517</v>
      </c>
      <c r="W24" s="100">
        <f t="shared" si="20"/>
        <v>191.52</v>
      </c>
      <c r="X24" s="100">
        <f t="shared" si="21"/>
        <v>1723.6799999999998</v>
      </c>
      <c r="Y24" s="100">
        <f t="shared" si="11"/>
        <v>1559.9922156</v>
      </c>
      <c r="Z24" s="100">
        <f t="shared" si="12"/>
        <v>14321.368921810894</v>
      </c>
      <c r="AA24" s="100">
        <f t="shared" si="15"/>
        <v>0</v>
      </c>
      <c r="AB24" s="100">
        <f t="shared" si="16"/>
        <v>0</v>
      </c>
      <c r="AC24" s="100">
        <f t="shared" si="5"/>
        <v>1698.06</v>
      </c>
      <c r="AD24" s="100">
        <f t="shared" si="6"/>
        <v>15080.465383138899</v>
      </c>
      <c r="AE24" s="100">
        <f t="shared" si="7"/>
        <v>5183.193678600001</v>
      </c>
      <c r="AF24" s="107">
        <f t="shared" si="8"/>
        <v>46478.65968808795</v>
      </c>
      <c r="AG24" s="81"/>
      <c r="AH24" s="81"/>
      <c r="AI24" s="81"/>
      <c r="AJ24" s="81"/>
      <c r="AK24" s="81"/>
      <c r="AL24" s="81"/>
      <c r="AM24" s="81"/>
      <c r="AN24" s="81"/>
      <c r="AO24" s="81"/>
      <c r="AP24" s="81"/>
      <c r="AQ24" s="81"/>
      <c r="AR24" s="81"/>
      <c r="AS24" s="81"/>
      <c r="AT24" s="29"/>
      <c r="AU24" s="192"/>
      <c r="AV24" s="29"/>
    </row>
    <row r="25" spans="2:48" ht="12.75">
      <c r="B25" s="102">
        <v>1997</v>
      </c>
      <c r="C25" s="108">
        <v>16243528</v>
      </c>
      <c r="D25" s="204">
        <v>16.73879322274062</v>
      </c>
      <c r="E25" s="100">
        <f t="shared" si="4"/>
        <v>135948.52819989875</v>
      </c>
      <c r="F25" s="100">
        <f t="shared" si="0"/>
        <v>7796893.4399999995</v>
      </c>
      <c r="G25" s="100">
        <f t="shared" si="1"/>
        <v>65255.293535951394</v>
      </c>
      <c r="H25" s="100">
        <f t="shared" si="2"/>
        <v>8446634.56</v>
      </c>
      <c r="I25" s="100">
        <f t="shared" si="3"/>
        <v>70693.23466394735</v>
      </c>
      <c r="J25" s="150">
        <v>0.25</v>
      </c>
      <c r="K25" s="164">
        <v>0.25</v>
      </c>
      <c r="L25" s="164">
        <v>0.25</v>
      </c>
      <c r="M25" s="164">
        <v>0.25</v>
      </c>
      <c r="N25" s="164">
        <v>0.4</v>
      </c>
      <c r="O25" s="164">
        <v>0.6</v>
      </c>
      <c r="P25" s="164">
        <v>0</v>
      </c>
      <c r="Q25" s="100">
        <f t="shared" si="9"/>
        <v>979.65</v>
      </c>
      <c r="R25" s="100">
        <f t="shared" si="10"/>
        <v>8700.26849027244</v>
      </c>
      <c r="S25" s="100">
        <f t="shared" si="13"/>
        <v>597.588327</v>
      </c>
      <c r="T25" s="100">
        <f t="shared" si="14"/>
        <v>5861.077405379607</v>
      </c>
      <c r="U25" s="100">
        <f t="shared" si="18"/>
        <v>516.726</v>
      </c>
      <c r="V25" s="100">
        <f t="shared" si="19"/>
        <v>4650.534</v>
      </c>
      <c r="W25" s="100">
        <f t="shared" si="20"/>
        <v>343.35</v>
      </c>
      <c r="X25" s="100">
        <f t="shared" si="21"/>
        <v>3090.15</v>
      </c>
      <c r="Y25" s="100">
        <f t="shared" si="11"/>
        <v>1926.4517999999998</v>
      </c>
      <c r="Z25" s="100">
        <f t="shared" si="12"/>
        <v>16789.19698629271</v>
      </c>
      <c r="AA25" s="100">
        <f t="shared" si="15"/>
        <v>0</v>
      </c>
      <c r="AB25" s="100">
        <f t="shared" si="16"/>
        <v>0</v>
      </c>
      <c r="AC25" s="100">
        <f t="shared" si="5"/>
        <v>2019.8339616000005</v>
      </c>
      <c r="AD25" s="100">
        <f t="shared" si="6"/>
        <v>17986.611895121954</v>
      </c>
      <c r="AE25" s="100">
        <f t="shared" si="7"/>
        <v>6383.6000886</v>
      </c>
      <c r="AF25" s="107">
        <f t="shared" si="8"/>
        <v>57077.83877706672</v>
      </c>
      <c r="AG25" s="81"/>
      <c r="AH25" s="81"/>
      <c r="AI25" s="81"/>
      <c r="AJ25" s="81"/>
      <c r="AK25" s="81"/>
      <c r="AL25" s="81"/>
      <c r="AM25" s="81"/>
      <c r="AN25" s="81"/>
      <c r="AO25" s="81"/>
      <c r="AP25" s="81"/>
      <c r="AQ25" s="81"/>
      <c r="AR25" s="81"/>
      <c r="AS25" s="81"/>
      <c r="AT25" s="29"/>
      <c r="AU25" s="192"/>
      <c r="AV25" s="29"/>
    </row>
    <row r="26" spans="2:48" ht="12.75">
      <c r="B26" s="102">
        <v>1998</v>
      </c>
      <c r="C26" s="108">
        <v>22500414</v>
      </c>
      <c r="D26" s="204">
        <v>16.269367001965</v>
      </c>
      <c r="E26" s="100">
        <f t="shared" si="4"/>
        <v>183033.74653107568</v>
      </c>
      <c r="F26" s="100">
        <f t="shared" si="0"/>
        <v>10800198.719999999</v>
      </c>
      <c r="G26" s="100">
        <f t="shared" si="1"/>
        <v>87856.19833491632</v>
      </c>
      <c r="H26" s="100">
        <f t="shared" si="2"/>
        <v>11700215.280000001</v>
      </c>
      <c r="I26" s="100">
        <f t="shared" si="3"/>
        <v>95177.54819615936</v>
      </c>
      <c r="J26" s="150">
        <v>0.25</v>
      </c>
      <c r="K26" s="164">
        <v>0.25</v>
      </c>
      <c r="L26" s="164">
        <v>0.25</v>
      </c>
      <c r="M26" s="164">
        <v>0.25</v>
      </c>
      <c r="N26" s="164">
        <v>0.4</v>
      </c>
      <c r="O26" s="164">
        <v>0.6</v>
      </c>
      <c r="P26" s="164">
        <v>0</v>
      </c>
      <c r="Q26" s="100">
        <f t="shared" si="9"/>
        <v>1165.288824</v>
      </c>
      <c r="R26" s="100">
        <f t="shared" si="10"/>
        <v>10376.891477954974</v>
      </c>
      <c r="S26" s="100">
        <f t="shared" si="13"/>
        <v>599.9970059999999</v>
      </c>
      <c r="T26" s="100">
        <f t="shared" si="14"/>
        <v>5508.218816081112</v>
      </c>
      <c r="U26" s="100">
        <f t="shared" si="18"/>
        <v>549.612</v>
      </c>
      <c r="V26" s="100">
        <f t="shared" si="19"/>
        <v>4946.508</v>
      </c>
      <c r="W26" s="100">
        <f t="shared" si="20"/>
        <v>419.58</v>
      </c>
      <c r="X26" s="100">
        <f t="shared" si="21"/>
        <v>3776.22</v>
      </c>
      <c r="Y26" s="100">
        <f t="shared" si="11"/>
        <v>2547.09</v>
      </c>
      <c r="Z26" s="100">
        <f t="shared" si="12"/>
        <v>22620.698074708347</v>
      </c>
      <c r="AA26" s="100">
        <f t="shared" si="15"/>
        <v>0</v>
      </c>
      <c r="AB26" s="100">
        <f t="shared" si="16"/>
        <v>0</v>
      </c>
      <c r="AC26" s="100">
        <f t="shared" si="5"/>
        <v>2479.2403272</v>
      </c>
      <c r="AD26" s="100">
        <f t="shared" si="6"/>
        <v>20866.957494733724</v>
      </c>
      <c r="AE26" s="100">
        <f t="shared" si="7"/>
        <v>7760.8081572</v>
      </c>
      <c r="AF26" s="107">
        <f t="shared" si="8"/>
        <v>68095.49386347816</v>
      </c>
      <c r="AG26" s="81"/>
      <c r="AH26" s="81"/>
      <c r="AI26" s="81"/>
      <c r="AJ26" s="81"/>
      <c r="AK26" s="81"/>
      <c r="AL26" s="81"/>
      <c r="AM26" s="81"/>
      <c r="AN26" s="81"/>
      <c r="AO26" s="81"/>
      <c r="AP26" s="81"/>
      <c r="AQ26" s="81"/>
      <c r="AR26" s="81"/>
      <c r="AS26" s="81"/>
      <c r="AT26" s="193"/>
      <c r="AU26" s="192"/>
      <c r="AV26" s="29"/>
    </row>
    <row r="27" spans="2:50" ht="12.75">
      <c r="B27" s="102">
        <v>1999</v>
      </c>
      <c r="C27" s="108">
        <v>27504008</v>
      </c>
      <c r="D27" s="204">
        <v>16.39618617588669</v>
      </c>
      <c r="E27" s="100">
        <f t="shared" si="4"/>
        <v>225480.41787553846</v>
      </c>
      <c r="F27" s="100">
        <f t="shared" si="0"/>
        <v>13201923.84</v>
      </c>
      <c r="G27" s="100">
        <f t="shared" si="1"/>
        <v>108230.60058025846</v>
      </c>
      <c r="H27" s="100">
        <f t="shared" si="2"/>
        <v>14302084.16</v>
      </c>
      <c r="I27" s="100">
        <f t="shared" si="3"/>
        <v>117249.81729528001</v>
      </c>
      <c r="J27" s="150">
        <v>0.25</v>
      </c>
      <c r="K27" s="164">
        <v>0.25</v>
      </c>
      <c r="L27" s="164">
        <v>0.25</v>
      </c>
      <c r="M27" s="164">
        <v>0.25</v>
      </c>
      <c r="N27" s="164">
        <v>0.4</v>
      </c>
      <c r="O27" s="164">
        <v>0.6</v>
      </c>
      <c r="P27" s="164">
        <v>0</v>
      </c>
      <c r="Q27" s="100">
        <f t="shared" si="9"/>
        <v>1430.330958</v>
      </c>
      <c r="R27" s="100">
        <f t="shared" si="10"/>
        <v>12038.62932388484</v>
      </c>
      <c r="S27" s="100">
        <f t="shared" si="13"/>
        <v>740.943</v>
      </c>
      <c r="T27" s="100">
        <f t="shared" si="14"/>
        <v>6457.383456266426</v>
      </c>
      <c r="U27" s="100">
        <f t="shared" si="18"/>
        <v>561.065463</v>
      </c>
      <c r="V27" s="100">
        <f t="shared" si="19"/>
        <v>5011.244926871733</v>
      </c>
      <c r="W27" s="100">
        <f t="shared" si="20"/>
        <v>362.88</v>
      </c>
      <c r="X27" s="100">
        <f t="shared" si="21"/>
        <v>3265.92</v>
      </c>
      <c r="Y27" s="100">
        <f t="shared" si="11"/>
        <v>3029.7509424000004</v>
      </c>
      <c r="Z27" s="100">
        <f t="shared" si="12"/>
        <v>26979.91784268293</v>
      </c>
      <c r="AA27" s="100">
        <f t="shared" si="15"/>
        <v>0</v>
      </c>
      <c r="AB27" s="100">
        <f t="shared" si="16"/>
        <v>0</v>
      </c>
      <c r="AC27" s="100">
        <f t="shared" si="5"/>
        <v>3106.1958720000002</v>
      </c>
      <c r="AD27" s="100">
        <f t="shared" si="6"/>
        <v>23865.924243351034</v>
      </c>
      <c r="AE27" s="100">
        <f t="shared" si="7"/>
        <v>9231.1662354</v>
      </c>
      <c r="AF27" s="107">
        <f t="shared" si="8"/>
        <v>77619.01979305696</v>
      </c>
      <c r="AG27" s="81"/>
      <c r="AH27" s="81"/>
      <c r="AI27" s="81"/>
      <c r="AJ27" s="81"/>
      <c r="AK27" s="81"/>
      <c r="AL27" s="81"/>
      <c r="AM27" s="81"/>
      <c r="AN27" s="81"/>
      <c r="AO27" s="81"/>
      <c r="AP27" s="81"/>
      <c r="AQ27" s="81"/>
      <c r="AR27" s="81"/>
      <c r="AS27" s="81"/>
      <c r="AT27" s="193"/>
      <c r="AU27" s="192"/>
      <c r="AV27" s="29"/>
      <c r="AW27" s="573"/>
      <c r="AX27" s="573"/>
    </row>
    <row r="28" spans="2:50" ht="12.75">
      <c r="B28" s="102">
        <v>2000</v>
      </c>
      <c r="C28" s="108">
        <v>28666050</v>
      </c>
      <c r="D28" s="204">
        <v>18.456228022315194</v>
      </c>
      <c r="E28" s="100">
        <f t="shared" si="4"/>
        <v>264533.5776495442</v>
      </c>
      <c r="F28" s="100">
        <f t="shared" si="0"/>
        <v>13759704</v>
      </c>
      <c r="G28" s="100">
        <f t="shared" si="1"/>
        <v>126976.11727178123</v>
      </c>
      <c r="H28" s="100">
        <f t="shared" si="2"/>
        <v>14906346</v>
      </c>
      <c r="I28" s="100">
        <f t="shared" si="3"/>
        <v>137557.460377763</v>
      </c>
      <c r="J28" s="150">
        <v>0.25</v>
      </c>
      <c r="K28" s="164">
        <v>0.25</v>
      </c>
      <c r="L28" s="164">
        <v>0.25</v>
      </c>
      <c r="M28" s="164">
        <v>0.25</v>
      </c>
      <c r="N28" s="164">
        <v>0.4</v>
      </c>
      <c r="O28" s="164">
        <v>0.6</v>
      </c>
      <c r="P28" s="164">
        <v>0</v>
      </c>
      <c r="Q28" s="100">
        <f t="shared" si="9"/>
        <v>1792.0360799999999</v>
      </c>
      <c r="R28" s="100">
        <f t="shared" si="10"/>
        <v>13768.802448087132</v>
      </c>
      <c r="S28" s="100">
        <f t="shared" si="13"/>
        <v>979.65</v>
      </c>
      <c r="T28" s="100">
        <f t="shared" si="14"/>
        <v>8700.26849027244</v>
      </c>
      <c r="U28" s="100">
        <f t="shared" si="18"/>
        <v>597.588327</v>
      </c>
      <c r="V28" s="100">
        <f t="shared" si="19"/>
        <v>5861.077405379607</v>
      </c>
      <c r="W28" s="100">
        <f t="shared" si="20"/>
        <v>431.613</v>
      </c>
      <c r="X28" s="100">
        <f t="shared" si="21"/>
        <v>3884.517</v>
      </c>
      <c r="Y28" s="100">
        <f t="shared" si="11"/>
        <v>3718.8604907999998</v>
      </c>
      <c r="Z28" s="100">
        <f t="shared" si="12"/>
        <v>31300.436242100586</v>
      </c>
      <c r="AA28" s="100">
        <f t="shared" si="15"/>
        <v>0</v>
      </c>
      <c r="AB28" s="100">
        <f t="shared" si="16"/>
        <v>0</v>
      </c>
      <c r="AC28" s="100">
        <f t="shared" si="5"/>
        <v>3378.6538240000004</v>
      </c>
      <c r="AD28" s="100">
        <f t="shared" si="6"/>
        <v>28277.293865578944</v>
      </c>
      <c r="AE28" s="100">
        <f t="shared" si="7"/>
        <v>10898.4017218</v>
      </c>
      <c r="AF28" s="107">
        <f t="shared" si="8"/>
        <v>91792.3954514187</v>
      </c>
      <c r="AG28" s="81"/>
      <c r="AH28" s="81"/>
      <c r="AI28" s="81"/>
      <c r="AJ28" s="81"/>
      <c r="AK28" s="81"/>
      <c r="AL28" s="81"/>
      <c r="AM28" s="81"/>
      <c r="AN28" s="81"/>
      <c r="AO28" s="81"/>
      <c r="AP28" s="81"/>
      <c r="AQ28" s="81"/>
      <c r="AR28" s="81"/>
      <c r="AS28" s="81"/>
      <c r="AT28" s="29"/>
      <c r="AU28" s="192"/>
      <c r="AV28" s="29"/>
      <c r="AW28" s="18"/>
      <c r="AX28" s="24"/>
    </row>
    <row r="29" spans="2:50" ht="12.75">
      <c r="B29" s="102">
        <v>2001</v>
      </c>
      <c r="C29" s="108">
        <v>26752780</v>
      </c>
      <c r="D29" s="204">
        <v>16.926020817628785</v>
      </c>
      <c r="E29" s="100">
        <f t="shared" si="4"/>
        <v>226409.0556047215</v>
      </c>
      <c r="F29" s="100">
        <f t="shared" si="0"/>
        <v>12841334.4</v>
      </c>
      <c r="G29" s="100">
        <f t="shared" si="1"/>
        <v>108676.34669026632</v>
      </c>
      <c r="H29" s="100">
        <f t="shared" si="2"/>
        <v>13911445.6</v>
      </c>
      <c r="I29" s="100">
        <f t="shared" si="3"/>
        <v>117732.70891445519</v>
      </c>
      <c r="J29" s="150">
        <v>0.25</v>
      </c>
      <c r="K29" s="164">
        <v>0.25</v>
      </c>
      <c r="L29" s="164">
        <v>0.25</v>
      </c>
      <c r="M29" s="164">
        <v>0.25</v>
      </c>
      <c r="N29" s="164">
        <v>0.4</v>
      </c>
      <c r="O29" s="164">
        <v>0.6</v>
      </c>
      <c r="P29" s="164">
        <v>0</v>
      </c>
      <c r="Q29" s="100">
        <f t="shared" si="9"/>
        <v>1949.22336</v>
      </c>
      <c r="R29" s="100">
        <f t="shared" si="10"/>
        <v>16313.823383987849</v>
      </c>
      <c r="S29" s="100">
        <f t="shared" si="13"/>
        <v>1165.288824</v>
      </c>
      <c r="T29" s="100">
        <f t="shared" si="14"/>
        <v>10376.891477954974</v>
      </c>
      <c r="U29" s="100">
        <f t="shared" si="18"/>
        <v>599.9970059999999</v>
      </c>
      <c r="V29" s="100">
        <f t="shared" si="19"/>
        <v>5508.218816081112</v>
      </c>
      <c r="W29" s="100">
        <f t="shared" si="20"/>
        <v>516.726</v>
      </c>
      <c r="X29" s="100">
        <f t="shared" si="21"/>
        <v>4650.534</v>
      </c>
      <c r="Y29" s="100">
        <f t="shared" si="11"/>
        <v>4659.293808</v>
      </c>
      <c r="Z29" s="100">
        <f t="shared" si="12"/>
        <v>35798.88636502655</v>
      </c>
      <c r="AA29" s="100">
        <f t="shared" si="15"/>
        <v>0</v>
      </c>
      <c r="AB29" s="100">
        <f t="shared" si="16"/>
        <v>0</v>
      </c>
      <c r="AC29" s="100">
        <f t="shared" si="5"/>
        <v>4680.086112000001</v>
      </c>
      <c r="AD29" s="100">
        <f t="shared" si="6"/>
        <v>38071.01927846375</v>
      </c>
      <c r="AE29" s="100">
        <f t="shared" si="7"/>
        <v>13570.615110000002</v>
      </c>
      <c r="AF29" s="107">
        <f t="shared" si="8"/>
        <v>110719.37332151424</v>
      </c>
      <c r="AG29" s="81"/>
      <c r="AH29" s="81"/>
      <c r="AI29" s="81"/>
      <c r="AJ29" s="81"/>
      <c r="AK29" s="81"/>
      <c r="AL29" s="81"/>
      <c r="AM29" s="81"/>
      <c r="AN29" s="81"/>
      <c r="AO29" s="81"/>
      <c r="AP29" s="81"/>
      <c r="AQ29" s="81"/>
      <c r="AR29" s="81"/>
      <c r="AS29" s="81"/>
      <c r="AT29" s="29"/>
      <c r="AU29" s="192"/>
      <c r="AV29" s="29"/>
      <c r="AW29" s="18"/>
      <c r="AX29" s="24"/>
    </row>
    <row r="30" spans="2:50" ht="12.75">
      <c r="B30" s="102">
        <v>2002</v>
      </c>
      <c r="C30" s="108">
        <v>28743836</v>
      </c>
      <c r="D30" s="204">
        <v>16.418903111923537</v>
      </c>
      <c r="E30" s="100">
        <f t="shared" si="4"/>
        <v>235971.1291745099</v>
      </c>
      <c r="F30" s="100">
        <f t="shared" si="0"/>
        <v>13797041.28</v>
      </c>
      <c r="G30" s="100">
        <f t="shared" si="1"/>
        <v>113266.14200376475</v>
      </c>
      <c r="H30" s="100">
        <f t="shared" si="2"/>
        <v>14946794.72</v>
      </c>
      <c r="I30" s="100">
        <f t="shared" si="3"/>
        <v>122704.98717074515</v>
      </c>
      <c r="J30" s="150">
        <v>0.25</v>
      </c>
      <c r="K30" s="164">
        <v>0.25</v>
      </c>
      <c r="L30" s="164">
        <v>0.25</v>
      </c>
      <c r="M30" s="164">
        <v>0.25</v>
      </c>
      <c r="N30" s="164">
        <v>0.4</v>
      </c>
      <c r="O30" s="164">
        <v>0.6</v>
      </c>
      <c r="P30" s="164">
        <v>0</v>
      </c>
      <c r="Q30" s="100">
        <f t="shared" si="9"/>
        <v>2700.0496799999996</v>
      </c>
      <c r="R30" s="100">
        <f t="shared" si="10"/>
        <v>21964.04958372908</v>
      </c>
      <c r="S30" s="100">
        <f t="shared" si="13"/>
        <v>1430.330958</v>
      </c>
      <c r="T30" s="100">
        <f t="shared" si="14"/>
        <v>12038.62932388484</v>
      </c>
      <c r="U30" s="100">
        <f t="shared" si="18"/>
        <v>740.943</v>
      </c>
      <c r="V30" s="100">
        <f t="shared" si="19"/>
        <v>6457.383456266426</v>
      </c>
      <c r="W30" s="100">
        <f t="shared" si="20"/>
        <v>549.612</v>
      </c>
      <c r="X30" s="100">
        <f t="shared" si="21"/>
        <v>4946.508</v>
      </c>
      <c r="Y30" s="100">
        <f t="shared" si="11"/>
        <v>5067.980736</v>
      </c>
      <c r="Z30" s="100">
        <f t="shared" si="12"/>
        <v>42415.940798368414</v>
      </c>
      <c r="AA30" s="100">
        <f t="shared" si="15"/>
        <v>0</v>
      </c>
      <c r="AB30" s="100">
        <f t="shared" si="16"/>
        <v>0</v>
      </c>
      <c r="AC30" s="100">
        <f t="shared" si="5"/>
        <v>5720.833664000001</v>
      </c>
      <c r="AD30" s="100">
        <f t="shared" si="6"/>
        <v>46899.926918112</v>
      </c>
      <c r="AE30" s="100">
        <f t="shared" si="7"/>
        <v>16209.750038000002</v>
      </c>
      <c r="AF30" s="107">
        <f t="shared" si="8"/>
        <v>134722.43808036076</v>
      </c>
      <c r="AG30" s="81"/>
      <c r="AH30" s="81"/>
      <c r="AI30" s="81"/>
      <c r="AJ30" s="81"/>
      <c r="AK30" s="81"/>
      <c r="AL30" s="81"/>
      <c r="AM30" s="81"/>
      <c r="AN30" s="81"/>
      <c r="AO30" s="81"/>
      <c r="AP30" s="81"/>
      <c r="AQ30" s="81"/>
      <c r="AR30" s="81"/>
      <c r="AS30" s="81"/>
      <c r="AT30" s="29"/>
      <c r="AU30" s="192"/>
      <c r="AV30" s="29"/>
      <c r="AW30" s="18"/>
      <c r="AX30" s="24"/>
    </row>
    <row r="31" spans="2:50" ht="12.75">
      <c r="B31" s="102">
        <v>2003</v>
      </c>
      <c r="C31" s="108">
        <v>30664296</v>
      </c>
      <c r="D31" s="204">
        <v>16.585382382017876</v>
      </c>
      <c r="E31" s="100">
        <f t="shared" si="4"/>
        <v>254289.5373176906</v>
      </c>
      <c r="F31" s="100">
        <f t="shared" si="0"/>
        <v>14718862.08</v>
      </c>
      <c r="G31" s="100">
        <f t="shared" si="1"/>
        <v>122058.9779124915</v>
      </c>
      <c r="H31" s="100">
        <f t="shared" si="2"/>
        <v>15945433.92</v>
      </c>
      <c r="I31" s="100">
        <f t="shared" si="3"/>
        <v>132230.55940519914</v>
      </c>
      <c r="J31" s="150">
        <v>0.25</v>
      </c>
      <c r="K31" s="164">
        <v>0.25</v>
      </c>
      <c r="L31" s="164">
        <v>0.25</v>
      </c>
      <c r="M31" s="164">
        <v>0.25</v>
      </c>
      <c r="N31" s="164">
        <v>0.4</v>
      </c>
      <c r="O31" s="164">
        <v>0.6</v>
      </c>
      <c r="P31" s="164">
        <v>0</v>
      </c>
      <c r="Q31" s="100">
        <f t="shared" si="9"/>
        <v>3300.48096</v>
      </c>
      <c r="R31" s="100">
        <f t="shared" si="10"/>
        <v>27057.650145064614</v>
      </c>
      <c r="S31" s="100">
        <f t="shared" si="13"/>
        <v>1792.0360799999999</v>
      </c>
      <c r="T31" s="100">
        <f t="shared" si="14"/>
        <v>13768.802448087132</v>
      </c>
      <c r="U31" s="100">
        <f t="shared" si="18"/>
        <v>979.65</v>
      </c>
      <c r="V31" s="100">
        <f t="shared" si="19"/>
        <v>8700.26849027244</v>
      </c>
      <c r="W31" s="100">
        <f t="shared" si="20"/>
        <v>561.065463</v>
      </c>
      <c r="X31" s="100">
        <f t="shared" si="21"/>
        <v>5011.244926871733</v>
      </c>
      <c r="Y31" s="100">
        <f t="shared" si="11"/>
        <v>7020.129168</v>
      </c>
      <c r="Z31" s="100">
        <f t="shared" si="12"/>
        <v>57106.528917695614</v>
      </c>
      <c r="AA31" s="100">
        <f t="shared" si="15"/>
        <v>0</v>
      </c>
      <c r="AB31" s="100">
        <f t="shared" si="16"/>
        <v>0</v>
      </c>
      <c r="AC31" s="100">
        <f t="shared" si="5"/>
        <v>5962.5384</v>
      </c>
      <c r="AD31" s="100">
        <f t="shared" si="6"/>
        <v>55022.9841511052</v>
      </c>
      <c r="AE31" s="100">
        <f t="shared" si="7"/>
        <v>19615.900071</v>
      </c>
      <c r="AF31" s="107">
        <f t="shared" si="8"/>
        <v>166667.47907909672</v>
      </c>
      <c r="AG31" s="81"/>
      <c r="AH31" s="81"/>
      <c r="AI31" s="81"/>
      <c r="AJ31" s="81"/>
      <c r="AK31" s="81"/>
      <c r="AL31" s="81"/>
      <c r="AM31" s="81"/>
      <c r="AN31" s="81"/>
      <c r="AO31" s="81"/>
      <c r="AP31" s="81"/>
      <c r="AQ31" s="81"/>
      <c r="AR31" s="81"/>
      <c r="AS31" s="81"/>
      <c r="AT31" s="29"/>
      <c r="AU31" s="192"/>
      <c r="AV31" s="29"/>
      <c r="AW31" s="18"/>
      <c r="AX31" s="24"/>
    </row>
    <row r="32" spans="2:50" ht="12.75">
      <c r="B32" s="102">
        <v>2004</v>
      </c>
      <c r="C32" s="108">
        <v>32199004</v>
      </c>
      <c r="D32" s="204">
        <v>17.400046935202003</v>
      </c>
      <c r="E32" s="100">
        <f t="shared" si="4"/>
        <v>280132.09043337853</v>
      </c>
      <c r="F32" s="100">
        <f t="shared" si="0"/>
        <v>15455521.92</v>
      </c>
      <c r="G32" s="100">
        <f t="shared" si="1"/>
        <v>134463.4034080217</v>
      </c>
      <c r="H32" s="100">
        <f t="shared" si="2"/>
        <v>16743482.08</v>
      </c>
      <c r="I32" s="100">
        <f t="shared" si="3"/>
        <v>145668.68702535683</v>
      </c>
      <c r="J32" s="150">
        <v>0.25</v>
      </c>
      <c r="K32" s="164">
        <v>0.25</v>
      </c>
      <c r="L32" s="164">
        <v>0.25</v>
      </c>
      <c r="M32" s="164">
        <v>0.25</v>
      </c>
      <c r="N32" s="164">
        <v>0.4</v>
      </c>
      <c r="O32" s="164">
        <v>0.6</v>
      </c>
      <c r="P32" s="164">
        <v>0</v>
      </c>
      <c r="Q32" s="100">
        <f t="shared" si="9"/>
        <v>3439.926</v>
      </c>
      <c r="R32" s="100">
        <f t="shared" si="10"/>
        <v>31744.029317945307</v>
      </c>
      <c r="S32" s="100">
        <f t="shared" si="13"/>
        <v>1949.22336</v>
      </c>
      <c r="T32" s="100">
        <f t="shared" si="14"/>
        <v>16313.823383987849</v>
      </c>
      <c r="U32" s="100">
        <f t="shared" si="18"/>
        <v>1165.288824</v>
      </c>
      <c r="V32" s="100">
        <f t="shared" si="19"/>
        <v>10376.891477954974</v>
      </c>
      <c r="W32" s="100">
        <f t="shared" si="20"/>
        <v>597.588327</v>
      </c>
      <c r="X32" s="100">
        <f t="shared" si="21"/>
        <v>5861.077405379607</v>
      </c>
      <c r="Y32" s="100">
        <f t="shared" si="11"/>
        <v>8581.250495999999</v>
      </c>
      <c r="Z32" s="100">
        <f t="shared" si="12"/>
        <v>70349.890377168</v>
      </c>
      <c r="AA32" s="100">
        <f t="shared" si="15"/>
        <v>0</v>
      </c>
      <c r="AB32" s="100">
        <f t="shared" si="16"/>
        <v>0</v>
      </c>
      <c r="AC32" s="100">
        <f t="shared" si="5"/>
        <v>5564.57824</v>
      </c>
      <c r="AD32" s="100">
        <f t="shared" si="6"/>
        <v>47093.08356578208</v>
      </c>
      <c r="AE32" s="100">
        <f t="shared" si="7"/>
        <v>21297.855247</v>
      </c>
      <c r="AF32" s="107">
        <f t="shared" si="8"/>
        <v>181738.79552821783</v>
      </c>
      <c r="AG32" s="81"/>
      <c r="AH32" s="81"/>
      <c r="AI32" s="81"/>
      <c r="AJ32" s="81"/>
      <c r="AK32" s="81"/>
      <c r="AL32" s="81"/>
      <c r="AM32" s="81"/>
      <c r="AN32" s="81"/>
      <c r="AO32" s="81"/>
      <c r="AP32" s="81"/>
      <c r="AQ32" s="81"/>
      <c r="AR32" s="81"/>
      <c r="AS32" s="81"/>
      <c r="AT32" s="29"/>
      <c r="AU32" s="192"/>
      <c r="AV32" s="29"/>
      <c r="AW32" s="18"/>
      <c r="AX32" s="24"/>
    </row>
    <row r="33" spans="2:50" ht="12.75">
      <c r="B33" s="102">
        <v>2005</v>
      </c>
      <c r="C33" s="108">
        <f>G122</f>
        <v>33137868.251189757</v>
      </c>
      <c r="D33" s="204">
        <v>17.400046935202003</v>
      </c>
      <c r="E33" s="100">
        <f>C33*D33/2000</f>
        <v>288300.23145162105</v>
      </c>
      <c r="F33" s="100">
        <f>C33*$G$6</f>
        <v>15906176.760571083</v>
      </c>
      <c r="G33" s="100">
        <f>E33*$G$6</f>
        <v>138384.1110967781</v>
      </c>
      <c r="H33" s="100">
        <f>C33*$I$6</f>
        <v>17231691.490618676</v>
      </c>
      <c r="I33" s="100">
        <f>E33*$I$6</f>
        <v>149916.12035484295</v>
      </c>
      <c r="J33" s="150">
        <v>0.25</v>
      </c>
      <c r="K33" s="164">
        <v>0.25</v>
      </c>
      <c r="L33" s="164">
        <v>0.25</v>
      </c>
      <c r="M33" s="164">
        <v>0.25</v>
      </c>
      <c r="N33" s="164">
        <v>0.4</v>
      </c>
      <c r="O33" s="164">
        <v>0.6</v>
      </c>
      <c r="P33" s="164">
        <v>0</v>
      </c>
      <c r="Q33" s="100">
        <f t="shared" si="9"/>
        <v>3210.3336</v>
      </c>
      <c r="R33" s="100">
        <f t="shared" si="10"/>
        <v>27169.08667256658</v>
      </c>
      <c r="S33" s="100">
        <f t="shared" si="13"/>
        <v>2700.0496799999996</v>
      </c>
      <c r="T33" s="100">
        <f t="shared" si="14"/>
        <v>21964.04958372908</v>
      </c>
      <c r="U33" s="100">
        <f t="shared" si="18"/>
        <v>1430.330958</v>
      </c>
      <c r="V33" s="100">
        <f t="shared" si="19"/>
        <v>12038.62932388484</v>
      </c>
      <c r="W33" s="100">
        <f t="shared" si="20"/>
        <v>599.9970059999999</v>
      </c>
      <c r="X33" s="100">
        <f t="shared" si="21"/>
        <v>5508.218816081112</v>
      </c>
      <c r="Y33" s="100">
        <f t="shared" si="11"/>
        <v>8943.8076</v>
      </c>
      <c r="Z33" s="100">
        <f t="shared" si="12"/>
        <v>82534.47622665779</v>
      </c>
      <c r="AA33" s="100">
        <f t="shared" si="15"/>
        <v>0</v>
      </c>
      <c r="AB33" s="100">
        <f t="shared" si="16"/>
        <v>0</v>
      </c>
      <c r="AC33" s="100">
        <f t="shared" si="5"/>
        <v>5978.717888</v>
      </c>
      <c r="AD33" s="100">
        <f t="shared" si="6"/>
        <v>49081.99486829806</v>
      </c>
      <c r="AE33" s="100">
        <f t="shared" si="7"/>
        <v>22863.236731999998</v>
      </c>
      <c r="AF33" s="107">
        <f t="shared" si="8"/>
        <v>198296.45549121746</v>
      </c>
      <c r="AG33" s="81"/>
      <c r="AH33" s="81"/>
      <c r="AI33" s="81"/>
      <c r="AJ33" s="81"/>
      <c r="AK33" s="81"/>
      <c r="AL33" s="81"/>
      <c r="AM33" s="202"/>
      <c r="AN33" s="81"/>
      <c r="AO33" s="200"/>
      <c r="AP33" s="81"/>
      <c r="AQ33" s="200"/>
      <c r="AR33" s="81"/>
      <c r="AS33" s="192"/>
      <c r="AT33" s="29"/>
      <c r="AU33" s="192"/>
      <c r="AV33" s="29"/>
      <c r="AW33" s="18"/>
      <c r="AX33" s="24"/>
    </row>
    <row r="34" spans="2:50" ht="12.75">
      <c r="B34" s="102">
        <v>2006</v>
      </c>
      <c r="C34" s="108">
        <f>G123</f>
        <v>34316779.62002899</v>
      </c>
      <c r="D34" s="204">
        <v>17.400046935202003</v>
      </c>
      <c r="E34" s="100">
        <f>C34*D34/2000</f>
        <v>298556.788026744</v>
      </c>
      <c r="F34" s="100">
        <f>C34*$G$6</f>
        <v>16472054.217613913</v>
      </c>
      <c r="G34" s="100">
        <f>E34*$G$6</f>
        <v>143307.2582528371</v>
      </c>
      <c r="H34" s="100">
        <f>C34*$I$6</f>
        <v>17844725.402415074</v>
      </c>
      <c r="I34" s="100">
        <f>E34*$I$6</f>
        <v>155249.52977390686</v>
      </c>
      <c r="J34" s="150">
        <v>0.25</v>
      </c>
      <c r="K34" s="164">
        <v>0.25</v>
      </c>
      <c r="L34" s="164">
        <v>0.25</v>
      </c>
      <c r="M34" s="164">
        <v>0.25</v>
      </c>
      <c r="N34" s="164">
        <v>0.4</v>
      </c>
      <c r="O34" s="164">
        <v>0.6</v>
      </c>
      <c r="P34" s="164">
        <v>0</v>
      </c>
      <c r="Q34" s="100">
        <f t="shared" si="9"/>
        <v>3449.26032</v>
      </c>
      <c r="R34" s="100">
        <f t="shared" si="10"/>
        <v>28316.535500941187</v>
      </c>
      <c r="S34" s="100">
        <f t="shared" si="13"/>
        <v>3300.48096</v>
      </c>
      <c r="T34" s="100">
        <f t="shared" si="14"/>
        <v>27057.650145064614</v>
      </c>
      <c r="U34" s="100">
        <f t="shared" si="18"/>
        <v>1792.0360799999999</v>
      </c>
      <c r="V34" s="100">
        <f t="shared" si="19"/>
        <v>13768.802448087132</v>
      </c>
      <c r="W34" s="100">
        <f t="shared" si="20"/>
        <v>740.943</v>
      </c>
      <c r="X34" s="100">
        <f t="shared" si="21"/>
        <v>6457.383456266426</v>
      </c>
      <c r="Y34" s="100">
        <f t="shared" si="11"/>
        <v>8346.86736</v>
      </c>
      <c r="Z34" s="100">
        <f t="shared" si="12"/>
        <v>70639.62534867311</v>
      </c>
      <c r="AA34" s="100">
        <f t="shared" si="15"/>
        <v>0</v>
      </c>
      <c r="AB34" s="100">
        <f t="shared" si="16"/>
        <v>0</v>
      </c>
      <c r="AC34" s="100">
        <f t="shared" si="5"/>
        <v>6378.173568</v>
      </c>
      <c r="AD34" s="100">
        <f t="shared" si="6"/>
        <v>52892.22376207966</v>
      </c>
      <c r="AE34" s="100">
        <f t="shared" si="7"/>
        <v>24007.761288</v>
      </c>
      <c r="AF34" s="107">
        <f t="shared" si="8"/>
        <v>199132.22066111214</v>
      </c>
      <c r="AG34" s="81"/>
      <c r="AH34" s="81"/>
      <c r="AI34" s="81"/>
      <c r="AJ34" s="81"/>
      <c r="AK34" s="81"/>
      <c r="AL34" s="81"/>
      <c r="AM34" s="202"/>
      <c r="AN34" s="81"/>
      <c r="AO34" s="200"/>
      <c r="AP34" s="81"/>
      <c r="AQ34" s="200"/>
      <c r="AR34" s="81"/>
      <c r="AS34" s="192"/>
      <c r="AT34" s="29"/>
      <c r="AU34" s="192"/>
      <c r="AV34" s="29"/>
      <c r="AW34" s="18"/>
      <c r="AX34" s="24"/>
    </row>
    <row r="35" spans="2:50" ht="12.75">
      <c r="B35" s="102">
        <v>2007</v>
      </c>
      <c r="C35" s="108">
        <f>G124</f>
        <v>36912437.830302946</v>
      </c>
      <c r="D35" s="204">
        <v>17.400046935202003</v>
      </c>
      <c r="E35" s="100">
        <f>C35*D35/2000</f>
        <v>321139.07536999864</v>
      </c>
      <c r="F35" s="100">
        <f>C35*$G$6</f>
        <v>17717970.158545412</v>
      </c>
      <c r="G35" s="100">
        <f>E35*$G$6</f>
        <v>154146.75617759934</v>
      </c>
      <c r="H35" s="100">
        <f>C35*$I$6</f>
        <v>19194467.671757534</v>
      </c>
      <c r="I35" s="100">
        <f>E35*$I$6</f>
        <v>166992.3191923993</v>
      </c>
      <c r="J35" s="150">
        <v>0.25</v>
      </c>
      <c r="K35" s="164">
        <v>0.25</v>
      </c>
      <c r="L35" s="164">
        <v>0.25</v>
      </c>
      <c r="M35" s="164">
        <v>0.25</v>
      </c>
      <c r="N35" s="164">
        <v>0.4</v>
      </c>
      <c r="O35" s="164">
        <v>0.6</v>
      </c>
      <c r="P35" s="164">
        <v>0</v>
      </c>
      <c r="Q35" s="100">
        <f>F31*J31/1000</f>
        <v>3679.71552</v>
      </c>
      <c r="R35" s="100">
        <f t="shared" si="10"/>
        <v>30514.744478122873</v>
      </c>
      <c r="S35" s="100">
        <f t="shared" si="13"/>
        <v>3439.926</v>
      </c>
      <c r="T35" s="100">
        <f t="shared" si="14"/>
        <v>31744.029317945307</v>
      </c>
      <c r="U35" s="100">
        <f t="shared" si="18"/>
        <v>1949.22336</v>
      </c>
      <c r="V35" s="100">
        <f t="shared" si="19"/>
        <v>16313.823383987849</v>
      </c>
      <c r="W35" s="100">
        <f t="shared" si="20"/>
        <v>979.65</v>
      </c>
      <c r="X35" s="100">
        <f t="shared" si="21"/>
        <v>8700.26849027244</v>
      </c>
      <c r="Y35" s="100">
        <f t="shared" si="11"/>
        <v>8968.076832</v>
      </c>
      <c r="Z35" s="100">
        <f t="shared" si="12"/>
        <v>73622.99230244709</v>
      </c>
      <c r="AA35" s="100">
        <f t="shared" si="15"/>
        <v>0</v>
      </c>
      <c r="AB35" s="100">
        <f t="shared" si="16"/>
        <v>0</v>
      </c>
      <c r="AC35" s="100">
        <f>$H32*$N32/1000</f>
        <v>6697.392832</v>
      </c>
      <c r="AD35" s="100">
        <f t="shared" si="6"/>
        <v>58267.47481014274</v>
      </c>
      <c r="AE35" s="100">
        <f t="shared" si="7"/>
        <v>25713.984544000003</v>
      </c>
      <c r="AF35" s="107">
        <f t="shared" si="8"/>
        <v>219163.33278291833</v>
      </c>
      <c r="AG35" s="81"/>
      <c r="AH35" s="81"/>
      <c r="AI35" s="81"/>
      <c r="AJ35" s="81"/>
      <c r="AK35" s="81"/>
      <c r="AL35" s="81"/>
      <c r="AM35" s="202"/>
      <c r="AN35" s="81"/>
      <c r="AO35" s="200"/>
      <c r="AP35" s="81"/>
      <c r="AQ35" s="200"/>
      <c r="AR35" s="81"/>
      <c r="AS35" s="192"/>
      <c r="AT35" s="29"/>
      <c r="AU35" s="192"/>
      <c r="AV35" s="29"/>
      <c r="AW35" s="18"/>
      <c r="AX35" s="24"/>
    </row>
    <row r="36" spans="2:50" ht="12.75">
      <c r="B36" s="102">
        <v>2008</v>
      </c>
      <c r="C36" s="99"/>
      <c r="D36" s="99"/>
      <c r="E36" s="100"/>
      <c r="F36" s="100"/>
      <c r="G36" s="100"/>
      <c r="H36" s="100"/>
      <c r="I36" s="100"/>
      <c r="J36" s="150"/>
      <c r="K36" s="164"/>
      <c r="L36" s="164"/>
      <c r="M36" s="164"/>
      <c r="N36" s="164"/>
      <c r="O36" s="164"/>
      <c r="P36" s="164"/>
      <c r="Q36" s="100">
        <f t="shared" si="9"/>
        <v>3863.88048</v>
      </c>
      <c r="R36" s="100">
        <f t="shared" si="10"/>
        <v>33615.850852005424</v>
      </c>
      <c r="S36" s="100">
        <f t="shared" si="13"/>
        <v>3210.3336</v>
      </c>
      <c r="T36" s="100">
        <f t="shared" si="14"/>
        <v>27169.08667256658</v>
      </c>
      <c r="U36" s="100">
        <f t="shared" si="18"/>
        <v>2700.0496799999996</v>
      </c>
      <c r="V36" s="100">
        <f t="shared" si="19"/>
        <v>21964.04958372908</v>
      </c>
      <c r="W36" s="100">
        <f t="shared" si="20"/>
        <v>1165.288824</v>
      </c>
      <c r="X36" s="100">
        <f t="shared" si="21"/>
        <v>10376.891477954974</v>
      </c>
      <c r="Y36" s="100">
        <f t="shared" si="11"/>
        <v>9567.260352</v>
      </c>
      <c r="Z36" s="100">
        <f t="shared" si="12"/>
        <v>79338.33564311948</v>
      </c>
      <c r="AA36" s="100">
        <f t="shared" si="15"/>
        <v>0</v>
      </c>
      <c r="AB36" s="100">
        <f t="shared" si="16"/>
        <v>0</v>
      </c>
      <c r="AC36" s="100">
        <f t="shared" si="5"/>
        <v>6892.676596247471</v>
      </c>
      <c r="AD36" s="100">
        <f t="shared" si="6"/>
        <v>59966.44814193718</v>
      </c>
      <c r="AE36" s="100">
        <f t="shared" si="7"/>
        <v>27399.48953224747</v>
      </c>
      <c r="AF36" s="107">
        <f t="shared" si="8"/>
        <v>232430.6623713127</v>
      </c>
      <c r="AG36" s="81"/>
      <c r="AH36" s="81"/>
      <c r="AI36" s="81"/>
      <c r="AJ36" s="81"/>
      <c r="AK36" s="81"/>
      <c r="AL36" s="81"/>
      <c r="AM36" s="202"/>
      <c r="AN36" s="81"/>
      <c r="AO36" s="200"/>
      <c r="AP36" s="81"/>
      <c r="AQ36" s="200"/>
      <c r="AR36" s="81"/>
      <c r="AS36" s="192"/>
      <c r="AT36" s="29"/>
      <c r="AU36" s="192"/>
      <c r="AV36" s="29"/>
      <c r="AW36" s="18"/>
      <c r="AX36" s="24"/>
    </row>
    <row r="37" spans="2:50" ht="12.75">
      <c r="B37" s="102">
        <v>2009</v>
      </c>
      <c r="C37" s="99"/>
      <c r="D37" s="99"/>
      <c r="E37" s="100"/>
      <c r="F37" s="100"/>
      <c r="G37" s="100"/>
      <c r="H37" s="100"/>
      <c r="I37" s="100"/>
      <c r="J37" s="150"/>
      <c r="K37" s="164"/>
      <c r="L37" s="164"/>
      <c r="M37" s="164"/>
      <c r="N37" s="164"/>
      <c r="O37" s="164"/>
      <c r="P37" s="164"/>
      <c r="Q37" s="100">
        <f t="shared" si="9"/>
        <v>3976.5441901427707</v>
      </c>
      <c r="R37" s="100">
        <f t="shared" si="10"/>
        <v>34596.027774194525</v>
      </c>
      <c r="S37" s="100">
        <f t="shared" si="13"/>
        <v>3449.26032</v>
      </c>
      <c r="T37" s="100">
        <f t="shared" si="14"/>
        <v>28316.535500941187</v>
      </c>
      <c r="U37" s="100">
        <f t="shared" si="18"/>
        <v>3300.48096</v>
      </c>
      <c r="V37" s="100">
        <f t="shared" si="19"/>
        <v>27057.650145064614</v>
      </c>
      <c r="W37" s="100">
        <f t="shared" si="20"/>
        <v>1430.330958</v>
      </c>
      <c r="X37" s="100">
        <f t="shared" si="21"/>
        <v>12038.62932388484</v>
      </c>
      <c r="Y37" s="100">
        <f t="shared" si="11"/>
        <v>10046.089248</v>
      </c>
      <c r="Z37" s="100">
        <f t="shared" si="12"/>
        <v>87401.2122152141</v>
      </c>
      <c r="AA37" s="100">
        <f t="shared" si="15"/>
        <v>0</v>
      </c>
      <c r="AB37" s="100">
        <f t="shared" si="16"/>
        <v>0</v>
      </c>
      <c r="AC37" s="100">
        <f t="shared" si="5"/>
        <v>7137.890160966031</v>
      </c>
      <c r="AD37" s="100">
        <f t="shared" si="6"/>
        <v>62099.81190956275</v>
      </c>
      <c r="AE37" s="100">
        <f t="shared" si="7"/>
        <v>29340.595837108805</v>
      </c>
      <c r="AF37" s="107">
        <f t="shared" si="8"/>
        <v>251509.866868862</v>
      </c>
      <c r="AG37" s="81"/>
      <c r="AH37" s="81"/>
      <c r="AI37" s="81"/>
      <c r="AJ37" s="81"/>
      <c r="AK37" s="81"/>
      <c r="AL37" s="81"/>
      <c r="AM37" s="202"/>
      <c r="AN37" s="81"/>
      <c r="AO37" s="200"/>
      <c r="AP37" s="81"/>
      <c r="AQ37" s="200"/>
      <c r="AR37" s="81"/>
      <c r="AS37" s="192"/>
      <c r="AT37" s="29"/>
      <c r="AU37" s="192"/>
      <c r="AV37" s="29"/>
      <c r="AW37" s="18"/>
      <c r="AX37" s="24"/>
    </row>
    <row r="38" spans="2:50" ht="12.75">
      <c r="B38" s="102">
        <v>2010</v>
      </c>
      <c r="C38" s="99"/>
      <c r="D38" s="99"/>
      <c r="E38" s="100"/>
      <c r="F38" s="100"/>
      <c r="G38" s="100"/>
      <c r="H38" s="100"/>
      <c r="I38" s="100"/>
      <c r="J38" s="150"/>
      <c r="K38" s="164"/>
      <c r="L38" s="164"/>
      <c r="M38" s="164"/>
      <c r="N38" s="164"/>
      <c r="O38" s="164"/>
      <c r="P38" s="164"/>
      <c r="Q38" s="100">
        <f t="shared" si="9"/>
        <v>4118.013554403478</v>
      </c>
      <c r="R38" s="100">
        <f t="shared" si="10"/>
        <v>35826.81456320928</v>
      </c>
      <c r="S38" s="100">
        <f t="shared" si="13"/>
        <v>3679.71552</v>
      </c>
      <c r="T38" s="100">
        <f t="shared" si="14"/>
        <v>30514.744478122873</v>
      </c>
      <c r="U38" s="100">
        <f t="shared" si="18"/>
        <v>3439.926</v>
      </c>
      <c r="V38" s="100">
        <f t="shared" si="19"/>
        <v>31744.029317945307</v>
      </c>
      <c r="W38" s="100">
        <f t="shared" si="20"/>
        <v>1792.0360799999999</v>
      </c>
      <c r="X38" s="100">
        <f t="shared" si="21"/>
        <v>13768.802448087132</v>
      </c>
      <c r="Y38" s="100">
        <f t="shared" si="11"/>
        <v>10339.014894371207</v>
      </c>
      <c r="Z38" s="100">
        <f t="shared" si="12"/>
        <v>89949.67221290576</v>
      </c>
      <c r="AA38" s="100">
        <f t="shared" si="15"/>
        <v>0</v>
      </c>
      <c r="AB38" s="100">
        <f t="shared" si="16"/>
        <v>0</v>
      </c>
      <c r="AC38" s="100">
        <f t="shared" si="5"/>
        <v>7677.7870687030145</v>
      </c>
      <c r="AD38" s="100">
        <f t="shared" si="6"/>
        <v>66796.92767695972</v>
      </c>
      <c r="AE38" s="100">
        <f t="shared" si="7"/>
        <v>31046.4931174777</v>
      </c>
      <c r="AF38" s="107">
        <f t="shared" si="8"/>
        <v>268600.9906972301</v>
      </c>
      <c r="AG38" s="81"/>
      <c r="AH38" s="81"/>
      <c r="AI38" s="81"/>
      <c r="AJ38" s="81"/>
      <c r="AK38" s="81"/>
      <c r="AL38" s="81"/>
      <c r="AM38" s="202"/>
      <c r="AN38" s="81"/>
      <c r="AO38" s="200"/>
      <c r="AP38" s="81"/>
      <c r="AQ38" s="200"/>
      <c r="AR38" s="81"/>
      <c r="AS38" s="192"/>
      <c r="AT38" s="29"/>
      <c r="AU38" s="192"/>
      <c r="AV38" s="29"/>
      <c r="AW38" s="18"/>
      <c r="AX38" s="24"/>
    </row>
    <row r="39" spans="2:50" ht="13.5" thickBot="1">
      <c r="B39" s="114"/>
      <c r="C39" s="115"/>
      <c r="D39" s="115"/>
      <c r="E39" s="119"/>
      <c r="F39" s="119"/>
      <c r="G39" s="119"/>
      <c r="H39" s="119"/>
      <c r="I39" s="119"/>
      <c r="J39" s="157"/>
      <c r="K39" s="165"/>
      <c r="L39" s="165"/>
      <c r="M39" s="165"/>
      <c r="N39" s="165"/>
      <c r="O39" s="165"/>
      <c r="P39" s="165"/>
      <c r="Q39" s="119">
        <f>SUM(Q8:Q38)</f>
        <v>44554.95025803013</v>
      </c>
      <c r="R39" s="119">
        <f aca="true" t="shared" si="22" ref="R39:AF39">SUM(R8:R38)</f>
        <v>381846.7350359198</v>
      </c>
      <c r="S39" s="119">
        <f t="shared" si="22"/>
        <v>32596.512033483876</v>
      </c>
      <c r="T39" s="119">
        <f t="shared" si="22"/>
        <v>277808.0418465106</v>
      </c>
      <c r="U39" s="119">
        <f t="shared" si="22"/>
        <v>22257.20259348387</v>
      </c>
      <c r="V39" s="119">
        <f t="shared" si="22"/>
        <v>191807.67519487996</v>
      </c>
      <c r="W39" s="119">
        <f t="shared" si="22"/>
        <v>10867.52259348387</v>
      </c>
      <c r="X39" s="119">
        <f t="shared" si="22"/>
        <v>94728.12276415311</v>
      </c>
      <c r="Y39" s="119">
        <f t="shared" si="22"/>
        <v>105136.03542942929</v>
      </c>
      <c r="Z39" s="119">
        <f t="shared" si="22"/>
        <v>899651.7932290474</v>
      </c>
      <c r="AA39" s="119">
        <f t="shared" si="22"/>
        <v>0</v>
      </c>
      <c r="AB39" s="119">
        <f t="shared" si="22"/>
        <v>0</v>
      </c>
      <c r="AC39" s="119">
        <f t="shared" si="22"/>
        <v>84906.36751595522</v>
      </c>
      <c r="AD39" s="119">
        <f t="shared" si="22"/>
        <v>728664.6017392208</v>
      </c>
      <c r="AE39" s="119">
        <f t="shared" si="22"/>
        <v>300318.59042386623</v>
      </c>
      <c r="AF39" s="119">
        <f t="shared" si="22"/>
        <v>2574506.969809732</v>
      </c>
      <c r="AG39" s="18"/>
      <c r="AH39" s="81"/>
      <c r="AI39" s="18"/>
      <c r="AJ39" s="81"/>
      <c r="AK39" s="202"/>
      <c r="AL39" s="81"/>
      <c r="AM39" s="202"/>
      <c r="AN39" s="81"/>
      <c r="AO39" s="200"/>
      <c r="AP39" s="81"/>
      <c r="AQ39" s="200"/>
      <c r="AR39" s="81"/>
      <c r="AS39" s="192"/>
      <c r="AT39" s="29"/>
      <c r="AU39" s="192"/>
      <c r="AV39" s="29"/>
      <c r="AW39" s="18"/>
      <c r="AX39" s="24"/>
    </row>
    <row r="40" spans="2:50" ht="13.5" customHeight="1" hidden="1" thickBot="1">
      <c r="B40" s="93"/>
      <c r="C40" s="84"/>
      <c r="D40" s="84"/>
      <c r="E40" s="82">
        <f>C40*$E$2</f>
        <v>0</v>
      </c>
      <c r="F40" s="82"/>
      <c r="G40" s="82"/>
      <c r="H40" s="82"/>
      <c r="I40" s="82"/>
      <c r="J40" s="83"/>
      <c r="K40" s="94"/>
      <c r="L40" s="94"/>
      <c r="M40" s="94"/>
      <c r="N40" s="94"/>
      <c r="O40" s="94"/>
      <c r="P40" s="94"/>
      <c r="Q40" s="95"/>
      <c r="R40" s="95"/>
      <c r="S40" s="95"/>
      <c r="T40" s="95"/>
      <c r="U40" s="84"/>
      <c r="V40" s="84"/>
      <c r="W40" s="82"/>
      <c r="X40" s="82"/>
      <c r="Y40" s="82"/>
      <c r="Z40" s="82"/>
      <c r="AA40" s="82"/>
      <c r="AB40" s="82"/>
      <c r="AC40" s="82"/>
      <c r="AD40" s="82"/>
      <c r="AE40" s="82"/>
      <c r="AF40" s="82"/>
      <c r="AG40" s="18"/>
      <c r="AH40" s="81"/>
      <c r="AI40" s="18"/>
      <c r="AJ40" s="81"/>
      <c r="AK40" s="202"/>
      <c r="AL40" s="81"/>
      <c r="AM40" s="202"/>
      <c r="AN40" s="81"/>
      <c r="AO40" s="200"/>
      <c r="AP40" s="81"/>
      <c r="AQ40" s="200"/>
      <c r="AR40" s="81"/>
      <c r="AS40" s="192"/>
      <c r="AT40" s="29"/>
      <c r="AU40" s="192"/>
      <c r="AV40" s="29"/>
      <c r="AW40" s="18"/>
      <c r="AX40" s="24"/>
    </row>
    <row r="41" spans="2:50" ht="12.75">
      <c r="B41" s="17"/>
      <c r="C41" s="18"/>
      <c r="D41" s="18"/>
      <c r="E41" s="81"/>
      <c r="F41" s="81"/>
      <c r="G41" s="81"/>
      <c r="H41" s="81"/>
      <c r="I41" s="81"/>
      <c r="J41" s="80"/>
      <c r="K41" s="33"/>
      <c r="L41" s="33"/>
      <c r="M41" s="33"/>
      <c r="N41" s="33"/>
      <c r="O41" s="33"/>
      <c r="P41" s="33"/>
      <c r="Q41" s="81"/>
      <c r="R41" s="81"/>
      <c r="S41" s="110"/>
      <c r="T41" s="81"/>
      <c r="U41" s="18"/>
      <c r="V41" s="18"/>
      <c r="W41" s="81"/>
      <c r="X41" s="81"/>
      <c r="Y41" s="81"/>
      <c r="Z41" s="81"/>
      <c r="AA41" s="81"/>
      <c r="AB41" s="81"/>
      <c r="AC41" s="81"/>
      <c r="AD41" s="81"/>
      <c r="AE41" s="81"/>
      <c r="AF41" s="81"/>
      <c r="AG41" s="18"/>
      <c r="AH41" s="81"/>
      <c r="AI41" s="18"/>
      <c r="AJ41" s="81"/>
      <c r="AK41" s="202"/>
      <c r="AL41" s="81"/>
      <c r="AM41" s="202"/>
      <c r="AN41" s="81"/>
      <c r="AO41" s="200"/>
      <c r="AP41" s="81"/>
      <c r="AQ41" s="200"/>
      <c r="AR41" s="81"/>
      <c r="AS41" s="192"/>
      <c r="AT41" s="29"/>
      <c r="AU41" s="192"/>
      <c r="AV41" s="29"/>
      <c r="AW41" s="18"/>
      <c r="AX41" s="24"/>
    </row>
    <row r="42" spans="2:50" ht="12.75">
      <c r="B42" s="17"/>
      <c r="C42" s="18"/>
      <c r="D42" s="18"/>
      <c r="E42" s="81"/>
      <c r="F42" s="81"/>
      <c r="G42" s="81"/>
      <c r="H42" s="81"/>
      <c r="I42" s="81"/>
      <c r="J42" s="80"/>
      <c r="K42" s="33"/>
      <c r="L42" s="33"/>
      <c r="M42" s="33"/>
      <c r="N42" s="33"/>
      <c r="O42" s="33"/>
      <c r="P42" s="33"/>
      <c r="Q42" s="81"/>
      <c r="R42" s="81"/>
      <c r="S42" s="81"/>
      <c r="T42" s="81"/>
      <c r="U42" s="18"/>
      <c r="V42" s="18"/>
      <c r="W42" s="81"/>
      <c r="X42" s="81"/>
      <c r="Y42" s="81"/>
      <c r="Z42" s="81"/>
      <c r="AA42" s="81"/>
      <c r="AB42" s="81"/>
      <c r="AC42" s="81"/>
      <c r="AD42" s="81"/>
      <c r="AE42" s="81"/>
      <c r="AF42" s="81"/>
      <c r="AG42" s="18"/>
      <c r="AH42" s="81"/>
      <c r="AI42" s="18"/>
      <c r="AJ42" s="81"/>
      <c r="AK42" s="202"/>
      <c r="AL42" s="81"/>
      <c r="AM42" s="202"/>
      <c r="AN42" s="81"/>
      <c r="AO42" s="200"/>
      <c r="AP42" s="81"/>
      <c r="AQ42" s="200"/>
      <c r="AR42" s="81"/>
      <c r="AS42" s="192"/>
      <c r="AT42" s="29"/>
      <c r="AU42" s="192"/>
      <c r="AV42" s="29"/>
      <c r="AW42" s="18"/>
      <c r="AX42" s="24"/>
    </row>
    <row r="43" spans="2:50" ht="12.75">
      <c r="B43" s="17"/>
      <c r="C43" s="18"/>
      <c r="D43" s="18"/>
      <c r="E43" s="81"/>
      <c r="F43" s="81"/>
      <c r="G43" s="81"/>
      <c r="H43" s="81"/>
      <c r="I43" s="81"/>
      <c r="J43" s="80"/>
      <c r="K43" s="33"/>
      <c r="L43" s="33"/>
      <c r="M43" s="33"/>
      <c r="N43" s="33"/>
      <c r="O43" s="33"/>
      <c r="P43" s="33"/>
      <c r="Q43" s="81"/>
      <c r="R43" s="81"/>
      <c r="S43" s="81"/>
      <c r="T43" s="81"/>
      <c r="U43" s="18"/>
      <c r="V43" s="18"/>
      <c r="W43" s="81"/>
      <c r="X43" s="81"/>
      <c r="Y43" s="81"/>
      <c r="Z43" s="81"/>
      <c r="AA43" s="81"/>
      <c r="AB43" s="81"/>
      <c r="AC43" s="81"/>
      <c r="AD43" s="81"/>
      <c r="AE43" s="81"/>
      <c r="AF43" s="81"/>
      <c r="AG43" s="18"/>
      <c r="AH43" s="81"/>
      <c r="AI43" s="18"/>
      <c r="AJ43" s="81"/>
      <c r="AK43" s="202"/>
      <c r="AL43" s="81"/>
      <c r="AM43" s="202"/>
      <c r="AN43" s="81"/>
      <c r="AO43" s="200"/>
      <c r="AP43" s="81"/>
      <c r="AQ43" s="200"/>
      <c r="AR43" s="81"/>
      <c r="AS43" s="192"/>
      <c r="AT43" s="29"/>
      <c r="AU43" s="192"/>
      <c r="AV43" s="29"/>
      <c r="AW43" s="18"/>
      <c r="AX43" s="24"/>
    </row>
    <row r="44" spans="2:50" ht="12.75">
      <c r="B44" s="21" t="s">
        <v>224</v>
      </c>
      <c r="I44" s="21" t="s">
        <v>238</v>
      </c>
      <c r="J44" s="97"/>
      <c r="L44" s="21" t="s">
        <v>239</v>
      </c>
      <c r="O44" s="33"/>
      <c r="P44" s="33"/>
      <c r="Q44" s="81"/>
      <c r="R44" s="81"/>
      <c r="S44" s="81"/>
      <c r="T44" s="81"/>
      <c r="U44" s="18"/>
      <c r="V44" s="18"/>
      <c r="W44" s="81"/>
      <c r="X44" s="81"/>
      <c r="Y44" s="81"/>
      <c r="Z44" s="81"/>
      <c r="AA44" s="81"/>
      <c r="AB44" s="81"/>
      <c r="AC44" s="81"/>
      <c r="AD44" s="81"/>
      <c r="AE44" s="81"/>
      <c r="AF44" s="81"/>
      <c r="AG44" s="18"/>
      <c r="AH44" s="81"/>
      <c r="AI44" s="18"/>
      <c r="AJ44" s="81"/>
      <c r="AK44" s="202"/>
      <c r="AL44" s="81"/>
      <c r="AM44" s="202"/>
      <c r="AN44" s="81"/>
      <c r="AO44" s="200"/>
      <c r="AP44" s="81"/>
      <c r="AQ44" s="200"/>
      <c r="AR44" s="81"/>
      <c r="AS44" s="192"/>
      <c r="AT44" s="29"/>
      <c r="AU44" s="192"/>
      <c r="AV44" s="29"/>
      <c r="AW44" s="18"/>
      <c r="AX44" s="24"/>
    </row>
    <row r="45" spans="5:50" ht="12.75">
      <c r="E45" s="21" t="s">
        <v>147</v>
      </c>
      <c r="J45" s="97"/>
      <c r="Q45" s="21" t="s">
        <v>147</v>
      </c>
      <c r="R45" s="21" t="s">
        <v>188</v>
      </c>
      <c r="U45" s="81"/>
      <c r="W45" s="86"/>
      <c r="Y45" s="81"/>
      <c r="Z45" s="81"/>
      <c r="AA45" s="81"/>
      <c r="AB45" s="81"/>
      <c r="AC45" s="81"/>
      <c r="AD45" s="81"/>
      <c r="AE45" s="81"/>
      <c r="AF45" s="81"/>
      <c r="AG45" s="18"/>
      <c r="AH45" s="81"/>
      <c r="AI45" s="18"/>
      <c r="AJ45" s="81"/>
      <c r="AK45" s="202"/>
      <c r="AL45" s="81"/>
      <c r="AM45" s="202"/>
      <c r="AN45" s="81"/>
      <c r="AO45" s="200"/>
      <c r="AP45" s="81"/>
      <c r="AQ45" s="200"/>
      <c r="AR45" s="81"/>
      <c r="AS45" s="192"/>
      <c r="AT45" s="29"/>
      <c r="AU45" s="192"/>
      <c r="AV45" s="29"/>
      <c r="AW45" s="18"/>
      <c r="AX45" s="24"/>
    </row>
    <row r="46" spans="2:50" ht="12.75">
      <c r="B46" s="21" t="str">
        <f>B6</f>
        <v>Year</v>
      </c>
      <c r="C46" s="21" t="s">
        <v>141</v>
      </c>
      <c r="D46" s="21" t="s">
        <v>141</v>
      </c>
      <c r="E46" s="284" t="s">
        <v>240</v>
      </c>
      <c r="F46" s="284" t="s">
        <v>144</v>
      </c>
      <c r="G46" s="544" t="s">
        <v>145</v>
      </c>
      <c r="H46" s="544"/>
      <c r="I46" s="21" t="s">
        <v>149</v>
      </c>
      <c r="J46" s="544" t="s">
        <v>150</v>
      </c>
      <c r="K46" s="503"/>
      <c r="L46" s="21" t="s">
        <v>151</v>
      </c>
      <c r="M46" s="544" t="s">
        <v>151</v>
      </c>
      <c r="N46" s="503"/>
      <c r="O46" s="544" t="s">
        <v>167</v>
      </c>
      <c r="P46" s="544"/>
      <c r="Q46" s="284" t="s">
        <v>240</v>
      </c>
      <c r="R46" s="284"/>
      <c r="S46" s="544" t="s">
        <v>170</v>
      </c>
      <c r="T46" s="544"/>
      <c r="U46" s="544" t="s">
        <v>171</v>
      </c>
      <c r="V46" s="544"/>
      <c r="W46" s="574" t="s">
        <v>189</v>
      </c>
      <c r="X46" s="510"/>
      <c r="Y46" s="81"/>
      <c r="Z46" s="81"/>
      <c r="AA46" s="81"/>
      <c r="AB46" s="81"/>
      <c r="AC46" s="81"/>
      <c r="AD46" s="81"/>
      <c r="AE46" s="81"/>
      <c r="AF46" s="81"/>
      <c r="AG46" s="18"/>
      <c r="AH46" s="81"/>
      <c r="AI46" s="18"/>
      <c r="AJ46" s="81"/>
      <c r="AK46" s="202"/>
      <c r="AL46" s="81"/>
      <c r="AM46" s="202"/>
      <c r="AN46" s="81"/>
      <c r="AO46" s="200"/>
      <c r="AP46" s="81"/>
      <c r="AQ46" s="200"/>
      <c r="AR46" s="81"/>
      <c r="AS46" s="192"/>
      <c r="AT46" s="29"/>
      <c r="AU46" s="192"/>
      <c r="AV46" s="29"/>
      <c r="AW46" s="18"/>
      <c r="AX46" s="24"/>
    </row>
    <row r="47" spans="3:50" ht="12.75">
      <c r="C47" s="21" t="s">
        <v>142</v>
      </c>
      <c r="D47" s="21" t="s">
        <v>143</v>
      </c>
      <c r="E47" s="21" t="s">
        <v>148</v>
      </c>
      <c r="F47" s="21" t="s">
        <v>148</v>
      </c>
      <c r="G47" s="21" t="s">
        <v>1</v>
      </c>
      <c r="H47" s="21" t="s">
        <v>2</v>
      </c>
      <c r="I47" s="21" t="s">
        <v>148</v>
      </c>
      <c r="J47" s="97" t="s">
        <v>1</v>
      </c>
      <c r="K47" s="21" t="s">
        <v>2</v>
      </c>
      <c r="L47" s="21" t="s">
        <v>148</v>
      </c>
      <c r="M47" s="97" t="s">
        <v>1</v>
      </c>
      <c r="N47" s="21" t="s">
        <v>2</v>
      </c>
      <c r="O47" s="21" t="s">
        <v>142</v>
      </c>
      <c r="P47" s="21" t="s">
        <v>143</v>
      </c>
      <c r="Q47" s="21" t="s">
        <v>148</v>
      </c>
      <c r="R47" s="111" t="s">
        <v>148</v>
      </c>
      <c r="S47" s="21" t="s">
        <v>1</v>
      </c>
      <c r="T47" s="21" t="s">
        <v>2</v>
      </c>
      <c r="U47" s="21" t="s">
        <v>1</v>
      </c>
      <c r="V47" s="21" t="s">
        <v>2</v>
      </c>
      <c r="W47" s="21" t="s">
        <v>1</v>
      </c>
      <c r="X47" s="21" t="s">
        <v>2</v>
      </c>
      <c r="Y47" s="81"/>
      <c r="Z47" s="81"/>
      <c r="AA47" s="81"/>
      <c r="AB47" s="81"/>
      <c r="AC47" s="81"/>
      <c r="AD47" s="81"/>
      <c r="AE47" s="81"/>
      <c r="AF47" s="81"/>
      <c r="AG47" s="18"/>
      <c r="AH47" s="81"/>
      <c r="AI47" s="18"/>
      <c r="AJ47" s="81"/>
      <c r="AK47" s="202"/>
      <c r="AL47" s="81"/>
      <c r="AM47" s="202"/>
      <c r="AN47" s="81"/>
      <c r="AO47" s="200"/>
      <c r="AP47" s="81"/>
      <c r="AQ47" s="200"/>
      <c r="AR47" s="81"/>
      <c r="AS47" s="192"/>
      <c r="AT47" s="29"/>
      <c r="AU47" s="192"/>
      <c r="AV47" s="29"/>
      <c r="AW47" s="18"/>
      <c r="AX47" s="24"/>
    </row>
    <row r="48" spans="2:50" ht="12.75">
      <c r="B48" s="21">
        <f aca="true" t="shared" si="23" ref="B48:B72">B8</f>
        <v>1980</v>
      </c>
      <c r="C48" s="86">
        <f aca="true" t="shared" si="24" ref="C48:D72">F8</f>
        <v>247122.58064516127</v>
      </c>
      <c r="D48" s="86">
        <f t="shared" si="24"/>
        <v>2224.103225806451</v>
      </c>
      <c r="E48" s="21">
        <v>1</v>
      </c>
      <c r="F48" s="21">
        <v>0</v>
      </c>
      <c r="G48" s="86">
        <f aca="true" t="shared" si="25" ref="G48:G74">C48-(E48*C48)-(C48*F48)</f>
        <v>0</v>
      </c>
      <c r="H48" s="86">
        <f aca="true" t="shared" si="26" ref="H48:H74">D48-(E48*D48)-(D48*F48)</f>
        <v>0</v>
      </c>
      <c r="O48" s="86">
        <f>H8</f>
        <v>267716.12903225806</v>
      </c>
      <c r="P48" s="86">
        <f>I8</f>
        <v>2409.4451612903226</v>
      </c>
      <c r="Q48" s="21">
        <v>1</v>
      </c>
      <c r="R48" s="21">
        <v>0</v>
      </c>
      <c r="S48" s="86">
        <f>O48*$Q48</f>
        <v>267716.12903225806</v>
      </c>
      <c r="T48" s="86">
        <f>P48*$Q48</f>
        <v>2409.4451612903226</v>
      </c>
      <c r="U48" s="86">
        <f>C48*$E48</f>
        <v>247122.58064516127</v>
      </c>
      <c r="V48" s="86">
        <f>D48*$E48</f>
        <v>2224.103225806451</v>
      </c>
      <c r="W48" s="21">
        <f>O48*$R48</f>
        <v>0</v>
      </c>
      <c r="X48" s="21">
        <f>P48*$R48</f>
        <v>0</v>
      </c>
      <c r="Y48" s="81"/>
      <c r="Z48" s="81"/>
      <c r="AA48" s="81"/>
      <c r="AB48" s="81"/>
      <c r="AC48" s="81"/>
      <c r="AD48" s="81"/>
      <c r="AE48" s="81"/>
      <c r="AF48" s="81"/>
      <c r="AG48" s="18"/>
      <c r="AH48" s="81"/>
      <c r="AI48" s="18"/>
      <c r="AJ48" s="81"/>
      <c r="AK48" s="202"/>
      <c r="AL48" s="81"/>
      <c r="AM48" s="202"/>
      <c r="AN48" s="81"/>
      <c r="AO48" s="200"/>
      <c r="AP48" s="81"/>
      <c r="AQ48" s="200"/>
      <c r="AR48" s="81"/>
      <c r="AS48" s="192"/>
      <c r="AT48" s="29"/>
      <c r="AU48" s="192"/>
      <c r="AV48" s="29"/>
      <c r="AW48" s="18"/>
      <c r="AX48" s="24"/>
    </row>
    <row r="49" spans="2:50" ht="12.75">
      <c r="B49" s="21">
        <f t="shared" si="23"/>
        <v>1981</v>
      </c>
      <c r="C49" s="86">
        <f t="shared" si="24"/>
        <v>494245.16129032255</v>
      </c>
      <c r="D49" s="86">
        <f t="shared" si="24"/>
        <v>4448.206451612902</v>
      </c>
      <c r="E49" s="21">
        <v>1</v>
      </c>
      <c r="F49" s="21">
        <v>0</v>
      </c>
      <c r="G49" s="86">
        <f t="shared" si="25"/>
        <v>0</v>
      </c>
      <c r="H49" s="86">
        <f t="shared" si="26"/>
        <v>0</v>
      </c>
      <c r="O49" s="283">
        <f aca="true" t="shared" si="27" ref="O49:P72">H9</f>
        <v>535432.2580645161</v>
      </c>
      <c r="P49" s="283">
        <f t="shared" si="27"/>
        <v>4818.890322580645</v>
      </c>
      <c r="Q49" s="21">
        <v>1</v>
      </c>
      <c r="R49" s="21">
        <v>0</v>
      </c>
      <c r="S49" s="86">
        <f aca="true" t="shared" si="28" ref="S49:T73">O49*$Q49</f>
        <v>535432.2580645161</v>
      </c>
      <c r="T49" s="86">
        <f t="shared" si="28"/>
        <v>4818.890322580645</v>
      </c>
      <c r="U49" s="86">
        <f aca="true" t="shared" si="29" ref="U49:V73">C49*$E49</f>
        <v>494245.16129032255</v>
      </c>
      <c r="V49" s="86">
        <f t="shared" si="29"/>
        <v>4448.206451612902</v>
      </c>
      <c r="W49" s="21">
        <f aca="true" t="shared" si="30" ref="W49:X71">O49*$R49</f>
        <v>0</v>
      </c>
      <c r="X49" s="21">
        <f t="shared" si="30"/>
        <v>0</v>
      </c>
      <c r="Y49" s="81"/>
      <c r="Z49" s="81"/>
      <c r="AA49" s="81"/>
      <c r="AB49" s="81"/>
      <c r="AC49" s="81"/>
      <c r="AD49" s="81"/>
      <c r="AE49" s="81"/>
      <c r="AF49" s="81"/>
      <c r="AG49" s="18"/>
      <c r="AH49" s="81"/>
      <c r="AI49" s="18"/>
      <c r="AJ49" s="81"/>
      <c r="AK49" s="202"/>
      <c r="AL49" s="81"/>
      <c r="AM49" s="202"/>
      <c r="AN49" s="81"/>
      <c r="AO49" s="200"/>
      <c r="AP49" s="81"/>
      <c r="AQ49" s="200"/>
      <c r="AR49" s="81"/>
      <c r="AS49" s="192"/>
      <c r="AT49" s="29"/>
      <c r="AU49" s="192"/>
      <c r="AV49" s="29"/>
      <c r="AW49" s="18"/>
      <c r="AX49" s="24"/>
    </row>
    <row r="50" spans="2:50" ht="12.75">
      <c r="B50" s="21">
        <f t="shared" si="23"/>
        <v>1982</v>
      </c>
      <c r="C50" s="86">
        <f t="shared" si="24"/>
        <v>766080</v>
      </c>
      <c r="D50" s="86">
        <f t="shared" si="24"/>
        <v>6894.719999999999</v>
      </c>
      <c r="E50" s="21">
        <v>1</v>
      </c>
      <c r="F50" s="21">
        <v>0</v>
      </c>
      <c r="G50" s="86">
        <f t="shared" si="25"/>
        <v>0</v>
      </c>
      <c r="H50" s="86">
        <f t="shared" si="26"/>
        <v>0</v>
      </c>
      <c r="O50" s="283">
        <f t="shared" si="27"/>
        <v>829920</v>
      </c>
      <c r="P50" s="283">
        <f t="shared" si="27"/>
        <v>7469.280000000001</v>
      </c>
      <c r="Q50" s="21">
        <v>1</v>
      </c>
      <c r="R50" s="21">
        <v>0</v>
      </c>
      <c r="S50" s="86">
        <f t="shared" si="28"/>
        <v>829920</v>
      </c>
      <c r="T50" s="86">
        <f t="shared" si="28"/>
        <v>7469.280000000001</v>
      </c>
      <c r="U50" s="86">
        <f t="shared" si="29"/>
        <v>766080</v>
      </c>
      <c r="V50" s="86">
        <f t="shared" si="29"/>
        <v>6894.719999999999</v>
      </c>
      <c r="W50" s="21">
        <f t="shared" si="30"/>
        <v>0</v>
      </c>
      <c r="X50" s="21">
        <f t="shared" si="30"/>
        <v>0</v>
      </c>
      <c r="Y50" s="81"/>
      <c r="Z50" s="81"/>
      <c r="AA50" s="81"/>
      <c r="AB50" s="81"/>
      <c r="AC50" s="81"/>
      <c r="AD50" s="81"/>
      <c r="AE50" s="81"/>
      <c r="AF50" s="81"/>
      <c r="AG50" s="18"/>
      <c r="AH50" s="81"/>
      <c r="AI50" s="18"/>
      <c r="AJ50" s="81"/>
      <c r="AK50" s="202"/>
      <c r="AL50" s="81"/>
      <c r="AM50" s="202"/>
      <c r="AN50" s="81"/>
      <c r="AO50" s="200"/>
      <c r="AP50" s="81"/>
      <c r="AQ50" s="200"/>
      <c r="AR50" s="81"/>
      <c r="AS50" s="192"/>
      <c r="AT50" s="29"/>
      <c r="AU50" s="192"/>
      <c r="AV50" s="29"/>
      <c r="AW50" s="18"/>
      <c r="AX50" s="24"/>
    </row>
    <row r="51" spans="2:50" ht="12.75">
      <c r="B51" s="21">
        <f t="shared" si="23"/>
        <v>1983</v>
      </c>
      <c r="C51" s="86">
        <f t="shared" si="24"/>
        <v>1373400</v>
      </c>
      <c r="D51" s="86">
        <f t="shared" si="24"/>
        <v>12360.6</v>
      </c>
      <c r="E51" s="21">
        <v>1</v>
      </c>
      <c r="F51" s="21">
        <v>0</v>
      </c>
      <c r="G51" s="86">
        <f t="shared" si="25"/>
        <v>0</v>
      </c>
      <c r="H51" s="86">
        <f t="shared" si="26"/>
        <v>0</v>
      </c>
      <c r="O51" s="283">
        <f t="shared" si="27"/>
        <v>1487850</v>
      </c>
      <c r="P51" s="283">
        <f t="shared" si="27"/>
        <v>13390.65</v>
      </c>
      <c r="Q51" s="21">
        <v>1</v>
      </c>
      <c r="R51" s="21">
        <v>0</v>
      </c>
      <c r="S51" s="86">
        <f t="shared" si="28"/>
        <v>1487850</v>
      </c>
      <c r="T51" s="86">
        <f t="shared" si="28"/>
        <v>13390.65</v>
      </c>
      <c r="U51" s="86">
        <f t="shared" si="29"/>
        <v>1373400</v>
      </c>
      <c r="V51" s="86">
        <f t="shared" si="29"/>
        <v>12360.6</v>
      </c>
      <c r="W51" s="21">
        <f t="shared" si="30"/>
        <v>0</v>
      </c>
      <c r="X51" s="21">
        <f t="shared" si="30"/>
        <v>0</v>
      </c>
      <c r="Y51" s="81"/>
      <c r="Z51" s="81"/>
      <c r="AA51" s="81"/>
      <c r="AB51" s="81"/>
      <c r="AC51" s="81"/>
      <c r="AD51" s="81"/>
      <c r="AE51" s="81"/>
      <c r="AF51" s="81"/>
      <c r="AG51" s="18"/>
      <c r="AH51" s="81"/>
      <c r="AI51" s="18"/>
      <c r="AJ51" s="81"/>
      <c r="AK51" s="202"/>
      <c r="AL51" s="81"/>
      <c r="AM51" s="202"/>
      <c r="AN51" s="81"/>
      <c r="AO51" s="200"/>
      <c r="AP51" s="81"/>
      <c r="AQ51" s="200"/>
      <c r="AR51" s="81"/>
      <c r="AS51" s="192"/>
      <c r="AT51" s="29"/>
      <c r="AU51" s="192"/>
      <c r="AV51" s="29"/>
      <c r="AW51" s="18"/>
      <c r="AX51" s="24"/>
    </row>
    <row r="52" spans="2:50" ht="12.75">
      <c r="B52" s="21">
        <f t="shared" si="23"/>
        <v>1984</v>
      </c>
      <c r="C52" s="86">
        <f t="shared" si="24"/>
        <v>1678320</v>
      </c>
      <c r="D52" s="86">
        <f t="shared" si="24"/>
        <v>15104.88</v>
      </c>
      <c r="E52" s="21">
        <v>1</v>
      </c>
      <c r="F52" s="21">
        <v>0</v>
      </c>
      <c r="G52" s="86">
        <f t="shared" si="25"/>
        <v>0</v>
      </c>
      <c r="H52" s="86">
        <f t="shared" si="26"/>
        <v>0</v>
      </c>
      <c r="O52" s="283">
        <f t="shared" si="27"/>
        <v>1818180</v>
      </c>
      <c r="P52" s="283">
        <f t="shared" si="27"/>
        <v>16363.62</v>
      </c>
      <c r="Q52" s="21">
        <v>1</v>
      </c>
      <c r="R52" s="21">
        <v>0</v>
      </c>
      <c r="S52" s="86">
        <f t="shared" si="28"/>
        <v>1818180</v>
      </c>
      <c r="T52" s="86">
        <f t="shared" si="28"/>
        <v>16363.62</v>
      </c>
      <c r="U52" s="86">
        <f t="shared" si="29"/>
        <v>1678320</v>
      </c>
      <c r="V52" s="86">
        <f t="shared" si="29"/>
        <v>15104.88</v>
      </c>
      <c r="W52" s="21">
        <f t="shared" si="30"/>
        <v>0</v>
      </c>
      <c r="X52" s="21">
        <f t="shared" si="30"/>
        <v>0</v>
      </c>
      <c r="Y52" s="81"/>
      <c r="Z52" s="81"/>
      <c r="AA52" s="81"/>
      <c r="AB52" s="81"/>
      <c r="AC52" s="81"/>
      <c r="AD52" s="81"/>
      <c r="AE52" s="81"/>
      <c r="AF52" s="81"/>
      <c r="AG52" s="18"/>
      <c r="AH52" s="81"/>
      <c r="AI52" s="18"/>
      <c r="AJ52" s="81"/>
      <c r="AK52" s="202"/>
      <c r="AL52" s="81"/>
      <c r="AM52" s="202"/>
      <c r="AN52" s="81"/>
      <c r="AO52" s="200"/>
      <c r="AP52" s="81"/>
      <c r="AQ52" s="200"/>
      <c r="AR52" s="81"/>
      <c r="AS52" s="192"/>
      <c r="AT52" s="29"/>
      <c r="AU52" s="192"/>
      <c r="AV52" s="29"/>
      <c r="AW52" s="18"/>
      <c r="AX52" s="24"/>
    </row>
    <row r="53" spans="2:50" ht="12.75">
      <c r="B53" s="21">
        <f t="shared" si="23"/>
        <v>1985</v>
      </c>
      <c r="C53" s="86">
        <f t="shared" si="24"/>
        <v>1451520</v>
      </c>
      <c r="D53" s="86">
        <f t="shared" si="24"/>
        <v>13063.68</v>
      </c>
      <c r="E53" s="21">
        <v>1</v>
      </c>
      <c r="F53" s="21">
        <v>0</v>
      </c>
      <c r="G53" s="86">
        <f t="shared" si="25"/>
        <v>0</v>
      </c>
      <c r="H53" s="86">
        <f t="shared" si="26"/>
        <v>0</v>
      </c>
      <c r="O53" s="283">
        <f t="shared" si="27"/>
        <v>1572480</v>
      </c>
      <c r="P53" s="283">
        <f t="shared" si="27"/>
        <v>14152.32</v>
      </c>
      <c r="Q53" s="21">
        <v>1</v>
      </c>
      <c r="R53" s="21">
        <v>0</v>
      </c>
      <c r="S53" s="86">
        <f t="shared" si="28"/>
        <v>1572480</v>
      </c>
      <c r="T53" s="86">
        <f t="shared" si="28"/>
        <v>14152.32</v>
      </c>
      <c r="U53" s="86">
        <f t="shared" si="29"/>
        <v>1451520</v>
      </c>
      <c r="V53" s="86">
        <f t="shared" si="29"/>
        <v>13063.68</v>
      </c>
      <c r="W53" s="21">
        <f t="shared" si="30"/>
        <v>0</v>
      </c>
      <c r="X53" s="21">
        <f t="shared" si="30"/>
        <v>0</v>
      </c>
      <c r="Y53" s="81"/>
      <c r="Z53" s="81"/>
      <c r="AA53" s="81"/>
      <c r="AB53" s="81"/>
      <c r="AC53" s="81"/>
      <c r="AD53" s="81"/>
      <c r="AE53" s="81"/>
      <c r="AF53" s="81"/>
      <c r="AG53" s="18"/>
      <c r="AH53" s="81"/>
      <c r="AI53" s="18"/>
      <c r="AJ53" s="81"/>
      <c r="AK53" s="202"/>
      <c r="AL53" s="81"/>
      <c r="AM53" s="202"/>
      <c r="AN53" s="81"/>
      <c r="AO53" s="200"/>
      <c r="AP53" s="81"/>
      <c r="AQ53" s="200"/>
      <c r="AR53" s="81"/>
      <c r="AS53" s="192"/>
      <c r="AT53" s="29"/>
      <c r="AU53" s="192"/>
      <c r="AV53" s="29"/>
      <c r="AW53" s="18"/>
      <c r="AX53" s="24"/>
    </row>
    <row r="54" spans="2:50" ht="12.75">
      <c r="B54" s="21">
        <f t="shared" si="23"/>
        <v>1986</v>
      </c>
      <c r="C54" s="86">
        <f t="shared" si="24"/>
        <v>1726452</v>
      </c>
      <c r="D54" s="86">
        <f t="shared" si="24"/>
        <v>15538.068</v>
      </c>
      <c r="E54" s="21">
        <v>1</v>
      </c>
      <c r="F54" s="21">
        <v>0</v>
      </c>
      <c r="G54" s="86">
        <f t="shared" si="25"/>
        <v>0</v>
      </c>
      <c r="H54" s="86">
        <f t="shared" si="26"/>
        <v>0</v>
      </c>
      <c r="O54" s="283">
        <f t="shared" si="27"/>
        <v>1870323</v>
      </c>
      <c r="P54" s="283">
        <f t="shared" si="27"/>
        <v>16832.907</v>
      </c>
      <c r="Q54" s="21">
        <v>1</v>
      </c>
      <c r="R54" s="21">
        <v>0</v>
      </c>
      <c r="S54" s="86">
        <f t="shared" si="28"/>
        <v>1870323</v>
      </c>
      <c r="T54" s="86">
        <f t="shared" si="28"/>
        <v>16832.907</v>
      </c>
      <c r="U54" s="86">
        <f t="shared" si="29"/>
        <v>1726452</v>
      </c>
      <c r="V54" s="86">
        <f t="shared" si="29"/>
        <v>15538.068</v>
      </c>
      <c r="W54" s="21">
        <f t="shared" si="30"/>
        <v>0</v>
      </c>
      <c r="X54" s="21">
        <f t="shared" si="30"/>
        <v>0</v>
      </c>
      <c r="Y54" s="81"/>
      <c r="Z54" s="81"/>
      <c r="AA54" s="81"/>
      <c r="AB54" s="81"/>
      <c r="AC54" s="81"/>
      <c r="AD54" s="81"/>
      <c r="AE54" s="81"/>
      <c r="AF54" s="81"/>
      <c r="AG54" s="18"/>
      <c r="AH54" s="81"/>
      <c r="AI54" s="18"/>
      <c r="AJ54" s="81"/>
      <c r="AK54" s="202"/>
      <c r="AL54" s="81"/>
      <c r="AM54" s="202"/>
      <c r="AN54" s="81"/>
      <c r="AO54" s="200"/>
      <c r="AP54" s="81"/>
      <c r="AQ54" s="200"/>
      <c r="AR54" s="81"/>
      <c r="AS54" s="192"/>
      <c r="AT54" s="29"/>
      <c r="AU54" s="192"/>
      <c r="AV54" s="29"/>
      <c r="AW54" s="18"/>
      <c r="AX54" s="24"/>
    </row>
    <row r="55" spans="2:50" ht="12.75">
      <c r="B55" s="21">
        <f t="shared" si="23"/>
        <v>1987</v>
      </c>
      <c r="C55" s="86">
        <f t="shared" si="24"/>
        <v>2066904</v>
      </c>
      <c r="D55" s="86">
        <f t="shared" si="24"/>
        <v>18602.136</v>
      </c>
      <c r="E55" s="21">
        <v>1</v>
      </c>
      <c r="F55" s="21">
        <v>0</v>
      </c>
      <c r="G55" s="86">
        <f t="shared" si="25"/>
        <v>0</v>
      </c>
      <c r="H55" s="86">
        <f t="shared" si="26"/>
        <v>0</v>
      </c>
      <c r="O55" s="283">
        <f t="shared" si="27"/>
        <v>2239146</v>
      </c>
      <c r="P55" s="283">
        <f t="shared" si="27"/>
        <v>20152.314</v>
      </c>
      <c r="Q55" s="21">
        <v>1</v>
      </c>
      <c r="R55" s="21">
        <v>0</v>
      </c>
      <c r="S55" s="86">
        <f t="shared" si="28"/>
        <v>2239146</v>
      </c>
      <c r="T55" s="86">
        <f t="shared" si="28"/>
        <v>20152.314</v>
      </c>
      <c r="U55" s="86">
        <f t="shared" si="29"/>
        <v>2066904</v>
      </c>
      <c r="V55" s="86">
        <f t="shared" si="29"/>
        <v>18602.136</v>
      </c>
      <c r="W55" s="21">
        <f t="shared" si="30"/>
        <v>0</v>
      </c>
      <c r="X55" s="21">
        <f t="shared" si="30"/>
        <v>0</v>
      </c>
      <c r="Y55" s="81"/>
      <c r="Z55" s="81"/>
      <c r="AA55" s="81"/>
      <c r="AB55" s="81"/>
      <c r="AC55" s="81"/>
      <c r="AD55" s="81"/>
      <c r="AE55" s="81"/>
      <c r="AF55" s="81"/>
      <c r="AG55" s="18"/>
      <c r="AH55" s="81"/>
      <c r="AI55" s="18"/>
      <c r="AJ55" s="81"/>
      <c r="AK55" s="202"/>
      <c r="AL55" s="81"/>
      <c r="AM55" s="202"/>
      <c r="AN55" s="81"/>
      <c r="AO55" s="200"/>
      <c r="AP55" s="81"/>
      <c r="AQ55" s="200"/>
      <c r="AR55" s="81"/>
      <c r="AS55" s="192"/>
      <c r="AT55" s="29"/>
      <c r="AU55" s="192"/>
      <c r="AV55" s="29"/>
      <c r="AW55" s="18"/>
      <c r="AX55" s="24"/>
    </row>
    <row r="56" spans="2:50" ht="12.75">
      <c r="B56" s="21">
        <f t="shared" si="23"/>
        <v>1988</v>
      </c>
      <c r="C56" s="86">
        <f t="shared" si="24"/>
        <v>2198448</v>
      </c>
      <c r="D56" s="86">
        <f t="shared" si="24"/>
        <v>19786.032</v>
      </c>
      <c r="E56" s="21">
        <v>1</v>
      </c>
      <c r="F56" s="21">
        <v>0</v>
      </c>
      <c r="G56" s="86">
        <f t="shared" si="25"/>
        <v>0</v>
      </c>
      <c r="H56" s="86">
        <f t="shared" si="26"/>
        <v>0</v>
      </c>
      <c r="O56" s="283">
        <f t="shared" si="27"/>
        <v>2381652</v>
      </c>
      <c r="P56" s="283">
        <f t="shared" si="27"/>
        <v>21434.868000000002</v>
      </c>
      <c r="Q56" s="21">
        <v>1</v>
      </c>
      <c r="R56" s="21">
        <v>0</v>
      </c>
      <c r="S56" s="86">
        <f t="shared" si="28"/>
        <v>2381652</v>
      </c>
      <c r="T56" s="86">
        <f t="shared" si="28"/>
        <v>21434.868000000002</v>
      </c>
      <c r="U56" s="86">
        <f t="shared" si="29"/>
        <v>2198448</v>
      </c>
      <c r="V56" s="86">
        <f t="shared" si="29"/>
        <v>19786.032</v>
      </c>
      <c r="W56" s="21">
        <f t="shared" si="30"/>
        <v>0</v>
      </c>
      <c r="X56" s="21">
        <f t="shared" si="30"/>
        <v>0</v>
      </c>
      <c r="Y56" s="81"/>
      <c r="Z56" s="81"/>
      <c r="AA56" s="81"/>
      <c r="AB56" s="81"/>
      <c r="AC56" s="81"/>
      <c r="AD56" s="81"/>
      <c r="AE56" s="81"/>
      <c r="AF56" s="81"/>
      <c r="AG56" s="18"/>
      <c r="AH56" s="81"/>
      <c r="AI56" s="18"/>
      <c r="AJ56" s="81"/>
      <c r="AK56" s="202"/>
      <c r="AL56" s="81"/>
      <c r="AM56" s="202"/>
      <c r="AN56" s="81"/>
      <c r="AO56" s="200"/>
      <c r="AP56" s="81"/>
      <c r="AQ56" s="200"/>
      <c r="AR56" s="81"/>
      <c r="AS56" s="192"/>
      <c r="AT56" s="29"/>
      <c r="AU56" s="192"/>
      <c r="AV56" s="29"/>
      <c r="AW56" s="18"/>
      <c r="AX56" s="24"/>
    </row>
    <row r="57" spans="2:50" ht="12.75">
      <c r="B57" s="21">
        <f t="shared" si="23"/>
        <v>1989</v>
      </c>
      <c r="C57" s="86">
        <f t="shared" si="24"/>
        <v>2244261.852</v>
      </c>
      <c r="D57" s="86">
        <f t="shared" si="24"/>
        <v>20044.97970748693</v>
      </c>
      <c r="E57" s="21">
        <v>1</v>
      </c>
      <c r="F57" s="21">
        <v>0</v>
      </c>
      <c r="G57" s="86">
        <f t="shared" si="25"/>
        <v>0</v>
      </c>
      <c r="H57" s="86">
        <f t="shared" si="26"/>
        <v>0</v>
      </c>
      <c r="O57" s="283">
        <f t="shared" si="27"/>
        <v>2431283.6730000004</v>
      </c>
      <c r="P57" s="283">
        <f t="shared" si="27"/>
        <v>21715.394683110844</v>
      </c>
      <c r="Q57" s="21">
        <v>1</v>
      </c>
      <c r="R57" s="21">
        <v>0</v>
      </c>
      <c r="S57" s="86">
        <f t="shared" si="28"/>
        <v>2431283.6730000004</v>
      </c>
      <c r="T57" s="86">
        <f t="shared" si="28"/>
        <v>21715.394683110844</v>
      </c>
      <c r="U57" s="86">
        <f t="shared" si="29"/>
        <v>2244261.852</v>
      </c>
      <c r="V57" s="86">
        <f t="shared" si="29"/>
        <v>20044.97970748693</v>
      </c>
      <c r="W57" s="21">
        <f t="shared" si="30"/>
        <v>0</v>
      </c>
      <c r="X57" s="21">
        <f t="shared" si="30"/>
        <v>0</v>
      </c>
      <c r="Y57" s="81"/>
      <c r="Z57" s="81"/>
      <c r="AA57" s="81"/>
      <c r="AB57" s="81"/>
      <c r="AC57" s="81"/>
      <c r="AD57" s="81"/>
      <c r="AE57" s="81"/>
      <c r="AF57" s="81"/>
      <c r="AG57" s="18"/>
      <c r="AH57" s="81"/>
      <c r="AI57" s="18"/>
      <c r="AJ57" s="81"/>
      <c r="AK57" s="202"/>
      <c r="AL57" s="81"/>
      <c r="AM57" s="202"/>
      <c r="AN57" s="81"/>
      <c r="AO57" s="200"/>
      <c r="AP57" s="81"/>
      <c r="AQ57" s="200"/>
      <c r="AR57" s="81"/>
      <c r="AS57" s="192"/>
      <c r="AT57" s="29"/>
      <c r="AU57" s="192"/>
      <c r="AV57" s="29"/>
      <c r="AW57" s="18"/>
      <c r="AX57" s="24"/>
    </row>
    <row r="58" spans="2:50" ht="12.75">
      <c r="B58" s="21">
        <f t="shared" si="23"/>
        <v>1990</v>
      </c>
      <c r="C58" s="86">
        <f t="shared" si="24"/>
        <v>2390353.308</v>
      </c>
      <c r="D58" s="86">
        <f t="shared" si="24"/>
        <v>23444.309621518427</v>
      </c>
      <c r="E58" s="21">
        <v>1</v>
      </c>
      <c r="F58" s="21">
        <v>0</v>
      </c>
      <c r="G58" s="86">
        <f t="shared" si="25"/>
        <v>0</v>
      </c>
      <c r="H58" s="86">
        <f t="shared" si="26"/>
        <v>0</v>
      </c>
      <c r="O58" s="283">
        <f t="shared" si="27"/>
        <v>2589549.4170000004</v>
      </c>
      <c r="P58" s="283">
        <f t="shared" si="27"/>
        <v>25398.002089978298</v>
      </c>
      <c r="Q58" s="21">
        <v>1</v>
      </c>
      <c r="R58" s="21">
        <v>0</v>
      </c>
      <c r="S58" s="86">
        <f t="shared" si="28"/>
        <v>2589549.4170000004</v>
      </c>
      <c r="T58" s="86">
        <f t="shared" si="28"/>
        <v>25398.002089978298</v>
      </c>
      <c r="U58" s="86">
        <f t="shared" si="29"/>
        <v>2390353.308</v>
      </c>
      <c r="V58" s="86">
        <f t="shared" si="29"/>
        <v>23444.309621518427</v>
      </c>
      <c r="W58" s="21">
        <f t="shared" si="30"/>
        <v>0</v>
      </c>
      <c r="X58" s="21">
        <f t="shared" si="30"/>
        <v>0</v>
      </c>
      <c r="Y58" s="81"/>
      <c r="Z58" s="81"/>
      <c r="AA58" s="81"/>
      <c r="AB58" s="81"/>
      <c r="AC58" s="81"/>
      <c r="AD58" s="81"/>
      <c r="AE58" s="81"/>
      <c r="AF58" s="81"/>
      <c r="AG58" s="18"/>
      <c r="AH58" s="81"/>
      <c r="AI58" s="18"/>
      <c r="AJ58" s="81"/>
      <c r="AK58" s="202"/>
      <c r="AL58" s="81"/>
      <c r="AM58" s="202"/>
      <c r="AN58" s="81"/>
      <c r="AO58" s="200"/>
      <c r="AP58" s="81"/>
      <c r="AQ58" s="200"/>
      <c r="AR58" s="81"/>
      <c r="AS58" s="192"/>
      <c r="AT58" s="29"/>
      <c r="AU58" s="192"/>
      <c r="AV58" s="29"/>
      <c r="AW58" s="18"/>
      <c r="AX58" s="24"/>
    </row>
    <row r="59" spans="2:50" ht="12.75">
      <c r="B59" s="21">
        <f t="shared" si="23"/>
        <v>1991</v>
      </c>
      <c r="C59" s="86">
        <f t="shared" si="24"/>
        <v>2399988.0239999997</v>
      </c>
      <c r="D59" s="86">
        <f t="shared" si="24"/>
        <v>22032.875264324448</v>
      </c>
      <c r="E59" s="21">
        <v>1</v>
      </c>
      <c r="F59" s="21">
        <v>0</v>
      </c>
      <c r="G59" s="86">
        <f t="shared" si="25"/>
        <v>0</v>
      </c>
      <c r="H59" s="86">
        <f t="shared" si="26"/>
        <v>0</v>
      </c>
      <c r="O59" s="283">
        <f t="shared" si="27"/>
        <v>2599987.026</v>
      </c>
      <c r="P59" s="283">
        <f t="shared" si="27"/>
        <v>23868.948203018157</v>
      </c>
      <c r="Q59" s="21">
        <v>1</v>
      </c>
      <c r="R59" s="21">
        <v>0</v>
      </c>
      <c r="S59" s="86">
        <f t="shared" si="28"/>
        <v>2599987.026</v>
      </c>
      <c r="T59" s="86">
        <f t="shared" si="28"/>
        <v>23868.948203018157</v>
      </c>
      <c r="U59" s="86">
        <f t="shared" si="29"/>
        <v>2399988.0239999997</v>
      </c>
      <c r="V59" s="86">
        <f t="shared" si="29"/>
        <v>22032.875264324448</v>
      </c>
      <c r="W59" s="21">
        <f t="shared" si="30"/>
        <v>0</v>
      </c>
      <c r="X59" s="21">
        <f t="shared" si="30"/>
        <v>0</v>
      </c>
      <c r="Y59" s="81"/>
      <c r="Z59" s="81"/>
      <c r="AA59" s="81"/>
      <c r="AB59" s="81"/>
      <c r="AC59" s="81"/>
      <c r="AD59" s="81"/>
      <c r="AE59" s="81"/>
      <c r="AF59" s="81"/>
      <c r="AG59" s="18"/>
      <c r="AH59" s="81"/>
      <c r="AI59" s="18"/>
      <c r="AJ59" s="81"/>
      <c r="AK59" s="202"/>
      <c r="AL59" s="81"/>
      <c r="AM59" s="202"/>
      <c r="AN59" s="81"/>
      <c r="AO59" s="200"/>
      <c r="AP59" s="81"/>
      <c r="AQ59" s="200"/>
      <c r="AR59" s="81"/>
      <c r="AS59" s="192"/>
      <c r="AT59" s="29"/>
      <c r="AU59" s="192"/>
      <c r="AV59" s="29"/>
      <c r="AW59" s="18"/>
      <c r="AX59" s="24"/>
    </row>
    <row r="60" spans="2:50" ht="12.75">
      <c r="B60" s="21">
        <f t="shared" si="23"/>
        <v>1992</v>
      </c>
      <c r="C60" s="86">
        <f t="shared" si="24"/>
        <v>2963772</v>
      </c>
      <c r="D60" s="86">
        <f t="shared" si="24"/>
        <v>25829.533825065704</v>
      </c>
      <c r="E60" s="21">
        <v>1</v>
      </c>
      <c r="F60" s="21">
        <v>0</v>
      </c>
      <c r="G60" s="86">
        <f t="shared" si="25"/>
        <v>0</v>
      </c>
      <c r="H60" s="86">
        <f t="shared" si="26"/>
        <v>0</v>
      </c>
      <c r="O60" s="283">
        <f t="shared" si="27"/>
        <v>3210753</v>
      </c>
      <c r="P60" s="283">
        <f t="shared" si="27"/>
        <v>27981.994977154518</v>
      </c>
      <c r="Q60" s="21">
        <v>1</v>
      </c>
      <c r="R60" s="21">
        <v>0</v>
      </c>
      <c r="S60" s="86">
        <f t="shared" si="28"/>
        <v>3210753</v>
      </c>
      <c r="T60" s="86">
        <f t="shared" si="28"/>
        <v>27981.994977154518</v>
      </c>
      <c r="U60" s="86">
        <f t="shared" si="29"/>
        <v>2963772</v>
      </c>
      <c r="V60" s="86">
        <f t="shared" si="29"/>
        <v>25829.533825065704</v>
      </c>
      <c r="W60" s="21">
        <f t="shared" si="30"/>
        <v>0</v>
      </c>
      <c r="X60" s="21">
        <f t="shared" si="30"/>
        <v>0</v>
      </c>
      <c r="Y60" s="81"/>
      <c r="Z60" s="81"/>
      <c r="AA60" s="81"/>
      <c r="AB60" s="81"/>
      <c r="AC60" s="81"/>
      <c r="AD60" s="81"/>
      <c r="AE60" s="81"/>
      <c r="AF60" s="81"/>
      <c r="AG60" s="18"/>
      <c r="AH60" s="81"/>
      <c r="AI60" s="18"/>
      <c r="AJ60" s="81"/>
      <c r="AK60" s="202"/>
      <c r="AL60" s="81"/>
      <c r="AM60" s="202"/>
      <c r="AN60" s="81"/>
      <c r="AO60" s="200"/>
      <c r="AP60" s="81"/>
      <c r="AQ60" s="200"/>
      <c r="AR60" s="81"/>
      <c r="AS60" s="192"/>
      <c r="AT60" s="29"/>
      <c r="AU60" s="192"/>
      <c r="AV60" s="29"/>
      <c r="AW60" s="18"/>
      <c r="AX60" s="24"/>
    </row>
    <row r="61" spans="2:50" ht="12.75">
      <c r="B61" s="21">
        <f t="shared" si="23"/>
        <v>1993</v>
      </c>
      <c r="C61" s="86">
        <f t="shared" si="24"/>
        <v>3918600</v>
      </c>
      <c r="D61" s="86">
        <f t="shared" si="24"/>
        <v>34801.07396108976</v>
      </c>
      <c r="E61" s="21">
        <v>1</v>
      </c>
      <c r="F61" s="21">
        <v>0</v>
      </c>
      <c r="G61" s="86">
        <f t="shared" si="25"/>
        <v>0</v>
      </c>
      <c r="H61" s="86">
        <f t="shared" si="26"/>
        <v>0</v>
      </c>
      <c r="O61" s="283">
        <f t="shared" si="27"/>
        <v>4245150</v>
      </c>
      <c r="P61" s="283">
        <f t="shared" si="27"/>
        <v>37701.163457847244</v>
      </c>
      <c r="Q61" s="21">
        <v>1</v>
      </c>
      <c r="R61" s="21">
        <v>0</v>
      </c>
      <c r="S61" s="86">
        <f t="shared" si="28"/>
        <v>4245150</v>
      </c>
      <c r="T61" s="86">
        <f t="shared" si="28"/>
        <v>37701.163457847244</v>
      </c>
      <c r="U61" s="86">
        <f t="shared" si="29"/>
        <v>3918600</v>
      </c>
      <c r="V61" s="86">
        <f t="shared" si="29"/>
        <v>34801.07396108976</v>
      </c>
      <c r="W61" s="21">
        <f t="shared" si="30"/>
        <v>0</v>
      </c>
      <c r="X61" s="21">
        <f t="shared" si="30"/>
        <v>0</v>
      </c>
      <c r="Y61" s="81"/>
      <c r="Z61" s="81"/>
      <c r="AA61" s="81"/>
      <c r="AB61" s="81"/>
      <c r="AC61" s="81"/>
      <c r="AD61" s="81"/>
      <c r="AE61" s="81"/>
      <c r="AF61" s="81"/>
      <c r="AG61" s="18"/>
      <c r="AH61" s="81"/>
      <c r="AI61" s="18"/>
      <c r="AJ61" s="81"/>
      <c r="AK61" s="202"/>
      <c r="AL61" s="81"/>
      <c r="AM61" s="202"/>
      <c r="AN61" s="81"/>
      <c r="AO61" s="200"/>
      <c r="AP61" s="81"/>
      <c r="AQ61" s="200"/>
      <c r="AR61" s="81"/>
      <c r="AS61" s="192"/>
      <c r="AT61" s="29"/>
      <c r="AU61" s="192"/>
      <c r="AV61" s="29"/>
      <c r="AW61" s="18"/>
      <c r="AX61" s="24"/>
    </row>
    <row r="62" spans="2:50" ht="12.75">
      <c r="B62" s="21">
        <f t="shared" si="23"/>
        <v>1994</v>
      </c>
      <c r="C62" s="86">
        <f t="shared" si="24"/>
        <v>4661155.296</v>
      </c>
      <c r="D62" s="86">
        <f t="shared" si="24"/>
        <v>41507.5659118199</v>
      </c>
      <c r="E62" s="21">
        <v>0.75</v>
      </c>
      <c r="F62" s="21">
        <v>0</v>
      </c>
      <c r="G62" s="86">
        <f t="shared" si="25"/>
        <v>1165288.824</v>
      </c>
      <c r="H62" s="86">
        <f t="shared" si="26"/>
        <v>10376.891477954974</v>
      </c>
      <c r="O62" s="283">
        <f t="shared" si="27"/>
        <v>5049584.904000001</v>
      </c>
      <c r="P62" s="283">
        <f t="shared" si="27"/>
        <v>44966.529737804885</v>
      </c>
      <c r="Q62" s="21">
        <v>1</v>
      </c>
      <c r="R62" s="21">
        <v>0</v>
      </c>
      <c r="S62" s="86">
        <f t="shared" si="28"/>
        <v>5049584.904000001</v>
      </c>
      <c r="T62" s="86">
        <f t="shared" si="28"/>
        <v>44966.529737804885</v>
      </c>
      <c r="U62" s="86">
        <f t="shared" si="29"/>
        <v>3495866.472</v>
      </c>
      <c r="V62" s="86">
        <f t="shared" si="29"/>
        <v>31130.674433864922</v>
      </c>
      <c r="W62" s="21">
        <f t="shared" si="30"/>
        <v>0</v>
      </c>
      <c r="X62" s="21">
        <f t="shared" si="30"/>
        <v>0</v>
      </c>
      <c r="Y62" s="81"/>
      <c r="Z62" s="81"/>
      <c r="AA62" s="81"/>
      <c r="AB62" s="81"/>
      <c r="AC62" s="81"/>
      <c r="AD62" s="81"/>
      <c r="AE62" s="81"/>
      <c r="AF62" s="81"/>
      <c r="AG62" s="18"/>
      <c r="AH62" s="81"/>
      <c r="AI62" s="18"/>
      <c r="AJ62" s="81"/>
      <c r="AK62" s="202"/>
      <c r="AL62" s="81"/>
      <c r="AM62" s="202"/>
      <c r="AN62" s="81"/>
      <c r="AO62" s="200"/>
      <c r="AP62" s="81"/>
      <c r="AQ62" s="200"/>
      <c r="AR62" s="81"/>
      <c r="AS62" s="192"/>
      <c r="AT62" s="29"/>
      <c r="AU62" s="192"/>
      <c r="AV62" s="29"/>
      <c r="AW62" s="18"/>
      <c r="AX62" s="24"/>
    </row>
    <row r="63" spans="2:50" ht="12.75">
      <c r="B63" s="21">
        <f t="shared" si="23"/>
        <v>1995</v>
      </c>
      <c r="C63" s="86">
        <f t="shared" si="24"/>
        <v>5721323.832</v>
      </c>
      <c r="D63" s="86">
        <f t="shared" si="24"/>
        <v>48154.51729553936</v>
      </c>
      <c r="E63" s="21">
        <v>0.75</v>
      </c>
      <c r="F63" s="21">
        <v>0</v>
      </c>
      <c r="G63" s="86">
        <f t="shared" si="25"/>
        <v>1430330.9580000006</v>
      </c>
      <c r="H63" s="86">
        <f t="shared" si="26"/>
        <v>12038.629323884838</v>
      </c>
      <c r="O63" s="283">
        <f t="shared" si="27"/>
        <v>6198100.818</v>
      </c>
      <c r="P63" s="283">
        <f t="shared" si="27"/>
        <v>52167.39373683431</v>
      </c>
      <c r="Q63" s="21">
        <v>1</v>
      </c>
      <c r="R63" s="21">
        <v>0</v>
      </c>
      <c r="S63" s="86">
        <f t="shared" si="28"/>
        <v>6198100.818</v>
      </c>
      <c r="T63" s="86">
        <f t="shared" si="28"/>
        <v>52167.39373683431</v>
      </c>
      <c r="U63" s="86">
        <f t="shared" si="29"/>
        <v>4290992.874</v>
      </c>
      <c r="V63" s="86">
        <f t="shared" si="29"/>
        <v>36115.88797165452</v>
      </c>
      <c r="W63" s="21">
        <f t="shared" si="30"/>
        <v>0</v>
      </c>
      <c r="X63" s="21">
        <f t="shared" si="30"/>
        <v>0</v>
      </c>
      <c r="Y63" s="81"/>
      <c r="Z63" s="81"/>
      <c r="AA63" s="81"/>
      <c r="AB63" s="81"/>
      <c r="AC63" s="81"/>
      <c r="AD63" s="81"/>
      <c r="AE63" s="81"/>
      <c r="AF63" s="81"/>
      <c r="AG63" s="18"/>
      <c r="AH63" s="81"/>
      <c r="AI63" s="18"/>
      <c r="AJ63" s="81"/>
      <c r="AK63" s="202"/>
      <c r="AL63" s="81"/>
      <c r="AM63" s="202"/>
      <c r="AN63" s="81"/>
      <c r="AO63" s="200"/>
      <c r="AP63" s="81"/>
      <c r="AQ63" s="200"/>
      <c r="AR63" s="81"/>
      <c r="AS63" s="192"/>
      <c r="AT63" s="29"/>
      <c r="AU63" s="192"/>
      <c r="AV63" s="29"/>
      <c r="AW63" s="18"/>
      <c r="AX63" s="24"/>
    </row>
    <row r="64" spans="2:50" ht="12.75">
      <c r="B64" s="21">
        <f t="shared" si="23"/>
        <v>1996</v>
      </c>
      <c r="C64" s="86">
        <f t="shared" si="24"/>
        <v>7168144.319999999</v>
      </c>
      <c r="D64" s="86">
        <f t="shared" si="24"/>
        <v>55075.20979234853</v>
      </c>
      <c r="E64" s="21">
        <v>0.75</v>
      </c>
      <c r="F64" s="21">
        <v>0</v>
      </c>
      <c r="G64" s="86">
        <f t="shared" si="25"/>
        <v>1792036.08</v>
      </c>
      <c r="H64" s="86">
        <f t="shared" si="26"/>
        <v>13768.802448087132</v>
      </c>
      <c r="O64" s="283">
        <f t="shared" si="27"/>
        <v>7765489.680000001</v>
      </c>
      <c r="P64" s="283">
        <f t="shared" si="27"/>
        <v>59664.81060837758</v>
      </c>
      <c r="Q64" s="21">
        <v>1</v>
      </c>
      <c r="R64" s="21">
        <v>0</v>
      </c>
      <c r="S64" s="86">
        <f t="shared" si="28"/>
        <v>7765489.680000001</v>
      </c>
      <c r="T64" s="86">
        <f t="shared" si="28"/>
        <v>59664.81060837758</v>
      </c>
      <c r="U64" s="86">
        <f t="shared" si="29"/>
        <v>5376108.239999999</v>
      </c>
      <c r="V64" s="86">
        <f t="shared" si="29"/>
        <v>41306.407344261395</v>
      </c>
      <c r="W64" s="21">
        <f t="shared" si="30"/>
        <v>0</v>
      </c>
      <c r="X64" s="21">
        <f t="shared" si="30"/>
        <v>0</v>
      </c>
      <c r="Y64" s="81"/>
      <c r="Z64" s="81"/>
      <c r="AA64" s="81"/>
      <c r="AB64" s="81"/>
      <c r="AC64" s="81"/>
      <c r="AD64" s="81"/>
      <c r="AE64" s="81"/>
      <c r="AF64" s="81"/>
      <c r="AG64" s="18"/>
      <c r="AH64" s="81"/>
      <c r="AI64" s="18"/>
      <c r="AJ64" s="81"/>
      <c r="AK64" s="202"/>
      <c r="AL64" s="81"/>
      <c r="AM64" s="202"/>
      <c r="AN64" s="81"/>
      <c r="AO64" s="200"/>
      <c r="AP64" s="81"/>
      <c r="AQ64" s="200"/>
      <c r="AR64" s="81"/>
      <c r="AS64" s="192"/>
      <c r="AT64" s="29"/>
      <c r="AU64" s="192"/>
      <c r="AV64" s="29"/>
      <c r="AW64" s="18"/>
      <c r="AX64" s="24"/>
    </row>
    <row r="65" spans="2:50" ht="12.75">
      <c r="B65" s="21">
        <f t="shared" si="23"/>
        <v>1997</v>
      </c>
      <c r="C65" s="86">
        <f t="shared" si="24"/>
        <v>7796893.4399999995</v>
      </c>
      <c r="D65" s="86">
        <f t="shared" si="24"/>
        <v>65255.293535951394</v>
      </c>
      <c r="E65" s="21">
        <v>0.75</v>
      </c>
      <c r="F65" s="21">
        <v>0</v>
      </c>
      <c r="G65" s="86">
        <f t="shared" si="25"/>
        <v>1949223.3599999994</v>
      </c>
      <c r="H65" s="86">
        <f t="shared" si="26"/>
        <v>16313.823383987852</v>
      </c>
      <c r="O65" s="283">
        <f t="shared" si="27"/>
        <v>8446634.56</v>
      </c>
      <c r="P65" s="283">
        <f t="shared" si="27"/>
        <v>70693.23466394735</v>
      </c>
      <c r="Q65" s="21">
        <v>1</v>
      </c>
      <c r="R65" s="21">
        <v>0</v>
      </c>
      <c r="S65" s="86">
        <f t="shared" si="28"/>
        <v>8446634.56</v>
      </c>
      <c r="T65" s="86">
        <f t="shared" si="28"/>
        <v>70693.23466394735</v>
      </c>
      <c r="U65" s="86">
        <f t="shared" si="29"/>
        <v>5847670.08</v>
      </c>
      <c r="V65" s="86">
        <f t="shared" si="29"/>
        <v>48941.47015196354</v>
      </c>
      <c r="W65" s="21">
        <f t="shared" si="30"/>
        <v>0</v>
      </c>
      <c r="X65" s="21">
        <f t="shared" si="30"/>
        <v>0</v>
      </c>
      <c r="Y65" s="81"/>
      <c r="Z65" s="81"/>
      <c r="AA65" s="81"/>
      <c r="AB65" s="81"/>
      <c r="AC65" s="81"/>
      <c r="AD65" s="81"/>
      <c r="AE65" s="81"/>
      <c r="AF65" s="81"/>
      <c r="AG65" s="18"/>
      <c r="AH65" s="81"/>
      <c r="AI65" s="18"/>
      <c r="AJ65" s="81"/>
      <c r="AK65" s="202"/>
      <c r="AL65" s="81"/>
      <c r="AM65" s="202"/>
      <c r="AN65" s="81"/>
      <c r="AO65" s="200"/>
      <c r="AP65" s="81"/>
      <c r="AQ65" s="200"/>
      <c r="AR65" s="81"/>
      <c r="AS65" s="192"/>
      <c r="AT65" s="29"/>
      <c r="AU65" s="192"/>
      <c r="AV65" s="29"/>
      <c r="AW65" s="18"/>
      <c r="AX65" s="24"/>
    </row>
    <row r="66" spans="2:50" ht="12.75">
      <c r="B66" s="21">
        <f t="shared" si="23"/>
        <v>1998</v>
      </c>
      <c r="C66" s="86">
        <f t="shared" si="24"/>
        <v>10800198.719999999</v>
      </c>
      <c r="D66" s="86">
        <f t="shared" si="24"/>
        <v>87856.19833491632</v>
      </c>
      <c r="E66" s="203">
        <v>0.5</v>
      </c>
      <c r="F66" s="21">
        <v>0</v>
      </c>
      <c r="G66" s="86">
        <f t="shared" si="25"/>
        <v>5400099.359999999</v>
      </c>
      <c r="H66" s="86">
        <f t="shared" si="26"/>
        <v>43928.09916745816</v>
      </c>
      <c r="J66" s="283"/>
      <c r="K66" s="283"/>
      <c r="M66" s="283"/>
      <c r="N66" s="283"/>
      <c r="O66" s="283">
        <f t="shared" si="27"/>
        <v>11700215.280000001</v>
      </c>
      <c r="P66" s="283">
        <f t="shared" si="27"/>
        <v>95177.54819615936</v>
      </c>
      <c r="Q66" s="21">
        <v>1</v>
      </c>
      <c r="R66" s="21">
        <v>0</v>
      </c>
      <c r="S66" s="86">
        <f t="shared" si="28"/>
        <v>11700215.280000001</v>
      </c>
      <c r="T66" s="86">
        <f t="shared" si="28"/>
        <v>95177.54819615936</v>
      </c>
      <c r="U66" s="86">
        <f t="shared" si="29"/>
        <v>5400099.359999999</v>
      </c>
      <c r="V66" s="86">
        <f t="shared" si="29"/>
        <v>43928.09916745816</v>
      </c>
      <c r="W66" s="21">
        <f t="shared" si="30"/>
        <v>0</v>
      </c>
      <c r="X66" s="21">
        <f t="shared" si="30"/>
        <v>0</v>
      </c>
      <c r="Y66" s="81"/>
      <c r="Z66" s="81"/>
      <c r="AA66" s="81"/>
      <c r="AB66" s="81"/>
      <c r="AC66" s="81"/>
      <c r="AD66" s="81"/>
      <c r="AE66" s="81"/>
      <c r="AF66" s="81"/>
      <c r="AG66" s="18"/>
      <c r="AH66" s="81"/>
      <c r="AI66" s="18"/>
      <c r="AJ66" s="81"/>
      <c r="AK66" s="202"/>
      <c r="AL66" s="81"/>
      <c r="AM66" s="202"/>
      <c r="AN66" s="81"/>
      <c r="AO66" s="200"/>
      <c r="AP66" s="81"/>
      <c r="AQ66" s="200"/>
      <c r="AR66" s="81"/>
      <c r="AS66" s="192"/>
      <c r="AT66" s="29"/>
      <c r="AU66" s="192"/>
      <c r="AV66" s="29"/>
      <c r="AW66" s="18"/>
      <c r="AX66" s="24"/>
    </row>
    <row r="67" spans="2:50" ht="12.75">
      <c r="B67" s="21">
        <f t="shared" si="23"/>
        <v>1999</v>
      </c>
      <c r="C67" s="86">
        <f t="shared" si="24"/>
        <v>13201923.84</v>
      </c>
      <c r="D67" s="86">
        <f t="shared" si="24"/>
        <v>108230.60058025846</v>
      </c>
      <c r="E67" s="203">
        <v>0.5</v>
      </c>
      <c r="F67" s="21">
        <v>0</v>
      </c>
      <c r="G67" s="86">
        <f t="shared" si="25"/>
        <v>6600961.92</v>
      </c>
      <c r="H67" s="86">
        <f t="shared" si="26"/>
        <v>54115.30029012923</v>
      </c>
      <c r="J67" s="283"/>
      <c r="K67" s="283"/>
      <c r="M67" s="283"/>
      <c r="N67" s="283"/>
      <c r="O67" s="283">
        <f t="shared" si="27"/>
        <v>14302084.16</v>
      </c>
      <c r="P67" s="283">
        <f t="shared" si="27"/>
        <v>117249.81729528001</v>
      </c>
      <c r="Q67" s="21">
        <v>1</v>
      </c>
      <c r="R67" s="21">
        <v>0</v>
      </c>
      <c r="S67" s="86">
        <f t="shared" si="28"/>
        <v>14302084.16</v>
      </c>
      <c r="T67" s="86">
        <f t="shared" si="28"/>
        <v>117249.81729528001</v>
      </c>
      <c r="U67" s="86">
        <f t="shared" si="29"/>
        <v>6600961.92</v>
      </c>
      <c r="V67" s="86">
        <f t="shared" si="29"/>
        <v>54115.30029012923</v>
      </c>
      <c r="W67" s="21">
        <f t="shared" si="30"/>
        <v>0</v>
      </c>
      <c r="X67" s="21">
        <f t="shared" si="30"/>
        <v>0</v>
      </c>
      <c r="Y67" s="81"/>
      <c r="Z67" s="81"/>
      <c r="AA67" s="81"/>
      <c r="AB67" s="81"/>
      <c r="AC67" s="81"/>
      <c r="AD67" s="81"/>
      <c r="AE67" s="81"/>
      <c r="AF67" s="81"/>
      <c r="AG67" s="18"/>
      <c r="AH67" s="81"/>
      <c r="AI67" s="18"/>
      <c r="AJ67" s="81"/>
      <c r="AK67" s="202"/>
      <c r="AL67" s="81"/>
      <c r="AM67" s="202"/>
      <c r="AN67" s="81"/>
      <c r="AO67" s="200"/>
      <c r="AP67" s="81"/>
      <c r="AQ67" s="200"/>
      <c r="AR67" s="81"/>
      <c r="AS67" s="192"/>
      <c r="AT67" s="29"/>
      <c r="AU67" s="192"/>
      <c r="AV67" s="29"/>
      <c r="AW67" s="18"/>
      <c r="AX67" s="24"/>
    </row>
    <row r="68" spans="2:46" ht="12.75">
      <c r="B68" s="21">
        <f t="shared" si="23"/>
        <v>2000</v>
      </c>
      <c r="C68" s="86">
        <f t="shared" si="24"/>
        <v>13759704</v>
      </c>
      <c r="D68" s="86">
        <f t="shared" si="24"/>
        <v>126976.11727178123</v>
      </c>
      <c r="E68" s="203">
        <v>0.5</v>
      </c>
      <c r="F68" s="21">
        <v>0</v>
      </c>
      <c r="G68" s="86">
        <f t="shared" si="25"/>
        <v>6879852</v>
      </c>
      <c r="H68" s="86">
        <f t="shared" si="26"/>
        <v>63488.058635890615</v>
      </c>
      <c r="J68" s="283"/>
      <c r="K68" s="283"/>
      <c r="M68" s="283"/>
      <c r="N68" s="283"/>
      <c r="O68" s="283">
        <f t="shared" si="27"/>
        <v>14906346</v>
      </c>
      <c r="P68" s="283">
        <f t="shared" si="27"/>
        <v>137557.460377763</v>
      </c>
      <c r="Q68" s="21">
        <v>1</v>
      </c>
      <c r="R68" s="21">
        <v>0</v>
      </c>
      <c r="S68" s="86">
        <f t="shared" si="28"/>
        <v>14906346</v>
      </c>
      <c r="T68" s="86">
        <f t="shared" si="28"/>
        <v>137557.460377763</v>
      </c>
      <c r="U68" s="86">
        <f t="shared" si="29"/>
        <v>6879852</v>
      </c>
      <c r="V68" s="86">
        <f t="shared" si="29"/>
        <v>63488.058635890615</v>
      </c>
      <c r="W68" s="21">
        <f t="shared" si="30"/>
        <v>0</v>
      </c>
      <c r="X68" s="21">
        <f t="shared" si="30"/>
        <v>0</v>
      </c>
      <c r="AT68" s="33"/>
    </row>
    <row r="69" spans="2:46" ht="12.75">
      <c r="B69" s="21">
        <f t="shared" si="23"/>
        <v>2001</v>
      </c>
      <c r="C69" s="86">
        <f t="shared" si="24"/>
        <v>12841334.4</v>
      </c>
      <c r="D69" s="86">
        <f t="shared" si="24"/>
        <v>108676.34669026632</v>
      </c>
      <c r="E69" s="21">
        <v>0.25</v>
      </c>
      <c r="F69" s="21">
        <v>0.75</v>
      </c>
      <c r="G69" s="86">
        <f t="shared" si="25"/>
        <v>0</v>
      </c>
      <c r="H69" s="86">
        <f t="shared" si="26"/>
        <v>0</v>
      </c>
      <c r="I69" s="21">
        <v>0.75</v>
      </c>
      <c r="J69" s="283">
        <f aca="true" t="shared" si="31" ref="J69:J75">C69*I69</f>
        <v>9631000.8</v>
      </c>
      <c r="K69" s="283">
        <f aca="true" t="shared" si="32" ref="K69:K75">D69*I69</f>
        <v>81507.26001769974</v>
      </c>
      <c r="L69" s="21">
        <v>0</v>
      </c>
      <c r="M69" s="283">
        <f aca="true" t="shared" si="33" ref="M69:N75">C69*$L69</f>
        <v>0</v>
      </c>
      <c r="N69" s="283">
        <f t="shared" si="33"/>
        <v>0</v>
      </c>
      <c r="O69" s="283">
        <f t="shared" si="27"/>
        <v>13911445.6</v>
      </c>
      <c r="P69" s="283">
        <f t="shared" si="27"/>
        <v>117732.70891445519</v>
      </c>
      <c r="Q69" s="21">
        <v>1</v>
      </c>
      <c r="R69" s="21">
        <v>0</v>
      </c>
      <c r="S69" s="86">
        <f t="shared" si="28"/>
        <v>13911445.6</v>
      </c>
      <c r="T69" s="86">
        <f t="shared" si="28"/>
        <v>117732.70891445519</v>
      </c>
      <c r="U69" s="86">
        <f t="shared" si="29"/>
        <v>3210333.6</v>
      </c>
      <c r="V69" s="86">
        <f t="shared" si="29"/>
        <v>27169.08667256658</v>
      </c>
      <c r="W69" s="21">
        <f t="shared" si="30"/>
        <v>0</v>
      </c>
      <c r="X69" s="21">
        <f t="shared" si="30"/>
        <v>0</v>
      </c>
      <c r="AN69" s="576" t="s">
        <v>8</v>
      </c>
      <c r="AO69" s="576"/>
      <c r="AP69" s="576"/>
      <c r="AQ69" s="34"/>
      <c r="AR69" s="17" t="s">
        <v>9</v>
      </c>
      <c r="AT69" s="35"/>
    </row>
    <row r="70" spans="2:47" ht="12.75">
      <c r="B70" s="21">
        <f t="shared" si="23"/>
        <v>2002</v>
      </c>
      <c r="C70" s="86">
        <f t="shared" si="24"/>
        <v>13797041.28</v>
      </c>
      <c r="D70" s="86">
        <f t="shared" si="24"/>
        <v>113266.14200376475</v>
      </c>
      <c r="E70" s="21">
        <v>0.25</v>
      </c>
      <c r="F70" s="21">
        <v>0.75</v>
      </c>
      <c r="G70" s="86">
        <f t="shared" si="25"/>
        <v>0</v>
      </c>
      <c r="H70" s="86">
        <f t="shared" si="26"/>
        <v>0</v>
      </c>
      <c r="I70" s="21">
        <v>0.75</v>
      </c>
      <c r="J70" s="283">
        <f t="shared" si="31"/>
        <v>10347780.959999999</v>
      </c>
      <c r="K70" s="283">
        <f t="shared" si="32"/>
        <v>84949.60650282356</v>
      </c>
      <c r="L70" s="21">
        <v>0</v>
      </c>
      <c r="M70" s="283">
        <f t="shared" si="33"/>
        <v>0</v>
      </c>
      <c r="N70" s="283">
        <f t="shared" si="33"/>
        <v>0</v>
      </c>
      <c r="O70" s="283">
        <f t="shared" si="27"/>
        <v>14946794.72</v>
      </c>
      <c r="P70" s="283">
        <f t="shared" si="27"/>
        <v>122704.98717074515</v>
      </c>
      <c r="Q70" s="21">
        <v>1</v>
      </c>
      <c r="R70" s="21">
        <v>0</v>
      </c>
      <c r="S70" s="86">
        <f t="shared" si="28"/>
        <v>14946794.72</v>
      </c>
      <c r="T70" s="86">
        <f t="shared" si="28"/>
        <v>122704.98717074515</v>
      </c>
      <c r="U70" s="86">
        <f t="shared" si="29"/>
        <v>3449260.32</v>
      </c>
      <c r="V70" s="86">
        <f t="shared" si="29"/>
        <v>28316.535500941187</v>
      </c>
      <c r="W70" s="21">
        <f t="shared" si="30"/>
        <v>0</v>
      </c>
      <c r="X70" s="21">
        <f t="shared" si="30"/>
        <v>0</v>
      </c>
      <c r="AN70" s="576"/>
      <c r="AO70" s="576"/>
      <c r="AP70" s="576"/>
      <c r="AQ70" s="205"/>
      <c r="AR70" s="24" t="s">
        <v>10</v>
      </c>
      <c r="AT70" s="36">
        <f>SUM(AK10:AK32)</f>
        <v>0</v>
      </c>
      <c r="AU70" s="37"/>
    </row>
    <row r="71" spans="2:47" ht="12.75">
      <c r="B71" s="21">
        <f t="shared" si="23"/>
        <v>2003</v>
      </c>
      <c r="C71" s="86">
        <f t="shared" si="24"/>
        <v>14718862.08</v>
      </c>
      <c r="D71" s="86">
        <f t="shared" si="24"/>
        <v>122058.9779124915</v>
      </c>
      <c r="E71" s="21">
        <v>0.25</v>
      </c>
      <c r="F71" s="21">
        <v>0.75</v>
      </c>
      <c r="G71" s="86">
        <f t="shared" si="25"/>
        <v>0</v>
      </c>
      <c r="H71" s="86">
        <f t="shared" si="26"/>
        <v>0</v>
      </c>
      <c r="I71" s="21">
        <v>0.75</v>
      </c>
      <c r="J71" s="283">
        <f t="shared" si="31"/>
        <v>11039146.56</v>
      </c>
      <c r="K71" s="283">
        <f t="shared" si="32"/>
        <v>91544.23343436862</v>
      </c>
      <c r="L71" s="21">
        <v>0</v>
      </c>
      <c r="M71" s="283">
        <f t="shared" si="33"/>
        <v>0</v>
      </c>
      <c r="N71" s="283">
        <f t="shared" si="33"/>
        <v>0</v>
      </c>
      <c r="O71" s="283">
        <f t="shared" si="27"/>
        <v>15945433.92</v>
      </c>
      <c r="P71" s="283">
        <f t="shared" si="27"/>
        <v>132230.55940519914</v>
      </c>
      <c r="Q71" s="21">
        <v>0.3</v>
      </c>
      <c r="R71" s="21">
        <v>0.7</v>
      </c>
      <c r="S71" s="86">
        <f t="shared" si="28"/>
        <v>4783630.176</v>
      </c>
      <c r="T71" s="86">
        <f t="shared" si="28"/>
        <v>39669.16782155974</v>
      </c>
      <c r="U71" s="86">
        <f t="shared" si="29"/>
        <v>3679715.52</v>
      </c>
      <c r="V71" s="86">
        <f t="shared" si="29"/>
        <v>30514.744478122873</v>
      </c>
      <c r="W71" s="86">
        <f t="shared" si="30"/>
        <v>11161803.743999999</v>
      </c>
      <c r="X71" s="86">
        <f t="shared" si="30"/>
        <v>92561.39158363939</v>
      </c>
      <c r="Y71" s="86"/>
      <c r="Z71" s="86"/>
      <c r="AN71" s="576"/>
      <c r="AO71" s="576"/>
      <c r="AP71" s="576"/>
      <c r="AQ71" s="205"/>
      <c r="AR71" s="24" t="s">
        <v>11</v>
      </c>
      <c r="AT71" s="36">
        <f>SUM(AM10:AM32)</f>
        <v>0</v>
      </c>
      <c r="AU71" s="37"/>
    </row>
    <row r="72" spans="2:47" ht="12.75">
      <c r="B72" s="21">
        <f t="shared" si="23"/>
        <v>2004</v>
      </c>
      <c r="C72" s="86">
        <f>F32</f>
        <v>15455521.92</v>
      </c>
      <c r="D72" s="86">
        <f t="shared" si="24"/>
        <v>134463.4034080217</v>
      </c>
      <c r="E72" s="21">
        <v>0</v>
      </c>
      <c r="F72" s="21">
        <v>1</v>
      </c>
      <c r="G72" s="86">
        <f t="shared" si="25"/>
        <v>0</v>
      </c>
      <c r="H72" s="86">
        <f t="shared" si="26"/>
        <v>0</v>
      </c>
      <c r="I72" s="21">
        <v>0</v>
      </c>
      <c r="J72" s="283">
        <f t="shared" si="31"/>
        <v>0</v>
      </c>
      <c r="K72" s="283">
        <f t="shared" si="32"/>
        <v>0</v>
      </c>
      <c r="L72" s="21">
        <v>1</v>
      </c>
      <c r="M72" s="283">
        <f t="shared" si="33"/>
        <v>15455521.92</v>
      </c>
      <c r="N72" s="283">
        <f t="shared" si="33"/>
        <v>134463.4034080217</v>
      </c>
      <c r="O72" s="283">
        <f t="shared" si="27"/>
        <v>16743482.08</v>
      </c>
      <c r="P72" s="283">
        <f t="shared" si="27"/>
        <v>145668.68702535683</v>
      </c>
      <c r="Q72" s="21">
        <v>0.3</v>
      </c>
      <c r="R72" s="21">
        <v>0.7</v>
      </c>
      <c r="S72" s="86">
        <f>O72*$Q72</f>
        <v>5023044.624</v>
      </c>
      <c r="T72" s="86">
        <f>P72*$Q72</f>
        <v>43700.60610760705</v>
      </c>
      <c r="U72" s="86">
        <f t="shared" si="29"/>
        <v>0</v>
      </c>
      <c r="V72" s="86">
        <f t="shared" si="29"/>
        <v>0</v>
      </c>
      <c r="W72" s="86">
        <f aca="true" t="shared" si="34" ref="W72:X75">O72*$R72</f>
        <v>11720437.456</v>
      </c>
      <c r="X72" s="86">
        <f t="shared" si="34"/>
        <v>101968.08091774977</v>
      </c>
      <c r="Y72" s="86"/>
      <c r="Z72" s="86"/>
      <c r="AN72" s="576"/>
      <c r="AO72" s="576"/>
      <c r="AP72" s="576"/>
      <c r="AQ72" s="205"/>
      <c r="AR72" s="24" t="s">
        <v>12</v>
      </c>
      <c r="AT72" s="36">
        <f>SUM(AO10:AO32)</f>
        <v>0</v>
      </c>
      <c r="AU72" s="37"/>
    </row>
    <row r="73" spans="2:47" ht="12.75">
      <c r="B73" s="21">
        <v>2005</v>
      </c>
      <c r="C73" s="86">
        <f>F33</f>
        <v>15906176.760571083</v>
      </c>
      <c r="D73" s="86">
        <f>G33</f>
        <v>138384.1110967781</v>
      </c>
      <c r="E73" s="21">
        <v>0</v>
      </c>
      <c r="F73" s="21">
        <v>1</v>
      </c>
      <c r="G73" s="86">
        <f t="shared" si="25"/>
        <v>0</v>
      </c>
      <c r="H73" s="86">
        <f t="shared" si="26"/>
        <v>0</v>
      </c>
      <c r="I73" s="21">
        <v>0</v>
      </c>
      <c r="J73" s="283">
        <f t="shared" si="31"/>
        <v>0</v>
      </c>
      <c r="K73" s="283">
        <f t="shared" si="32"/>
        <v>0</v>
      </c>
      <c r="L73" s="21">
        <v>1</v>
      </c>
      <c r="M73" s="283">
        <f t="shared" si="33"/>
        <v>15906176.760571083</v>
      </c>
      <c r="N73" s="283">
        <f t="shared" si="33"/>
        <v>138384.1110967781</v>
      </c>
      <c r="O73" s="283">
        <f aca="true" t="shared" si="35" ref="O73:P75">H33</f>
        <v>17231691.490618676</v>
      </c>
      <c r="P73" s="283">
        <f t="shared" si="35"/>
        <v>149916.12035484295</v>
      </c>
      <c r="Q73" s="21">
        <v>0</v>
      </c>
      <c r="R73" s="21">
        <v>1</v>
      </c>
      <c r="S73" s="86">
        <f t="shared" si="28"/>
        <v>0</v>
      </c>
      <c r="T73" s="86">
        <f t="shared" si="28"/>
        <v>0</v>
      </c>
      <c r="U73" s="86">
        <f t="shared" si="29"/>
        <v>0</v>
      </c>
      <c r="V73" s="86">
        <f t="shared" si="29"/>
        <v>0</v>
      </c>
      <c r="W73" s="86">
        <f t="shared" si="34"/>
        <v>17231691.490618676</v>
      </c>
      <c r="X73" s="86">
        <f t="shared" si="34"/>
        <v>149916.12035484295</v>
      </c>
      <c r="Y73" s="86"/>
      <c r="Z73" s="86"/>
      <c r="AN73" s="576"/>
      <c r="AO73" s="576"/>
      <c r="AP73" s="576"/>
      <c r="AQ73" s="205"/>
      <c r="AR73" s="24"/>
      <c r="AT73" s="36"/>
      <c r="AU73" s="37"/>
    </row>
    <row r="74" spans="2:47" ht="12.75">
      <c r="B74" s="21">
        <v>2006</v>
      </c>
      <c r="C74" s="86">
        <f>F34</f>
        <v>16472054.217613913</v>
      </c>
      <c r="D74" s="86">
        <f>G34</f>
        <v>143307.2582528371</v>
      </c>
      <c r="E74" s="21">
        <v>0</v>
      </c>
      <c r="F74" s="21">
        <v>1</v>
      </c>
      <c r="G74" s="86">
        <f t="shared" si="25"/>
        <v>0</v>
      </c>
      <c r="H74" s="86">
        <f t="shared" si="26"/>
        <v>0</v>
      </c>
      <c r="I74" s="21">
        <v>0</v>
      </c>
      <c r="J74" s="283">
        <f t="shared" si="31"/>
        <v>0</v>
      </c>
      <c r="K74" s="283">
        <f t="shared" si="32"/>
        <v>0</v>
      </c>
      <c r="L74" s="21">
        <v>1</v>
      </c>
      <c r="M74" s="283">
        <f t="shared" si="33"/>
        <v>16472054.217613913</v>
      </c>
      <c r="N74" s="283">
        <f t="shared" si="33"/>
        <v>143307.2582528371</v>
      </c>
      <c r="O74" s="283">
        <f t="shared" si="35"/>
        <v>17844725.402415074</v>
      </c>
      <c r="P74" s="283">
        <f t="shared" si="35"/>
        <v>155249.52977390686</v>
      </c>
      <c r="Q74" s="21">
        <v>0</v>
      </c>
      <c r="R74" s="21">
        <v>1</v>
      </c>
      <c r="S74" s="86">
        <f>O74*$Q74</f>
        <v>0</v>
      </c>
      <c r="T74" s="86">
        <f>P74*$Q74</f>
        <v>0</v>
      </c>
      <c r="U74" s="86">
        <f>C74*$E74</f>
        <v>0</v>
      </c>
      <c r="V74" s="86">
        <f>D74*$E74</f>
        <v>0</v>
      </c>
      <c r="W74" s="86">
        <f t="shared" si="34"/>
        <v>17844725.402415074</v>
      </c>
      <c r="X74" s="86">
        <f t="shared" si="34"/>
        <v>155249.52977390686</v>
      </c>
      <c r="Y74" s="86"/>
      <c r="Z74" s="86"/>
      <c r="AN74" s="576"/>
      <c r="AO74" s="576"/>
      <c r="AP74" s="576"/>
      <c r="AQ74" s="205"/>
      <c r="AR74" s="24"/>
      <c r="AT74" s="36"/>
      <c r="AU74" s="37"/>
    </row>
    <row r="75" spans="2:47" ht="12.75">
      <c r="B75" s="21">
        <v>2007</v>
      </c>
      <c r="C75" s="86">
        <f>F35</f>
        <v>17717970.158545412</v>
      </c>
      <c r="D75" s="86">
        <f>G35</f>
        <v>154146.75617759934</v>
      </c>
      <c r="E75" s="21">
        <v>0</v>
      </c>
      <c r="F75" s="21">
        <v>1</v>
      </c>
      <c r="G75" s="86">
        <v>0</v>
      </c>
      <c r="H75" s="86">
        <v>0</v>
      </c>
      <c r="I75" s="21">
        <v>0</v>
      </c>
      <c r="J75" s="283">
        <f t="shared" si="31"/>
        <v>0</v>
      </c>
      <c r="K75" s="283">
        <f t="shared" si="32"/>
        <v>0</v>
      </c>
      <c r="L75" s="21">
        <v>1</v>
      </c>
      <c r="M75" s="283">
        <f t="shared" si="33"/>
        <v>17717970.158545412</v>
      </c>
      <c r="N75" s="283">
        <f t="shared" si="33"/>
        <v>154146.75617759934</v>
      </c>
      <c r="O75" s="283">
        <f t="shared" si="35"/>
        <v>19194467.671757534</v>
      </c>
      <c r="P75" s="283">
        <f t="shared" si="35"/>
        <v>166992.3191923993</v>
      </c>
      <c r="Q75" s="21">
        <v>0</v>
      </c>
      <c r="R75" s="21">
        <v>1</v>
      </c>
      <c r="S75" s="86">
        <f>O75*$Q75</f>
        <v>0</v>
      </c>
      <c r="T75" s="86">
        <f>P75*$Q75</f>
        <v>0</v>
      </c>
      <c r="U75" s="86">
        <f>C75*$E75</f>
        <v>0</v>
      </c>
      <c r="V75" s="86">
        <f>D75*$E75</f>
        <v>0</v>
      </c>
      <c r="W75" s="86">
        <f t="shared" si="34"/>
        <v>19194467.671757534</v>
      </c>
      <c r="X75" s="86">
        <f t="shared" si="34"/>
        <v>166992.3191923993</v>
      </c>
      <c r="Y75" s="86"/>
      <c r="Z75" s="86"/>
      <c r="AN75" s="576"/>
      <c r="AO75" s="576"/>
      <c r="AP75" s="576"/>
      <c r="AQ75" s="205"/>
      <c r="AR75" s="24"/>
      <c r="AT75" s="36"/>
      <c r="AU75" s="37"/>
    </row>
    <row r="76" spans="2:47" ht="12.75">
      <c r="B76" s="21" t="s">
        <v>22</v>
      </c>
      <c r="C76" s="283">
        <f>SUM(C48:C75)</f>
        <v>195937771.19066587</v>
      </c>
      <c r="G76" s="283">
        <f>SUM(G48:G75)</f>
        <v>25217792.501999997</v>
      </c>
      <c r="H76" s="283">
        <f>SUM(H48:H75)</f>
        <v>214029.60472739278</v>
      </c>
      <c r="I76" s="86"/>
      <c r="J76" s="283">
        <f>SUM(J48:J75)</f>
        <v>31017928.32</v>
      </c>
      <c r="K76" s="283">
        <f>SUM(K48:K75)</f>
        <v>258001.09995489192</v>
      </c>
      <c r="M76" s="283">
        <f>SUM(M48:M75)</f>
        <v>65551723.05673041</v>
      </c>
      <c r="N76" s="283">
        <f>SUM(N48:N75)</f>
        <v>570301.5289352363</v>
      </c>
      <c r="O76" s="283">
        <f>SUM(O48:O75)</f>
        <v>212265918.78988802</v>
      </c>
      <c r="S76" s="283">
        <f aca="true" t="shared" si="36" ref="S76:X76">SUM(S48:S75)</f>
        <v>135112793.02509677</v>
      </c>
      <c r="T76" s="283">
        <f t="shared" si="36"/>
        <v>1154974.0625255138</v>
      </c>
      <c r="U76" s="283">
        <f t="shared" si="36"/>
        <v>74150327.31193548</v>
      </c>
      <c r="V76" s="283">
        <f t="shared" si="36"/>
        <v>639201.4627037578</v>
      </c>
      <c r="W76" s="283">
        <f t="shared" si="36"/>
        <v>77153125.76479128</v>
      </c>
      <c r="X76" s="283">
        <f t="shared" si="36"/>
        <v>666687.4418225383</v>
      </c>
      <c r="AN76" s="577"/>
      <c r="AO76" s="577"/>
      <c r="AP76" s="577"/>
      <c r="AQ76" s="205"/>
      <c r="AR76" s="24" t="s">
        <v>13</v>
      </c>
      <c r="AT76" s="36">
        <f>AT70-(AT71+AT72)</f>
        <v>0</v>
      </c>
      <c r="AU76" s="37"/>
    </row>
    <row r="77" spans="21:22" ht="12.75">
      <c r="U77" s="96"/>
      <c r="V77" s="96"/>
    </row>
    <row r="78" spans="17:21" ht="12.75">
      <c r="Q78" s="111"/>
      <c r="U78" s="96"/>
    </row>
    <row r="79" ht="12.75">
      <c r="U79" s="96"/>
    </row>
    <row r="81" ht="12.75">
      <c r="A81" s="21" t="s">
        <v>19</v>
      </c>
    </row>
    <row r="82" spans="2:8" ht="12.75">
      <c r="B82" s="21" t="s">
        <v>28</v>
      </c>
      <c r="C82" s="21" t="s">
        <v>28</v>
      </c>
      <c r="D82" s="21" t="s">
        <v>28</v>
      </c>
      <c r="E82" s="21" t="s">
        <v>28</v>
      </c>
      <c r="F82" s="21" t="s">
        <v>25</v>
      </c>
      <c r="G82" s="21" t="s">
        <v>24</v>
      </c>
      <c r="H82" s="21" t="s">
        <v>26</v>
      </c>
    </row>
    <row r="83" spans="2:8" ht="12.75">
      <c r="B83" s="21" t="s">
        <v>20</v>
      </c>
      <c r="C83" s="21" t="s">
        <v>21</v>
      </c>
      <c r="D83" s="21" t="s">
        <v>22</v>
      </c>
      <c r="E83" s="21" t="s">
        <v>23</v>
      </c>
      <c r="F83" s="21" t="s">
        <v>22</v>
      </c>
      <c r="G83" s="21" t="s">
        <v>23</v>
      </c>
      <c r="H83" s="21" t="s">
        <v>27</v>
      </c>
    </row>
    <row r="84" spans="1:9" ht="12.75">
      <c r="A84" s="20">
        <v>1989</v>
      </c>
      <c r="B84" s="86">
        <v>283421</v>
      </c>
      <c r="C84" s="86">
        <v>11535839</v>
      </c>
      <c r="D84" s="86">
        <f>B84+C84</f>
        <v>11819260</v>
      </c>
      <c r="E84" s="203"/>
      <c r="H84" s="86">
        <f aca="true" t="shared" si="37" ref="H84:H89">H85*(1/E85)</f>
        <v>3278011.3173163068</v>
      </c>
      <c r="I84" s="203"/>
    </row>
    <row r="85" spans="1:9" ht="12.75">
      <c r="A85" s="20">
        <v>1990</v>
      </c>
      <c r="B85" s="86">
        <v>393624</v>
      </c>
      <c r="C85" s="86">
        <v>10243163</v>
      </c>
      <c r="D85" s="86">
        <f aca="true" t="shared" si="38" ref="D85:D99">B85+C85</f>
        <v>10636787</v>
      </c>
      <c r="E85" s="203">
        <f aca="true" t="shared" si="39" ref="E85:E99">D85/D84</f>
        <v>0.8999537196068113</v>
      </c>
      <c r="H85" s="86">
        <f t="shared" si="37"/>
        <v>2950058.4779320336</v>
      </c>
      <c r="I85" s="203"/>
    </row>
    <row r="86" spans="1:9" ht="12.75">
      <c r="A86" s="20">
        <v>1991</v>
      </c>
      <c r="B86" s="86">
        <v>363995</v>
      </c>
      <c r="C86" s="86">
        <v>10072025</v>
      </c>
      <c r="D86" s="86">
        <f t="shared" si="38"/>
        <v>10436020</v>
      </c>
      <c r="E86" s="203">
        <f t="shared" si="39"/>
        <v>0.9811252213661888</v>
      </c>
      <c r="H86" s="86">
        <f t="shared" si="37"/>
        <v>2894376.7772042686</v>
      </c>
      <c r="I86" s="203"/>
    </row>
    <row r="87" spans="1:9" ht="12.75">
      <c r="A87" s="20">
        <v>1992</v>
      </c>
      <c r="B87" s="86">
        <v>728414</v>
      </c>
      <c r="C87" s="86">
        <v>12591769</v>
      </c>
      <c r="D87" s="86">
        <f t="shared" si="38"/>
        <v>13320183</v>
      </c>
      <c r="E87" s="203">
        <f t="shared" si="39"/>
        <v>1.276366181743615</v>
      </c>
      <c r="H87" s="86">
        <f t="shared" si="37"/>
        <v>3694284.635647602</v>
      </c>
      <c r="I87" s="203"/>
    </row>
    <row r="88" spans="1:9" ht="12.75">
      <c r="A88" s="20">
        <v>1993</v>
      </c>
      <c r="B88" s="86">
        <v>909321</v>
      </c>
      <c r="C88" s="86">
        <v>16445931</v>
      </c>
      <c r="D88" s="86">
        <f t="shared" si="38"/>
        <v>17355252</v>
      </c>
      <c r="E88" s="203">
        <f t="shared" si="39"/>
        <v>1.3029289462464593</v>
      </c>
      <c r="H88" s="86">
        <f t="shared" si="37"/>
        <v>4813390.387458815</v>
      </c>
      <c r="I88" s="203"/>
    </row>
    <row r="89" spans="1:9" ht="12.75">
      <c r="A89" s="20">
        <v>1994</v>
      </c>
      <c r="B89" s="86">
        <v>1202283</v>
      </c>
      <c r="C89" s="86">
        <v>12047617</v>
      </c>
      <c r="D89" s="86">
        <f t="shared" si="38"/>
        <v>13249900</v>
      </c>
      <c r="E89" s="203">
        <f t="shared" si="39"/>
        <v>0.763451893409557</v>
      </c>
      <c r="H89" s="86">
        <f t="shared" si="37"/>
        <v>3674792.005024794</v>
      </c>
      <c r="I89" s="203"/>
    </row>
    <row r="90" spans="1:9" ht="12.75">
      <c r="A90" s="20">
        <v>1995</v>
      </c>
      <c r="B90" s="86">
        <v>1894966</v>
      </c>
      <c r="C90" s="86">
        <v>19627106</v>
      </c>
      <c r="D90" s="86">
        <f t="shared" si="38"/>
        <v>21522072</v>
      </c>
      <c r="E90" s="203">
        <f t="shared" si="39"/>
        <v>1.6243195797704133</v>
      </c>
      <c r="H90" s="86">
        <f>F91*(1/E91)</f>
        <v>5969036.605345548</v>
      </c>
      <c r="I90" s="203"/>
    </row>
    <row r="91" spans="1:9" ht="12.75">
      <c r="A91" s="20">
        <v>1996</v>
      </c>
      <c r="B91" s="86">
        <v>22456893</v>
      </c>
      <c r="C91" s="86">
        <v>31388102</v>
      </c>
      <c r="D91" s="86">
        <f t="shared" si="38"/>
        <v>53844995</v>
      </c>
      <c r="E91" s="203">
        <f t="shared" si="39"/>
        <v>2.5018499612862555</v>
      </c>
      <c r="F91" s="86">
        <f aca="true" t="shared" si="40" ref="F91:F99">C24</f>
        <v>14933634</v>
      </c>
      <c r="I91" s="203"/>
    </row>
    <row r="92" spans="1:9" ht="12.75">
      <c r="A92" s="20">
        <v>1997</v>
      </c>
      <c r="B92" s="86">
        <v>5607026</v>
      </c>
      <c r="C92" s="86">
        <v>26165109</v>
      </c>
      <c r="D92" s="86">
        <f t="shared" si="38"/>
        <v>31772135</v>
      </c>
      <c r="E92" s="203">
        <f t="shared" si="39"/>
        <v>0.5900666347912188</v>
      </c>
      <c r="F92" s="86">
        <f t="shared" si="40"/>
        <v>16243528</v>
      </c>
      <c r="G92" s="203">
        <f aca="true" t="shared" si="41" ref="G92:G99">F92/F91</f>
        <v>1.0877143500369701</v>
      </c>
      <c r="I92" s="203"/>
    </row>
    <row r="93" spans="1:9" ht="12.75">
      <c r="A93" s="20">
        <v>1998</v>
      </c>
      <c r="B93" s="86">
        <v>8315637</v>
      </c>
      <c r="C93" s="86">
        <v>31343870</v>
      </c>
      <c r="D93" s="86">
        <f t="shared" si="38"/>
        <v>39659507</v>
      </c>
      <c r="E93" s="203">
        <f t="shared" si="39"/>
        <v>1.2482480953829511</v>
      </c>
      <c r="F93" s="86">
        <f t="shared" si="40"/>
        <v>22500414</v>
      </c>
      <c r="G93" s="203">
        <f t="shared" si="41"/>
        <v>1.3851925517658479</v>
      </c>
      <c r="I93" s="203"/>
    </row>
    <row r="94" spans="1:9" ht="12.75">
      <c r="A94" s="20">
        <v>1999</v>
      </c>
      <c r="B94" s="86">
        <v>11118791</v>
      </c>
      <c r="C94" s="86">
        <v>43357759</v>
      </c>
      <c r="D94" s="86">
        <f t="shared" si="38"/>
        <v>54476550</v>
      </c>
      <c r="E94" s="203">
        <f t="shared" si="39"/>
        <v>1.3736063335330921</v>
      </c>
      <c r="F94" s="86">
        <f t="shared" si="40"/>
        <v>27504008</v>
      </c>
      <c r="G94" s="203">
        <f t="shared" si="41"/>
        <v>1.2223778638028615</v>
      </c>
      <c r="I94" s="203"/>
    </row>
    <row r="95" spans="1:9" ht="12.75">
      <c r="A95" s="20">
        <v>2000</v>
      </c>
      <c r="B95" s="86">
        <v>10358924</v>
      </c>
      <c r="C95" s="86">
        <v>46423729</v>
      </c>
      <c r="D95" s="86">
        <f t="shared" si="38"/>
        <v>56782653</v>
      </c>
      <c r="E95" s="203">
        <f t="shared" si="39"/>
        <v>1.0423320309380826</v>
      </c>
      <c r="F95" s="86">
        <f t="shared" si="40"/>
        <v>28666050</v>
      </c>
      <c r="G95" s="203">
        <f t="shared" si="41"/>
        <v>1.0422499149942075</v>
      </c>
      <c r="I95" s="203"/>
    </row>
    <row r="96" spans="1:9" ht="12.75">
      <c r="A96" s="20">
        <v>2001</v>
      </c>
      <c r="B96" s="86">
        <v>8089052</v>
      </c>
      <c r="C96" s="86">
        <v>43127540</v>
      </c>
      <c r="D96" s="86">
        <f t="shared" si="38"/>
        <v>51216592</v>
      </c>
      <c r="E96" s="203">
        <f t="shared" si="39"/>
        <v>0.9019760313066034</v>
      </c>
      <c r="F96" s="86">
        <f t="shared" si="40"/>
        <v>26752780</v>
      </c>
      <c r="G96" s="203">
        <f t="shared" si="41"/>
        <v>0.933256587496359</v>
      </c>
      <c r="I96" s="203"/>
    </row>
    <row r="97" spans="1:9" ht="12.75">
      <c r="A97" s="20">
        <v>2002</v>
      </c>
      <c r="B97" s="86">
        <v>7618416</v>
      </c>
      <c r="C97" s="86">
        <v>38579570</v>
      </c>
      <c r="D97" s="86">
        <f t="shared" si="38"/>
        <v>46197986</v>
      </c>
      <c r="E97" s="203">
        <f t="shared" si="39"/>
        <v>0.9020121057644757</v>
      </c>
      <c r="F97" s="86">
        <f t="shared" si="40"/>
        <v>28743836</v>
      </c>
      <c r="G97" s="203">
        <f t="shared" si="41"/>
        <v>1.0744242654408251</v>
      </c>
      <c r="I97" s="203"/>
    </row>
    <row r="98" spans="1:9" ht="12.75">
      <c r="A98" s="20">
        <v>2003</v>
      </c>
      <c r="B98" s="86">
        <v>5219725</v>
      </c>
      <c r="C98" s="86">
        <v>42885296</v>
      </c>
      <c r="D98" s="86">
        <f t="shared" si="38"/>
        <v>48105021</v>
      </c>
      <c r="E98" s="203">
        <f t="shared" si="39"/>
        <v>1.0412796133580369</v>
      </c>
      <c r="F98" s="86">
        <f t="shared" si="40"/>
        <v>30664296</v>
      </c>
      <c r="G98" s="203">
        <f t="shared" si="41"/>
        <v>1.0668129333885707</v>
      </c>
      <c r="I98" s="203"/>
    </row>
    <row r="99" spans="1:9" ht="12.75">
      <c r="A99" s="20">
        <v>2004</v>
      </c>
      <c r="B99" s="86">
        <v>6065859</v>
      </c>
      <c r="C99" s="86">
        <v>55608532</v>
      </c>
      <c r="D99" s="86">
        <f t="shared" si="38"/>
        <v>61674391</v>
      </c>
      <c r="E99" s="203">
        <f t="shared" si="39"/>
        <v>1.282078039213412</v>
      </c>
      <c r="F99" s="86">
        <f t="shared" si="40"/>
        <v>32199004</v>
      </c>
      <c r="G99" s="203">
        <f t="shared" si="41"/>
        <v>1.0500486950686883</v>
      </c>
      <c r="I99" s="203"/>
    </row>
    <row r="103" ht="12.75">
      <c r="A103" s="21" t="s">
        <v>29</v>
      </c>
    </row>
    <row r="104" spans="2:7" ht="12.75">
      <c r="B104" s="21" t="s">
        <v>25</v>
      </c>
      <c r="C104" s="21" t="s">
        <v>31</v>
      </c>
      <c r="D104" s="21" t="s">
        <v>22</v>
      </c>
      <c r="E104" s="21" t="s">
        <v>25</v>
      </c>
      <c r="F104" s="21" t="s">
        <v>36</v>
      </c>
      <c r="G104" s="21" t="s">
        <v>26</v>
      </c>
    </row>
    <row r="105" spans="2:7" ht="12.75">
      <c r="B105" s="21" t="s">
        <v>30</v>
      </c>
      <c r="C105" s="21" t="s">
        <v>32</v>
      </c>
      <c r="D105" s="21" t="s">
        <v>33</v>
      </c>
      <c r="E105" s="21" t="s">
        <v>34</v>
      </c>
      <c r="G105" s="21" t="s">
        <v>34</v>
      </c>
    </row>
    <row r="106" spans="1:8" ht="12.75">
      <c r="A106" s="20">
        <v>1989</v>
      </c>
      <c r="B106" s="86">
        <f>Desktops!C17</f>
        <v>8905801</v>
      </c>
      <c r="C106" s="86"/>
      <c r="D106" s="86">
        <f>B106+C106</f>
        <v>8905801</v>
      </c>
      <c r="G106" s="86">
        <f>D106*0.525</f>
        <v>4675545.525</v>
      </c>
      <c r="H106" s="21">
        <f>G106/D106</f>
        <v>0.525</v>
      </c>
    </row>
    <row r="107" spans="1:7" ht="12.75">
      <c r="A107" s="20">
        <v>1990</v>
      </c>
      <c r="B107" s="86">
        <f>Desktops!C18</f>
        <v>9485529</v>
      </c>
      <c r="C107" s="86"/>
      <c r="D107" s="86">
        <f>B107+C107</f>
        <v>9485529</v>
      </c>
      <c r="G107" s="86">
        <f aca="true" t="shared" si="42" ref="G107:G112">D107*0.525</f>
        <v>4979902.725000001</v>
      </c>
    </row>
    <row r="108" spans="1:7" ht="12.75">
      <c r="A108" s="20">
        <v>1991</v>
      </c>
      <c r="B108" s="86">
        <f>Desktops!C19</f>
        <v>9523762</v>
      </c>
      <c r="C108" s="86"/>
      <c r="D108" s="86">
        <f>B108+C108</f>
        <v>9523762</v>
      </c>
      <c r="G108" s="86">
        <f t="shared" si="42"/>
        <v>4999975.05</v>
      </c>
    </row>
    <row r="109" spans="1:7" ht="12.75">
      <c r="A109" s="20">
        <v>1992</v>
      </c>
      <c r="B109" s="86">
        <f>Desktops!C20</f>
        <v>9911000</v>
      </c>
      <c r="C109" s="86">
        <f>Portables!C20</f>
        <v>1850000</v>
      </c>
      <c r="D109" s="86">
        <f>B109+C109</f>
        <v>11761000</v>
      </c>
      <c r="G109" s="86">
        <f t="shared" si="42"/>
        <v>6174525</v>
      </c>
    </row>
    <row r="110" spans="1:7" ht="12.75">
      <c r="A110" s="20">
        <v>1993</v>
      </c>
      <c r="B110" s="86">
        <f>Desktops!C21</f>
        <v>13022020.56</v>
      </c>
      <c r="C110" s="86">
        <f>Portables!C21</f>
        <v>2527979.44</v>
      </c>
      <c r="D110" s="86">
        <f aca="true" t="shared" si="43" ref="D110:D124">B110+C110</f>
        <v>15550000</v>
      </c>
      <c r="G110" s="86">
        <f t="shared" si="42"/>
        <v>8163750</v>
      </c>
    </row>
    <row r="111" spans="1:7" ht="12.75">
      <c r="A111" s="20">
        <v>1994</v>
      </c>
      <c r="B111" s="86">
        <f>Desktops!C22</f>
        <v>15296184</v>
      </c>
      <c r="C111" s="86">
        <f>Portables!C22</f>
        <v>3200464</v>
      </c>
      <c r="D111" s="86">
        <f t="shared" si="43"/>
        <v>18496648</v>
      </c>
      <c r="G111" s="86">
        <f t="shared" si="42"/>
        <v>9710740.200000001</v>
      </c>
    </row>
    <row r="112" spans="1:7" ht="12.75">
      <c r="A112" s="20">
        <v>1995</v>
      </c>
      <c r="B112" s="86">
        <f>Desktops!C23</f>
        <v>19139858</v>
      </c>
      <c r="C112" s="86">
        <f>Portables!C23</f>
        <v>3563808</v>
      </c>
      <c r="D112" s="86">
        <f t="shared" si="43"/>
        <v>22703666</v>
      </c>
      <c r="G112" s="86">
        <f t="shared" si="42"/>
        <v>11919424.65</v>
      </c>
    </row>
    <row r="113" spans="1:9" ht="12.75">
      <c r="A113" s="20">
        <v>1996</v>
      </c>
      <c r="B113" s="86">
        <f>Desktops!C24</f>
        <v>22420954</v>
      </c>
      <c r="C113" s="86">
        <f>Portables!C24</f>
        <v>4949204</v>
      </c>
      <c r="D113" s="86">
        <f t="shared" si="43"/>
        <v>27370158</v>
      </c>
      <c r="E113" s="86">
        <f>C24</f>
        <v>14933634</v>
      </c>
      <c r="F113" s="203">
        <f aca="true" t="shared" si="44" ref="F113:F121">E113/D113</f>
        <v>0.5456173837213508</v>
      </c>
      <c r="H113" s="86"/>
      <c r="I113" s="86"/>
    </row>
    <row r="114" spans="1:9" ht="12.75">
      <c r="A114" s="20">
        <v>1997</v>
      </c>
      <c r="B114" s="86">
        <f>Desktops!C25</f>
        <v>26767206</v>
      </c>
      <c r="C114" s="86">
        <f>Portables!C25</f>
        <v>6000142</v>
      </c>
      <c r="D114" s="86">
        <f t="shared" si="43"/>
        <v>32767348</v>
      </c>
      <c r="E114" s="86">
        <f aca="true" t="shared" si="45" ref="E114:E120">C25</f>
        <v>16243528</v>
      </c>
      <c r="F114" s="203">
        <f t="shared" si="44"/>
        <v>0.49572299839462136</v>
      </c>
      <c r="H114" s="86"/>
      <c r="I114" s="86"/>
    </row>
    <row r="115" spans="1:9" ht="12.75">
      <c r="A115" s="20">
        <v>1998</v>
      </c>
      <c r="B115" s="86">
        <f>Desktops!C26</f>
        <v>32525826</v>
      </c>
      <c r="C115" s="86">
        <f>Portables!C26</f>
        <v>6407928</v>
      </c>
      <c r="D115" s="86">
        <f t="shared" si="43"/>
        <v>38933754</v>
      </c>
      <c r="E115" s="86">
        <f t="shared" si="45"/>
        <v>22500414</v>
      </c>
      <c r="F115" s="203">
        <f t="shared" si="44"/>
        <v>0.5779153482091658</v>
      </c>
      <c r="H115" s="86"/>
      <c r="I115" s="86"/>
    </row>
    <row r="116" spans="1:9" ht="12.75">
      <c r="A116" s="20">
        <v>1999</v>
      </c>
      <c r="B116" s="86">
        <f>Desktops!C27</f>
        <v>39488308</v>
      </c>
      <c r="C116" s="86">
        <f>Portables!C27</f>
        <v>7870995</v>
      </c>
      <c r="D116" s="86">
        <f t="shared" si="43"/>
        <v>47359303</v>
      </c>
      <c r="E116" s="86">
        <f t="shared" si="45"/>
        <v>27504008</v>
      </c>
      <c r="F116" s="203">
        <f t="shared" si="44"/>
        <v>0.5807519591240606</v>
      </c>
      <c r="H116" s="86"/>
      <c r="I116" s="86"/>
    </row>
    <row r="117" spans="1:9" ht="12.75">
      <c r="A117" s="20">
        <v>2000</v>
      </c>
      <c r="B117" s="86">
        <f>Desktops!C28</f>
        <v>40822348</v>
      </c>
      <c r="C117" s="86">
        <f>Portables!C28</f>
        <v>9622814</v>
      </c>
      <c r="D117" s="86">
        <f t="shared" si="43"/>
        <v>50445162</v>
      </c>
      <c r="E117" s="86">
        <f t="shared" si="45"/>
        <v>28666050</v>
      </c>
      <c r="F117" s="203">
        <f t="shared" si="44"/>
        <v>0.5682616303224479</v>
      </c>
      <c r="H117" s="86"/>
      <c r="I117" s="86"/>
    </row>
    <row r="118" spans="1:9" ht="12.75">
      <c r="A118" s="20">
        <v>2001</v>
      </c>
      <c r="B118" s="86">
        <f>Desktops!C29</f>
        <v>35092536</v>
      </c>
      <c r="C118" s="86">
        <f>Portables!C29</f>
        <v>9575220</v>
      </c>
      <c r="D118" s="86">
        <f t="shared" si="43"/>
        <v>44667756</v>
      </c>
      <c r="E118" s="86">
        <f t="shared" si="45"/>
        <v>26752780</v>
      </c>
      <c r="F118" s="203">
        <f t="shared" si="44"/>
        <v>0.5989282291234868</v>
      </c>
      <c r="H118" s="86"/>
      <c r="I118" s="86"/>
    </row>
    <row r="119" spans="1:9" ht="12.75">
      <c r="A119" s="20">
        <v>2002</v>
      </c>
      <c r="B119" s="86">
        <f>Desktops!C30</f>
        <v>35082080</v>
      </c>
      <c r="C119" s="86">
        <f>Portables!C30</f>
        <v>10883296</v>
      </c>
      <c r="D119" s="86">
        <f t="shared" si="43"/>
        <v>45965376</v>
      </c>
      <c r="E119" s="86">
        <f t="shared" si="45"/>
        <v>28743836</v>
      </c>
      <c r="F119" s="203">
        <f t="shared" si="44"/>
        <v>0.6253366882063578</v>
      </c>
      <c r="H119" s="86"/>
      <c r="I119" s="86"/>
    </row>
    <row r="120" spans="1:9" ht="12.75">
      <c r="A120" s="20">
        <v>2003</v>
      </c>
      <c r="B120" s="86">
        <f>Desktops!C31</f>
        <v>36959328</v>
      </c>
      <c r="C120" s="86">
        <f>Portables!C31</f>
        <v>13807702</v>
      </c>
      <c r="D120" s="86">
        <f t="shared" si="43"/>
        <v>50767030</v>
      </c>
      <c r="E120" s="86">
        <f t="shared" si="45"/>
        <v>30664296</v>
      </c>
      <c r="F120" s="203">
        <f t="shared" si="44"/>
        <v>0.6040198924380646</v>
      </c>
      <c r="H120" s="86"/>
      <c r="I120" s="86"/>
    </row>
    <row r="121" spans="1:9" ht="12.75">
      <c r="A121" s="20">
        <v>2004</v>
      </c>
      <c r="B121" s="86">
        <f>Desktops!C32</f>
        <v>39352168</v>
      </c>
      <c r="C121" s="86">
        <f>Portables!C32</f>
        <v>16623580</v>
      </c>
      <c r="D121" s="86">
        <f t="shared" si="43"/>
        <v>55975748</v>
      </c>
      <c r="E121" s="86">
        <f>C32</f>
        <v>32199004</v>
      </c>
      <c r="F121" s="203">
        <f t="shared" si="44"/>
        <v>0.5752313305397901</v>
      </c>
      <c r="H121" s="203">
        <f>AVERAGE(F113:F121)</f>
        <v>0.5746428288977051</v>
      </c>
      <c r="I121" s="21" t="s">
        <v>243</v>
      </c>
    </row>
    <row r="122" spans="1:9" ht="12.75">
      <c r="A122" s="17">
        <v>2005</v>
      </c>
      <c r="B122" s="86">
        <f>Desktops!C33</f>
        <v>38047902</v>
      </c>
      <c r="C122" s="86">
        <f>Portables!C33</f>
        <v>19618994</v>
      </c>
      <c r="D122" s="86">
        <f t="shared" si="43"/>
        <v>57666896</v>
      </c>
      <c r="E122" s="86"/>
      <c r="F122" s="203"/>
      <c r="G122" s="86">
        <f>H121*D122</f>
        <v>33137868.251189757</v>
      </c>
      <c r="H122" s="86"/>
      <c r="I122" s="86"/>
    </row>
    <row r="123" spans="1:9" ht="12.75">
      <c r="A123" s="17">
        <v>2006</v>
      </c>
      <c r="B123" s="86">
        <f>Desktops!C34</f>
        <v>35418676</v>
      </c>
      <c r="C123" s="86">
        <f>Portables!C34</f>
        <v>24299775</v>
      </c>
      <c r="D123" s="86">
        <f t="shared" si="43"/>
        <v>59718451</v>
      </c>
      <c r="E123" s="86"/>
      <c r="F123" s="203"/>
      <c r="G123" s="86">
        <f>H121*D123</f>
        <v>34316779.62002899</v>
      </c>
      <c r="H123" s="86"/>
      <c r="I123" s="86"/>
    </row>
    <row r="124" spans="1:9" ht="12.75">
      <c r="A124" s="17">
        <v>2007</v>
      </c>
      <c r="B124" s="86">
        <f>Desktops!C35</f>
        <v>34211601</v>
      </c>
      <c r="C124" s="86">
        <f>Portables!C35</f>
        <v>30023844</v>
      </c>
      <c r="D124" s="86">
        <f t="shared" si="43"/>
        <v>64235445</v>
      </c>
      <c r="E124" s="86"/>
      <c r="F124" s="203"/>
      <c r="G124" s="86">
        <f>H121*D124</f>
        <v>36912437.830302946</v>
      </c>
      <c r="H124" s="86"/>
      <c r="I124" s="86"/>
    </row>
    <row r="129" spans="1:8" ht="12.75">
      <c r="A129" s="21" t="s">
        <v>42</v>
      </c>
      <c r="H129" s="21" t="s">
        <v>35</v>
      </c>
    </row>
    <row r="130" spans="2:8" ht="12.75">
      <c r="B130" s="21" t="s">
        <v>28</v>
      </c>
      <c r="C130" s="21" t="s">
        <v>37</v>
      </c>
      <c r="D130" s="21" t="s">
        <v>39</v>
      </c>
      <c r="E130" s="21" t="s">
        <v>28</v>
      </c>
      <c r="F130" s="21" t="s">
        <v>37</v>
      </c>
      <c r="G130" s="21" t="s">
        <v>39</v>
      </c>
      <c r="H130" s="21" t="s">
        <v>43</v>
      </c>
    </row>
    <row r="131" spans="2:8" ht="12.75">
      <c r="B131" s="21" t="s">
        <v>20</v>
      </c>
      <c r="C131" s="21" t="s">
        <v>38</v>
      </c>
      <c r="D131" s="21" t="s">
        <v>40</v>
      </c>
      <c r="E131" s="21" t="s">
        <v>21</v>
      </c>
      <c r="F131" s="21" t="s">
        <v>41</v>
      </c>
      <c r="G131" s="21" t="s">
        <v>21</v>
      </c>
      <c r="H131" s="21" t="s">
        <v>44</v>
      </c>
    </row>
    <row r="132" spans="1:9" ht="12.75">
      <c r="A132" s="20">
        <v>1989</v>
      </c>
      <c r="B132" s="86">
        <v>283421</v>
      </c>
      <c r="C132" s="21">
        <v>12.3</v>
      </c>
      <c r="D132" s="86">
        <f>B132*C132</f>
        <v>3486078.3000000003</v>
      </c>
      <c r="E132" s="86">
        <v>11535839</v>
      </c>
      <c r="F132" s="21">
        <v>18</v>
      </c>
      <c r="G132" s="86">
        <f aca="true" t="shared" si="46" ref="G132:G147">E132*F132</f>
        <v>207645102</v>
      </c>
      <c r="H132" s="203">
        <f aca="true" t="shared" si="47" ref="H132:H147">(D132+G132)/(B132+E132)</f>
        <v>17.86331634129379</v>
      </c>
      <c r="I132" s="86"/>
    </row>
    <row r="133" spans="1:9" ht="12.75">
      <c r="A133" s="20">
        <v>1990</v>
      </c>
      <c r="B133" s="86">
        <v>393624</v>
      </c>
      <c r="C133" s="21">
        <v>13</v>
      </c>
      <c r="D133" s="86">
        <f aca="true" t="shared" si="48" ref="D133:D147">B133*C133</f>
        <v>5117112</v>
      </c>
      <c r="E133" s="86">
        <v>10243163</v>
      </c>
      <c r="F133" s="21">
        <v>19.87</v>
      </c>
      <c r="G133" s="86">
        <f t="shared" si="46"/>
        <v>203531648.81</v>
      </c>
      <c r="H133" s="203">
        <f t="shared" si="47"/>
        <v>19.61576938693987</v>
      </c>
      <c r="I133" s="86"/>
    </row>
    <row r="134" spans="1:9" ht="12.75">
      <c r="A134" s="20">
        <v>1991</v>
      </c>
      <c r="B134" s="86">
        <v>363995</v>
      </c>
      <c r="C134" s="21">
        <v>17</v>
      </c>
      <c r="D134" s="86">
        <f t="shared" si="48"/>
        <v>6187915</v>
      </c>
      <c r="E134" s="86">
        <v>10072025</v>
      </c>
      <c r="F134" s="21">
        <v>18.41</v>
      </c>
      <c r="G134" s="86">
        <f t="shared" si="46"/>
        <v>185425980.25</v>
      </c>
      <c r="H134" s="203">
        <f t="shared" si="47"/>
        <v>18.36082100743387</v>
      </c>
      <c r="I134" s="86"/>
    </row>
    <row r="135" spans="1:9" ht="12.75">
      <c r="A135" s="20">
        <v>1992</v>
      </c>
      <c r="B135" s="86">
        <v>728414</v>
      </c>
      <c r="C135" s="21">
        <v>10</v>
      </c>
      <c r="D135" s="86">
        <f t="shared" si="48"/>
        <v>7284140</v>
      </c>
      <c r="E135" s="86">
        <v>12591769</v>
      </c>
      <c r="F135" s="21">
        <v>17.86</v>
      </c>
      <c r="G135" s="86">
        <f t="shared" si="46"/>
        <v>224888994.34</v>
      </c>
      <c r="H135" s="203">
        <f t="shared" si="47"/>
        <v>17.43017602235645</v>
      </c>
      <c r="I135" s="86"/>
    </row>
    <row r="136" spans="1:9" ht="12.75">
      <c r="A136" s="20">
        <v>1993</v>
      </c>
      <c r="B136" s="86">
        <v>909321</v>
      </c>
      <c r="C136" s="21">
        <v>14</v>
      </c>
      <c r="D136" s="86">
        <f t="shared" si="48"/>
        <v>12730494</v>
      </c>
      <c r="E136" s="86">
        <v>16445931</v>
      </c>
      <c r="F136" s="21">
        <v>17.97</v>
      </c>
      <c r="G136" s="86">
        <f t="shared" si="46"/>
        <v>295533380.07</v>
      </c>
      <c r="H136" s="203">
        <f t="shared" si="47"/>
        <v>17.761993549272578</v>
      </c>
      <c r="I136" s="86"/>
    </row>
    <row r="137" spans="1:9" ht="12.75">
      <c r="A137" s="20">
        <v>1994</v>
      </c>
      <c r="B137" s="86">
        <v>1202283</v>
      </c>
      <c r="C137" s="21">
        <v>13</v>
      </c>
      <c r="D137" s="86">
        <f t="shared" si="48"/>
        <v>15629679</v>
      </c>
      <c r="E137" s="86">
        <v>12047617</v>
      </c>
      <c r="F137" s="21">
        <v>18.29</v>
      </c>
      <c r="G137" s="86">
        <f t="shared" si="46"/>
        <v>220350914.92999998</v>
      </c>
      <c r="H137" s="203">
        <f t="shared" si="47"/>
        <v>17.809990560683474</v>
      </c>
      <c r="I137" s="86"/>
    </row>
    <row r="138" spans="1:9" ht="12.75">
      <c r="A138" s="20">
        <v>1995</v>
      </c>
      <c r="B138" s="86">
        <v>1894966</v>
      </c>
      <c r="C138" s="21">
        <v>12</v>
      </c>
      <c r="D138" s="86">
        <f t="shared" si="48"/>
        <v>22739592</v>
      </c>
      <c r="E138" s="86">
        <v>19627106</v>
      </c>
      <c r="F138" s="21">
        <v>17.3</v>
      </c>
      <c r="G138" s="86">
        <f t="shared" si="46"/>
        <v>339548933.8</v>
      </c>
      <c r="H138" s="203">
        <f t="shared" si="47"/>
        <v>16.833347913713883</v>
      </c>
      <c r="I138" s="86"/>
    </row>
    <row r="139" spans="1:9" ht="12.75">
      <c r="A139" s="20">
        <v>1996</v>
      </c>
      <c r="B139" s="86">
        <v>22456893</v>
      </c>
      <c r="C139" s="21">
        <v>11.7</v>
      </c>
      <c r="D139" s="86">
        <f t="shared" si="48"/>
        <v>262745648.1</v>
      </c>
      <c r="E139" s="86">
        <v>31388102</v>
      </c>
      <c r="F139" s="21">
        <v>17.99</v>
      </c>
      <c r="G139" s="86">
        <f t="shared" si="46"/>
        <v>564671954.9799999</v>
      </c>
      <c r="H139" s="203">
        <f t="shared" si="47"/>
        <v>15.366657626767351</v>
      </c>
      <c r="I139" s="86"/>
    </row>
    <row r="140" spans="1:9" ht="12.75">
      <c r="A140" s="20">
        <v>1997</v>
      </c>
      <c r="B140" s="86">
        <v>5607026</v>
      </c>
      <c r="C140" s="21">
        <v>12.3</v>
      </c>
      <c r="D140" s="86">
        <f t="shared" si="48"/>
        <v>68966419.8</v>
      </c>
      <c r="E140" s="86">
        <v>26165109</v>
      </c>
      <c r="F140" s="21">
        <v>17.69</v>
      </c>
      <c r="G140" s="86">
        <f t="shared" si="46"/>
        <v>462860778.21000004</v>
      </c>
      <c r="H140" s="203">
        <f t="shared" si="47"/>
        <v>16.73879322274062</v>
      </c>
      <c r="I140" s="86"/>
    </row>
    <row r="141" spans="1:9" ht="12.75">
      <c r="A141" s="20">
        <v>1998</v>
      </c>
      <c r="B141" s="86">
        <v>8315637</v>
      </c>
      <c r="C141" s="21">
        <v>10.5</v>
      </c>
      <c r="D141" s="86">
        <f t="shared" si="48"/>
        <v>87314188.5</v>
      </c>
      <c r="E141" s="86">
        <v>31343870</v>
      </c>
      <c r="F141" s="21">
        <v>17.8</v>
      </c>
      <c r="G141" s="86">
        <f t="shared" si="46"/>
        <v>557920886</v>
      </c>
      <c r="H141" s="203">
        <f t="shared" si="47"/>
        <v>16.269367001965</v>
      </c>
      <c r="I141" s="86"/>
    </row>
    <row r="142" spans="1:9" ht="12.75">
      <c r="A142" s="20">
        <v>1999</v>
      </c>
      <c r="B142" s="86">
        <v>11118791</v>
      </c>
      <c r="C142" s="21">
        <v>11</v>
      </c>
      <c r="D142" s="86">
        <f t="shared" si="48"/>
        <v>122306701</v>
      </c>
      <c r="E142" s="86">
        <v>43357759</v>
      </c>
      <c r="F142" s="21">
        <v>17.78</v>
      </c>
      <c r="G142" s="86">
        <f t="shared" si="46"/>
        <v>770900955.0200001</v>
      </c>
      <c r="H142" s="203">
        <f t="shared" si="47"/>
        <v>16.39618617588669</v>
      </c>
      <c r="I142" s="86"/>
    </row>
    <row r="143" spans="1:9" ht="12.75">
      <c r="A143" s="20">
        <v>2000</v>
      </c>
      <c r="B143" s="86">
        <v>10358924</v>
      </c>
      <c r="C143" s="21">
        <v>11</v>
      </c>
      <c r="D143" s="86">
        <f t="shared" si="48"/>
        <v>113948164</v>
      </c>
      <c r="E143" s="86">
        <v>46423729</v>
      </c>
      <c r="F143" s="21">
        <v>20.12</v>
      </c>
      <c r="G143" s="86">
        <f t="shared" si="46"/>
        <v>934045427.48</v>
      </c>
      <c r="H143" s="203">
        <f t="shared" si="47"/>
        <v>18.456228022315194</v>
      </c>
      <c r="I143" s="86"/>
    </row>
    <row r="144" spans="1:9" ht="12.75">
      <c r="A144" s="20">
        <v>2001</v>
      </c>
      <c r="B144" s="86">
        <v>8089052</v>
      </c>
      <c r="C144" s="21">
        <v>11.2</v>
      </c>
      <c r="D144" s="86">
        <f t="shared" si="48"/>
        <v>90597382.39999999</v>
      </c>
      <c r="E144" s="86">
        <v>43127540</v>
      </c>
      <c r="F144" s="21">
        <v>18</v>
      </c>
      <c r="G144" s="86">
        <f t="shared" si="46"/>
        <v>776295720</v>
      </c>
      <c r="H144" s="203">
        <f t="shared" si="47"/>
        <v>16.926020817628785</v>
      </c>
      <c r="I144" s="86"/>
    </row>
    <row r="145" spans="1:9" ht="12.75">
      <c r="A145" s="20">
        <v>2002</v>
      </c>
      <c r="B145" s="86">
        <v>7618416</v>
      </c>
      <c r="C145" s="21">
        <v>11.4</v>
      </c>
      <c r="D145" s="86">
        <f t="shared" si="48"/>
        <v>86849942.4</v>
      </c>
      <c r="E145" s="86">
        <v>38579570</v>
      </c>
      <c r="F145" s="21">
        <v>17.41</v>
      </c>
      <c r="G145" s="86">
        <f t="shared" si="46"/>
        <v>671670313.7</v>
      </c>
      <c r="H145" s="203">
        <f t="shared" si="47"/>
        <v>16.418903111923537</v>
      </c>
      <c r="I145" s="86"/>
    </row>
    <row r="146" spans="1:9" ht="12.75">
      <c r="A146" s="20">
        <v>2003</v>
      </c>
      <c r="B146" s="86">
        <v>5219725</v>
      </c>
      <c r="C146" s="21">
        <v>11.7</v>
      </c>
      <c r="D146" s="86">
        <f t="shared" si="48"/>
        <v>61070782.5</v>
      </c>
      <c r="E146" s="86">
        <v>42885296</v>
      </c>
      <c r="F146" s="21">
        <v>17.18</v>
      </c>
      <c r="G146" s="86">
        <f t="shared" si="46"/>
        <v>736769385.28</v>
      </c>
      <c r="H146" s="203">
        <f t="shared" si="47"/>
        <v>16.585382382017876</v>
      </c>
      <c r="I146" s="86"/>
    </row>
    <row r="147" spans="1:9" ht="12.75">
      <c r="A147" s="20">
        <v>2004</v>
      </c>
      <c r="B147" s="86">
        <v>6065859</v>
      </c>
      <c r="C147" s="21">
        <v>11.9</v>
      </c>
      <c r="D147" s="86">
        <f t="shared" si="48"/>
        <v>72183722.10000001</v>
      </c>
      <c r="E147" s="86">
        <v>55608532</v>
      </c>
      <c r="F147" s="21">
        <v>18</v>
      </c>
      <c r="G147" s="283">
        <f t="shared" si="46"/>
        <v>1000953576</v>
      </c>
      <c r="H147" s="203">
        <f t="shared" si="47"/>
        <v>17.400046935202003</v>
      </c>
      <c r="I147" s="86"/>
    </row>
  </sheetData>
  <mergeCells count="33">
    <mergeCell ref="G46:H46"/>
    <mergeCell ref="J46:K46"/>
    <mergeCell ref="M46:N46"/>
    <mergeCell ref="AW27:AX27"/>
    <mergeCell ref="O46:P46"/>
    <mergeCell ref="S46:T46"/>
    <mergeCell ref="U46:V46"/>
    <mergeCell ref="W46:X46"/>
    <mergeCell ref="AN69:AP76"/>
    <mergeCell ref="AQ5:AR5"/>
    <mergeCell ref="AS5:AT5"/>
    <mergeCell ref="AU5:AV5"/>
    <mergeCell ref="AM5:AN5"/>
    <mergeCell ref="AO5:AP5"/>
    <mergeCell ref="J6:M6"/>
    <mergeCell ref="Q6:R6"/>
    <mergeCell ref="S6:T6"/>
    <mergeCell ref="U6:V6"/>
    <mergeCell ref="N6:P6"/>
    <mergeCell ref="W6:X6"/>
    <mergeCell ref="AE6:AF6"/>
    <mergeCell ref="AI5:AJ5"/>
    <mergeCell ref="AK5:AL5"/>
    <mergeCell ref="Y6:Z6"/>
    <mergeCell ref="AA6:AB6"/>
    <mergeCell ref="AC6:AD6"/>
    <mergeCell ref="B1:AF1"/>
    <mergeCell ref="J5:M5"/>
    <mergeCell ref="Q5:AF5"/>
    <mergeCell ref="AG5:AH5"/>
    <mergeCell ref="B3:E3"/>
    <mergeCell ref="F5:G5"/>
    <mergeCell ref="H5:I5"/>
  </mergeCells>
  <printOptions/>
  <pageMargins left="0.75" right="0.75" top="1" bottom="1" header="0.5" footer="0.5"/>
  <pageSetup horizontalDpi="600" verticalDpi="600" orientation="portrait" r:id="rId3"/>
  <legacyDrawing r:id="rId2"/>
</worksheet>
</file>

<file path=xl/worksheets/sheet15.xml><?xml version="1.0" encoding="utf-8"?>
<worksheet xmlns="http://schemas.openxmlformats.org/spreadsheetml/2006/main" xmlns:r="http://schemas.openxmlformats.org/officeDocument/2006/relationships">
  <dimension ref="A1:BK76"/>
  <sheetViews>
    <sheetView workbookViewId="0" topLeftCell="A1">
      <selection activeCell="Y39" sqref="Y39"/>
    </sheetView>
  </sheetViews>
  <sheetFormatPr defaultColWidth="9.140625" defaultRowHeight="12.75"/>
  <cols>
    <col min="1" max="2" width="9.140625" style="1" customWidth="1"/>
    <col min="3" max="3" width="10.28125" style="1" customWidth="1"/>
    <col min="4" max="9" width="9.140625" style="1" customWidth="1"/>
    <col min="10" max="16" width="7.00390625" style="1" customWidth="1"/>
    <col min="17" max="16384" width="9.140625" style="1" customWidth="1"/>
  </cols>
  <sheetData>
    <row r="1" spans="2:44" ht="12.75">
      <c r="B1" s="570" t="s">
        <v>217</v>
      </c>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182"/>
      <c r="AH1" s="182"/>
      <c r="AI1" s="182"/>
      <c r="AJ1" s="182"/>
      <c r="AK1" s="182"/>
      <c r="AL1" s="182"/>
      <c r="AM1" s="182"/>
      <c r="AN1" s="182"/>
      <c r="AO1" s="182"/>
      <c r="AP1" s="182"/>
      <c r="AQ1" s="182"/>
      <c r="AR1" s="182"/>
    </row>
    <row r="2" spans="3:48" ht="12.75" hidden="1">
      <c r="C2" s="16"/>
      <c r="D2" s="16"/>
      <c r="E2" s="167"/>
      <c r="F2" s="167"/>
      <c r="G2" s="167"/>
      <c r="H2" s="167"/>
      <c r="I2" s="167"/>
      <c r="J2" s="23"/>
      <c r="K2" s="22"/>
      <c r="W2" s="2"/>
      <c r="X2" s="3"/>
      <c r="Y2" s="3"/>
      <c r="Z2" s="3"/>
      <c r="AA2" s="3"/>
      <c r="AB2" s="3"/>
      <c r="AC2" s="3"/>
      <c r="AD2" s="3"/>
      <c r="AE2" s="3"/>
      <c r="AF2" s="3"/>
      <c r="AG2" s="3"/>
      <c r="AH2" s="3"/>
      <c r="AI2" s="3"/>
      <c r="AJ2" s="3"/>
      <c r="AK2" s="3"/>
      <c r="AL2" s="3"/>
      <c r="AM2" s="3"/>
      <c r="AN2" s="3"/>
      <c r="AO2" s="3"/>
      <c r="AP2" s="3"/>
      <c r="AQ2" s="3"/>
      <c r="AR2" s="3"/>
      <c r="AS2" s="3"/>
      <c r="AT2" s="3"/>
      <c r="AU2" s="3"/>
      <c r="AV2" s="4"/>
    </row>
    <row r="3" spans="2:63" ht="12" customHeight="1" thickBot="1">
      <c r="B3" s="584"/>
      <c r="C3" s="584"/>
      <c r="D3" s="584"/>
      <c r="E3" s="584"/>
      <c r="F3" s="272"/>
      <c r="G3" s="272"/>
      <c r="H3" s="272"/>
      <c r="I3" s="272"/>
      <c r="J3" s="78"/>
      <c r="K3" s="78"/>
      <c r="L3" s="78"/>
      <c r="M3" s="78"/>
      <c r="N3" s="78"/>
      <c r="O3" s="78"/>
      <c r="P3" s="78"/>
      <c r="S3" s="21"/>
      <c r="T3" s="21"/>
      <c r="V3" s="10"/>
      <c r="W3" s="10"/>
      <c r="X3" s="10"/>
      <c r="Y3" s="10"/>
      <c r="Z3" s="10"/>
      <c r="AA3" s="10"/>
      <c r="AB3" s="10"/>
      <c r="AC3" s="10"/>
      <c r="AD3" s="10"/>
      <c r="AE3" s="10"/>
      <c r="AF3" s="10"/>
      <c r="AG3" s="6"/>
      <c r="AH3" s="168"/>
      <c r="AI3" s="6"/>
      <c r="AJ3" s="168"/>
      <c r="AK3" s="168"/>
      <c r="AL3" s="168"/>
      <c r="AM3" s="168"/>
      <c r="AN3" s="168"/>
      <c r="AO3" s="168"/>
      <c r="AP3" s="168"/>
      <c r="AQ3" s="168"/>
      <c r="AR3" s="168"/>
      <c r="AS3" s="6"/>
      <c r="AT3" s="168"/>
      <c r="AU3" s="6"/>
      <c r="AV3" s="168"/>
      <c r="AW3" s="10"/>
      <c r="AX3" s="10"/>
      <c r="AY3" s="10"/>
      <c r="AZ3" s="10"/>
      <c r="BA3" s="10"/>
      <c r="BB3" s="10"/>
      <c r="BC3" s="10"/>
      <c r="BD3" s="10"/>
      <c r="BE3" s="10"/>
      <c r="BF3" s="10"/>
      <c r="BG3" s="10"/>
      <c r="BH3" s="10"/>
      <c r="BI3" s="10"/>
      <c r="BJ3" s="10"/>
      <c r="BK3" s="10"/>
    </row>
    <row r="4" spans="2:63" ht="13.5" hidden="1" thickBot="1">
      <c r="B4" s="179"/>
      <c r="C4" s="179"/>
      <c r="D4" s="179"/>
      <c r="E4" s="179"/>
      <c r="F4" s="179"/>
      <c r="G4" s="179"/>
      <c r="H4" s="179"/>
      <c r="I4" s="179"/>
      <c r="J4" s="179"/>
      <c r="K4" s="179"/>
      <c r="L4" s="179"/>
      <c r="M4" s="179"/>
      <c r="N4" s="179"/>
      <c r="O4" s="179"/>
      <c r="P4" s="179"/>
      <c r="W4" s="5"/>
      <c r="X4" s="10"/>
      <c r="Y4" s="10"/>
      <c r="Z4" s="10"/>
      <c r="AA4" s="10"/>
      <c r="AB4" s="10"/>
      <c r="AC4" s="10"/>
      <c r="AD4" s="10"/>
      <c r="AE4" s="10"/>
      <c r="AF4" s="10"/>
      <c r="AG4" s="6"/>
      <c r="AH4" s="168"/>
      <c r="AI4" s="6"/>
      <c r="AJ4" s="168"/>
      <c r="AK4" s="168"/>
      <c r="AL4" s="168"/>
      <c r="AM4" s="168"/>
      <c r="AN4" s="168"/>
      <c r="AO4" s="168"/>
      <c r="AP4" s="168"/>
      <c r="AQ4" s="168"/>
      <c r="AR4" s="168"/>
      <c r="AS4" s="6"/>
      <c r="AT4" s="168"/>
      <c r="AU4" s="6"/>
      <c r="AV4" s="168"/>
      <c r="AW4" s="10"/>
      <c r="AX4" s="10"/>
      <c r="AY4" s="10"/>
      <c r="AZ4" s="10"/>
      <c r="BA4" s="10"/>
      <c r="BB4" s="10"/>
      <c r="BC4" s="10"/>
      <c r="BD4" s="10"/>
      <c r="BE4" s="10"/>
      <c r="BF4" s="10"/>
      <c r="BG4" s="10"/>
      <c r="BH4" s="10"/>
      <c r="BI4" s="10"/>
      <c r="BJ4" s="10"/>
      <c r="BK4" s="10"/>
    </row>
    <row r="5" spans="2:63" ht="12.75">
      <c r="B5" s="7" t="s">
        <v>6</v>
      </c>
      <c r="C5" s="8"/>
      <c r="D5" s="8"/>
      <c r="E5" s="8"/>
      <c r="F5" s="567" t="s">
        <v>121</v>
      </c>
      <c r="G5" s="566"/>
      <c r="H5" s="567" t="s">
        <v>122</v>
      </c>
      <c r="I5" s="566"/>
      <c r="J5" s="582" t="s">
        <v>14</v>
      </c>
      <c r="K5" s="582"/>
      <c r="L5" s="582"/>
      <c r="M5" s="582"/>
      <c r="N5" s="273"/>
      <c r="O5" s="273"/>
      <c r="P5" s="273"/>
      <c r="Q5" s="581" t="s">
        <v>47</v>
      </c>
      <c r="R5" s="582"/>
      <c r="S5" s="582"/>
      <c r="T5" s="582"/>
      <c r="U5" s="582"/>
      <c r="V5" s="582"/>
      <c r="W5" s="582"/>
      <c r="X5" s="582"/>
      <c r="Y5" s="582"/>
      <c r="Z5" s="582"/>
      <c r="AA5" s="582"/>
      <c r="AB5" s="582"/>
      <c r="AC5" s="582"/>
      <c r="AD5" s="582"/>
      <c r="AE5" s="582"/>
      <c r="AF5" s="583"/>
      <c r="AG5" s="580"/>
      <c r="AH5" s="580"/>
      <c r="AI5" s="580"/>
      <c r="AJ5" s="580"/>
      <c r="AK5" s="580"/>
      <c r="AL5" s="580"/>
      <c r="AM5" s="580"/>
      <c r="AN5" s="580"/>
      <c r="AO5" s="580"/>
      <c r="AP5" s="580"/>
      <c r="AQ5" s="580"/>
      <c r="AR5" s="580"/>
      <c r="AS5" s="578"/>
      <c r="AT5" s="578"/>
      <c r="AU5" s="578"/>
      <c r="AV5" s="578"/>
      <c r="AW5" s="191"/>
      <c r="AX5" s="17"/>
      <c r="AY5" s="10"/>
      <c r="AZ5" s="10"/>
      <c r="BA5" s="10"/>
      <c r="BB5" s="10"/>
      <c r="BC5" s="10"/>
      <c r="BD5" s="10"/>
      <c r="BE5" s="10"/>
      <c r="BF5" s="10"/>
      <c r="BG5" s="10"/>
      <c r="BH5" s="10"/>
      <c r="BI5" s="10"/>
      <c r="BJ5" s="10"/>
      <c r="BK5" s="10"/>
    </row>
    <row r="6" spans="2:63" ht="12.75">
      <c r="B6" s="251" t="s">
        <v>0</v>
      </c>
      <c r="C6" s="252" t="s">
        <v>1</v>
      </c>
      <c r="D6" s="252" t="s">
        <v>3</v>
      </c>
      <c r="E6" s="252" t="s">
        <v>2</v>
      </c>
      <c r="F6" s="270" t="s">
        <v>123</v>
      </c>
      <c r="G6" s="121">
        <v>0.48</v>
      </c>
      <c r="H6" s="270" t="s">
        <v>124</v>
      </c>
      <c r="I6" s="121">
        <v>0.52</v>
      </c>
      <c r="J6" s="579" t="s">
        <v>120</v>
      </c>
      <c r="K6" s="579"/>
      <c r="L6" s="579"/>
      <c r="M6" s="579"/>
      <c r="N6" s="540" t="s">
        <v>131</v>
      </c>
      <c r="O6" s="547"/>
      <c r="P6" s="541"/>
      <c r="Q6" s="579" t="s">
        <v>134</v>
      </c>
      <c r="R6" s="579"/>
      <c r="S6" s="579" t="s">
        <v>132</v>
      </c>
      <c r="T6" s="579"/>
      <c r="U6" s="579" t="s">
        <v>137</v>
      </c>
      <c r="V6" s="579"/>
      <c r="W6" s="579" t="s">
        <v>127</v>
      </c>
      <c r="X6" s="579"/>
      <c r="Y6" s="540" t="s">
        <v>125</v>
      </c>
      <c r="Z6" s="569"/>
      <c r="AA6" s="540" t="s">
        <v>126</v>
      </c>
      <c r="AB6" s="541"/>
      <c r="AC6" s="540" t="s">
        <v>140</v>
      </c>
      <c r="AD6" s="541"/>
      <c r="AE6" s="550" t="s">
        <v>16</v>
      </c>
      <c r="AF6" s="551"/>
      <c r="AG6" s="10"/>
      <c r="AH6" s="10"/>
      <c r="AI6" s="10"/>
      <c r="AJ6" s="10"/>
      <c r="AK6" s="10"/>
      <c r="AL6" s="10"/>
      <c r="AM6" s="10"/>
      <c r="AN6" s="10"/>
      <c r="AO6" s="10"/>
      <c r="AP6" s="10"/>
      <c r="AQ6" s="10"/>
      <c r="AR6" s="10"/>
      <c r="AS6" s="28"/>
      <c r="AT6" s="28"/>
      <c r="AU6" s="28"/>
      <c r="AV6" s="28"/>
      <c r="AW6" s="17"/>
      <c r="AX6" s="17"/>
      <c r="AY6" s="10"/>
      <c r="AZ6" s="10"/>
      <c r="BA6" s="10"/>
      <c r="BB6" s="10"/>
      <c r="BC6" s="10"/>
      <c r="BD6" s="10"/>
      <c r="BE6" s="10"/>
      <c r="BF6" s="10"/>
      <c r="BG6" s="10"/>
      <c r="BH6" s="10"/>
      <c r="BI6" s="10"/>
      <c r="BJ6" s="10"/>
      <c r="BK6" s="10"/>
    </row>
    <row r="7" spans="2:63" ht="12.75">
      <c r="B7" s="249"/>
      <c r="C7" s="250"/>
      <c r="D7" s="250" t="s">
        <v>4</v>
      </c>
      <c r="E7" s="152"/>
      <c r="F7" s="124" t="s">
        <v>1</v>
      </c>
      <c r="G7" s="124" t="s">
        <v>2</v>
      </c>
      <c r="H7" s="124" t="s">
        <v>1</v>
      </c>
      <c r="I7" s="124" t="s">
        <v>2</v>
      </c>
      <c r="J7" s="175">
        <v>4</v>
      </c>
      <c r="K7" s="175">
        <v>5</v>
      </c>
      <c r="L7" s="175">
        <v>6</v>
      </c>
      <c r="M7" s="175">
        <v>7</v>
      </c>
      <c r="N7" s="152">
        <v>3</v>
      </c>
      <c r="O7" s="152">
        <v>5</v>
      </c>
      <c r="P7" s="152">
        <v>7</v>
      </c>
      <c r="Q7" s="175" t="s">
        <v>46</v>
      </c>
      <c r="R7" s="175" t="s">
        <v>2</v>
      </c>
      <c r="S7" s="175" t="s">
        <v>46</v>
      </c>
      <c r="T7" s="175" t="s">
        <v>2</v>
      </c>
      <c r="U7" s="175" t="s">
        <v>46</v>
      </c>
      <c r="V7" s="175" t="s">
        <v>2</v>
      </c>
      <c r="W7" s="175" t="s">
        <v>46</v>
      </c>
      <c r="X7" s="175" t="s">
        <v>2</v>
      </c>
      <c r="Y7" s="152" t="s">
        <v>46</v>
      </c>
      <c r="Z7" s="152" t="s">
        <v>2</v>
      </c>
      <c r="AA7" s="152" t="s">
        <v>46</v>
      </c>
      <c r="AB7" s="152" t="s">
        <v>2</v>
      </c>
      <c r="AC7" s="152" t="s">
        <v>46</v>
      </c>
      <c r="AD7" s="152" t="s">
        <v>2</v>
      </c>
      <c r="AE7" s="152" t="s">
        <v>46</v>
      </c>
      <c r="AF7" s="217" t="s">
        <v>2</v>
      </c>
      <c r="AG7" s="10"/>
      <c r="AH7" s="10"/>
      <c r="AI7" s="10"/>
      <c r="AJ7" s="10"/>
      <c r="AK7" s="10"/>
      <c r="AL7" s="10"/>
      <c r="AM7" s="10"/>
      <c r="AN7" s="10"/>
      <c r="AO7" s="10"/>
      <c r="AP7" s="10"/>
      <c r="AQ7" s="10"/>
      <c r="AR7" s="10"/>
      <c r="AS7" s="28"/>
      <c r="AT7" s="28"/>
      <c r="AU7" s="28"/>
      <c r="AV7" s="28"/>
      <c r="AW7" s="17"/>
      <c r="AX7" s="17"/>
      <c r="AY7" s="10"/>
      <c r="AZ7" s="10"/>
      <c r="BA7" s="10"/>
      <c r="BB7" s="10"/>
      <c r="BC7" s="10"/>
      <c r="BD7" s="10"/>
      <c r="BE7" s="10"/>
      <c r="BF7" s="10"/>
      <c r="BG7" s="10"/>
      <c r="BH7" s="10"/>
      <c r="BI7" s="10"/>
      <c r="BJ7" s="10"/>
      <c r="BK7" s="10"/>
    </row>
    <row r="8" spans="2:63" ht="12.75">
      <c r="B8" s="249"/>
      <c r="C8" s="250"/>
      <c r="D8" s="250"/>
      <c r="E8" s="152"/>
      <c r="F8" s="124"/>
      <c r="G8" s="124"/>
      <c r="H8" s="124"/>
      <c r="I8" s="124"/>
      <c r="J8" s="175"/>
      <c r="K8" s="175"/>
      <c r="L8" s="175"/>
      <c r="M8" s="175"/>
      <c r="N8" s="152"/>
      <c r="O8" s="152"/>
      <c r="P8" s="152"/>
      <c r="Q8" s="175"/>
      <c r="R8" s="175"/>
      <c r="S8" s="175"/>
      <c r="T8" s="175"/>
      <c r="U8" s="175"/>
      <c r="V8" s="175"/>
      <c r="W8" s="175"/>
      <c r="X8" s="175"/>
      <c r="Y8" s="152"/>
      <c r="Z8" s="278"/>
      <c r="AA8" s="152"/>
      <c r="AB8" s="152"/>
      <c r="AC8" s="152"/>
      <c r="AD8" s="152"/>
      <c r="AE8" s="152"/>
      <c r="AF8" s="217"/>
      <c r="AG8" s="10"/>
      <c r="AH8" s="10"/>
      <c r="AI8" s="10"/>
      <c r="AJ8" s="10"/>
      <c r="AK8" s="10"/>
      <c r="AL8" s="10"/>
      <c r="AM8" s="10"/>
      <c r="AN8" s="10"/>
      <c r="AO8" s="10"/>
      <c r="AP8" s="10"/>
      <c r="AQ8" s="10"/>
      <c r="AR8" s="10"/>
      <c r="AS8" s="28"/>
      <c r="AT8" s="28"/>
      <c r="AU8" s="28"/>
      <c r="AV8" s="28"/>
      <c r="AW8" s="17"/>
      <c r="AX8" s="17"/>
      <c r="AY8" s="10"/>
      <c r="AZ8" s="10"/>
      <c r="BA8" s="10"/>
      <c r="BB8" s="10"/>
      <c r="BC8" s="10"/>
      <c r="BD8" s="10"/>
      <c r="BE8" s="10"/>
      <c r="BF8" s="10"/>
      <c r="BG8" s="10"/>
      <c r="BH8" s="10"/>
      <c r="BI8" s="10"/>
      <c r="BJ8" s="10"/>
      <c r="BK8" s="10"/>
    </row>
    <row r="9" spans="2:63" ht="12.75">
      <c r="B9" s="249"/>
      <c r="C9" s="250"/>
      <c r="D9" s="250"/>
      <c r="E9" s="152"/>
      <c r="F9" s="124"/>
      <c r="G9" s="124"/>
      <c r="H9" s="124"/>
      <c r="I9" s="124"/>
      <c r="J9" s="175"/>
      <c r="K9" s="175"/>
      <c r="L9" s="175"/>
      <c r="M9" s="175"/>
      <c r="N9" s="152"/>
      <c r="O9" s="152"/>
      <c r="P9" s="152"/>
      <c r="Q9" s="175"/>
      <c r="R9" s="175"/>
      <c r="S9" s="175"/>
      <c r="T9" s="175"/>
      <c r="U9" s="175"/>
      <c r="V9" s="175"/>
      <c r="W9" s="175"/>
      <c r="X9" s="175"/>
      <c r="Y9" s="152"/>
      <c r="Z9" s="278"/>
      <c r="AA9" s="152"/>
      <c r="AB9" s="152"/>
      <c r="AC9" s="152"/>
      <c r="AD9" s="152"/>
      <c r="AE9" s="152"/>
      <c r="AF9" s="217"/>
      <c r="AG9" s="10"/>
      <c r="AH9" s="10"/>
      <c r="AI9" s="10"/>
      <c r="AJ9" s="10"/>
      <c r="AK9" s="10"/>
      <c r="AL9" s="10"/>
      <c r="AM9" s="10"/>
      <c r="AN9" s="10"/>
      <c r="AO9" s="10"/>
      <c r="AP9" s="10"/>
      <c r="AQ9" s="10"/>
      <c r="AR9" s="10"/>
      <c r="AS9" s="28"/>
      <c r="AT9" s="28"/>
      <c r="AU9" s="28"/>
      <c r="AV9" s="28"/>
      <c r="AW9" s="17"/>
      <c r="AX9" s="17"/>
      <c r="AY9" s="10"/>
      <c r="AZ9" s="10"/>
      <c r="BA9" s="10"/>
      <c r="BB9" s="10"/>
      <c r="BC9" s="10"/>
      <c r="BD9" s="10"/>
      <c r="BE9" s="10"/>
      <c r="BF9" s="10"/>
      <c r="BG9" s="10"/>
      <c r="BH9" s="10"/>
      <c r="BI9" s="10"/>
      <c r="BJ9" s="10"/>
      <c r="BK9" s="10"/>
    </row>
    <row r="10" spans="2:63" ht="12.75">
      <c r="B10" s="210">
        <v>1982</v>
      </c>
      <c r="C10" s="172"/>
      <c r="D10" s="172"/>
      <c r="E10" s="172"/>
      <c r="F10" s="100">
        <f>C10*$G$6</f>
        <v>0</v>
      </c>
      <c r="G10" s="100">
        <f>E10*$G$6</f>
        <v>0</v>
      </c>
      <c r="H10" s="100">
        <f>C10*$I$6</f>
        <v>0</v>
      </c>
      <c r="I10" s="100">
        <f>E10*$I$6</f>
        <v>0</v>
      </c>
      <c r="J10" s="150"/>
      <c r="K10" s="176"/>
      <c r="L10" s="176"/>
      <c r="M10" s="176"/>
      <c r="N10" s="164">
        <v>0.4</v>
      </c>
      <c r="O10" s="164">
        <v>0.6</v>
      </c>
      <c r="P10" s="164">
        <v>0</v>
      </c>
      <c r="Q10" s="172"/>
      <c r="R10" s="172"/>
      <c r="S10" s="172"/>
      <c r="T10" s="172"/>
      <c r="U10" s="172"/>
      <c r="V10" s="172"/>
      <c r="W10" s="172"/>
      <c r="X10" s="172"/>
      <c r="Y10" s="98"/>
      <c r="Z10" s="246"/>
      <c r="AA10" s="98"/>
      <c r="AB10" s="98"/>
      <c r="AC10" s="98"/>
      <c r="AD10" s="98"/>
      <c r="AE10" s="98"/>
      <c r="AF10" s="103"/>
      <c r="AG10" s="174"/>
      <c r="AH10" s="174"/>
      <c r="AI10" s="174"/>
      <c r="AJ10" s="174"/>
      <c r="AK10" s="174"/>
      <c r="AL10" s="174"/>
      <c r="AM10" s="174"/>
      <c r="AN10" s="174"/>
      <c r="AO10" s="174"/>
      <c r="AP10" s="174"/>
      <c r="AQ10" s="174"/>
      <c r="AR10" s="174"/>
      <c r="AS10" s="174"/>
      <c r="AT10" s="28"/>
      <c r="AU10" s="28"/>
      <c r="AV10" s="28"/>
      <c r="AW10" s="17"/>
      <c r="AX10" s="17"/>
      <c r="AY10" s="10"/>
      <c r="AZ10" s="10"/>
      <c r="BA10" s="10"/>
      <c r="BB10" s="10"/>
      <c r="BC10" s="10"/>
      <c r="BD10" s="10"/>
      <c r="BE10" s="10"/>
      <c r="BF10" s="10"/>
      <c r="BG10" s="10"/>
      <c r="BH10" s="10"/>
      <c r="BI10" s="10"/>
      <c r="BJ10" s="10"/>
      <c r="BK10" s="10"/>
    </row>
    <row r="11" spans="2:63" ht="12.75">
      <c r="B11" s="210">
        <v>1983</v>
      </c>
      <c r="C11" s="172"/>
      <c r="D11" s="172"/>
      <c r="E11" s="172"/>
      <c r="F11" s="100">
        <f aca="true" t="shared" si="0" ref="F11:F35">C11*$G$6</f>
        <v>0</v>
      </c>
      <c r="G11" s="100">
        <f aca="true" t="shared" si="1" ref="G11:G35">E11*$G$6</f>
        <v>0</v>
      </c>
      <c r="H11" s="100">
        <f aca="true" t="shared" si="2" ref="H11:H35">C11*$I$6</f>
        <v>0</v>
      </c>
      <c r="I11" s="100">
        <f aca="true" t="shared" si="3" ref="I11:I35">E11*$I$6</f>
        <v>0</v>
      </c>
      <c r="J11" s="150"/>
      <c r="K11" s="176"/>
      <c r="L11" s="176"/>
      <c r="M11" s="176"/>
      <c r="N11" s="164">
        <v>0.4</v>
      </c>
      <c r="O11" s="164">
        <v>0.6</v>
      </c>
      <c r="P11" s="164">
        <v>0</v>
      </c>
      <c r="Q11" s="172"/>
      <c r="R11" s="172"/>
      <c r="S11" s="172"/>
      <c r="T11" s="172"/>
      <c r="U11" s="172"/>
      <c r="V11" s="172"/>
      <c r="W11" s="172"/>
      <c r="X11" s="172"/>
      <c r="Y11" s="98"/>
      <c r="Z11" s="246"/>
      <c r="AA11" s="98"/>
      <c r="AB11" s="98"/>
      <c r="AC11" s="98"/>
      <c r="AD11" s="98"/>
      <c r="AE11" s="98"/>
      <c r="AF11" s="103"/>
      <c r="AG11" s="174"/>
      <c r="AH11" s="174"/>
      <c r="AI11" s="174"/>
      <c r="AJ11" s="174"/>
      <c r="AK11" s="174"/>
      <c r="AL11" s="174"/>
      <c r="AM11" s="174"/>
      <c r="AN11" s="174"/>
      <c r="AO11" s="174"/>
      <c r="AP11" s="174"/>
      <c r="AQ11" s="174"/>
      <c r="AR11" s="174"/>
      <c r="AS11" s="174"/>
      <c r="AT11" s="28"/>
      <c r="AU11" s="28"/>
      <c r="AV11" s="28"/>
      <c r="AW11" s="17"/>
      <c r="AX11" s="17"/>
      <c r="AY11" s="10"/>
      <c r="AZ11" s="10"/>
      <c r="BA11" s="10"/>
      <c r="BB11" s="10"/>
      <c r="BC11" s="10"/>
      <c r="BD11" s="10"/>
      <c r="BE11" s="10"/>
      <c r="BF11" s="10"/>
      <c r="BG11" s="10"/>
      <c r="BH11" s="10"/>
      <c r="BI11" s="10"/>
      <c r="BJ11" s="10"/>
      <c r="BK11" s="10"/>
    </row>
    <row r="12" spans="2:63" ht="12.75">
      <c r="B12" s="210">
        <v>1984</v>
      </c>
      <c r="C12" s="172"/>
      <c r="D12" s="172"/>
      <c r="E12" s="172"/>
      <c r="F12" s="100">
        <f t="shared" si="0"/>
        <v>0</v>
      </c>
      <c r="G12" s="100">
        <f t="shared" si="1"/>
        <v>0</v>
      </c>
      <c r="H12" s="100">
        <f t="shared" si="2"/>
        <v>0</v>
      </c>
      <c r="I12" s="100">
        <f t="shared" si="3"/>
        <v>0</v>
      </c>
      <c r="J12" s="150"/>
      <c r="K12" s="176"/>
      <c r="L12" s="176"/>
      <c r="M12" s="176"/>
      <c r="N12" s="164">
        <v>0.4</v>
      </c>
      <c r="O12" s="164">
        <v>0.6</v>
      </c>
      <c r="P12" s="164">
        <v>0</v>
      </c>
      <c r="Q12" s="172"/>
      <c r="R12" s="172"/>
      <c r="S12" s="172"/>
      <c r="T12" s="172"/>
      <c r="U12" s="172"/>
      <c r="V12" s="172"/>
      <c r="W12" s="172"/>
      <c r="X12" s="172"/>
      <c r="Y12" s="98"/>
      <c r="Z12" s="246"/>
      <c r="AA12" s="100"/>
      <c r="AB12" s="100"/>
      <c r="AC12" s="100"/>
      <c r="AD12" s="100"/>
      <c r="AE12" s="100">
        <f>Q12+S12+U12+W12+Y12+AA12+AC12</f>
        <v>0</v>
      </c>
      <c r="AF12" s="107">
        <f>R12+T12+V12+X12+Z12+AB12+AD12</f>
        <v>0</v>
      </c>
      <c r="AG12" s="174"/>
      <c r="AH12" s="174"/>
      <c r="AI12" s="174"/>
      <c r="AJ12" s="174"/>
      <c r="AK12" s="174"/>
      <c r="AL12" s="174"/>
      <c r="AM12" s="174"/>
      <c r="AN12" s="174"/>
      <c r="AO12" s="174"/>
      <c r="AP12" s="174"/>
      <c r="AQ12" s="174"/>
      <c r="AR12" s="174"/>
      <c r="AS12" s="174"/>
      <c r="AT12" s="28"/>
      <c r="AU12" s="28"/>
      <c r="AV12" s="28"/>
      <c r="AW12" s="17"/>
      <c r="AX12" s="17"/>
      <c r="AY12" s="10"/>
      <c r="AZ12" s="10"/>
      <c r="BA12" s="10"/>
      <c r="BB12" s="10"/>
      <c r="BC12" s="10"/>
      <c r="BD12" s="10"/>
      <c r="BE12" s="10"/>
      <c r="BF12" s="10"/>
      <c r="BG12" s="10"/>
      <c r="BH12" s="10"/>
      <c r="BI12" s="10"/>
      <c r="BJ12" s="10"/>
      <c r="BK12" s="10"/>
    </row>
    <row r="13" spans="2:63" ht="12.75">
      <c r="B13" s="210">
        <v>1985</v>
      </c>
      <c r="C13" s="172"/>
      <c r="D13" s="172"/>
      <c r="E13" s="172"/>
      <c r="F13" s="100">
        <f t="shared" si="0"/>
        <v>0</v>
      </c>
      <c r="G13" s="100">
        <f t="shared" si="1"/>
        <v>0</v>
      </c>
      <c r="H13" s="100">
        <f t="shared" si="2"/>
        <v>0</v>
      </c>
      <c r="I13" s="100">
        <f t="shared" si="3"/>
        <v>0</v>
      </c>
      <c r="J13" s="150"/>
      <c r="K13" s="176"/>
      <c r="L13" s="176"/>
      <c r="M13" s="176"/>
      <c r="N13" s="164">
        <v>0.4</v>
      </c>
      <c r="O13" s="164">
        <v>0.6</v>
      </c>
      <c r="P13" s="164">
        <v>0</v>
      </c>
      <c r="Q13" s="172"/>
      <c r="R13" s="172"/>
      <c r="S13" s="172"/>
      <c r="T13" s="172"/>
      <c r="U13" s="172"/>
      <c r="V13" s="172"/>
      <c r="W13" s="172"/>
      <c r="X13" s="172"/>
      <c r="Y13" s="98"/>
      <c r="Z13" s="246"/>
      <c r="AA13" s="100"/>
      <c r="AB13" s="100"/>
      <c r="AC13" s="100">
        <f aca="true" t="shared" si="4" ref="AC13:AC40">$H10*$N10/1000</f>
        <v>0</v>
      </c>
      <c r="AD13" s="100">
        <f aca="true" t="shared" si="5" ref="AD13:AD40">I10*N10</f>
        <v>0</v>
      </c>
      <c r="AE13" s="100">
        <f aca="true" t="shared" si="6" ref="AE13:AE38">Q13+S13+U13+W13+Y13+AA13+AC13</f>
        <v>0</v>
      </c>
      <c r="AF13" s="107">
        <f aca="true" t="shared" si="7" ref="AF13:AF38">R13+T13+V13+X13+Z13+AB13+AD13</f>
        <v>0</v>
      </c>
      <c r="AG13" s="174"/>
      <c r="AH13" s="174"/>
      <c r="AI13" s="174"/>
      <c r="AJ13" s="174"/>
      <c r="AK13" s="174"/>
      <c r="AL13" s="174"/>
      <c r="AM13" s="174"/>
      <c r="AN13" s="174"/>
      <c r="AO13" s="174"/>
      <c r="AP13" s="174"/>
      <c r="AQ13" s="174"/>
      <c r="AR13" s="174"/>
      <c r="AS13" s="174"/>
      <c r="AT13" s="28"/>
      <c r="AU13" s="28"/>
      <c r="AV13" s="28"/>
      <c r="AW13" s="17"/>
      <c r="AX13" s="17"/>
      <c r="AY13" s="10"/>
      <c r="AZ13" s="10"/>
      <c r="BA13" s="10"/>
      <c r="BB13" s="10"/>
      <c r="BC13" s="10"/>
      <c r="BD13" s="10"/>
      <c r="BE13" s="10"/>
      <c r="BF13" s="10"/>
      <c r="BG13" s="10"/>
      <c r="BH13" s="10"/>
      <c r="BI13" s="10"/>
      <c r="BJ13" s="10"/>
      <c r="BK13" s="10"/>
    </row>
    <row r="14" spans="2:63" ht="12.75">
      <c r="B14" s="210">
        <v>1986</v>
      </c>
      <c r="C14" s="172"/>
      <c r="D14" s="172"/>
      <c r="E14" s="172"/>
      <c r="F14" s="100">
        <f t="shared" si="0"/>
        <v>0</v>
      </c>
      <c r="G14" s="100">
        <f t="shared" si="1"/>
        <v>0</v>
      </c>
      <c r="H14" s="100">
        <f t="shared" si="2"/>
        <v>0</v>
      </c>
      <c r="I14" s="100">
        <f t="shared" si="3"/>
        <v>0</v>
      </c>
      <c r="J14" s="150"/>
      <c r="K14" s="176"/>
      <c r="L14" s="176"/>
      <c r="M14" s="176"/>
      <c r="N14" s="164">
        <v>0.4</v>
      </c>
      <c r="O14" s="164">
        <v>0.6</v>
      </c>
      <c r="P14" s="164">
        <v>0</v>
      </c>
      <c r="Q14" s="172"/>
      <c r="R14" s="172"/>
      <c r="S14" s="172"/>
      <c r="T14" s="172"/>
      <c r="U14" s="172"/>
      <c r="V14" s="172"/>
      <c r="W14" s="172"/>
      <c r="X14" s="172"/>
      <c r="Y14" s="98"/>
      <c r="Z14" s="246"/>
      <c r="AA14" s="100"/>
      <c r="AB14" s="100"/>
      <c r="AC14" s="100">
        <f t="shared" si="4"/>
        <v>0</v>
      </c>
      <c r="AD14" s="100">
        <f t="shared" si="5"/>
        <v>0</v>
      </c>
      <c r="AE14" s="100">
        <f t="shared" si="6"/>
        <v>0</v>
      </c>
      <c r="AF14" s="107">
        <f t="shared" si="7"/>
        <v>0</v>
      </c>
      <c r="AG14" s="174"/>
      <c r="AH14" s="174"/>
      <c r="AI14" s="174"/>
      <c r="AJ14" s="174"/>
      <c r="AK14" s="174"/>
      <c r="AL14" s="174"/>
      <c r="AM14" s="174"/>
      <c r="AN14" s="174"/>
      <c r="AO14" s="174"/>
      <c r="AP14" s="174"/>
      <c r="AQ14" s="174"/>
      <c r="AR14" s="174"/>
      <c r="AS14" s="174"/>
      <c r="AT14" s="28"/>
      <c r="AU14" s="28"/>
      <c r="AV14" s="28"/>
      <c r="AW14" s="17"/>
      <c r="AX14" s="17"/>
      <c r="AY14" s="10"/>
      <c r="AZ14" s="10"/>
      <c r="BA14" s="10"/>
      <c r="BB14" s="10"/>
      <c r="BC14" s="10"/>
      <c r="BD14" s="10"/>
      <c r="BE14" s="10"/>
      <c r="BF14" s="10"/>
      <c r="BG14" s="10"/>
      <c r="BH14" s="10"/>
      <c r="BI14" s="10"/>
      <c r="BJ14" s="10"/>
      <c r="BK14" s="10"/>
    </row>
    <row r="15" spans="2:63" ht="12.75">
      <c r="B15" s="210">
        <v>1987</v>
      </c>
      <c r="C15" s="172"/>
      <c r="D15" s="172"/>
      <c r="E15" s="172"/>
      <c r="F15" s="100">
        <f t="shared" si="0"/>
        <v>0</v>
      </c>
      <c r="G15" s="100">
        <f t="shared" si="1"/>
        <v>0</v>
      </c>
      <c r="H15" s="100">
        <f t="shared" si="2"/>
        <v>0</v>
      </c>
      <c r="I15" s="100">
        <f t="shared" si="3"/>
        <v>0</v>
      </c>
      <c r="J15" s="150"/>
      <c r="K15" s="176"/>
      <c r="L15" s="176"/>
      <c r="M15" s="176"/>
      <c r="N15" s="164">
        <v>0.4</v>
      </c>
      <c r="O15" s="164">
        <v>0.6</v>
      </c>
      <c r="P15" s="164">
        <v>0</v>
      </c>
      <c r="Q15" s="172"/>
      <c r="R15" s="172"/>
      <c r="S15" s="172"/>
      <c r="T15" s="172"/>
      <c r="U15" s="172"/>
      <c r="V15" s="172"/>
      <c r="W15" s="172"/>
      <c r="X15" s="172"/>
      <c r="Y15" s="100">
        <f>$H10*O10/1000</f>
        <v>0</v>
      </c>
      <c r="Z15" s="100">
        <f>I10*O10</f>
        <v>0</v>
      </c>
      <c r="AA15" s="100"/>
      <c r="AB15" s="100"/>
      <c r="AC15" s="100">
        <f t="shared" si="4"/>
        <v>0</v>
      </c>
      <c r="AD15" s="100">
        <f t="shared" si="5"/>
        <v>0</v>
      </c>
      <c r="AE15" s="100">
        <f t="shared" si="6"/>
        <v>0</v>
      </c>
      <c r="AF15" s="107">
        <f t="shared" si="7"/>
        <v>0</v>
      </c>
      <c r="AG15" s="174"/>
      <c r="AH15" s="174"/>
      <c r="AI15" s="174"/>
      <c r="AJ15" s="174"/>
      <c r="AK15" s="174"/>
      <c r="AL15" s="174"/>
      <c r="AM15" s="174"/>
      <c r="AN15" s="174"/>
      <c r="AO15" s="174"/>
      <c r="AP15" s="174"/>
      <c r="AQ15" s="174"/>
      <c r="AR15" s="174"/>
      <c r="AS15" s="174"/>
      <c r="AT15" s="28"/>
      <c r="AU15" s="28"/>
      <c r="AV15" s="28"/>
      <c r="AW15" s="17"/>
      <c r="AX15" s="17"/>
      <c r="AY15" s="10"/>
      <c r="AZ15" s="10"/>
      <c r="BA15" s="10"/>
      <c r="BB15" s="10"/>
      <c r="BC15" s="10"/>
      <c r="BD15" s="10"/>
      <c r="BE15" s="10"/>
      <c r="BF15" s="10"/>
      <c r="BG15" s="10"/>
      <c r="BH15" s="10"/>
      <c r="BI15" s="10"/>
      <c r="BJ15" s="10"/>
      <c r="BK15" s="10"/>
    </row>
    <row r="16" spans="2:63" ht="12.75">
      <c r="B16" s="210">
        <v>1988</v>
      </c>
      <c r="C16" s="172"/>
      <c r="D16" s="172"/>
      <c r="E16" s="172"/>
      <c r="F16" s="100">
        <f t="shared" si="0"/>
        <v>0</v>
      </c>
      <c r="G16" s="100">
        <f t="shared" si="1"/>
        <v>0</v>
      </c>
      <c r="H16" s="100">
        <f t="shared" si="2"/>
        <v>0</v>
      </c>
      <c r="I16" s="100">
        <f t="shared" si="3"/>
        <v>0</v>
      </c>
      <c r="J16" s="150"/>
      <c r="K16" s="176"/>
      <c r="L16" s="176"/>
      <c r="M16" s="176"/>
      <c r="N16" s="164">
        <v>0.4</v>
      </c>
      <c r="O16" s="164">
        <v>0.6</v>
      </c>
      <c r="P16" s="164">
        <v>0</v>
      </c>
      <c r="Q16" s="172"/>
      <c r="R16" s="172"/>
      <c r="S16" s="172"/>
      <c r="T16" s="172"/>
      <c r="U16" s="172"/>
      <c r="V16" s="172"/>
      <c r="W16" s="172"/>
      <c r="X16" s="172"/>
      <c r="Y16" s="100">
        <f aca="true" t="shared" si="8" ref="Y16:Y40">$H11*O11/1000</f>
        <v>0</v>
      </c>
      <c r="Z16" s="100">
        <f aca="true" t="shared" si="9" ref="Z16:Z40">I11*O11</f>
        <v>0</v>
      </c>
      <c r="AA16" s="100"/>
      <c r="AB16" s="100"/>
      <c r="AC16" s="100">
        <f t="shared" si="4"/>
        <v>0</v>
      </c>
      <c r="AD16" s="100">
        <f t="shared" si="5"/>
        <v>0</v>
      </c>
      <c r="AE16" s="100">
        <f t="shared" si="6"/>
        <v>0</v>
      </c>
      <c r="AF16" s="107">
        <f t="shared" si="7"/>
        <v>0</v>
      </c>
      <c r="AG16" s="174"/>
      <c r="AH16" s="174"/>
      <c r="AI16" s="174"/>
      <c r="AJ16" s="174"/>
      <c r="AK16" s="174"/>
      <c r="AL16" s="174"/>
      <c r="AM16" s="174"/>
      <c r="AN16" s="174"/>
      <c r="AO16" s="174"/>
      <c r="AP16" s="174"/>
      <c r="AQ16" s="174"/>
      <c r="AR16" s="174"/>
      <c r="AS16" s="174"/>
      <c r="AT16" s="28"/>
      <c r="AU16" s="28"/>
      <c r="AV16" s="28"/>
      <c r="AW16" s="17"/>
      <c r="AX16" s="17"/>
      <c r="AY16" s="10"/>
      <c r="AZ16" s="10"/>
      <c r="BA16" s="10"/>
      <c r="BB16" s="10"/>
      <c r="BC16" s="10"/>
      <c r="BD16" s="10"/>
      <c r="BE16" s="10"/>
      <c r="BF16" s="10"/>
      <c r="BG16" s="10"/>
      <c r="BH16" s="10"/>
      <c r="BI16" s="10"/>
      <c r="BJ16" s="10"/>
      <c r="BK16" s="10"/>
    </row>
    <row r="17" spans="2:63" ht="12.75">
      <c r="B17" s="210">
        <v>1989</v>
      </c>
      <c r="C17" s="172"/>
      <c r="D17" s="172"/>
      <c r="E17" s="172"/>
      <c r="F17" s="100">
        <f t="shared" si="0"/>
        <v>0</v>
      </c>
      <c r="G17" s="100">
        <f t="shared" si="1"/>
        <v>0</v>
      </c>
      <c r="H17" s="100">
        <f t="shared" si="2"/>
        <v>0</v>
      </c>
      <c r="I17" s="100">
        <f t="shared" si="3"/>
        <v>0</v>
      </c>
      <c r="J17" s="150"/>
      <c r="K17" s="176"/>
      <c r="L17" s="176"/>
      <c r="M17" s="176"/>
      <c r="N17" s="164">
        <v>0.4</v>
      </c>
      <c r="O17" s="164">
        <v>0.6</v>
      </c>
      <c r="P17" s="164">
        <v>0</v>
      </c>
      <c r="Q17" s="172"/>
      <c r="R17" s="172"/>
      <c r="S17" s="172"/>
      <c r="T17" s="172"/>
      <c r="U17" s="172"/>
      <c r="V17" s="172"/>
      <c r="W17" s="172"/>
      <c r="X17" s="172"/>
      <c r="Y17" s="100">
        <f t="shared" si="8"/>
        <v>0</v>
      </c>
      <c r="Z17" s="100">
        <f t="shared" si="9"/>
        <v>0</v>
      </c>
      <c r="AA17" s="100">
        <f>$H10*P10/1000</f>
        <v>0</v>
      </c>
      <c r="AB17" s="100">
        <f>I10*P10</f>
        <v>0</v>
      </c>
      <c r="AC17" s="100">
        <f t="shared" si="4"/>
        <v>0</v>
      </c>
      <c r="AD17" s="100">
        <f t="shared" si="5"/>
        <v>0</v>
      </c>
      <c r="AE17" s="100">
        <f t="shared" si="6"/>
        <v>0</v>
      </c>
      <c r="AF17" s="107">
        <f t="shared" si="7"/>
        <v>0</v>
      </c>
      <c r="AG17" s="174"/>
      <c r="AH17" s="174"/>
      <c r="AI17" s="174"/>
      <c r="AJ17" s="174"/>
      <c r="AK17" s="174"/>
      <c r="AL17" s="174"/>
      <c r="AM17" s="174"/>
      <c r="AN17" s="174"/>
      <c r="AO17" s="174"/>
      <c r="AP17" s="174"/>
      <c r="AQ17" s="174"/>
      <c r="AR17" s="174"/>
      <c r="AS17" s="174"/>
      <c r="AT17" s="28"/>
      <c r="AU17" s="28"/>
      <c r="AV17" s="28"/>
      <c r="AW17" s="17"/>
      <c r="AX17" s="17"/>
      <c r="AY17" s="10"/>
      <c r="AZ17" s="10"/>
      <c r="BA17" s="10"/>
      <c r="BB17" s="10"/>
      <c r="BC17" s="10"/>
      <c r="BD17" s="10"/>
      <c r="BE17" s="10"/>
      <c r="BF17" s="10"/>
      <c r="BG17" s="10"/>
      <c r="BH17" s="10"/>
      <c r="BI17" s="10"/>
      <c r="BJ17" s="10"/>
      <c r="BK17" s="10"/>
    </row>
    <row r="18" spans="2:63" ht="12.75">
      <c r="B18" s="210">
        <v>1990</v>
      </c>
      <c r="C18" s="172"/>
      <c r="D18" s="172"/>
      <c r="E18" s="172"/>
      <c r="F18" s="100">
        <f t="shared" si="0"/>
        <v>0</v>
      </c>
      <c r="G18" s="100">
        <f t="shared" si="1"/>
        <v>0</v>
      </c>
      <c r="H18" s="100">
        <f t="shared" si="2"/>
        <v>0</v>
      </c>
      <c r="I18" s="100">
        <f t="shared" si="3"/>
        <v>0</v>
      </c>
      <c r="J18" s="150"/>
      <c r="K18" s="176"/>
      <c r="L18" s="176"/>
      <c r="M18" s="176"/>
      <c r="N18" s="164">
        <v>0.4</v>
      </c>
      <c r="O18" s="164">
        <v>0.6</v>
      </c>
      <c r="P18" s="164">
        <v>0</v>
      </c>
      <c r="Q18" s="172"/>
      <c r="R18" s="172"/>
      <c r="S18" s="172"/>
      <c r="T18" s="172"/>
      <c r="U18" s="172"/>
      <c r="V18" s="172"/>
      <c r="W18" s="172"/>
      <c r="X18" s="172"/>
      <c r="Y18" s="100">
        <f t="shared" si="8"/>
        <v>0</v>
      </c>
      <c r="Z18" s="100">
        <f t="shared" si="9"/>
        <v>0</v>
      </c>
      <c r="AA18" s="100">
        <f aca="true" t="shared" si="10" ref="AA18:AA40">$H11*P11/1000</f>
        <v>0</v>
      </c>
      <c r="AB18" s="100">
        <f aca="true" t="shared" si="11" ref="AB18:AB40">I11*P11</f>
        <v>0</v>
      </c>
      <c r="AC18" s="100">
        <f t="shared" si="4"/>
        <v>0</v>
      </c>
      <c r="AD18" s="100">
        <f t="shared" si="5"/>
        <v>0</v>
      </c>
      <c r="AE18" s="100">
        <f t="shared" si="6"/>
        <v>0</v>
      </c>
      <c r="AF18" s="107">
        <f t="shared" si="7"/>
        <v>0</v>
      </c>
      <c r="AG18" s="174"/>
      <c r="AH18" s="174"/>
      <c r="AI18" s="174"/>
      <c r="AJ18" s="174"/>
      <c r="AK18" s="174"/>
      <c r="AL18" s="174"/>
      <c r="AM18" s="174"/>
      <c r="AN18" s="174"/>
      <c r="AO18" s="174"/>
      <c r="AP18" s="174"/>
      <c r="AQ18" s="174"/>
      <c r="AR18" s="174"/>
      <c r="AS18" s="174"/>
      <c r="AT18" s="29"/>
      <c r="AU18" s="192"/>
      <c r="AV18" s="29"/>
      <c r="AW18" s="17"/>
      <c r="AX18" s="17"/>
      <c r="AY18" s="10"/>
      <c r="AZ18" s="10"/>
      <c r="BA18" s="10"/>
      <c r="BB18" s="10"/>
      <c r="BC18" s="10"/>
      <c r="BD18" s="10"/>
      <c r="BE18" s="10"/>
      <c r="BF18" s="10"/>
      <c r="BG18" s="10"/>
      <c r="BH18" s="10"/>
      <c r="BI18" s="10"/>
      <c r="BJ18" s="10"/>
      <c r="BK18" s="10"/>
    </row>
    <row r="19" spans="2:63" ht="12.75">
      <c r="B19" s="210">
        <v>1991</v>
      </c>
      <c r="C19" s="172"/>
      <c r="D19" s="172"/>
      <c r="E19" s="172"/>
      <c r="F19" s="100">
        <f t="shared" si="0"/>
        <v>0</v>
      </c>
      <c r="G19" s="100">
        <f t="shared" si="1"/>
        <v>0</v>
      </c>
      <c r="H19" s="100">
        <f t="shared" si="2"/>
        <v>0</v>
      </c>
      <c r="I19" s="100">
        <f t="shared" si="3"/>
        <v>0</v>
      </c>
      <c r="J19" s="150"/>
      <c r="K19" s="176"/>
      <c r="L19" s="176"/>
      <c r="M19" s="176"/>
      <c r="N19" s="164">
        <v>0.4</v>
      </c>
      <c r="O19" s="164">
        <v>0.6</v>
      </c>
      <c r="P19" s="164">
        <v>0</v>
      </c>
      <c r="Q19" s="172"/>
      <c r="R19" s="172"/>
      <c r="S19" s="172"/>
      <c r="T19" s="172"/>
      <c r="U19" s="172"/>
      <c r="V19" s="172"/>
      <c r="W19" s="172"/>
      <c r="X19" s="172"/>
      <c r="Y19" s="100">
        <f t="shared" si="8"/>
        <v>0</v>
      </c>
      <c r="Z19" s="100">
        <f t="shared" si="9"/>
        <v>0</v>
      </c>
      <c r="AA19" s="100">
        <f t="shared" si="10"/>
        <v>0</v>
      </c>
      <c r="AB19" s="100">
        <f t="shared" si="11"/>
        <v>0</v>
      </c>
      <c r="AC19" s="100">
        <f t="shared" si="4"/>
        <v>0</v>
      </c>
      <c r="AD19" s="100">
        <f t="shared" si="5"/>
        <v>0</v>
      </c>
      <c r="AE19" s="100">
        <f t="shared" si="6"/>
        <v>0</v>
      </c>
      <c r="AF19" s="107">
        <f t="shared" si="7"/>
        <v>0</v>
      </c>
      <c r="AG19" s="174"/>
      <c r="AH19" s="174"/>
      <c r="AI19" s="174"/>
      <c r="AJ19" s="174"/>
      <c r="AK19" s="174"/>
      <c r="AL19" s="174"/>
      <c r="AM19" s="174"/>
      <c r="AN19" s="174"/>
      <c r="AO19" s="174"/>
      <c r="AP19" s="174"/>
      <c r="AQ19" s="174"/>
      <c r="AR19" s="174"/>
      <c r="AS19" s="174"/>
      <c r="AT19" s="29"/>
      <c r="AU19" s="192"/>
      <c r="AV19" s="29"/>
      <c r="AW19" s="17"/>
      <c r="AX19" s="17"/>
      <c r="AY19" s="10"/>
      <c r="AZ19" s="10"/>
      <c r="BA19" s="10"/>
      <c r="BB19" s="10"/>
      <c r="BC19" s="10"/>
      <c r="BD19" s="10"/>
      <c r="BE19" s="10"/>
      <c r="BF19" s="10"/>
      <c r="BG19" s="10"/>
      <c r="BH19" s="10"/>
      <c r="BI19" s="10"/>
      <c r="BJ19" s="10"/>
      <c r="BK19" s="10"/>
    </row>
    <row r="20" spans="2:63" ht="12.75">
      <c r="B20" s="210">
        <v>1992</v>
      </c>
      <c r="C20" s="172">
        <v>1850000</v>
      </c>
      <c r="D20" s="173">
        <v>9</v>
      </c>
      <c r="E20" s="172">
        <f>C20*D20/2000</f>
        <v>8325</v>
      </c>
      <c r="F20" s="100">
        <f t="shared" si="0"/>
        <v>888000</v>
      </c>
      <c r="G20" s="100">
        <f t="shared" si="1"/>
        <v>3996</v>
      </c>
      <c r="H20" s="100">
        <f t="shared" si="2"/>
        <v>962000</v>
      </c>
      <c r="I20" s="100">
        <f t="shared" si="3"/>
        <v>4329</v>
      </c>
      <c r="J20" s="150">
        <v>0.2</v>
      </c>
      <c r="K20" s="176">
        <v>0.15</v>
      </c>
      <c r="L20" s="176">
        <v>0.2</v>
      </c>
      <c r="M20" s="176">
        <v>0.45</v>
      </c>
      <c r="N20" s="164">
        <v>0.4</v>
      </c>
      <c r="O20" s="164">
        <v>0.6</v>
      </c>
      <c r="P20" s="164">
        <v>0</v>
      </c>
      <c r="Q20" s="172"/>
      <c r="R20" s="172"/>
      <c r="S20" s="172"/>
      <c r="T20" s="172"/>
      <c r="U20" s="172"/>
      <c r="V20" s="172"/>
      <c r="W20" s="172"/>
      <c r="X20" s="172"/>
      <c r="Y20" s="100">
        <f t="shared" si="8"/>
        <v>0</v>
      </c>
      <c r="Z20" s="100">
        <f t="shared" si="9"/>
        <v>0</v>
      </c>
      <c r="AA20" s="100">
        <f t="shared" si="10"/>
        <v>0</v>
      </c>
      <c r="AB20" s="100">
        <f t="shared" si="11"/>
        <v>0</v>
      </c>
      <c r="AC20" s="100">
        <f t="shared" si="4"/>
        <v>0</v>
      </c>
      <c r="AD20" s="100">
        <f t="shared" si="5"/>
        <v>0</v>
      </c>
      <c r="AE20" s="100">
        <f t="shared" si="6"/>
        <v>0</v>
      </c>
      <c r="AF20" s="107">
        <f t="shared" si="7"/>
        <v>0</v>
      </c>
      <c r="AG20" s="174"/>
      <c r="AH20" s="174"/>
      <c r="AI20" s="174"/>
      <c r="AJ20" s="174"/>
      <c r="AK20" s="174"/>
      <c r="AL20" s="174"/>
      <c r="AM20" s="174"/>
      <c r="AN20" s="174"/>
      <c r="AO20" s="174"/>
      <c r="AP20" s="174"/>
      <c r="AQ20" s="174"/>
      <c r="AR20" s="174"/>
      <c r="AS20" s="174"/>
      <c r="AT20" s="29"/>
      <c r="AU20" s="192"/>
      <c r="AV20" s="29"/>
      <c r="AW20" s="17"/>
      <c r="AX20" s="17"/>
      <c r="AY20" s="10"/>
      <c r="AZ20" s="10"/>
      <c r="BA20" s="10"/>
      <c r="BB20" s="10"/>
      <c r="BC20" s="10"/>
      <c r="BD20" s="10"/>
      <c r="BE20" s="10"/>
      <c r="BF20" s="10"/>
      <c r="BG20" s="10"/>
      <c r="BH20" s="10"/>
      <c r="BI20" s="10"/>
      <c r="BJ20" s="10"/>
      <c r="BK20" s="10"/>
    </row>
    <row r="21" spans="2:63" ht="12.75">
      <c r="B21" s="210">
        <v>1993</v>
      </c>
      <c r="C21" s="172">
        <v>2527979.44</v>
      </c>
      <c r="D21" s="173">
        <v>8.73</v>
      </c>
      <c r="E21" s="172">
        <f aca="true" t="shared" si="12" ref="E21:E32">C21*D21/2000</f>
        <v>11034.6302556</v>
      </c>
      <c r="F21" s="100">
        <f t="shared" si="0"/>
        <v>1213430.1312</v>
      </c>
      <c r="G21" s="100">
        <f t="shared" si="1"/>
        <v>5296.622522688</v>
      </c>
      <c r="H21" s="100">
        <f t="shared" si="2"/>
        <v>1314549.3088</v>
      </c>
      <c r="I21" s="100">
        <f t="shared" si="3"/>
        <v>5738.0077329119995</v>
      </c>
      <c r="J21" s="150">
        <v>0.2</v>
      </c>
      <c r="K21" s="176">
        <v>0.15</v>
      </c>
      <c r="L21" s="176">
        <v>0.2</v>
      </c>
      <c r="M21" s="176">
        <v>0.45</v>
      </c>
      <c r="N21" s="164">
        <v>0.4</v>
      </c>
      <c r="O21" s="164">
        <v>0.6</v>
      </c>
      <c r="P21" s="164">
        <v>0</v>
      </c>
      <c r="Q21" s="172"/>
      <c r="R21" s="172"/>
      <c r="S21" s="172"/>
      <c r="T21" s="172"/>
      <c r="U21" s="172"/>
      <c r="V21" s="172"/>
      <c r="W21" s="172"/>
      <c r="X21" s="172"/>
      <c r="Y21" s="100">
        <f t="shared" si="8"/>
        <v>0</v>
      </c>
      <c r="Z21" s="100">
        <f t="shared" si="9"/>
        <v>0</v>
      </c>
      <c r="AA21" s="100">
        <f t="shared" si="10"/>
        <v>0</v>
      </c>
      <c r="AB21" s="100">
        <f t="shared" si="11"/>
        <v>0</v>
      </c>
      <c r="AC21" s="100">
        <f t="shared" si="4"/>
        <v>0</v>
      </c>
      <c r="AD21" s="100">
        <f t="shared" si="5"/>
        <v>0</v>
      </c>
      <c r="AE21" s="100">
        <f t="shared" si="6"/>
        <v>0</v>
      </c>
      <c r="AF21" s="107">
        <f t="shared" si="7"/>
        <v>0</v>
      </c>
      <c r="AG21" s="174"/>
      <c r="AH21" s="174"/>
      <c r="AI21" s="174"/>
      <c r="AJ21" s="174"/>
      <c r="AK21" s="174"/>
      <c r="AL21" s="174"/>
      <c r="AM21" s="174"/>
      <c r="AN21" s="174"/>
      <c r="AO21" s="174"/>
      <c r="AP21" s="174"/>
      <c r="AQ21" s="174"/>
      <c r="AR21" s="174"/>
      <c r="AS21" s="174"/>
      <c r="AT21" s="29"/>
      <c r="AU21" s="192"/>
      <c r="AV21" s="29"/>
      <c r="AW21" s="17"/>
      <c r="AX21" s="17"/>
      <c r="AY21" s="10"/>
      <c r="AZ21" s="10"/>
      <c r="BA21" s="10"/>
      <c r="BB21" s="10"/>
      <c r="BC21" s="10"/>
      <c r="BD21" s="10"/>
      <c r="BE21" s="10"/>
      <c r="BF21" s="10"/>
      <c r="BG21" s="10"/>
      <c r="BH21" s="10"/>
      <c r="BI21" s="10"/>
      <c r="BJ21" s="10"/>
      <c r="BK21" s="10"/>
    </row>
    <row r="22" spans="2:63" ht="12.75">
      <c r="B22" s="210">
        <v>1994</v>
      </c>
      <c r="C22" s="208">
        <v>3200464</v>
      </c>
      <c r="D22" s="183">
        <v>8.46</v>
      </c>
      <c r="E22" s="172">
        <f t="shared" si="12"/>
        <v>13537.962720000001</v>
      </c>
      <c r="F22" s="100">
        <f t="shared" si="0"/>
        <v>1536222.72</v>
      </c>
      <c r="G22" s="100">
        <f t="shared" si="1"/>
        <v>6498.222105600001</v>
      </c>
      <c r="H22" s="100">
        <f t="shared" si="2"/>
        <v>1664241.28</v>
      </c>
      <c r="I22" s="100">
        <f t="shared" si="3"/>
        <v>7039.740614400001</v>
      </c>
      <c r="J22" s="150">
        <v>0.2</v>
      </c>
      <c r="K22" s="176">
        <v>0.15</v>
      </c>
      <c r="L22" s="176">
        <v>0.2</v>
      </c>
      <c r="M22" s="176">
        <v>0.45</v>
      </c>
      <c r="N22" s="164">
        <v>0.4</v>
      </c>
      <c r="O22" s="164">
        <v>0.6</v>
      </c>
      <c r="P22" s="164">
        <v>0</v>
      </c>
      <c r="Q22" s="172"/>
      <c r="R22" s="172"/>
      <c r="S22" s="172"/>
      <c r="T22" s="172"/>
      <c r="U22" s="172"/>
      <c r="V22" s="172"/>
      <c r="W22" s="172"/>
      <c r="X22" s="172"/>
      <c r="Y22" s="100">
        <f t="shared" si="8"/>
        <v>0</v>
      </c>
      <c r="Z22" s="100">
        <f t="shared" si="9"/>
        <v>0</v>
      </c>
      <c r="AA22" s="100">
        <f t="shared" si="10"/>
        <v>0</v>
      </c>
      <c r="AB22" s="100">
        <f t="shared" si="11"/>
        <v>0</v>
      </c>
      <c r="AC22" s="100">
        <f t="shared" si="4"/>
        <v>0</v>
      </c>
      <c r="AD22" s="100">
        <f t="shared" si="5"/>
        <v>0</v>
      </c>
      <c r="AE22" s="100">
        <f t="shared" si="6"/>
        <v>0</v>
      </c>
      <c r="AF22" s="107">
        <f t="shared" si="7"/>
        <v>0</v>
      </c>
      <c r="AG22" s="174"/>
      <c r="AH22" s="174"/>
      <c r="AI22" s="174"/>
      <c r="AJ22" s="174"/>
      <c r="AK22" s="174"/>
      <c r="AL22" s="174"/>
      <c r="AM22" s="174"/>
      <c r="AN22" s="174"/>
      <c r="AO22" s="174"/>
      <c r="AP22" s="174"/>
      <c r="AQ22" s="174"/>
      <c r="AR22" s="174"/>
      <c r="AS22" s="174"/>
      <c r="AT22" s="29"/>
      <c r="AU22" s="192"/>
      <c r="AV22" s="29"/>
      <c r="AW22" s="17"/>
      <c r="AX22" s="17"/>
      <c r="AY22" s="10"/>
      <c r="AZ22" s="10"/>
      <c r="BA22" s="10"/>
      <c r="BB22" s="10"/>
      <c r="BC22" s="10"/>
      <c r="BD22" s="10"/>
      <c r="BE22" s="10"/>
      <c r="BF22" s="10"/>
      <c r="BG22" s="10"/>
      <c r="BH22" s="10"/>
      <c r="BI22" s="10"/>
      <c r="BJ22" s="10"/>
      <c r="BK22" s="10"/>
    </row>
    <row r="23" spans="2:63" ht="12.75">
      <c r="B23" s="210">
        <v>1995</v>
      </c>
      <c r="C23" s="208">
        <v>3563808</v>
      </c>
      <c r="D23" s="183">
        <v>8.2</v>
      </c>
      <c r="E23" s="172">
        <f t="shared" si="12"/>
        <v>14611.612799999999</v>
      </c>
      <c r="F23" s="100">
        <f t="shared" si="0"/>
        <v>1710627.8399999999</v>
      </c>
      <c r="G23" s="100">
        <f t="shared" si="1"/>
        <v>7013.574143999999</v>
      </c>
      <c r="H23" s="100">
        <f t="shared" si="2"/>
        <v>1853180.1600000001</v>
      </c>
      <c r="I23" s="100">
        <f t="shared" si="3"/>
        <v>7598.038656</v>
      </c>
      <c r="J23" s="150">
        <v>0.2</v>
      </c>
      <c r="K23" s="176">
        <v>0.15</v>
      </c>
      <c r="L23" s="176">
        <v>0.2</v>
      </c>
      <c r="M23" s="176">
        <v>0.45</v>
      </c>
      <c r="N23" s="164">
        <v>0.4</v>
      </c>
      <c r="O23" s="164">
        <v>0.6</v>
      </c>
      <c r="P23" s="164">
        <v>0</v>
      </c>
      <c r="Q23" s="172"/>
      <c r="R23" s="172"/>
      <c r="S23" s="172"/>
      <c r="T23" s="172"/>
      <c r="U23" s="172"/>
      <c r="V23" s="172"/>
      <c r="W23" s="172"/>
      <c r="X23" s="172"/>
      <c r="Y23" s="100">
        <f t="shared" si="8"/>
        <v>0</v>
      </c>
      <c r="Z23" s="100">
        <f t="shared" si="9"/>
        <v>0</v>
      </c>
      <c r="AA23" s="100">
        <f t="shared" si="10"/>
        <v>0</v>
      </c>
      <c r="AB23" s="100">
        <f t="shared" si="11"/>
        <v>0</v>
      </c>
      <c r="AC23" s="100">
        <f t="shared" si="4"/>
        <v>384.8</v>
      </c>
      <c r="AD23" s="100">
        <f t="shared" si="5"/>
        <v>1731.6000000000001</v>
      </c>
      <c r="AE23" s="100">
        <f t="shared" si="6"/>
        <v>384.8</v>
      </c>
      <c r="AF23" s="107">
        <f t="shared" si="7"/>
        <v>1731.6000000000001</v>
      </c>
      <c r="AG23" s="174"/>
      <c r="AH23" s="174"/>
      <c r="AI23" s="174"/>
      <c r="AJ23" s="174"/>
      <c r="AK23" s="174"/>
      <c r="AL23" s="174"/>
      <c r="AM23" s="174"/>
      <c r="AN23" s="174"/>
      <c r="AO23" s="174"/>
      <c r="AP23" s="174"/>
      <c r="AQ23" s="174"/>
      <c r="AR23" s="174"/>
      <c r="AS23" s="174"/>
      <c r="AT23" s="29"/>
      <c r="AU23" s="192"/>
      <c r="AV23" s="29"/>
      <c r="AW23" s="17"/>
      <c r="AX23" s="17"/>
      <c r="AY23" s="10"/>
      <c r="AZ23" s="10"/>
      <c r="BA23" s="10"/>
      <c r="BB23" s="10"/>
      <c r="BC23" s="10"/>
      <c r="BD23" s="10"/>
      <c r="BE23" s="10"/>
      <c r="BF23" s="10"/>
      <c r="BG23" s="10"/>
      <c r="BH23" s="10"/>
      <c r="BI23" s="10"/>
      <c r="BJ23" s="10"/>
      <c r="BK23" s="10"/>
    </row>
    <row r="24" spans="2:63" ht="12.75">
      <c r="B24" s="210">
        <v>1996</v>
      </c>
      <c r="C24" s="208">
        <v>4949204</v>
      </c>
      <c r="D24" s="183">
        <v>7.93</v>
      </c>
      <c r="E24" s="172">
        <f t="shared" si="12"/>
        <v>19623.59386</v>
      </c>
      <c r="F24" s="100">
        <f t="shared" si="0"/>
        <v>2375617.92</v>
      </c>
      <c r="G24" s="100">
        <f t="shared" si="1"/>
        <v>9419.3250528</v>
      </c>
      <c r="H24" s="100">
        <f t="shared" si="2"/>
        <v>2573586.08</v>
      </c>
      <c r="I24" s="100">
        <f t="shared" si="3"/>
        <v>10204.2688072</v>
      </c>
      <c r="J24" s="150">
        <v>0.2</v>
      </c>
      <c r="K24" s="176">
        <v>0.15</v>
      </c>
      <c r="L24" s="176">
        <v>0.2</v>
      </c>
      <c r="M24" s="176">
        <v>0.45</v>
      </c>
      <c r="N24" s="164">
        <v>0.4</v>
      </c>
      <c r="O24" s="164">
        <v>0.6</v>
      </c>
      <c r="P24" s="164">
        <v>0</v>
      </c>
      <c r="Q24" s="172">
        <f>F20*J20/1000</f>
        <v>177.6</v>
      </c>
      <c r="R24" s="172">
        <f>G20*J20</f>
        <v>799.2</v>
      </c>
      <c r="S24" s="172"/>
      <c r="T24" s="172"/>
      <c r="U24" s="172"/>
      <c r="V24" s="172"/>
      <c r="W24" s="172"/>
      <c r="X24" s="172"/>
      <c r="Y24" s="100">
        <f t="shared" si="8"/>
        <v>0</v>
      </c>
      <c r="Z24" s="100">
        <f t="shared" si="9"/>
        <v>0</v>
      </c>
      <c r="AA24" s="100">
        <f t="shared" si="10"/>
        <v>0</v>
      </c>
      <c r="AB24" s="100">
        <f t="shared" si="11"/>
        <v>0</v>
      </c>
      <c r="AC24" s="100">
        <f t="shared" si="4"/>
        <v>525.81972352</v>
      </c>
      <c r="AD24" s="100">
        <f t="shared" si="5"/>
        <v>2295.2030931648</v>
      </c>
      <c r="AE24" s="100">
        <f t="shared" si="6"/>
        <v>703.41972352</v>
      </c>
      <c r="AF24" s="107">
        <f t="shared" si="7"/>
        <v>3094.4030931648003</v>
      </c>
      <c r="AG24" s="174"/>
      <c r="AH24" s="174"/>
      <c r="AI24" s="174"/>
      <c r="AJ24" s="174"/>
      <c r="AK24" s="174"/>
      <c r="AL24" s="174"/>
      <c r="AM24" s="174"/>
      <c r="AN24" s="174"/>
      <c r="AO24" s="174"/>
      <c r="AP24" s="174"/>
      <c r="AQ24" s="174"/>
      <c r="AR24" s="174"/>
      <c r="AS24" s="174"/>
      <c r="AT24" s="29"/>
      <c r="AU24" s="192"/>
      <c r="AV24" s="29"/>
      <c r="AW24" s="17"/>
      <c r="AX24" s="17"/>
      <c r="AY24" s="10"/>
      <c r="AZ24" s="10"/>
      <c r="BA24" s="10"/>
      <c r="BB24" s="10"/>
      <c r="BC24" s="10"/>
      <c r="BD24" s="10"/>
      <c r="BE24" s="10"/>
      <c r="BF24" s="10"/>
      <c r="BG24" s="10"/>
      <c r="BH24" s="10"/>
      <c r="BI24" s="10"/>
      <c r="BJ24" s="10"/>
      <c r="BK24" s="10"/>
    </row>
    <row r="25" spans="2:63" ht="12.75">
      <c r="B25" s="210">
        <v>1997</v>
      </c>
      <c r="C25" s="208">
        <v>6000142</v>
      </c>
      <c r="D25" s="183">
        <v>7.66</v>
      </c>
      <c r="E25" s="172">
        <f t="shared" si="12"/>
        <v>22980.543859999998</v>
      </c>
      <c r="F25" s="100">
        <f t="shared" si="0"/>
        <v>2880068.1599999997</v>
      </c>
      <c r="G25" s="100">
        <f t="shared" si="1"/>
        <v>11030.661052799998</v>
      </c>
      <c r="H25" s="100">
        <f t="shared" si="2"/>
        <v>3120073.8400000003</v>
      </c>
      <c r="I25" s="100">
        <f t="shared" si="3"/>
        <v>11949.8828072</v>
      </c>
      <c r="J25" s="150">
        <v>0.2</v>
      </c>
      <c r="K25" s="176">
        <v>0.15</v>
      </c>
      <c r="L25" s="176">
        <v>0.2</v>
      </c>
      <c r="M25" s="176">
        <v>0.45</v>
      </c>
      <c r="N25" s="164">
        <v>0.4</v>
      </c>
      <c r="O25" s="164">
        <v>0.6</v>
      </c>
      <c r="P25" s="164">
        <v>0</v>
      </c>
      <c r="Q25" s="172">
        <f aca="true" t="shared" si="13" ref="Q25:Q37">F21*J21/1000</f>
        <v>242.68602624000002</v>
      </c>
      <c r="R25" s="172">
        <f aca="true" t="shared" si="14" ref="R25:R38">G21*J21</f>
        <v>1059.3245045376</v>
      </c>
      <c r="S25" s="172">
        <f>$F20*K20/1000</f>
        <v>133.2</v>
      </c>
      <c r="T25" s="172">
        <f>G20*K20</f>
        <v>599.4</v>
      </c>
      <c r="U25" s="172"/>
      <c r="V25" s="172"/>
      <c r="W25" s="172"/>
      <c r="X25" s="172"/>
      <c r="Y25" s="100">
        <f t="shared" si="8"/>
        <v>577.2</v>
      </c>
      <c r="Z25" s="100">
        <f t="shared" si="9"/>
        <v>2597.4</v>
      </c>
      <c r="AA25" s="100">
        <f t="shared" si="10"/>
        <v>0</v>
      </c>
      <c r="AB25" s="100">
        <f t="shared" si="11"/>
        <v>0</v>
      </c>
      <c r="AC25" s="100">
        <f t="shared" si="4"/>
        <v>665.6965120000001</v>
      </c>
      <c r="AD25" s="100">
        <f t="shared" si="5"/>
        <v>2815.8962457600005</v>
      </c>
      <c r="AE25" s="100">
        <f t="shared" si="6"/>
        <v>1618.7825382400001</v>
      </c>
      <c r="AF25" s="107">
        <f t="shared" si="7"/>
        <v>7072.020750297601</v>
      </c>
      <c r="AG25" s="174"/>
      <c r="AH25" s="174"/>
      <c r="AI25" s="174"/>
      <c r="AJ25" s="174"/>
      <c r="AK25" s="174"/>
      <c r="AL25" s="174"/>
      <c r="AM25" s="174"/>
      <c r="AN25" s="174"/>
      <c r="AO25" s="174"/>
      <c r="AP25" s="174"/>
      <c r="AQ25" s="174"/>
      <c r="AR25" s="174"/>
      <c r="AS25" s="174"/>
      <c r="AT25" s="29"/>
      <c r="AU25" s="192"/>
      <c r="AV25" s="29"/>
      <c r="AW25" s="17"/>
      <c r="AX25" s="17"/>
      <c r="AY25" s="10"/>
      <c r="AZ25" s="10"/>
      <c r="BA25" s="10"/>
      <c r="BB25" s="10"/>
      <c r="BC25" s="10"/>
      <c r="BD25" s="10"/>
      <c r="BE25" s="10"/>
      <c r="BF25" s="10"/>
      <c r="BG25" s="10"/>
      <c r="BH25" s="10"/>
      <c r="BI25" s="10"/>
      <c r="BJ25" s="10"/>
      <c r="BK25" s="10"/>
    </row>
    <row r="26" spans="2:63" ht="12.75">
      <c r="B26" s="210">
        <v>1998</v>
      </c>
      <c r="C26" s="208">
        <v>6407928</v>
      </c>
      <c r="D26" s="183">
        <v>7.39</v>
      </c>
      <c r="E26" s="172">
        <f t="shared" si="12"/>
        <v>23677.293959999995</v>
      </c>
      <c r="F26" s="100">
        <f t="shared" si="0"/>
        <v>3075805.44</v>
      </c>
      <c r="G26" s="100">
        <f t="shared" si="1"/>
        <v>11365.101100799997</v>
      </c>
      <c r="H26" s="100">
        <f t="shared" si="2"/>
        <v>3332122.56</v>
      </c>
      <c r="I26" s="100">
        <f t="shared" si="3"/>
        <v>12312.192859199999</v>
      </c>
      <c r="J26" s="150">
        <v>0.2</v>
      </c>
      <c r="K26" s="176">
        <v>0.15</v>
      </c>
      <c r="L26" s="176">
        <v>0.2</v>
      </c>
      <c r="M26" s="176">
        <v>0.45</v>
      </c>
      <c r="N26" s="164">
        <v>0.4</v>
      </c>
      <c r="O26" s="164">
        <v>0.6</v>
      </c>
      <c r="P26" s="164">
        <v>0</v>
      </c>
      <c r="Q26" s="172">
        <f t="shared" si="13"/>
        <v>307.244544</v>
      </c>
      <c r="R26" s="172">
        <f t="shared" si="14"/>
        <v>1299.6444211200003</v>
      </c>
      <c r="S26" s="172">
        <f aca="true" t="shared" si="15" ref="S26:S38">$F21*K21/1000</f>
        <v>182.01451968</v>
      </c>
      <c r="T26" s="172">
        <f aca="true" t="shared" si="16" ref="T26:T38">G21*K21</f>
        <v>794.4933784031999</v>
      </c>
      <c r="U26" s="172">
        <f>$F20*$L20/1000</f>
        <v>177.6</v>
      </c>
      <c r="V26" s="172">
        <f>G20*L20</f>
        <v>799.2</v>
      </c>
      <c r="W26" s="172"/>
      <c r="X26" s="172"/>
      <c r="Y26" s="100">
        <f t="shared" si="8"/>
        <v>788.72958528</v>
      </c>
      <c r="Z26" s="100">
        <f t="shared" si="9"/>
        <v>3442.8046397471994</v>
      </c>
      <c r="AA26" s="100">
        <f t="shared" si="10"/>
        <v>0</v>
      </c>
      <c r="AB26" s="100">
        <f t="shared" si="11"/>
        <v>0</v>
      </c>
      <c r="AC26" s="100">
        <f t="shared" si="4"/>
        <v>741.2720640000001</v>
      </c>
      <c r="AD26" s="100">
        <f t="shared" si="5"/>
        <v>3039.2154624</v>
      </c>
      <c r="AE26" s="100">
        <f t="shared" si="6"/>
        <v>2196.8607129600005</v>
      </c>
      <c r="AF26" s="107">
        <f t="shared" si="7"/>
        <v>9375.357901670399</v>
      </c>
      <c r="AG26" s="174"/>
      <c r="AH26" s="174"/>
      <c r="AI26" s="174"/>
      <c r="AJ26" s="174"/>
      <c r="AK26" s="174"/>
      <c r="AL26" s="174"/>
      <c r="AM26" s="174"/>
      <c r="AN26" s="174"/>
      <c r="AO26" s="174"/>
      <c r="AP26" s="174"/>
      <c r="AQ26" s="174"/>
      <c r="AR26" s="174"/>
      <c r="AS26" s="174"/>
      <c r="AT26" s="193"/>
      <c r="AU26" s="192"/>
      <c r="AV26" s="29"/>
      <c r="AW26" s="17"/>
      <c r="AX26" s="17"/>
      <c r="AY26" s="10"/>
      <c r="AZ26" s="10"/>
      <c r="BA26" s="10"/>
      <c r="BB26" s="10"/>
      <c r="BC26" s="10"/>
      <c r="BD26" s="10"/>
      <c r="BE26" s="10"/>
      <c r="BF26" s="10"/>
      <c r="BG26" s="10"/>
      <c r="BH26" s="10"/>
      <c r="BI26" s="10"/>
      <c r="BJ26" s="10"/>
      <c r="BK26" s="10"/>
    </row>
    <row r="27" spans="1:63" ht="12.75">
      <c r="A27" s="21"/>
      <c r="B27" s="140">
        <v>1999</v>
      </c>
      <c r="C27" s="208">
        <v>7870995</v>
      </c>
      <c r="D27" s="183">
        <v>7.13</v>
      </c>
      <c r="E27" s="172">
        <f t="shared" si="12"/>
        <v>28060.097175</v>
      </c>
      <c r="F27" s="100">
        <f t="shared" si="0"/>
        <v>3778077.5999999996</v>
      </c>
      <c r="G27" s="100">
        <f t="shared" si="1"/>
        <v>13468.846644</v>
      </c>
      <c r="H27" s="100">
        <f t="shared" si="2"/>
        <v>4092917.4000000004</v>
      </c>
      <c r="I27" s="100">
        <f t="shared" si="3"/>
        <v>14591.250531</v>
      </c>
      <c r="J27" s="150">
        <v>0.2</v>
      </c>
      <c r="K27" s="176">
        <v>0.15</v>
      </c>
      <c r="L27" s="176">
        <v>0.2</v>
      </c>
      <c r="M27" s="176">
        <v>0.45</v>
      </c>
      <c r="N27" s="164">
        <v>0.4</v>
      </c>
      <c r="O27" s="164">
        <v>0.6</v>
      </c>
      <c r="P27" s="164">
        <v>0</v>
      </c>
      <c r="Q27" s="172">
        <f t="shared" si="13"/>
        <v>342.125568</v>
      </c>
      <c r="R27" s="172">
        <f t="shared" si="14"/>
        <v>1402.7148287999999</v>
      </c>
      <c r="S27" s="172">
        <f t="shared" si="15"/>
        <v>230.433408</v>
      </c>
      <c r="T27" s="172">
        <f t="shared" si="16"/>
        <v>974.73331584</v>
      </c>
      <c r="U27" s="172">
        <f aca="true" t="shared" si="17" ref="U27:U38">$F21*$L21/1000</f>
        <v>242.68602624000002</v>
      </c>
      <c r="V27" s="172">
        <f aca="true" t="shared" si="18" ref="V27:V38">G21*L21</f>
        <v>1059.3245045376</v>
      </c>
      <c r="W27" s="172">
        <f>$F20*$M20/1000</f>
        <v>399.6</v>
      </c>
      <c r="X27" s="172">
        <f>G20*M20</f>
        <v>1798.2</v>
      </c>
      <c r="Y27" s="100">
        <f t="shared" si="8"/>
        <v>998.544768</v>
      </c>
      <c r="Z27" s="100">
        <f t="shared" si="9"/>
        <v>4223.8443686400005</v>
      </c>
      <c r="AA27" s="100">
        <f t="shared" si="10"/>
        <v>0</v>
      </c>
      <c r="AB27" s="100">
        <f t="shared" si="11"/>
        <v>0</v>
      </c>
      <c r="AC27" s="100">
        <f t="shared" si="4"/>
        <v>1029.434432</v>
      </c>
      <c r="AD27" s="100">
        <f t="shared" si="5"/>
        <v>4081.7075228800004</v>
      </c>
      <c r="AE27" s="100">
        <f t="shared" si="6"/>
        <v>3242.82420224</v>
      </c>
      <c r="AF27" s="107">
        <f t="shared" si="7"/>
        <v>13540.524540697601</v>
      </c>
      <c r="AG27" s="174"/>
      <c r="AH27" s="174"/>
      <c r="AI27" s="174"/>
      <c r="AJ27" s="174"/>
      <c r="AK27" s="174"/>
      <c r="AL27" s="174"/>
      <c r="AM27" s="174"/>
      <c r="AN27" s="174"/>
      <c r="AO27" s="174"/>
      <c r="AP27" s="174"/>
      <c r="AQ27" s="174"/>
      <c r="AR27" s="174"/>
      <c r="AS27" s="174"/>
      <c r="AT27" s="193"/>
      <c r="AU27" s="192"/>
      <c r="AV27" s="29"/>
      <c r="AW27" s="573"/>
      <c r="AX27" s="573"/>
      <c r="AY27" s="10"/>
      <c r="AZ27" s="10"/>
      <c r="BA27" s="10"/>
      <c r="BB27" s="10"/>
      <c r="BC27" s="10"/>
      <c r="BD27" s="10"/>
      <c r="BE27" s="10"/>
      <c r="BF27" s="10"/>
      <c r="BG27" s="10"/>
      <c r="BH27" s="10"/>
      <c r="BI27" s="10"/>
      <c r="BJ27" s="10"/>
      <c r="BK27" s="10"/>
    </row>
    <row r="28" spans="1:63" ht="12.75">
      <c r="A28" s="21"/>
      <c r="B28" s="140">
        <v>2000</v>
      </c>
      <c r="C28" s="208">
        <v>9622814</v>
      </c>
      <c r="D28" s="183">
        <v>7.13</v>
      </c>
      <c r="E28" s="172">
        <f t="shared" si="12"/>
        <v>34305.33190999999</v>
      </c>
      <c r="F28" s="100">
        <f t="shared" si="0"/>
        <v>4618950.72</v>
      </c>
      <c r="G28" s="100">
        <f t="shared" si="1"/>
        <v>16466.559316799998</v>
      </c>
      <c r="H28" s="100">
        <f t="shared" si="2"/>
        <v>5003863.28</v>
      </c>
      <c r="I28" s="100">
        <f t="shared" si="3"/>
        <v>17838.772593199996</v>
      </c>
      <c r="J28" s="150">
        <v>0.2</v>
      </c>
      <c r="K28" s="176">
        <v>0.15</v>
      </c>
      <c r="L28" s="176">
        <v>0.2</v>
      </c>
      <c r="M28" s="176">
        <v>0.45</v>
      </c>
      <c r="N28" s="164">
        <v>0.4</v>
      </c>
      <c r="O28" s="164">
        <v>0.6</v>
      </c>
      <c r="P28" s="164">
        <v>0</v>
      </c>
      <c r="Q28" s="172">
        <f t="shared" si="13"/>
        <v>475.12358400000005</v>
      </c>
      <c r="R28" s="172">
        <f t="shared" si="14"/>
        <v>1883.8650105600002</v>
      </c>
      <c r="S28" s="172">
        <f t="shared" si="15"/>
        <v>256.594176</v>
      </c>
      <c r="T28" s="172">
        <f t="shared" si="16"/>
        <v>1052.0361216</v>
      </c>
      <c r="U28" s="172">
        <f t="shared" si="17"/>
        <v>307.244544</v>
      </c>
      <c r="V28" s="172">
        <f t="shared" si="18"/>
        <v>1299.6444211200003</v>
      </c>
      <c r="W28" s="172">
        <f aca="true" t="shared" si="19" ref="W28:W38">$F21*$M21/1000</f>
        <v>546.04355904</v>
      </c>
      <c r="X28" s="172">
        <f aca="true" t="shared" si="20" ref="X28:X38">G21*M21</f>
        <v>2383.4801352096</v>
      </c>
      <c r="Y28" s="100">
        <f t="shared" si="8"/>
        <v>1111.9080960000001</v>
      </c>
      <c r="Z28" s="100">
        <f t="shared" si="9"/>
        <v>4558.823193599999</v>
      </c>
      <c r="AA28" s="100">
        <f t="shared" si="10"/>
        <v>0</v>
      </c>
      <c r="AB28" s="100">
        <f t="shared" si="11"/>
        <v>0</v>
      </c>
      <c r="AC28" s="100">
        <f t="shared" si="4"/>
        <v>1248.029536</v>
      </c>
      <c r="AD28" s="100">
        <f t="shared" si="5"/>
        <v>4779.95312288</v>
      </c>
      <c r="AE28" s="100">
        <f t="shared" si="6"/>
        <v>3944.94349504</v>
      </c>
      <c r="AF28" s="107">
        <f t="shared" si="7"/>
        <v>15957.802004969599</v>
      </c>
      <c r="AG28" s="174"/>
      <c r="AH28" s="174"/>
      <c r="AI28" s="174"/>
      <c r="AJ28" s="174"/>
      <c r="AK28" s="174"/>
      <c r="AL28" s="174"/>
      <c r="AM28" s="174"/>
      <c r="AN28" s="174"/>
      <c r="AO28" s="174"/>
      <c r="AP28" s="174"/>
      <c r="AQ28" s="174"/>
      <c r="AR28" s="174"/>
      <c r="AS28" s="174"/>
      <c r="AT28" s="29"/>
      <c r="AU28" s="192"/>
      <c r="AV28" s="29"/>
      <c r="AW28" s="18"/>
      <c r="AX28" s="24"/>
      <c r="AY28" s="10"/>
      <c r="AZ28" s="10"/>
      <c r="BA28" s="10"/>
      <c r="BB28" s="10"/>
      <c r="BC28" s="10"/>
      <c r="BD28" s="10"/>
      <c r="BE28" s="10"/>
      <c r="BF28" s="10"/>
      <c r="BG28" s="10"/>
      <c r="BH28" s="10"/>
      <c r="BI28" s="10"/>
      <c r="BJ28" s="10"/>
      <c r="BK28" s="10"/>
    </row>
    <row r="29" spans="1:63" ht="12.75">
      <c r="A29" s="21"/>
      <c r="B29" s="140">
        <v>2001</v>
      </c>
      <c r="C29" s="208">
        <v>9575220</v>
      </c>
      <c r="D29" s="183">
        <v>6.95</v>
      </c>
      <c r="E29" s="172">
        <f t="shared" si="12"/>
        <v>33273.8895</v>
      </c>
      <c r="F29" s="100">
        <f t="shared" si="0"/>
        <v>4596105.6</v>
      </c>
      <c r="G29" s="100">
        <f t="shared" si="1"/>
        <v>15971.466959999998</v>
      </c>
      <c r="H29" s="100">
        <f t="shared" si="2"/>
        <v>4979114.4</v>
      </c>
      <c r="I29" s="100">
        <f t="shared" si="3"/>
        <v>17302.42254</v>
      </c>
      <c r="J29" s="150">
        <v>0.2</v>
      </c>
      <c r="K29" s="176">
        <v>0.15</v>
      </c>
      <c r="L29" s="176">
        <v>0.2</v>
      </c>
      <c r="M29" s="176">
        <v>0.45</v>
      </c>
      <c r="N29" s="164">
        <v>0.4</v>
      </c>
      <c r="O29" s="164">
        <v>0.6</v>
      </c>
      <c r="P29" s="164">
        <v>0</v>
      </c>
      <c r="Q29" s="172">
        <f t="shared" si="13"/>
        <v>576.013632</v>
      </c>
      <c r="R29" s="172">
        <f t="shared" si="14"/>
        <v>2206.1322105599997</v>
      </c>
      <c r="S29" s="172">
        <f t="shared" si="15"/>
        <v>356.34268799999995</v>
      </c>
      <c r="T29" s="172">
        <f t="shared" si="16"/>
        <v>1412.89875792</v>
      </c>
      <c r="U29" s="172">
        <f t="shared" si="17"/>
        <v>342.125568</v>
      </c>
      <c r="V29" s="172">
        <f t="shared" si="18"/>
        <v>1402.7148287999999</v>
      </c>
      <c r="W29" s="172">
        <f t="shared" si="19"/>
        <v>691.3002240000001</v>
      </c>
      <c r="X29" s="172">
        <f t="shared" si="20"/>
        <v>2924.1999475200005</v>
      </c>
      <c r="Y29" s="100">
        <f t="shared" si="8"/>
        <v>1544.151648</v>
      </c>
      <c r="Z29" s="100">
        <f t="shared" si="9"/>
        <v>6122.56128432</v>
      </c>
      <c r="AA29" s="100">
        <f t="shared" si="10"/>
        <v>0</v>
      </c>
      <c r="AB29" s="100">
        <f t="shared" si="11"/>
        <v>0</v>
      </c>
      <c r="AC29" s="100">
        <f t="shared" si="4"/>
        <v>1332.849024</v>
      </c>
      <c r="AD29" s="100">
        <f t="shared" si="5"/>
        <v>4924.87714368</v>
      </c>
      <c r="AE29" s="100">
        <f t="shared" si="6"/>
        <v>4842.782784</v>
      </c>
      <c r="AF29" s="107">
        <f t="shared" si="7"/>
        <v>18993.384172799997</v>
      </c>
      <c r="AG29" s="174"/>
      <c r="AH29" s="174"/>
      <c r="AI29" s="174"/>
      <c r="AJ29" s="174"/>
      <c r="AK29" s="174"/>
      <c r="AL29" s="174"/>
      <c r="AM29" s="174"/>
      <c r="AN29" s="174"/>
      <c r="AO29" s="174"/>
      <c r="AP29" s="174"/>
      <c r="AQ29" s="174"/>
      <c r="AR29" s="174"/>
      <c r="AS29" s="174"/>
      <c r="AT29" s="29"/>
      <c r="AU29" s="192"/>
      <c r="AV29" s="29"/>
      <c r="AW29" s="18"/>
      <c r="AX29" s="24"/>
      <c r="AY29" s="10"/>
      <c r="AZ29" s="10"/>
      <c r="BA29" s="10"/>
      <c r="BB29" s="10"/>
      <c r="BC29" s="10"/>
      <c r="BD29" s="10"/>
      <c r="BE29" s="10"/>
      <c r="BF29" s="10"/>
      <c r="BG29" s="10"/>
      <c r="BH29" s="10"/>
      <c r="BI29" s="10"/>
      <c r="BJ29" s="10"/>
      <c r="BK29" s="10"/>
    </row>
    <row r="30" spans="1:63" ht="12.75">
      <c r="A30" s="21"/>
      <c r="B30" s="140">
        <v>2002</v>
      </c>
      <c r="C30" s="208">
        <v>10883296</v>
      </c>
      <c r="D30" s="183">
        <v>6.78</v>
      </c>
      <c r="E30" s="172">
        <f t="shared" si="12"/>
        <v>36894.37344</v>
      </c>
      <c r="F30" s="100">
        <f t="shared" si="0"/>
        <v>5223982.08</v>
      </c>
      <c r="G30" s="100">
        <f t="shared" si="1"/>
        <v>17709.299251200002</v>
      </c>
      <c r="H30" s="100">
        <f t="shared" si="2"/>
        <v>5659313.92</v>
      </c>
      <c r="I30" s="100">
        <f t="shared" si="3"/>
        <v>19185.0741888</v>
      </c>
      <c r="J30" s="150">
        <v>0.2</v>
      </c>
      <c r="K30" s="176">
        <v>0.15</v>
      </c>
      <c r="L30" s="176">
        <v>0.2</v>
      </c>
      <c r="M30" s="176">
        <v>0.45</v>
      </c>
      <c r="N30" s="164">
        <v>0.4</v>
      </c>
      <c r="O30" s="164">
        <v>0.6</v>
      </c>
      <c r="P30" s="164">
        <v>0</v>
      </c>
      <c r="Q30" s="172">
        <f t="shared" si="13"/>
        <v>615.161088</v>
      </c>
      <c r="R30" s="172">
        <f t="shared" si="14"/>
        <v>2273.0202201599996</v>
      </c>
      <c r="S30" s="172">
        <f t="shared" si="15"/>
        <v>432.01022399999994</v>
      </c>
      <c r="T30" s="172">
        <f t="shared" si="16"/>
        <v>1654.5991579199997</v>
      </c>
      <c r="U30" s="172">
        <f t="shared" si="17"/>
        <v>475.12358400000005</v>
      </c>
      <c r="V30" s="172">
        <f t="shared" si="18"/>
        <v>1883.8650105600002</v>
      </c>
      <c r="W30" s="172">
        <f t="shared" si="19"/>
        <v>769.782528</v>
      </c>
      <c r="X30" s="172">
        <f t="shared" si="20"/>
        <v>3156.1083648</v>
      </c>
      <c r="Y30" s="100">
        <f t="shared" si="8"/>
        <v>1872.0443040000002</v>
      </c>
      <c r="Z30" s="100">
        <f t="shared" si="9"/>
        <v>7169.92968432</v>
      </c>
      <c r="AA30" s="100">
        <f t="shared" si="10"/>
        <v>0</v>
      </c>
      <c r="AB30" s="100">
        <f t="shared" si="11"/>
        <v>0</v>
      </c>
      <c r="AC30" s="100">
        <f t="shared" si="4"/>
        <v>1637.1669600000002</v>
      </c>
      <c r="AD30" s="100">
        <f t="shared" si="5"/>
        <v>5836.5002124</v>
      </c>
      <c r="AE30" s="100">
        <f t="shared" si="6"/>
        <v>5801.288688000001</v>
      </c>
      <c r="AF30" s="107">
        <f t="shared" si="7"/>
        <v>21974.022650159997</v>
      </c>
      <c r="AG30" s="174"/>
      <c r="AH30" s="174"/>
      <c r="AI30" s="174"/>
      <c r="AJ30" s="174"/>
      <c r="AK30" s="174"/>
      <c r="AL30" s="174"/>
      <c r="AM30" s="174"/>
      <c r="AN30" s="174"/>
      <c r="AO30" s="174"/>
      <c r="AP30" s="174"/>
      <c r="AQ30" s="174"/>
      <c r="AR30" s="174"/>
      <c r="AS30" s="174"/>
      <c r="AT30" s="29"/>
      <c r="AU30" s="192"/>
      <c r="AV30" s="29"/>
      <c r="AW30" s="18"/>
      <c r="AX30" s="24"/>
      <c r="AY30" s="10"/>
      <c r="AZ30" s="10"/>
      <c r="BA30" s="10"/>
      <c r="BB30" s="10"/>
      <c r="BC30" s="10"/>
      <c r="BD30" s="10"/>
      <c r="BE30" s="10"/>
      <c r="BF30" s="10"/>
      <c r="BG30" s="10"/>
      <c r="BH30" s="10"/>
      <c r="BI30" s="10"/>
      <c r="BJ30" s="10"/>
      <c r="BK30" s="10"/>
    </row>
    <row r="31" spans="1:63" ht="12.75">
      <c r="A31" s="21"/>
      <c r="B31" s="140">
        <v>2003</v>
      </c>
      <c r="C31" s="208">
        <v>13807702</v>
      </c>
      <c r="D31" s="183">
        <v>6.61</v>
      </c>
      <c r="E31" s="172">
        <f t="shared" si="12"/>
        <v>45634.45511</v>
      </c>
      <c r="F31" s="100">
        <f t="shared" si="0"/>
        <v>6627696.96</v>
      </c>
      <c r="G31" s="100">
        <f t="shared" si="1"/>
        <v>21904.5384528</v>
      </c>
      <c r="H31" s="100">
        <f t="shared" si="2"/>
        <v>7180005.04</v>
      </c>
      <c r="I31" s="100">
        <f t="shared" si="3"/>
        <v>23729.916657200003</v>
      </c>
      <c r="J31" s="150">
        <v>0.2</v>
      </c>
      <c r="K31" s="176">
        <v>0.15</v>
      </c>
      <c r="L31" s="176">
        <v>0.2</v>
      </c>
      <c r="M31" s="176">
        <v>0.45</v>
      </c>
      <c r="N31" s="164">
        <v>0.4</v>
      </c>
      <c r="O31" s="164">
        <v>0.6</v>
      </c>
      <c r="P31" s="164">
        <v>0</v>
      </c>
      <c r="Q31" s="172">
        <f t="shared" si="13"/>
        <v>755.6155200000001</v>
      </c>
      <c r="R31" s="172">
        <f t="shared" si="14"/>
        <v>2693.7693288</v>
      </c>
      <c r="S31" s="172">
        <f t="shared" si="15"/>
        <v>461.370816</v>
      </c>
      <c r="T31" s="172">
        <f t="shared" si="16"/>
        <v>1704.7651651199994</v>
      </c>
      <c r="U31" s="172">
        <f t="shared" si="17"/>
        <v>576.013632</v>
      </c>
      <c r="V31" s="172">
        <f t="shared" si="18"/>
        <v>2206.1322105599997</v>
      </c>
      <c r="W31" s="172">
        <f t="shared" si="19"/>
        <v>1069.028064</v>
      </c>
      <c r="X31" s="172">
        <f t="shared" si="20"/>
        <v>4238.696273760001</v>
      </c>
      <c r="Y31" s="100">
        <f t="shared" si="8"/>
        <v>1999.273536</v>
      </c>
      <c r="Z31" s="100">
        <f t="shared" si="9"/>
        <v>7387.315715519999</v>
      </c>
      <c r="AA31" s="100">
        <f t="shared" si="10"/>
        <v>0</v>
      </c>
      <c r="AB31" s="100">
        <f t="shared" si="11"/>
        <v>0</v>
      </c>
      <c r="AC31" s="100">
        <f t="shared" si="4"/>
        <v>2001.5453120000002</v>
      </c>
      <c r="AD31" s="100">
        <f t="shared" si="5"/>
        <v>7135.509037279999</v>
      </c>
      <c r="AE31" s="100">
        <f t="shared" si="6"/>
        <v>6862.84688</v>
      </c>
      <c r="AF31" s="107">
        <f t="shared" si="7"/>
        <v>25366.187731039994</v>
      </c>
      <c r="AG31" s="174"/>
      <c r="AH31" s="174"/>
      <c r="AI31" s="174"/>
      <c r="AJ31" s="174"/>
      <c r="AK31" s="174"/>
      <c r="AL31" s="174"/>
      <c r="AM31" s="174"/>
      <c r="AN31" s="174"/>
      <c r="AO31" s="174"/>
      <c r="AP31" s="174"/>
      <c r="AQ31" s="174"/>
      <c r="AR31" s="174"/>
      <c r="AS31" s="174"/>
      <c r="AT31" s="29"/>
      <c r="AU31" s="192"/>
      <c r="AV31" s="29"/>
      <c r="AW31" s="18"/>
      <c r="AX31" s="24"/>
      <c r="AY31" s="10"/>
      <c r="AZ31" s="10"/>
      <c r="BA31" s="10"/>
      <c r="BB31" s="10"/>
      <c r="BC31" s="10"/>
      <c r="BD31" s="10"/>
      <c r="BE31" s="10"/>
      <c r="BF31" s="10"/>
      <c r="BG31" s="10"/>
      <c r="BH31" s="10"/>
      <c r="BI31" s="10"/>
      <c r="BJ31" s="10"/>
      <c r="BK31" s="10"/>
    </row>
    <row r="32" spans="2:63" ht="12.75">
      <c r="B32" s="210">
        <v>2004</v>
      </c>
      <c r="C32" s="208">
        <v>16623580</v>
      </c>
      <c r="D32" s="183">
        <v>6.44</v>
      </c>
      <c r="E32" s="172">
        <f t="shared" si="12"/>
        <v>53527.9276</v>
      </c>
      <c r="F32" s="100">
        <f t="shared" si="0"/>
        <v>7979318.399999999</v>
      </c>
      <c r="G32" s="100">
        <f t="shared" si="1"/>
        <v>25693.405248</v>
      </c>
      <c r="H32" s="100">
        <f t="shared" si="2"/>
        <v>8644261.6</v>
      </c>
      <c r="I32" s="100">
        <f t="shared" si="3"/>
        <v>27834.522352000004</v>
      </c>
      <c r="J32" s="150">
        <v>0.2</v>
      </c>
      <c r="K32" s="176">
        <v>0.15</v>
      </c>
      <c r="L32" s="176">
        <v>0.2</v>
      </c>
      <c r="M32" s="176">
        <v>0.45</v>
      </c>
      <c r="N32" s="164">
        <v>0.4</v>
      </c>
      <c r="O32" s="164">
        <v>0.6</v>
      </c>
      <c r="P32" s="164">
        <v>0</v>
      </c>
      <c r="Q32" s="172">
        <f t="shared" si="13"/>
        <v>923.7901439999999</v>
      </c>
      <c r="R32" s="172">
        <f t="shared" si="14"/>
        <v>3293.3118633599997</v>
      </c>
      <c r="S32" s="172">
        <f t="shared" si="15"/>
        <v>566.7116399999999</v>
      </c>
      <c r="T32" s="172">
        <f t="shared" si="16"/>
        <v>2020.3269965999998</v>
      </c>
      <c r="U32" s="172">
        <f t="shared" si="17"/>
        <v>615.161088</v>
      </c>
      <c r="V32" s="172">
        <f t="shared" si="18"/>
        <v>2273.0202201599996</v>
      </c>
      <c r="W32" s="172">
        <f t="shared" si="19"/>
        <v>1296.0306719999999</v>
      </c>
      <c r="X32" s="172">
        <f t="shared" si="20"/>
        <v>4963.79747376</v>
      </c>
      <c r="Y32" s="100">
        <f t="shared" si="8"/>
        <v>2455.75044</v>
      </c>
      <c r="Z32" s="100">
        <f t="shared" si="9"/>
        <v>8754.7503186</v>
      </c>
      <c r="AA32" s="100">
        <f t="shared" si="10"/>
        <v>0</v>
      </c>
      <c r="AB32" s="100">
        <f t="shared" si="11"/>
        <v>0</v>
      </c>
      <c r="AC32" s="100">
        <f t="shared" si="4"/>
        <v>1991.6457600000003</v>
      </c>
      <c r="AD32" s="100">
        <f t="shared" si="5"/>
        <v>6920.969016</v>
      </c>
      <c r="AE32" s="100">
        <f t="shared" si="6"/>
        <v>7849.089744</v>
      </c>
      <c r="AF32" s="107">
        <f t="shared" si="7"/>
        <v>28226.175888479997</v>
      </c>
      <c r="AG32" s="174"/>
      <c r="AH32" s="174"/>
      <c r="AI32" s="174"/>
      <c r="AJ32" s="174"/>
      <c r="AK32" s="174"/>
      <c r="AL32" s="174"/>
      <c r="AM32" s="174"/>
      <c r="AN32" s="174"/>
      <c r="AO32" s="174"/>
      <c r="AP32" s="174"/>
      <c r="AQ32" s="174"/>
      <c r="AR32" s="174"/>
      <c r="AS32" s="174"/>
      <c r="AT32" s="29"/>
      <c r="AU32" s="192"/>
      <c r="AV32" s="29"/>
      <c r="AW32" s="18"/>
      <c r="AX32" s="24"/>
      <c r="AY32" s="10"/>
      <c r="AZ32" s="10"/>
      <c r="BA32" s="10"/>
      <c r="BB32" s="10"/>
      <c r="BC32" s="10"/>
      <c r="BD32" s="10"/>
      <c r="BE32" s="10"/>
      <c r="BF32" s="10"/>
      <c r="BG32" s="10"/>
      <c r="BH32" s="10"/>
      <c r="BI32" s="10"/>
      <c r="BJ32" s="10"/>
      <c r="BK32" s="10"/>
    </row>
    <row r="33" spans="2:63" ht="12.75">
      <c r="B33" s="210">
        <v>2005</v>
      </c>
      <c r="C33" s="209">
        <v>19618994</v>
      </c>
      <c r="D33" s="183">
        <v>6.44</v>
      </c>
      <c r="E33" s="172">
        <f>C33*D33/2000</f>
        <v>63173.16068000001</v>
      </c>
      <c r="F33" s="402">
        <f t="shared" si="0"/>
        <v>9417117.12</v>
      </c>
      <c r="G33" s="402">
        <f t="shared" si="1"/>
        <v>30323.117126400004</v>
      </c>
      <c r="H33" s="402">
        <f t="shared" si="2"/>
        <v>10201876.88</v>
      </c>
      <c r="I33" s="100">
        <f t="shared" si="3"/>
        <v>32850.04355360001</v>
      </c>
      <c r="J33" s="150">
        <v>0.2</v>
      </c>
      <c r="K33" s="176">
        <v>0.15</v>
      </c>
      <c r="L33" s="176">
        <v>0.2</v>
      </c>
      <c r="M33" s="176">
        <v>0.45</v>
      </c>
      <c r="N33" s="164">
        <v>0.4</v>
      </c>
      <c r="O33" s="164">
        <v>0.6</v>
      </c>
      <c r="P33" s="164">
        <v>0</v>
      </c>
      <c r="Q33" s="172">
        <f t="shared" si="13"/>
        <v>919.22112</v>
      </c>
      <c r="R33" s="172">
        <f t="shared" si="14"/>
        <v>3194.2933919999996</v>
      </c>
      <c r="S33" s="172">
        <f t="shared" si="15"/>
        <v>692.8426079999999</v>
      </c>
      <c r="T33" s="172">
        <f t="shared" si="16"/>
        <v>2469.9838975199996</v>
      </c>
      <c r="U33" s="172">
        <f t="shared" si="17"/>
        <v>755.6155200000001</v>
      </c>
      <c r="V33" s="172">
        <f t="shared" si="18"/>
        <v>2693.7693288</v>
      </c>
      <c r="W33" s="172">
        <f t="shared" si="19"/>
        <v>1384.112448</v>
      </c>
      <c r="X33" s="172">
        <f t="shared" si="20"/>
        <v>5114.295495359998</v>
      </c>
      <c r="Y33" s="100">
        <f t="shared" si="8"/>
        <v>3002.317968</v>
      </c>
      <c r="Z33" s="100">
        <f t="shared" si="9"/>
        <v>10703.263555919997</v>
      </c>
      <c r="AA33" s="100">
        <f t="shared" si="10"/>
        <v>0</v>
      </c>
      <c r="AB33" s="100">
        <f t="shared" si="11"/>
        <v>0</v>
      </c>
      <c r="AC33" s="100">
        <f t="shared" si="4"/>
        <v>2263.725568</v>
      </c>
      <c r="AD33" s="100">
        <f t="shared" si="5"/>
        <v>7674.029675520001</v>
      </c>
      <c r="AE33" s="100">
        <f t="shared" si="6"/>
        <v>9017.835232</v>
      </c>
      <c r="AF33" s="107">
        <f t="shared" si="7"/>
        <v>31849.635345119994</v>
      </c>
      <c r="AG33" s="174"/>
      <c r="AH33" s="174"/>
      <c r="AI33" s="174"/>
      <c r="AJ33" s="174"/>
      <c r="AK33" s="174"/>
      <c r="AL33" s="174"/>
      <c r="AM33" s="194"/>
      <c r="AN33" s="81"/>
      <c r="AO33" s="200"/>
      <c r="AP33" s="81"/>
      <c r="AQ33" s="200"/>
      <c r="AR33" s="81"/>
      <c r="AS33" s="192"/>
      <c r="AT33" s="29"/>
      <c r="AU33" s="192"/>
      <c r="AV33" s="29"/>
      <c r="AW33" s="18"/>
      <c r="AX33" s="24"/>
      <c r="AY33" s="10"/>
      <c r="AZ33" s="10"/>
      <c r="BA33" s="10"/>
      <c r="BB33" s="10"/>
      <c r="BC33" s="10"/>
      <c r="BD33" s="10"/>
      <c r="BE33" s="10"/>
      <c r="BF33" s="10"/>
      <c r="BG33" s="10"/>
      <c r="BH33" s="10"/>
      <c r="BI33" s="10"/>
      <c r="BJ33" s="10"/>
      <c r="BK33" s="10"/>
    </row>
    <row r="34" spans="2:63" ht="12.75">
      <c r="B34" s="210">
        <v>2006</v>
      </c>
      <c r="C34" s="209">
        <v>24299775</v>
      </c>
      <c r="D34" s="183">
        <v>6.44</v>
      </c>
      <c r="E34" s="172">
        <f>C34*D34/2000</f>
        <v>78245.2755</v>
      </c>
      <c r="F34" s="402">
        <f t="shared" si="0"/>
        <v>11663892</v>
      </c>
      <c r="G34" s="402">
        <f t="shared" si="1"/>
        <v>37557.73224</v>
      </c>
      <c r="H34" s="402">
        <f t="shared" si="2"/>
        <v>12635883</v>
      </c>
      <c r="I34" s="100">
        <f t="shared" si="3"/>
        <v>40687.543260000006</v>
      </c>
      <c r="J34" s="150">
        <v>0.2</v>
      </c>
      <c r="K34" s="176">
        <v>0.15</v>
      </c>
      <c r="L34" s="176">
        <v>0.2</v>
      </c>
      <c r="M34" s="176">
        <v>0.45</v>
      </c>
      <c r="N34" s="164">
        <v>0.4</v>
      </c>
      <c r="O34" s="164">
        <v>0.6</v>
      </c>
      <c r="P34" s="164">
        <v>0</v>
      </c>
      <c r="Q34" s="172">
        <f t="shared" si="13"/>
        <v>1044.7964160000001</v>
      </c>
      <c r="R34" s="172">
        <f t="shared" si="14"/>
        <v>3541.8598502400005</v>
      </c>
      <c r="S34" s="172">
        <f t="shared" si="15"/>
        <v>689.41584</v>
      </c>
      <c r="T34" s="172">
        <f t="shared" si="16"/>
        <v>2395.7200439999997</v>
      </c>
      <c r="U34" s="172">
        <f t="shared" si="17"/>
        <v>923.7901439999999</v>
      </c>
      <c r="V34" s="172">
        <f t="shared" si="18"/>
        <v>3293.3118633599997</v>
      </c>
      <c r="W34" s="172">
        <f t="shared" si="19"/>
        <v>1700.13492</v>
      </c>
      <c r="X34" s="172">
        <f t="shared" si="20"/>
        <v>6060.980989799999</v>
      </c>
      <c r="Y34" s="100">
        <f t="shared" si="8"/>
        <v>2987.46864</v>
      </c>
      <c r="Z34" s="100">
        <f t="shared" si="9"/>
        <v>10381.453523999999</v>
      </c>
      <c r="AA34" s="100">
        <f t="shared" si="10"/>
        <v>0</v>
      </c>
      <c r="AB34" s="100">
        <f t="shared" si="11"/>
        <v>0</v>
      </c>
      <c r="AC34" s="100">
        <f t="shared" si="4"/>
        <v>2872.0020160000004</v>
      </c>
      <c r="AD34" s="100">
        <f t="shared" si="5"/>
        <v>9491.966662880002</v>
      </c>
      <c r="AE34" s="100">
        <f t="shared" si="6"/>
        <v>10217.607976</v>
      </c>
      <c r="AF34" s="107">
        <f t="shared" si="7"/>
        <v>35165.29293428</v>
      </c>
      <c r="AG34" s="174"/>
      <c r="AH34" s="174"/>
      <c r="AI34" s="174"/>
      <c r="AJ34" s="174"/>
      <c r="AK34" s="174"/>
      <c r="AL34" s="174"/>
      <c r="AM34" s="194"/>
      <c r="AN34" s="81"/>
      <c r="AO34" s="200"/>
      <c r="AP34" s="81"/>
      <c r="AQ34" s="200"/>
      <c r="AR34" s="81"/>
      <c r="AS34" s="192"/>
      <c r="AT34" s="29"/>
      <c r="AU34" s="192"/>
      <c r="AV34" s="29"/>
      <c r="AW34" s="18"/>
      <c r="AX34" s="24"/>
      <c r="AY34" s="10"/>
      <c r="AZ34" s="10"/>
      <c r="BA34" s="10"/>
      <c r="BB34" s="10"/>
      <c r="BC34" s="10"/>
      <c r="BD34" s="10"/>
      <c r="BE34" s="10"/>
      <c r="BF34" s="10"/>
      <c r="BG34" s="10"/>
      <c r="BH34" s="10"/>
      <c r="BI34" s="10"/>
      <c r="BJ34" s="10"/>
      <c r="BK34" s="10"/>
    </row>
    <row r="35" spans="2:63" ht="12.75">
      <c r="B35" s="210">
        <v>2007</v>
      </c>
      <c r="C35" s="209">
        <v>30023844</v>
      </c>
      <c r="D35" s="183">
        <v>6.44</v>
      </c>
      <c r="E35" s="172">
        <f>C35*D35/2000</f>
        <v>96676.77768000001</v>
      </c>
      <c r="F35" s="402">
        <f t="shared" si="0"/>
        <v>14411445.12</v>
      </c>
      <c r="G35" s="402">
        <f t="shared" si="1"/>
        <v>46404.85328640001</v>
      </c>
      <c r="H35" s="402">
        <f t="shared" si="2"/>
        <v>15612398.88</v>
      </c>
      <c r="I35" s="100">
        <f t="shared" si="3"/>
        <v>50271.924393600006</v>
      </c>
      <c r="J35" s="150">
        <v>0.2</v>
      </c>
      <c r="K35" s="176">
        <v>0.15</v>
      </c>
      <c r="L35" s="176">
        <v>0.2</v>
      </c>
      <c r="M35" s="176">
        <v>0.45</v>
      </c>
      <c r="N35" s="164">
        <v>0.4</v>
      </c>
      <c r="O35" s="164">
        <v>0.6</v>
      </c>
      <c r="P35" s="164">
        <v>0</v>
      </c>
      <c r="Q35" s="172">
        <f t="shared" si="13"/>
        <v>1325.539392</v>
      </c>
      <c r="R35" s="172">
        <f t="shared" si="14"/>
        <v>4380.90769056</v>
      </c>
      <c r="S35" s="172">
        <f t="shared" si="15"/>
        <v>783.597312</v>
      </c>
      <c r="T35" s="172">
        <f t="shared" si="16"/>
        <v>2656.39488768</v>
      </c>
      <c r="U35" s="172">
        <f t="shared" si="17"/>
        <v>919.22112</v>
      </c>
      <c r="V35" s="172">
        <f t="shared" si="18"/>
        <v>3194.2933919999996</v>
      </c>
      <c r="W35" s="172">
        <f t="shared" si="19"/>
        <v>2078.5278240000002</v>
      </c>
      <c r="X35" s="172">
        <f t="shared" si="20"/>
        <v>7409.951692559999</v>
      </c>
      <c r="Y35" s="100">
        <f t="shared" si="8"/>
        <v>3395.5883519999998</v>
      </c>
      <c r="Z35" s="100">
        <f t="shared" si="9"/>
        <v>11511.04451328</v>
      </c>
      <c r="AA35" s="100">
        <f t="shared" si="10"/>
        <v>0</v>
      </c>
      <c r="AB35" s="100">
        <f t="shared" si="11"/>
        <v>0</v>
      </c>
      <c r="AC35" s="100">
        <f t="shared" si="4"/>
        <v>3457.70464</v>
      </c>
      <c r="AD35" s="100">
        <f t="shared" si="5"/>
        <v>11133.808940800001</v>
      </c>
      <c r="AE35" s="100">
        <f t="shared" si="6"/>
        <v>11960.17864</v>
      </c>
      <c r="AF35" s="107">
        <f t="shared" si="7"/>
        <v>40286.40111688</v>
      </c>
      <c r="AG35" s="174"/>
      <c r="AH35" s="174"/>
      <c r="AI35" s="174"/>
      <c r="AJ35" s="174"/>
      <c r="AK35" s="174"/>
      <c r="AL35" s="174"/>
      <c r="AM35" s="194"/>
      <c r="AN35" s="81"/>
      <c r="AO35" s="200"/>
      <c r="AP35" s="81"/>
      <c r="AQ35" s="200"/>
      <c r="AR35" s="81"/>
      <c r="AS35" s="192"/>
      <c r="AT35" s="29"/>
      <c r="AU35" s="192"/>
      <c r="AV35" s="29"/>
      <c r="AW35" s="18"/>
      <c r="AX35" s="24"/>
      <c r="AY35" s="10"/>
      <c r="AZ35" s="10"/>
      <c r="BA35" s="10"/>
      <c r="BB35" s="10"/>
      <c r="BC35" s="10"/>
      <c r="BD35" s="10"/>
      <c r="BE35" s="10"/>
      <c r="BF35" s="10"/>
      <c r="BG35" s="10"/>
      <c r="BH35" s="10"/>
      <c r="BI35" s="10"/>
      <c r="BJ35" s="10"/>
      <c r="BK35" s="10"/>
    </row>
    <row r="36" spans="2:63" ht="12.75">
      <c r="B36" s="210">
        <v>2008</v>
      </c>
      <c r="C36" s="209"/>
      <c r="D36" s="178"/>
      <c r="E36" s="100"/>
      <c r="F36" s="100"/>
      <c r="G36" s="100"/>
      <c r="H36" s="100"/>
      <c r="I36" s="100"/>
      <c r="J36" s="150"/>
      <c r="K36" s="176"/>
      <c r="L36" s="176"/>
      <c r="M36" s="176"/>
      <c r="N36" s="164"/>
      <c r="O36" s="164"/>
      <c r="P36" s="164"/>
      <c r="Q36" s="172">
        <f t="shared" si="13"/>
        <v>1595.86368</v>
      </c>
      <c r="R36" s="172">
        <f t="shared" si="14"/>
        <v>5138.6810496</v>
      </c>
      <c r="S36" s="172">
        <f t="shared" si="15"/>
        <v>994.154544</v>
      </c>
      <c r="T36" s="172">
        <f t="shared" si="16"/>
        <v>3285.6807679199997</v>
      </c>
      <c r="U36" s="172">
        <f t="shared" si="17"/>
        <v>1044.7964160000001</v>
      </c>
      <c r="V36" s="172">
        <f t="shared" si="18"/>
        <v>3541.8598502400005</v>
      </c>
      <c r="W36" s="172">
        <f t="shared" si="19"/>
        <v>2068.24752</v>
      </c>
      <c r="X36" s="172">
        <f t="shared" si="20"/>
        <v>7187.160131999999</v>
      </c>
      <c r="Y36" s="100">
        <f t="shared" si="8"/>
        <v>4308.003024000001</v>
      </c>
      <c r="Z36" s="100">
        <f t="shared" si="9"/>
        <v>14237.94999432</v>
      </c>
      <c r="AA36" s="100">
        <f t="shared" si="10"/>
        <v>0</v>
      </c>
      <c r="AB36" s="100">
        <f t="shared" si="11"/>
        <v>0</v>
      </c>
      <c r="AC36" s="100">
        <f t="shared" si="4"/>
        <v>4080.7507520000004</v>
      </c>
      <c r="AD36" s="100">
        <f t="shared" si="5"/>
        <v>13140.017421440003</v>
      </c>
      <c r="AE36" s="100">
        <f t="shared" si="6"/>
        <v>14091.815935999999</v>
      </c>
      <c r="AF36" s="107">
        <f t="shared" si="7"/>
        <v>46531.34921552</v>
      </c>
      <c r="AG36" s="174"/>
      <c r="AH36" s="174"/>
      <c r="AI36" s="174"/>
      <c r="AJ36" s="174"/>
      <c r="AK36" s="174"/>
      <c r="AL36" s="174"/>
      <c r="AM36" s="194"/>
      <c r="AN36" s="81"/>
      <c r="AO36" s="200"/>
      <c r="AP36" s="81"/>
      <c r="AQ36" s="200"/>
      <c r="AR36" s="81"/>
      <c r="AS36" s="192"/>
      <c r="AT36" s="29"/>
      <c r="AU36" s="192"/>
      <c r="AV36" s="29"/>
      <c r="AW36" s="18"/>
      <c r="AX36" s="24"/>
      <c r="AY36" s="10"/>
      <c r="AZ36" s="10"/>
      <c r="BA36" s="10"/>
      <c r="BB36" s="10"/>
      <c r="BC36" s="10"/>
      <c r="BD36" s="10"/>
      <c r="BE36" s="10"/>
      <c r="BF36" s="10"/>
      <c r="BG36" s="10"/>
      <c r="BH36" s="10"/>
      <c r="BI36" s="10"/>
      <c r="BJ36" s="10"/>
      <c r="BK36" s="10"/>
    </row>
    <row r="37" spans="2:63" ht="12.75">
      <c r="B37" s="210">
        <v>2009</v>
      </c>
      <c r="C37" s="209"/>
      <c r="D37" s="178"/>
      <c r="E37" s="100"/>
      <c r="F37" s="100"/>
      <c r="G37" s="100"/>
      <c r="H37" s="100"/>
      <c r="I37" s="100"/>
      <c r="J37" s="150"/>
      <c r="K37" s="176"/>
      <c r="L37" s="176"/>
      <c r="M37" s="176"/>
      <c r="N37" s="164"/>
      <c r="O37" s="164"/>
      <c r="P37" s="164"/>
      <c r="Q37" s="172">
        <f t="shared" si="13"/>
        <v>1883.4234239999998</v>
      </c>
      <c r="R37" s="172">
        <f t="shared" si="14"/>
        <v>6064.623425280001</v>
      </c>
      <c r="S37" s="172">
        <f t="shared" si="15"/>
        <v>1196.8977599999998</v>
      </c>
      <c r="T37" s="172">
        <f t="shared" si="16"/>
        <v>3854.0107872</v>
      </c>
      <c r="U37" s="172">
        <f t="shared" si="17"/>
        <v>1325.539392</v>
      </c>
      <c r="V37" s="172">
        <f t="shared" si="18"/>
        <v>4380.90769056</v>
      </c>
      <c r="W37" s="172">
        <f t="shared" si="19"/>
        <v>2350.791936</v>
      </c>
      <c r="X37" s="172">
        <f t="shared" si="20"/>
        <v>7969.184663040001</v>
      </c>
      <c r="Y37" s="100">
        <f t="shared" si="8"/>
        <v>5186.55696</v>
      </c>
      <c r="Z37" s="100">
        <f t="shared" si="9"/>
        <v>16700.713411200002</v>
      </c>
      <c r="AA37" s="100">
        <f t="shared" si="10"/>
        <v>0</v>
      </c>
      <c r="AB37" s="100">
        <f t="shared" si="11"/>
        <v>0</v>
      </c>
      <c r="AC37" s="100">
        <f t="shared" si="4"/>
        <v>5054.3532000000005</v>
      </c>
      <c r="AD37" s="100">
        <f t="shared" si="5"/>
        <v>16275.017304000003</v>
      </c>
      <c r="AE37" s="100">
        <f t="shared" si="6"/>
        <v>16997.562672</v>
      </c>
      <c r="AF37" s="107">
        <f t="shared" si="7"/>
        <v>55244.45728128001</v>
      </c>
      <c r="AG37" s="174"/>
      <c r="AH37" s="174"/>
      <c r="AI37" s="174"/>
      <c r="AJ37" s="174"/>
      <c r="AK37" s="174"/>
      <c r="AL37" s="174"/>
      <c r="AM37" s="194"/>
      <c r="AN37" s="81"/>
      <c r="AO37" s="200"/>
      <c r="AP37" s="81"/>
      <c r="AQ37" s="200"/>
      <c r="AR37" s="81"/>
      <c r="AS37" s="192"/>
      <c r="AT37" s="29"/>
      <c r="AU37" s="192"/>
      <c r="AV37" s="29"/>
      <c r="AW37" s="18"/>
      <c r="AX37" s="24"/>
      <c r="AY37" s="10"/>
      <c r="AZ37" s="10"/>
      <c r="BA37" s="10"/>
      <c r="BB37" s="10"/>
      <c r="BC37" s="10"/>
      <c r="BD37" s="10"/>
      <c r="BE37" s="10"/>
      <c r="BF37" s="10"/>
      <c r="BG37" s="10"/>
      <c r="BH37" s="10"/>
      <c r="BI37" s="10"/>
      <c r="BJ37" s="10"/>
      <c r="BK37" s="10"/>
    </row>
    <row r="38" spans="2:63" ht="12.75">
      <c r="B38" s="210">
        <v>2010</v>
      </c>
      <c r="C38" s="209"/>
      <c r="D38" s="178"/>
      <c r="E38" s="100"/>
      <c r="F38" s="100"/>
      <c r="G38" s="100"/>
      <c r="H38" s="100"/>
      <c r="I38" s="100"/>
      <c r="J38" s="150"/>
      <c r="K38" s="176"/>
      <c r="L38" s="176"/>
      <c r="M38" s="176"/>
      <c r="N38" s="164"/>
      <c r="O38" s="164"/>
      <c r="P38" s="164"/>
      <c r="Q38" s="172">
        <f>F34*J34/1000</f>
        <v>2332.7783999999997</v>
      </c>
      <c r="R38" s="172">
        <f t="shared" si="14"/>
        <v>7511.546448</v>
      </c>
      <c r="S38" s="172">
        <f t="shared" si="15"/>
        <v>1412.5675679999997</v>
      </c>
      <c r="T38" s="172">
        <f t="shared" si="16"/>
        <v>4548.467568960001</v>
      </c>
      <c r="U38" s="172">
        <f t="shared" si="17"/>
        <v>1595.86368</v>
      </c>
      <c r="V38" s="172">
        <f t="shared" si="18"/>
        <v>5138.6810496</v>
      </c>
      <c r="W38" s="172">
        <f t="shared" si="19"/>
        <v>2982.4636320000004</v>
      </c>
      <c r="X38" s="172">
        <f t="shared" si="20"/>
        <v>9857.04230376</v>
      </c>
      <c r="Y38" s="100">
        <f t="shared" si="8"/>
        <v>6121.126128000001</v>
      </c>
      <c r="Z38" s="100">
        <f t="shared" si="9"/>
        <v>19710.026132160005</v>
      </c>
      <c r="AA38" s="100">
        <f t="shared" si="10"/>
        <v>0</v>
      </c>
      <c r="AB38" s="100">
        <f t="shared" si="11"/>
        <v>0</v>
      </c>
      <c r="AC38" s="100">
        <f t="shared" si="4"/>
        <v>6244.959552000001</v>
      </c>
      <c r="AD38" s="100">
        <f t="shared" si="5"/>
        <v>20108.769757440004</v>
      </c>
      <c r="AE38" s="100">
        <f t="shared" si="6"/>
        <v>20689.758960000003</v>
      </c>
      <c r="AF38" s="107">
        <f t="shared" si="7"/>
        <v>66874.53325992</v>
      </c>
      <c r="AG38" s="174"/>
      <c r="AH38" s="174"/>
      <c r="AI38" s="174"/>
      <c r="AJ38" s="174"/>
      <c r="AK38" s="174"/>
      <c r="AL38" s="174"/>
      <c r="AM38" s="194"/>
      <c r="AN38" s="81"/>
      <c r="AO38" s="200"/>
      <c r="AP38" s="81"/>
      <c r="AQ38" s="200"/>
      <c r="AR38" s="81"/>
      <c r="AS38" s="192"/>
      <c r="AT38" s="29"/>
      <c r="AU38" s="192"/>
      <c r="AV38" s="29"/>
      <c r="AW38" s="18"/>
      <c r="AX38" s="24"/>
      <c r="AY38" s="10"/>
      <c r="AZ38" s="10"/>
      <c r="BA38" s="10"/>
      <c r="BB38" s="10"/>
      <c r="BC38" s="10"/>
      <c r="BD38" s="10"/>
      <c r="BE38" s="10"/>
      <c r="BF38" s="10"/>
      <c r="BG38" s="10"/>
      <c r="BH38" s="10"/>
      <c r="BI38" s="10"/>
      <c r="BJ38" s="10"/>
      <c r="BK38" s="10"/>
    </row>
    <row r="39" spans="2:63" ht="13.5" thickBot="1">
      <c r="B39" s="211"/>
      <c r="C39" s="212" t="s">
        <v>5</v>
      </c>
      <c r="D39" s="212"/>
      <c r="E39" s="119"/>
      <c r="F39" s="100"/>
      <c r="G39" s="100"/>
      <c r="H39" s="100"/>
      <c r="I39" s="100"/>
      <c r="J39" s="157"/>
      <c r="K39" s="213"/>
      <c r="L39" s="213"/>
      <c r="M39" s="213"/>
      <c r="N39" s="165"/>
      <c r="O39" s="165"/>
      <c r="P39" s="165"/>
      <c r="Q39" s="214">
        <f aca="true" t="shared" si="21" ref="Q39:X39">SUM(Q10:Q38)</f>
        <v>13516.98253824</v>
      </c>
      <c r="R39" s="214">
        <f t="shared" si="21"/>
        <v>46742.8942435776</v>
      </c>
      <c r="S39" s="214">
        <f t="shared" si="21"/>
        <v>8388.153103679999</v>
      </c>
      <c r="T39" s="214">
        <f t="shared" si="21"/>
        <v>29423.5108466832</v>
      </c>
      <c r="U39" s="214">
        <f t="shared" si="21"/>
        <v>9300.78071424</v>
      </c>
      <c r="V39" s="214">
        <f t="shared" si="21"/>
        <v>33166.7243702976</v>
      </c>
      <c r="W39" s="214">
        <f t="shared" si="21"/>
        <v>17336.06332704</v>
      </c>
      <c r="X39" s="214">
        <f t="shared" si="21"/>
        <v>63063.09747156959</v>
      </c>
      <c r="Y39" s="214">
        <f aca="true" t="shared" si="22" ref="Y39:AF39">SUM(Y10:Y38)</f>
        <v>36348.66344928</v>
      </c>
      <c r="Z39" s="214">
        <f t="shared" si="22"/>
        <v>127501.88033562721</v>
      </c>
      <c r="AA39" s="214">
        <f t="shared" si="22"/>
        <v>0</v>
      </c>
      <c r="AB39" s="214">
        <f t="shared" si="22"/>
        <v>0</v>
      </c>
      <c r="AC39" s="214">
        <f>SUM(AC10:AC38)</f>
        <v>35531.755051520006</v>
      </c>
      <c r="AD39" s="214">
        <f t="shared" si="22"/>
        <v>121385.04061852483</v>
      </c>
      <c r="AE39" s="214">
        <f t="shared" si="22"/>
        <v>120422.398184</v>
      </c>
      <c r="AF39" s="214">
        <f t="shared" si="22"/>
        <v>421283.14788628</v>
      </c>
      <c r="AG39" s="169"/>
      <c r="AH39" s="81"/>
      <c r="AI39" s="18"/>
      <c r="AJ39" s="81"/>
      <c r="AK39" s="194"/>
      <c r="AL39" s="81"/>
      <c r="AM39" s="194"/>
      <c r="AN39" s="81"/>
      <c r="AO39" s="200"/>
      <c r="AP39" s="81"/>
      <c r="AQ39" s="200"/>
      <c r="AR39" s="81"/>
      <c r="AS39" s="192"/>
      <c r="AT39" s="29"/>
      <c r="AU39" s="192"/>
      <c r="AV39" s="29"/>
      <c r="AW39" s="18"/>
      <c r="AX39" s="24"/>
      <c r="AY39" s="10"/>
      <c r="AZ39" s="10"/>
      <c r="BA39" s="10"/>
      <c r="BB39" s="10"/>
      <c r="BC39" s="10"/>
      <c r="BD39" s="10"/>
      <c r="BE39" s="10"/>
      <c r="BF39" s="10"/>
      <c r="BG39" s="10"/>
      <c r="BH39" s="10"/>
      <c r="BI39" s="10"/>
      <c r="BJ39" s="10"/>
      <c r="BK39" s="10"/>
    </row>
    <row r="40" spans="2:50" ht="13.5" customHeight="1" hidden="1" thickBot="1">
      <c r="B40" s="13"/>
      <c r="C40" s="170"/>
      <c r="D40" s="170"/>
      <c r="E40" s="82">
        <f>C40*$E$2</f>
        <v>0</v>
      </c>
      <c r="F40" s="274"/>
      <c r="G40" s="274"/>
      <c r="H40" s="274"/>
      <c r="I40" s="274"/>
      <c r="J40" s="83"/>
      <c r="K40" s="171"/>
      <c r="L40" s="171"/>
      <c r="M40" s="171"/>
      <c r="N40" s="277"/>
      <c r="O40" s="277"/>
      <c r="P40" s="277"/>
      <c r="Q40" s="25"/>
      <c r="R40" s="25"/>
      <c r="S40" s="25"/>
      <c r="T40" s="25"/>
      <c r="U40" s="84"/>
      <c r="V40" s="84"/>
      <c r="W40" s="82"/>
      <c r="X40" s="82"/>
      <c r="Y40" s="100">
        <f t="shared" si="8"/>
        <v>9367.439328</v>
      </c>
      <c r="Z40" s="100">
        <f t="shared" si="9"/>
        <v>30163.15463616</v>
      </c>
      <c r="AA40" s="100">
        <f t="shared" si="10"/>
        <v>0</v>
      </c>
      <c r="AB40" s="100">
        <f t="shared" si="11"/>
        <v>0</v>
      </c>
      <c r="AC40" s="100">
        <f t="shared" si="4"/>
        <v>0</v>
      </c>
      <c r="AD40" s="100">
        <f t="shared" si="5"/>
        <v>0</v>
      </c>
      <c r="AE40" s="100">
        <f>Q40+S40+U40+W40+Y40+AA40</f>
        <v>9367.439328</v>
      </c>
      <c r="AF40" s="107">
        <f>R40+T40+V40+X40+Z40+AB40</f>
        <v>30163.15463616</v>
      </c>
      <c r="AG40" s="170"/>
      <c r="AH40" s="195"/>
      <c r="AI40" s="196"/>
      <c r="AJ40" s="195"/>
      <c r="AK40" s="197"/>
      <c r="AL40" s="195"/>
      <c r="AM40" s="197"/>
      <c r="AN40" s="195"/>
      <c r="AO40" s="198"/>
      <c r="AP40" s="195"/>
      <c r="AQ40" s="198"/>
      <c r="AR40" s="199"/>
      <c r="AS40" s="192"/>
      <c r="AT40" s="29"/>
      <c r="AU40" s="192"/>
      <c r="AV40" s="29"/>
      <c r="AW40" s="18"/>
      <c r="AX40" s="24"/>
    </row>
    <row r="41" spans="2:50" ht="12.75">
      <c r="B41" s="10"/>
      <c r="C41" s="169"/>
      <c r="D41" s="169"/>
      <c r="E41" s="81"/>
      <c r="F41" s="110"/>
      <c r="G41" s="110"/>
      <c r="H41" s="110"/>
      <c r="I41" s="110"/>
      <c r="J41" s="80"/>
      <c r="K41" s="168"/>
      <c r="L41" s="168"/>
      <c r="M41" s="168"/>
      <c r="N41" s="276"/>
      <c r="O41" s="276"/>
      <c r="P41" s="276"/>
      <c r="Q41" s="174"/>
      <c r="R41" s="174"/>
      <c r="S41" s="184"/>
      <c r="T41" s="174"/>
      <c r="U41" s="18"/>
      <c r="V41" s="18"/>
      <c r="W41" s="81"/>
      <c r="X41" s="81"/>
      <c r="Y41" s="275"/>
      <c r="Z41" s="275"/>
      <c r="AA41" s="275"/>
      <c r="AB41" s="275"/>
      <c r="AC41" s="275"/>
      <c r="AD41" s="275"/>
      <c r="AE41" s="275"/>
      <c r="AF41" s="275"/>
      <c r="AG41" s="169"/>
      <c r="AH41" s="81"/>
      <c r="AI41" s="18"/>
      <c r="AJ41" s="81"/>
      <c r="AK41" s="194"/>
      <c r="AL41" s="81"/>
      <c r="AM41" s="194"/>
      <c r="AN41" s="81"/>
      <c r="AO41" s="200"/>
      <c r="AP41" s="81"/>
      <c r="AQ41" s="200"/>
      <c r="AR41" s="81"/>
      <c r="AS41" s="192"/>
      <c r="AT41" s="29"/>
      <c r="AU41" s="192"/>
      <c r="AV41" s="29"/>
      <c r="AW41" s="18"/>
      <c r="AX41" s="24"/>
    </row>
    <row r="42" spans="3:48" ht="12.75">
      <c r="C42" s="314"/>
      <c r="D42" s="19"/>
      <c r="F42" s="81"/>
      <c r="G42" s="81"/>
      <c r="H42" s="81"/>
      <c r="I42" s="81"/>
      <c r="N42" s="33"/>
      <c r="O42" s="33"/>
      <c r="P42" s="33"/>
      <c r="Q42" s="21"/>
      <c r="R42" s="21"/>
      <c r="S42" s="81"/>
      <c r="T42" s="266"/>
      <c r="U42" s="267"/>
      <c r="Y42" s="81"/>
      <c r="Z42" s="81"/>
      <c r="AA42" s="81"/>
      <c r="AB42" s="81"/>
      <c r="AC42" s="81"/>
      <c r="AD42" s="81"/>
      <c r="AE42" s="81"/>
      <c r="AF42" s="81"/>
      <c r="AN42" s="17"/>
      <c r="AO42" s="17"/>
      <c r="AP42" s="17"/>
      <c r="AQ42" s="17"/>
      <c r="AR42" s="17"/>
      <c r="AS42" s="17"/>
      <c r="AT42" s="33"/>
      <c r="AU42" s="17"/>
      <c r="AV42" s="17"/>
    </row>
    <row r="43" spans="6:48" ht="12.75">
      <c r="F43" s="81"/>
      <c r="G43" s="81"/>
      <c r="H43" s="81"/>
      <c r="I43" s="81"/>
      <c r="J43" s="30"/>
      <c r="N43" s="33"/>
      <c r="O43" s="33"/>
      <c r="P43" s="33"/>
      <c r="Q43" s="21"/>
      <c r="R43" s="21"/>
      <c r="S43" s="81"/>
      <c r="T43" s="81"/>
      <c r="U43" s="81"/>
      <c r="Y43" s="81"/>
      <c r="Z43" s="81"/>
      <c r="AA43" s="81"/>
      <c r="AB43" s="81"/>
      <c r="AC43" s="81"/>
      <c r="AD43" s="81"/>
      <c r="AE43" s="81"/>
      <c r="AF43" s="81"/>
      <c r="AN43" s="576"/>
      <c r="AO43" s="576"/>
      <c r="AP43" s="576"/>
      <c r="AQ43" s="34"/>
      <c r="AR43" s="17"/>
      <c r="AS43" s="17"/>
      <c r="AT43" s="35"/>
      <c r="AU43" s="17"/>
      <c r="AV43" s="17"/>
    </row>
    <row r="44" spans="2:48" ht="12.75">
      <c r="B44" s="21" t="s">
        <v>224</v>
      </c>
      <c r="C44" s="21"/>
      <c r="D44" s="21"/>
      <c r="E44" s="21"/>
      <c r="F44" s="21"/>
      <c r="G44" s="21"/>
      <c r="H44" s="21"/>
      <c r="I44" s="21" t="s">
        <v>238</v>
      </c>
      <c r="J44" s="97"/>
      <c r="K44" s="21"/>
      <c r="L44" s="21" t="s">
        <v>239</v>
      </c>
      <c r="M44" s="21"/>
      <c r="N44" s="21"/>
      <c r="Q44" s="21"/>
      <c r="R44" s="21"/>
      <c r="S44" s="81"/>
      <c r="T44" s="81"/>
      <c r="U44" s="81"/>
      <c r="AN44" s="576"/>
      <c r="AO44" s="576"/>
      <c r="AP44" s="576"/>
      <c r="AQ44" s="205"/>
      <c r="AR44" s="24"/>
      <c r="AS44" s="17"/>
      <c r="AT44" s="36"/>
      <c r="AU44" s="37"/>
      <c r="AV44" s="17"/>
    </row>
    <row r="45" spans="2:48" ht="12.75">
      <c r="B45" s="21"/>
      <c r="C45" s="21"/>
      <c r="D45" s="21"/>
      <c r="E45" s="21" t="s">
        <v>147</v>
      </c>
      <c r="F45" s="21"/>
      <c r="G45" s="21"/>
      <c r="H45" s="21"/>
      <c r="I45" s="21"/>
      <c r="J45" s="97"/>
      <c r="K45" s="21"/>
      <c r="L45" s="21"/>
      <c r="M45" s="21"/>
      <c r="N45" s="21"/>
      <c r="O45" s="21"/>
      <c r="P45" s="21"/>
      <c r="Q45" s="21" t="s">
        <v>147</v>
      </c>
      <c r="R45" s="21" t="s">
        <v>188</v>
      </c>
      <c r="S45" s="21"/>
      <c r="T45" s="21"/>
      <c r="U45" s="81"/>
      <c r="V45" s="21"/>
      <c r="W45" s="86"/>
      <c r="X45" s="21"/>
      <c r="AN45" s="576"/>
      <c r="AO45" s="576"/>
      <c r="AP45" s="576"/>
      <c r="AQ45" s="205"/>
      <c r="AR45" s="24"/>
      <c r="AS45" s="17"/>
      <c r="AT45" s="36"/>
      <c r="AU45" s="37"/>
      <c r="AV45" s="17"/>
    </row>
    <row r="46" spans="2:48" ht="12.75">
      <c r="B46" s="21" t="str">
        <f>B6</f>
        <v>Year</v>
      </c>
      <c r="C46" s="21" t="s">
        <v>141</v>
      </c>
      <c r="D46" s="21" t="s">
        <v>141</v>
      </c>
      <c r="E46" s="284" t="s">
        <v>240</v>
      </c>
      <c r="F46" s="284" t="s">
        <v>144</v>
      </c>
      <c r="G46" s="544" t="s">
        <v>145</v>
      </c>
      <c r="H46" s="544"/>
      <c r="I46" s="21" t="s">
        <v>149</v>
      </c>
      <c r="J46" s="544" t="s">
        <v>150</v>
      </c>
      <c r="K46" s="503"/>
      <c r="L46" s="21" t="s">
        <v>151</v>
      </c>
      <c r="M46" s="544" t="s">
        <v>151</v>
      </c>
      <c r="N46" s="503"/>
      <c r="O46" s="544" t="s">
        <v>167</v>
      </c>
      <c r="P46" s="544"/>
      <c r="Q46" s="284" t="s">
        <v>240</v>
      </c>
      <c r="R46" s="284"/>
      <c r="S46" s="544" t="s">
        <v>170</v>
      </c>
      <c r="T46" s="544"/>
      <c r="U46" s="544" t="s">
        <v>171</v>
      </c>
      <c r="V46" s="544"/>
      <c r="W46" s="574" t="s">
        <v>189</v>
      </c>
      <c r="X46" s="510"/>
      <c r="AN46" s="576"/>
      <c r="AO46" s="576"/>
      <c r="AP46" s="576"/>
      <c r="AQ46" s="205"/>
      <c r="AR46" s="24"/>
      <c r="AS46" s="17"/>
      <c r="AT46" s="36"/>
      <c r="AU46" s="37"/>
      <c r="AV46" s="17"/>
    </row>
    <row r="47" spans="2:48" ht="12.75">
      <c r="B47" s="21"/>
      <c r="C47" s="21" t="s">
        <v>142</v>
      </c>
      <c r="D47" s="21" t="s">
        <v>143</v>
      </c>
      <c r="E47" s="21" t="s">
        <v>148</v>
      </c>
      <c r="F47" s="21" t="s">
        <v>148</v>
      </c>
      <c r="G47" s="21" t="s">
        <v>1</v>
      </c>
      <c r="H47" s="21" t="s">
        <v>2</v>
      </c>
      <c r="I47" s="21" t="s">
        <v>148</v>
      </c>
      <c r="J47" s="97" t="s">
        <v>1</v>
      </c>
      <c r="K47" s="21" t="s">
        <v>2</v>
      </c>
      <c r="L47" s="21" t="s">
        <v>148</v>
      </c>
      <c r="M47" s="97" t="s">
        <v>1</v>
      </c>
      <c r="N47" s="21" t="s">
        <v>2</v>
      </c>
      <c r="O47" s="21" t="s">
        <v>142</v>
      </c>
      <c r="P47" s="21" t="s">
        <v>143</v>
      </c>
      <c r="Q47" s="21" t="s">
        <v>148</v>
      </c>
      <c r="R47" s="111" t="s">
        <v>148</v>
      </c>
      <c r="S47" s="21" t="s">
        <v>1</v>
      </c>
      <c r="T47" s="21" t="s">
        <v>2</v>
      </c>
      <c r="U47" s="21" t="s">
        <v>1</v>
      </c>
      <c r="V47" s="21" t="s">
        <v>2</v>
      </c>
      <c r="W47" s="21" t="s">
        <v>1</v>
      </c>
      <c r="X47" s="21" t="s">
        <v>2</v>
      </c>
      <c r="AN47" s="577"/>
      <c r="AO47" s="577"/>
      <c r="AP47" s="577"/>
      <c r="AQ47" s="205"/>
      <c r="AR47" s="24"/>
      <c r="AS47" s="17"/>
      <c r="AT47" s="36"/>
      <c r="AU47" s="37"/>
      <c r="AV47" s="17"/>
    </row>
    <row r="48" spans="2:48" ht="12.75">
      <c r="B48" s="21">
        <f aca="true" t="shared" si="23" ref="B48:B72">B8</f>
        <v>0</v>
      </c>
      <c r="C48" s="86">
        <f aca="true" t="shared" si="24" ref="C48:D72">F8</f>
        <v>0</v>
      </c>
      <c r="D48" s="86">
        <f t="shared" si="24"/>
        <v>0</v>
      </c>
      <c r="E48" s="21">
        <v>1</v>
      </c>
      <c r="F48" s="21">
        <v>0</v>
      </c>
      <c r="G48" s="86">
        <f aca="true" t="shared" si="25" ref="G48:G75">C48-(E48*C48)-(C48*F48)</f>
        <v>0</v>
      </c>
      <c r="H48" s="86">
        <f aca="true" t="shared" si="26" ref="H48:H75">D48-(E48*D48)-(D48*F48)</f>
        <v>0</v>
      </c>
      <c r="I48" s="21"/>
      <c r="J48" s="21"/>
      <c r="K48" s="21"/>
      <c r="L48" s="21"/>
      <c r="M48" s="21"/>
      <c r="N48" s="21"/>
      <c r="O48" s="86">
        <f>H8</f>
        <v>0</v>
      </c>
      <c r="P48" s="86">
        <f>I8</f>
        <v>0</v>
      </c>
      <c r="Q48" s="21">
        <v>1</v>
      </c>
      <c r="R48" s="21">
        <v>0</v>
      </c>
      <c r="S48" s="86">
        <f>O48*$Q48</f>
        <v>0</v>
      </c>
      <c r="T48" s="86">
        <f>P48*$Q48</f>
        <v>0</v>
      </c>
      <c r="U48" s="86">
        <f>C48*$E48</f>
        <v>0</v>
      </c>
      <c r="V48" s="86">
        <f>D48*$E48</f>
        <v>0</v>
      </c>
      <c r="W48" s="21">
        <f>O48*$R48</f>
        <v>0</v>
      </c>
      <c r="X48" s="21">
        <f>P48*$R48</f>
        <v>0</v>
      </c>
      <c r="AN48" s="17"/>
      <c r="AO48" s="17"/>
      <c r="AP48" s="17"/>
      <c r="AQ48" s="17"/>
      <c r="AR48" s="17"/>
      <c r="AS48" s="17"/>
      <c r="AT48" s="17"/>
      <c r="AU48" s="17"/>
      <c r="AV48" s="17"/>
    </row>
    <row r="49" spans="2:24" ht="12.75">
      <c r="B49" s="21">
        <f t="shared" si="23"/>
        <v>0</v>
      </c>
      <c r="C49" s="86">
        <f t="shared" si="24"/>
        <v>0</v>
      </c>
      <c r="D49" s="86">
        <f t="shared" si="24"/>
        <v>0</v>
      </c>
      <c r="E49" s="21">
        <v>1</v>
      </c>
      <c r="F49" s="21">
        <v>0</v>
      </c>
      <c r="G49" s="86">
        <f t="shared" si="25"/>
        <v>0</v>
      </c>
      <c r="H49" s="86">
        <f t="shared" si="26"/>
        <v>0</v>
      </c>
      <c r="I49" s="21"/>
      <c r="J49" s="21"/>
      <c r="K49" s="21"/>
      <c r="L49" s="21"/>
      <c r="M49" s="21"/>
      <c r="N49" s="21"/>
      <c r="O49" s="283">
        <f aca="true" t="shared" si="27" ref="O49:P72">H9</f>
        <v>0</v>
      </c>
      <c r="P49" s="283">
        <f t="shared" si="27"/>
        <v>0</v>
      </c>
      <c r="Q49" s="21">
        <v>1</v>
      </c>
      <c r="R49" s="21">
        <v>0</v>
      </c>
      <c r="S49" s="86">
        <f aca="true" t="shared" si="28" ref="S49:T75">O49*$Q49</f>
        <v>0</v>
      </c>
      <c r="T49" s="86">
        <f t="shared" si="28"/>
        <v>0</v>
      </c>
      <c r="U49" s="86">
        <f aca="true" t="shared" si="29" ref="U49:V73">C49*$E49</f>
        <v>0</v>
      </c>
      <c r="V49" s="86">
        <f t="shared" si="29"/>
        <v>0</v>
      </c>
      <c r="W49" s="21">
        <f aca="true" t="shared" si="30" ref="W49:X75">O49*$R49</f>
        <v>0</v>
      </c>
      <c r="X49" s="21">
        <f t="shared" si="30"/>
        <v>0</v>
      </c>
    </row>
    <row r="50" spans="2:24" ht="12.75">
      <c r="B50" s="21">
        <f t="shared" si="23"/>
        <v>1982</v>
      </c>
      <c r="C50" s="86">
        <f t="shared" si="24"/>
        <v>0</v>
      </c>
      <c r="D50" s="86">
        <f t="shared" si="24"/>
        <v>0</v>
      </c>
      <c r="E50" s="21">
        <v>1</v>
      </c>
      <c r="F50" s="21">
        <v>0</v>
      </c>
      <c r="G50" s="86">
        <f t="shared" si="25"/>
        <v>0</v>
      </c>
      <c r="H50" s="86">
        <f t="shared" si="26"/>
        <v>0</v>
      </c>
      <c r="I50" s="21"/>
      <c r="J50" s="21"/>
      <c r="K50" s="21"/>
      <c r="L50" s="21"/>
      <c r="M50" s="21"/>
      <c r="N50" s="21"/>
      <c r="O50" s="283">
        <f t="shared" si="27"/>
        <v>0</v>
      </c>
      <c r="P50" s="283">
        <f t="shared" si="27"/>
        <v>0</v>
      </c>
      <c r="Q50" s="21">
        <v>1</v>
      </c>
      <c r="R50" s="21">
        <v>0</v>
      </c>
      <c r="S50" s="86">
        <f t="shared" si="28"/>
        <v>0</v>
      </c>
      <c r="T50" s="86">
        <f t="shared" si="28"/>
        <v>0</v>
      </c>
      <c r="U50" s="86">
        <f t="shared" si="29"/>
        <v>0</v>
      </c>
      <c r="V50" s="86">
        <f t="shared" si="29"/>
        <v>0</v>
      </c>
      <c r="W50" s="21">
        <f t="shared" si="30"/>
        <v>0</v>
      </c>
      <c r="X50" s="21">
        <f t="shared" si="30"/>
        <v>0</v>
      </c>
    </row>
    <row r="51" spans="2:24" ht="12.75">
      <c r="B51" s="21">
        <f t="shared" si="23"/>
        <v>1983</v>
      </c>
      <c r="C51" s="86">
        <f t="shared" si="24"/>
        <v>0</v>
      </c>
      <c r="D51" s="86">
        <f t="shared" si="24"/>
        <v>0</v>
      </c>
      <c r="E51" s="21">
        <v>1</v>
      </c>
      <c r="F51" s="21">
        <v>0</v>
      </c>
      <c r="G51" s="86">
        <f t="shared" si="25"/>
        <v>0</v>
      </c>
      <c r="H51" s="86">
        <f t="shared" si="26"/>
        <v>0</v>
      </c>
      <c r="I51" s="21"/>
      <c r="J51" s="21"/>
      <c r="K51" s="21"/>
      <c r="L51" s="21"/>
      <c r="M51" s="21"/>
      <c r="N51" s="21"/>
      <c r="O51" s="283">
        <f t="shared" si="27"/>
        <v>0</v>
      </c>
      <c r="P51" s="283">
        <f t="shared" si="27"/>
        <v>0</v>
      </c>
      <c r="Q51" s="21">
        <v>1</v>
      </c>
      <c r="R51" s="21">
        <v>0</v>
      </c>
      <c r="S51" s="86">
        <f t="shared" si="28"/>
        <v>0</v>
      </c>
      <c r="T51" s="86">
        <f t="shared" si="28"/>
        <v>0</v>
      </c>
      <c r="U51" s="86">
        <f t="shared" si="29"/>
        <v>0</v>
      </c>
      <c r="V51" s="86">
        <f t="shared" si="29"/>
        <v>0</v>
      </c>
      <c r="W51" s="21">
        <f t="shared" si="30"/>
        <v>0</v>
      </c>
      <c r="X51" s="21">
        <f t="shared" si="30"/>
        <v>0</v>
      </c>
    </row>
    <row r="52" spans="2:24" ht="12.75">
      <c r="B52" s="21">
        <f t="shared" si="23"/>
        <v>1984</v>
      </c>
      <c r="C52" s="86">
        <f t="shared" si="24"/>
        <v>0</v>
      </c>
      <c r="D52" s="86">
        <f t="shared" si="24"/>
        <v>0</v>
      </c>
      <c r="E52" s="21">
        <v>1</v>
      </c>
      <c r="F52" s="21">
        <v>0</v>
      </c>
      <c r="G52" s="86">
        <f t="shared" si="25"/>
        <v>0</v>
      </c>
      <c r="H52" s="86">
        <f t="shared" si="26"/>
        <v>0</v>
      </c>
      <c r="I52" s="21"/>
      <c r="J52" s="21"/>
      <c r="K52" s="21"/>
      <c r="L52" s="21"/>
      <c r="M52" s="21"/>
      <c r="N52" s="21"/>
      <c r="O52" s="283">
        <f t="shared" si="27"/>
        <v>0</v>
      </c>
      <c r="P52" s="283">
        <f t="shared" si="27"/>
        <v>0</v>
      </c>
      <c r="Q52" s="21">
        <v>1</v>
      </c>
      <c r="R52" s="21">
        <v>0</v>
      </c>
      <c r="S52" s="86">
        <f t="shared" si="28"/>
        <v>0</v>
      </c>
      <c r="T52" s="86">
        <f t="shared" si="28"/>
        <v>0</v>
      </c>
      <c r="U52" s="86">
        <f t="shared" si="29"/>
        <v>0</v>
      </c>
      <c r="V52" s="86">
        <f t="shared" si="29"/>
        <v>0</v>
      </c>
      <c r="W52" s="21">
        <f t="shared" si="30"/>
        <v>0</v>
      </c>
      <c r="X52" s="21">
        <f t="shared" si="30"/>
        <v>0</v>
      </c>
    </row>
    <row r="53" spans="2:24" ht="12.75">
      <c r="B53" s="21">
        <f t="shared" si="23"/>
        <v>1985</v>
      </c>
      <c r="C53" s="86">
        <f t="shared" si="24"/>
        <v>0</v>
      </c>
      <c r="D53" s="86">
        <f t="shared" si="24"/>
        <v>0</v>
      </c>
      <c r="E53" s="21">
        <v>1</v>
      </c>
      <c r="F53" s="21">
        <v>0</v>
      </c>
      <c r="G53" s="86">
        <f t="shared" si="25"/>
        <v>0</v>
      </c>
      <c r="H53" s="86">
        <f t="shared" si="26"/>
        <v>0</v>
      </c>
      <c r="I53" s="21"/>
      <c r="J53" s="21"/>
      <c r="K53" s="21"/>
      <c r="L53" s="21"/>
      <c r="M53" s="21"/>
      <c r="N53" s="21"/>
      <c r="O53" s="283">
        <f t="shared" si="27"/>
        <v>0</v>
      </c>
      <c r="P53" s="283">
        <f t="shared" si="27"/>
        <v>0</v>
      </c>
      <c r="Q53" s="21">
        <v>1</v>
      </c>
      <c r="R53" s="21">
        <v>0</v>
      </c>
      <c r="S53" s="86">
        <f t="shared" si="28"/>
        <v>0</v>
      </c>
      <c r="T53" s="86">
        <f t="shared" si="28"/>
        <v>0</v>
      </c>
      <c r="U53" s="86">
        <f t="shared" si="29"/>
        <v>0</v>
      </c>
      <c r="V53" s="86">
        <f t="shared" si="29"/>
        <v>0</v>
      </c>
      <c r="W53" s="21">
        <f t="shared" si="30"/>
        <v>0</v>
      </c>
      <c r="X53" s="21">
        <f t="shared" si="30"/>
        <v>0</v>
      </c>
    </row>
    <row r="54" spans="2:24" ht="12.75">
      <c r="B54" s="21">
        <f t="shared" si="23"/>
        <v>1986</v>
      </c>
      <c r="C54" s="86">
        <f t="shared" si="24"/>
        <v>0</v>
      </c>
      <c r="D54" s="86">
        <f t="shared" si="24"/>
        <v>0</v>
      </c>
      <c r="E54" s="21">
        <v>1</v>
      </c>
      <c r="F54" s="21">
        <v>0</v>
      </c>
      <c r="G54" s="86">
        <f t="shared" si="25"/>
        <v>0</v>
      </c>
      <c r="H54" s="86">
        <f t="shared" si="26"/>
        <v>0</v>
      </c>
      <c r="I54" s="21"/>
      <c r="J54" s="21"/>
      <c r="K54" s="21"/>
      <c r="L54" s="21"/>
      <c r="M54" s="21"/>
      <c r="N54" s="21"/>
      <c r="O54" s="283">
        <f t="shared" si="27"/>
        <v>0</v>
      </c>
      <c r="P54" s="283">
        <f t="shared" si="27"/>
        <v>0</v>
      </c>
      <c r="Q54" s="21">
        <v>1</v>
      </c>
      <c r="R54" s="21">
        <v>0</v>
      </c>
      <c r="S54" s="86">
        <f t="shared" si="28"/>
        <v>0</v>
      </c>
      <c r="T54" s="86">
        <f t="shared" si="28"/>
        <v>0</v>
      </c>
      <c r="U54" s="86">
        <f t="shared" si="29"/>
        <v>0</v>
      </c>
      <c r="V54" s="86">
        <f t="shared" si="29"/>
        <v>0</v>
      </c>
      <c r="W54" s="21">
        <f t="shared" si="30"/>
        <v>0</v>
      </c>
      <c r="X54" s="21">
        <f t="shared" si="30"/>
        <v>0</v>
      </c>
    </row>
    <row r="55" spans="2:24" ht="12.75">
      <c r="B55" s="21">
        <f t="shared" si="23"/>
        <v>1987</v>
      </c>
      <c r="C55" s="86">
        <f t="shared" si="24"/>
        <v>0</v>
      </c>
      <c r="D55" s="86">
        <f t="shared" si="24"/>
        <v>0</v>
      </c>
      <c r="E55" s="21">
        <v>1</v>
      </c>
      <c r="F55" s="21">
        <v>0</v>
      </c>
      <c r="G55" s="86">
        <f t="shared" si="25"/>
        <v>0</v>
      </c>
      <c r="H55" s="86">
        <f t="shared" si="26"/>
        <v>0</v>
      </c>
      <c r="I55" s="21"/>
      <c r="J55" s="21"/>
      <c r="K55" s="21"/>
      <c r="L55" s="21"/>
      <c r="M55" s="21"/>
      <c r="N55" s="21"/>
      <c r="O55" s="283">
        <f t="shared" si="27"/>
        <v>0</v>
      </c>
      <c r="P55" s="283">
        <f t="shared" si="27"/>
        <v>0</v>
      </c>
      <c r="Q55" s="21">
        <v>1</v>
      </c>
      <c r="R55" s="21">
        <v>0</v>
      </c>
      <c r="S55" s="86">
        <f t="shared" si="28"/>
        <v>0</v>
      </c>
      <c r="T55" s="86">
        <f t="shared" si="28"/>
        <v>0</v>
      </c>
      <c r="U55" s="86">
        <f t="shared" si="29"/>
        <v>0</v>
      </c>
      <c r="V55" s="86">
        <f t="shared" si="29"/>
        <v>0</v>
      </c>
      <c r="W55" s="21">
        <f t="shared" si="30"/>
        <v>0</v>
      </c>
      <c r="X55" s="21">
        <f t="shared" si="30"/>
        <v>0</v>
      </c>
    </row>
    <row r="56" spans="2:24" ht="12.75">
      <c r="B56" s="21">
        <f t="shared" si="23"/>
        <v>1988</v>
      </c>
      <c r="C56" s="86">
        <f t="shared" si="24"/>
        <v>0</v>
      </c>
      <c r="D56" s="86">
        <f t="shared" si="24"/>
        <v>0</v>
      </c>
      <c r="E56" s="21">
        <v>1</v>
      </c>
      <c r="F56" s="21">
        <v>0</v>
      </c>
      <c r="G56" s="86">
        <f t="shared" si="25"/>
        <v>0</v>
      </c>
      <c r="H56" s="86">
        <f t="shared" si="26"/>
        <v>0</v>
      </c>
      <c r="I56" s="21"/>
      <c r="J56" s="21"/>
      <c r="K56" s="21"/>
      <c r="L56" s="21"/>
      <c r="M56" s="21"/>
      <c r="N56" s="21"/>
      <c r="O56" s="283">
        <f t="shared" si="27"/>
        <v>0</v>
      </c>
      <c r="P56" s="283">
        <f t="shared" si="27"/>
        <v>0</v>
      </c>
      <c r="Q56" s="21">
        <v>1</v>
      </c>
      <c r="R56" s="21">
        <v>0</v>
      </c>
      <c r="S56" s="86">
        <f t="shared" si="28"/>
        <v>0</v>
      </c>
      <c r="T56" s="86">
        <f t="shared" si="28"/>
        <v>0</v>
      </c>
      <c r="U56" s="86">
        <f t="shared" si="29"/>
        <v>0</v>
      </c>
      <c r="V56" s="86">
        <f t="shared" si="29"/>
        <v>0</v>
      </c>
      <c r="W56" s="21">
        <f t="shared" si="30"/>
        <v>0</v>
      </c>
      <c r="X56" s="21">
        <f t="shared" si="30"/>
        <v>0</v>
      </c>
    </row>
    <row r="57" spans="2:24" ht="12.75">
      <c r="B57" s="21">
        <f t="shared" si="23"/>
        <v>1989</v>
      </c>
      <c r="C57" s="86">
        <f t="shared" si="24"/>
        <v>0</v>
      </c>
      <c r="D57" s="86">
        <f t="shared" si="24"/>
        <v>0</v>
      </c>
      <c r="E57" s="21">
        <v>1</v>
      </c>
      <c r="F57" s="21">
        <v>0</v>
      </c>
      <c r="G57" s="86">
        <f t="shared" si="25"/>
        <v>0</v>
      </c>
      <c r="H57" s="86">
        <f t="shared" si="26"/>
        <v>0</v>
      </c>
      <c r="I57" s="21"/>
      <c r="J57" s="21"/>
      <c r="K57" s="21"/>
      <c r="L57" s="21"/>
      <c r="M57" s="21"/>
      <c r="N57" s="21"/>
      <c r="O57" s="283">
        <f t="shared" si="27"/>
        <v>0</v>
      </c>
      <c r="P57" s="283">
        <f t="shared" si="27"/>
        <v>0</v>
      </c>
      <c r="Q57" s="21">
        <v>1</v>
      </c>
      <c r="R57" s="21">
        <v>0</v>
      </c>
      <c r="S57" s="86">
        <f t="shared" si="28"/>
        <v>0</v>
      </c>
      <c r="T57" s="86">
        <f t="shared" si="28"/>
        <v>0</v>
      </c>
      <c r="U57" s="86">
        <f t="shared" si="29"/>
        <v>0</v>
      </c>
      <c r="V57" s="86">
        <f t="shared" si="29"/>
        <v>0</v>
      </c>
      <c r="W57" s="21">
        <f t="shared" si="30"/>
        <v>0</v>
      </c>
      <c r="X57" s="21">
        <f t="shared" si="30"/>
        <v>0</v>
      </c>
    </row>
    <row r="58" spans="2:24" ht="12.75">
      <c r="B58" s="21">
        <f t="shared" si="23"/>
        <v>1990</v>
      </c>
      <c r="C58" s="86">
        <f t="shared" si="24"/>
        <v>0</v>
      </c>
      <c r="D58" s="86">
        <f t="shared" si="24"/>
        <v>0</v>
      </c>
      <c r="E58" s="21">
        <v>1</v>
      </c>
      <c r="F58" s="21">
        <v>0</v>
      </c>
      <c r="G58" s="86">
        <f t="shared" si="25"/>
        <v>0</v>
      </c>
      <c r="H58" s="86">
        <f t="shared" si="26"/>
        <v>0</v>
      </c>
      <c r="I58" s="21"/>
      <c r="J58" s="21"/>
      <c r="K58" s="21"/>
      <c r="L58" s="21"/>
      <c r="M58" s="21"/>
      <c r="N58" s="21"/>
      <c r="O58" s="283">
        <f t="shared" si="27"/>
        <v>0</v>
      </c>
      <c r="P58" s="283">
        <f t="shared" si="27"/>
        <v>0</v>
      </c>
      <c r="Q58" s="21">
        <v>1</v>
      </c>
      <c r="R58" s="21">
        <v>0</v>
      </c>
      <c r="S58" s="86">
        <f t="shared" si="28"/>
        <v>0</v>
      </c>
      <c r="T58" s="86">
        <f t="shared" si="28"/>
        <v>0</v>
      </c>
      <c r="U58" s="86">
        <f t="shared" si="29"/>
        <v>0</v>
      </c>
      <c r="V58" s="86">
        <f t="shared" si="29"/>
        <v>0</v>
      </c>
      <c r="W58" s="21">
        <f t="shared" si="30"/>
        <v>0</v>
      </c>
      <c r="X58" s="21">
        <f t="shared" si="30"/>
        <v>0</v>
      </c>
    </row>
    <row r="59" spans="2:24" ht="12.75">
      <c r="B59" s="21">
        <f t="shared" si="23"/>
        <v>1991</v>
      </c>
      <c r="C59" s="86">
        <f t="shared" si="24"/>
        <v>0</v>
      </c>
      <c r="D59" s="86">
        <f t="shared" si="24"/>
        <v>0</v>
      </c>
      <c r="E59" s="21">
        <v>1</v>
      </c>
      <c r="F59" s="21">
        <v>0</v>
      </c>
      <c r="G59" s="86">
        <f t="shared" si="25"/>
        <v>0</v>
      </c>
      <c r="H59" s="86">
        <f t="shared" si="26"/>
        <v>0</v>
      </c>
      <c r="I59" s="21"/>
      <c r="J59" s="21"/>
      <c r="K59" s="21"/>
      <c r="L59" s="21"/>
      <c r="M59" s="21"/>
      <c r="N59" s="21"/>
      <c r="O59" s="283">
        <f t="shared" si="27"/>
        <v>0</v>
      </c>
      <c r="P59" s="283">
        <f t="shared" si="27"/>
        <v>0</v>
      </c>
      <c r="Q59" s="21">
        <v>1</v>
      </c>
      <c r="R59" s="21">
        <v>0</v>
      </c>
      <c r="S59" s="86">
        <f t="shared" si="28"/>
        <v>0</v>
      </c>
      <c r="T59" s="86">
        <f t="shared" si="28"/>
        <v>0</v>
      </c>
      <c r="U59" s="86">
        <f t="shared" si="29"/>
        <v>0</v>
      </c>
      <c r="V59" s="86">
        <f t="shared" si="29"/>
        <v>0</v>
      </c>
      <c r="W59" s="21">
        <f t="shared" si="30"/>
        <v>0</v>
      </c>
      <c r="X59" s="21">
        <f t="shared" si="30"/>
        <v>0</v>
      </c>
    </row>
    <row r="60" spans="2:24" ht="12.75">
      <c r="B60" s="21">
        <f t="shared" si="23"/>
        <v>1992</v>
      </c>
      <c r="C60" s="86">
        <f t="shared" si="24"/>
        <v>888000</v>
      </c>
      <c r="D60" s="86">
        <f t="shared" si="24"/>
        <v>3996</v>
      </c>
      <c r="E60" s="21">
        <v>1</v>
      </c>
      <c r="F60" s="21">
        <v>0</v>
      </c>
      <c r="G60" s="86">
        <f t="shared" si="25"/>
        <v>0</v>
      </c>
      <c r="H60" s="86">
        <f t="shared" si="26"/>
        <v>0</v>
      </c>
      <c r="I60" s="21"/>
      <c r="J60" s="21"/>
      <c r="K60" s="21"/>
      <c r="L60" s="21"/>
      <c r="M60" s="21"/>
      <c r="N60" s="21"/>
      <c r="O60" s="283">
        <f t="shared" si="27"/>
        <v>962000</v>
      </c>
      <c r="P60" s="283">
        <f t="shared" si="27"/>
        <v>4329</v>
      </c>
      <c r="Q60" s="21">
        <v>1</v>
      </c>
      <c r="R60" s="21">
        <v>0</v>
      </c>
      <c r="S60" s="86">
        <f t="shared" si="28"/>
        <v>962000</v>
      </c>
      <c r="T60" s="86">
        <f t="shared" si="28"/>
        <v>4329</v>
      </c>
      <c r="U60" s="86">
        <f t="shared" si="29"/>
        <v>888000</v>
      </c>
      <c r="V60" s="86">
        <f t="shared" si="29"/>
        <v>3996</v>
      </c>
      <c r="W60" s="21">
        <f t="shared" si="30"/>
        <v>0</v>
      </c>
      <c r="X60" s="21">
        <f t="shared" si="30"/>
        <v>0</v>
      </c>
    </row>
    <row r="61" spans="2:24" ht="12.75">
      <c r="B61" s="21">
        <f t="shared" si="23"/>
        <v>1993</v>
      </c>
      <c r="C61" s="86">
        <f t="shared" si="24"/>
        <v>1213430.1312</v>
      </c>
      <c r="D61" s="86">
        <f t="shared" si="24"/>
        <v>5296.622522688</v>
      </c>
      <c r="E61" s="21">
        <v>1</v>
      </c>
      <c r="F61" s="21">
        <v>0</v>
      </c>
      <c r="G61" s="86">
        <f t="shared" si="25"/>
        <v>0</v>
      </c>
      <c r="H61" s="86">
        <f t="shared" si="26"/>
        <v>0</v>
      </c>
      <c r="I61" s="21"/>
      <c r="J61" s="21"/>
      <c r="K61" s="21"/>
      <c r="L61" s="21"/>
      <c r="M61" s="21"/>
      <c r="N61" s="21"/>
      <c r="O61" s="283">
        <f t="shared" si="27"/>
        <v>1314549.3088</v>
      </c>
      <c r="P61" s="283">
        <f t="shared" si="27"/>
        <v>5738.0077329119995</v>
      </c>
      <c r="Q61" s="21">
        <v>1</v>
      </c>
      <c r="R61" s="21">
        <v>0</v>
      </c>
      <c r="S61" s="86">
        <f t="shared" si="28"/>
        <v>1314549.3088</v>
      </c>
      <c r="T61" s="86">
        <f t="shared" si="28"/>
        <v>5738.0077329119995</v>
      </c>
      <c r="U61" s="86">
        <f t="shared" si="29"/>
        <v>1213430.1312</v>
      </c>
      <c r="V61" s="86">
        <f t="shared" si="29"/>
        <v>5296.622522688</v>
      </c>
      <c r="W61" s="21">
        <f t="shared" si="30"/>
        <v>0</v>
      </c>
      <c r="X61" s="21">
        <f t="shared" si="30"/>
        <v>0</v>
      </c>
    </row>
    <row r="62" spans="2:24" ht="12.75">
      <c r="B62" s="21">
        <f t="shared" si="23"/>
        <v>1994</v>
      </c>
      <c r="C62" s="86">
        <f t="shared" si="24"/>
        <v>1536222.72</v>
      </c>
      <c r="D62" s="86">
        <f t="shared" si="24"/>
        <v>6498.222105600001</v>
      </c>
      <c r="E62" s="21">
        <v>1</v>
      </c>
      <c r="F62" s="21">
        <v>0</v>
      </c>
      <c r="G62" s="86">
        <f t="shared" si="25"/>
        <v>0</v>
      </c>
      <c r="H62" s="86">
        <f t="shared" si="26"/>
        <v>0</v>
      </c>
      <c r="I62" s="21"/>
      <c r="J62" s="21"/>
      <c r="K62" s="21"/>
      <c r="L62" s="21"/>
      <c r="M62" s="21"/>
      <c r="N62" s="21"/>
      <c r="O62" s="283">
        <f t="shared" si="27"/>
        <v>1664241.28</v>
      </c>
      <c r="P62" s="283">
        <f t="shared" si="27"/>
        <v>7039.740614400001</v>
      </c>
      <c r="Q62" s="21">
        <v>1</v>
      </c>
      <c r="R62" s="21">
        <v>0</v>
      </c>
      <c r="S62" s="86">
        <f t="shared" si="28"/>
        <v>1664241.28</v>
      </c>
      <c r="T62" s="86">
        <f t="shared" si="28"/>
        <v>7039.740614400001</v>
      </c>
      <c r="U62" s="86">
        <f t="shared" si="29"/>
        <v>1536222.72</v>
      </c>
      <c r="V62" s="86">
        <f t="shared" si="29"/>
        <v>6498.222105600001</v>
      </c>
      <c r="W62" s="21">
        <f t="shared" si="30"/>
        <v>0</v>
      </c>
      <c r="X62" s="21">
        <f t="shared" si="30"/>
        <v>0</v>
      </c>
    </row>
    <row r="63" spans="2:24" ht="12.75">
      <c r="B63" s="21">
        <f t="shared" si="23"/>
        <v>1995</v>
      </c>
      <c r="C63" s="86">
        <f t="shared" si="24"/>
        <v>1710627.8399999999</v>
      </c>
      <c r="D63" s="86">
        <f t="shared" si="24"/>
        <v>7013.574143999999</v>
      </c>
      <c r="E63" s="21">
        <v>1</v>
      </c>
      <c r="F63" s="21">
        <v>0</v>
      </c>
      <c r="G63" s="86">
        <f t="shared" si="25"/>
        <v>0</v>
      </c>
      <c r="H63" s="86">
        <f t="shared" si="26"/>
        <v>0</v>
      </c>
      <c r="I63" s="21"/>
      <c r="J63" s="21"/>
      <c r="K63" s="21"/>
      <c r="L63" s="21"/>
      <c r="M63" s="21"/>
      <c r="N63" s="21"/>
      <c r="O63" s="283">
        <f t="shared" si="27"/>
        <v>1853180.1600000001</v>
      </c>
      <c r="P63" s="283">
        <f t="shared" si="27"/>
        <v>7598.038656</v>
      </c>
      <c r="Q63" s="21">
        <v>1</v>
      </c>
      <c r="R63" s="21">
        <v>0</v>
      </c>
      <c r="S63" s="86">
        <f t="shared" si="28"/>
        <v>1853180.1600000001</v>
      </c>
      <c r="T63" s="86">
        <f t="shared" si="28"/>
        <v>7598.038656</v>
      </c>
      <c r="U63" s="86">
        <f t="shared" si="29"/>
        <v>1710627.8399999999</v>
      </c>
      <c r="V63" s="86">
        <f t="shared" si="29"/>
        <v>7013.574143999999</v>
      </c>
      <c r="W63" s="21">
        <f t="shared" si="30"/>
        <v>0</v>
      </c>
      <c r="X63" s="21">
        <f t="shared" si="30"/>
        <v>0</v>
      </c>
    </row>
    <row r="64" spans="2:24" ht="12.75">
      <c r="B64" s="21">
        <f t="shared" si="23"/>
        <v>1996</v>
      </c>
      <c r="C64" s="86">
        <f t="shared" si="24"/>
        <v>2375617.92</v>
      </c>
      <c r="D64" s="86">
        <f t="shared" si="24"/>
        <v>9419.3250528</v>
      </c>
      <c r="E64" s="21">
        <v>1</v>
      </c>
      <c r="F64" s="21">
        <v>0</v>
      </c>
      <c r="G64" s="86">
        <f t="shared" si="25"/>
        <v>0</v>
      </c>
      <c r="H64" s="86">
        <f t="shared" si="26"/>
        <v>0</v>
      </c>
      <c r="I64" s="21"/>
      <c r="J64" s="21"/>
      <c r="K64" s="21"/>
      <c r="L64" s="21"/>
      <c r="M64" s="21"/>
      <c r="N64" s="21"/>
      <c r="O64" s="283">
        <f t="shared" si="27"/>
        <v>2573586.08</v>
      </c>
      <c r="P64" s="283">
        <f t="shared" si="27"/>
        <v>10204.2688072</v>
      </c>
      <c r="Q64" s="21">
        <v>1</v>
      </c>
      <c r="R64" s="21">
        <v>0</v>
      </c>
      <c r="S64" s="86">
        <f t="shared" si="28"/>
        <v>2573586.08</v>
      </c>
      <c r="T64" s="86">
        <f t="shared" si="28"/>
        <v>10204.2688072</v>
      </c>
      <c r="U64" s="86">
        <f t="shared" si="29"/>
        <v>2375617.92</v>
      </c>
      <c r="V64" s="86">
        <f t="shared" si="29"/>
        <v>9419.3250528</v>
      </c>
      <c r="W64" s="21">
        <f t="shared" si="30"/>
        <v>0</v>
      </c>
      <c r="X64" s="21">
        <f t="shared" si="30"/>
        <v>0</v>
      </c>
    </row>
    <row r="65" spans="2:24" ht="12.75">
      <c r="B65" s="21">
        <f t="shared" si="23"/>
        <v>1997</v>
      </c>
      <c r="C65" s="86">
        <f t="shared" si="24"/>
        <v>2880068.1599999997</v>
      </c>
      <c r="D65" s="86">
        <f t="shared" si="24"/>
        <v>11030.661052799998</v>
      </c>
      <c r="E65" s="21">
        <v>1</v>
      </c>
      <c r="F65" s="21">
        <v>0</v>
      </c>
      <c r="G65" s="86">
        <f t="shared" si="25"/>
        <v>0</v>
      </c>
      <c r="H65" s="86">
        <f t="shared" si="26"/>
        <v>0</v>
      </c>
      <c r="I65" s="21"/>
      <c r="J65" s="21"/>
      <c r="K65" s="21"/>
      <c r="L65" s="21"/>
      <c r="M65" s="21"/>
      <c r="N65" s="21"/>
      <c r="O65" s="283">
        <f t="shared" si="27"/>
        <v>3120073.8400000003</v>
      </c>
      <c r="P65" s="283">
        <f t="shared" si="27"/>
        <v>11949.8828072</v>
      </c>
      <c r="Q65" s="21">
        <v>1</v>
      </c>
      <c r="R65" s="21">
        <v>0</v>
      </c>
      <c r="S65" s="86">
        <f t="shared" si="28"/>
        <v>3120073.8400000003</v>
      </c>
      <c r="T65" s="86">
        <f t="shared" si="28"/>
        <v>11949.8828072</v>
      </c>
      <c r="U65" s="86">
        <f t="shared" si="29"/>
        <v>2880068.1599999997</v>
      </c>
      <c r="V65" s="86">
        <f t="shared" si="29"/>
        <v>11030.661052799998</v>
      </c>
      <c r="W65" s="21">
        <f t="shared" si="30"/>
        <v>0</v>
      </c>
      <c r="X65" s="21">
        <f t="shared" si="30"/>
        <v>0</v>
      </c>
    </row>
    <row r="66" spans="2:24" ht="12.75">
      <c r="B66" s="21">
        <f t="shared" si="23"/>
        <v>1998</v>
      </c>
      <c r="C66" s="86">
        <f t="shared" si="24"/>
        <v>3075805.44</v>
      </c>
      <c r="D66" s="86">
        <f t="shared" si="24"/>
        <v>11365.101100799997</v>
      </c>
      <c r="E66" s="21">
        <v>1</v>
      </c>
      <c r="F66" s="21">
        <v>0</v>
      </c>
      <c r="G66" s="86">
        <f t="shared" si="25"/>
        <v>0</v>
      </c>
      <c r="H66" s="86">
        <f t="shared" si="26"/>
        <v>0</v>
      </c>
      <c r="I66" s="21"/>
      <c r="J66" s="283"/>
      <c r="K66" s="283"/>
      <c r="L66" s="21"/>
      <c r="M66" s="283"/>
      <c r="N66" s="283"/>
      <c r="O66" s="283">
        <f t="shared" si="27"/>
        <v>3332122.56</v>
      </c>
      <c r="P66" s="283">
        <f t="shared" si="27"/>
        <v>12312.192859199999</v>
      </c>
      <c r="Q66" s="21">
        <v>1</v>
      </c>
      <c r="R66" s="21">
        <v>0</v>
      </c>
      <c r="S66" s="86">
        <f t="shared" si="28"/>
        <v>3332122.56</v>
      </c>
      <c r="T66" s="86">
        <f t="shared" si="28"/>
        <v>12312.192859199999</v>
      </c>
      <c r="U66" s="86">
        <f t="shared" si="29"/>
        <v>3075805.44</v>
      </c>
      <c r="V66" s="86">
        <f t="shared" si="29"/>
        <v>11365.101100799997</v>
      </c>
      <c r="W66" s="21">
        <f t="shared" si="30"/>
        <v>0</v>
      </c>
      <c r="X66" s="21">
        <f t="shared" si="30"/>
        <v>0</v>
      </c>
    </row>
    <row r="67" spans="2:24" ht="12.75">
      <c r="B67" s="21">
        <f t="shared" si="23"/>
        <v>1999</v>
      </c>
      <c r="C67" s="86">
        <f t="shared" si="24"/>
        <v>3778077.5999999996</v>
      </c>
      <c r="D67" s="86">
        <f t="shared" si="24"/>
        <v>13468.846644</v>
      </c>
      <c r="E67" s="21">
        <v>1</v>
      </c>
      <c r="F67" s="21">
        <v>0</v>
      </c>
      <c r="G67" s="86">
        <f t="shared" si="25"/>
        <v>0</v>
      </c>
      <c r="H67" s="86">
        <f t="shared" si="26"/>
        <v>0</v>
      </c>
      <c r="I67" s="21"/>
      <c r="J67" s="283"/>
      <c r="K67" s="283"/>
      <c r="L67" s="21"/>
      <c r="M67" s="283"/>
      <c r="N67" s="283"/>
      <c r="O67" s="283">
        <f t="shared" si="27"/>
        <v>4092917.4000000004</v>
      </c>
      <c r="P67" s="283">
        <f t="shared" si="27"/>
        <v>14591.250531</v>
      </c>
      <c r="Q67" s="21">
        <v>1</v>
      </c>
      <c r="R67" s="21">
        <v>0</v>
      </c>
      <c r="S67" s="86">
        <f t="shared" si="28"/>
        <v>4092917.4000000004</v>
      </c>
      <c r="T67" s="86">
        <f t="shared" si="28"/>
        <v>14591.250531</v>
      </c>
      <c r="U67" s="86">
        <f t="shared" si="29"/>
        <v>3778077.5999999996</v>
      </c>
      <c r="V67" s="86">
        <f t="shared" si="29"/>
        <v>13468.846644</v>
      </c>
      <c r="W67" s="21">
        <f t="shared" si="30"/>
        <v>0</v>
      </c>
      <c r="X67" s="21">
        <f t="shared" si="30"/>
        <v>0</v>
      </c>
    </row>
    <row r="68" spans="2:24" ht="12.75">
      <c r="B68" s="21">
        <f t="shared" si="23"/>
        <v>2000</v>
      </c>
      <c r="C68" s="86">
        <f t="shared" si="24"/>
        <v>4618950.72</v>
      </c>
      <c r="D68" s="86">
        <f t="shared" si="24"/>
        <v>16466.559316799998</v>
      </c>
      <c r="E68" s="21">
        <v>1</v>
      </c>
      <c r="F68" s="21">
        <v>0</v>
      </c>
      <c r="G68" s="86">
        <f t="shared" si="25"/>
        <v>0</v>
      </c>
      <c r="H68" s="86">
        <f t="shared" si="26"/>
        <v>0</v>
      </c>
      <c r="I68" s="21"/>
      <c r="J68" s="283"/>
      <c r="K68" s="283"/>
      <c r="L68" s="21"/>
      <c r="M68" s="283"/>
      <c r="N68" s="283"/>
      <c r="O68" s="283">
        <f t="shared" si="27"/>
        <v>5003863.28</v>
      </c>
      <c r="P68" s="283">
        <f t="shared" si="27"/>
        <v>17838.772593199996</v>
      </c>
      <c r="Q68" s="21">
        <v>1</v>
      </c>
      <c r="R68" s="21">
        <v>0</v>
      </c>
      <c r="S68" s="86">
        <f t="shared" si="28"/>
        <v>5003863.28</v>
      </c>
      <c r="T68" s="86">
        <f t="shared" si="28"/>
        <v>17838.772593199996</v>
      </c>
      <c r="U68" s="86">
        <f t="shared" si="29"/>
        <v>4618950.72</v>
      </c>
      <c r="V68" s="86">
        <f t="shared" si="29"/>
        <v>16466.559316799998</v>
      </c>
      <c r="W68" s="21">
        <f t="shared" si="30"/>
        <v>0</v>
      </c>
      <c r="X68" s="21">
        <f t="shared" si="30"/>
        <v>0</v>
      </c>
    </row>
    <row r="69" spans="2:24" ht="12.75">
      <c r="B69" s="21">
        <f t="shared" si="23"/>
        <v>2001</v>
      </c>
      <c r="C69" s="86">
        <f t="shared" si="24"/>
        <v>4596105.6</v>
      </c>
      <c r="D69" s="86">
        <f t="shared" si="24"/>
        <v>15971.466959999998</v>
      </c>
      <c r="E69" s="21">
        <v>0.55</v>
      </c>
      <c r="F69" s="21">
        <v>0</v>
      </c>
      <c r="G69" s="86">
        <f t="shared" si="25"/>
        <v>2068247.5199999996</v>
      </c>
      <c r="H69" s="86">
        <f t="shared" si="26"/>
        <v>7187.160131999999</v>
      </c>
      <c r="I69" s="21">
        <v>0</v>
      </c>
      <c r="J69" s="283">
        <f aca="true" t="shared" si="31" ref="J69:J75">C69*I69</f>
        <v>0</v>
      </c>
      <c r="K69" s="283">
        <f aca="true" t="shared" si="32" ref="K69:K75">D69*I69</f>
        <v>0</v>
      </c>
      <c r="L69" s="21">
        <v>0</v>
      </c>
      <c r="M69" s="283">
        <f aca="true" t="shared" si="33" ref="M69:N73">C69*$L69</f>
        <v>0</v>
      </c>
      <c r="N69" s="283">
        <f t="shared" si="33"/>
        <v>0</v>
      </c>
      <c r="O69" s="283">
        <f t="shared" si="27"/>
        <v>4979114.4</v>
      </c>
      <c r="P69" s="283">
        <f t="shared" si="27"/>
        <v>17302.42254</v>
      </c>
      <c r="Q69" s="21">
        <v>1</v>
      </c>
      <c r="R69" s="21">
        <v>0</v>
      </c>
      <c r="S69" s="86">
        <f t="shared" si="28"/>
        <v>4979114.4</v>
      </c>
      <c r="T69" s="86">
        <f t="shared" si="28"/>
        <v>17302.42254</v>
      </c>
      <c r="U69" s="86">
        <f t="shared" si="29"/>
        <v>2527858.08</v>
      </c>
      <c r="V69" s="86">
        <f t="shared" si="29"/>
        <v>8784.306827999999</v>
      </c>
      <c r="W69" s="21">
        <f t="shared" si="30"/>
        <v>0</v>
      </c>
      <c r="X69" s="21">
        <f t="shared" si="30"/>
        <v>0</v>
      </c>
    </row>
    <row r="70" spans="2:24" ht="12.75">
      <c r="B70" s="21">
        <f t="shared" si="23"/>
        <v>2002</v>
      </c>
      <c r="C70" s="86">
        <f t="shared" si="24"/>
        <v>5223982.08</v>
      </c>
      <c r="D70" s="86">
        <f t="shared" si="24"/>
        <v>17709.299251200002</v>
      </c>
      <c r="E70" s="21">
        <v>0.35</v>
      </c>
      <c r="F70" s="21">
        <v>0.65</v>
      </c>
      <c r="G70" s="86">
        <f t="shared" si="25"/>
        <v>0</v>
      </c>
      <c r="H70" s="86">
        <f t="shared" si="26"/>
        <v>0</v>
      </c>
      <c r="I70" s="21">
        <v>0.65</v>
      </c>
      <c r="J70" s="283">
        <f t="shared" si="31"/>
        <v>3395588.352</v>
      </c>
      <c r="K70" s="283">
        <f t="shared" si="32"/>
        <v>11511.044513280001</v>
      </c>
      <c r="L70" s="21">
        <v>0</v>
      </c>
      <c r="M70" s="283">
        <f t="shared" si="33"/>
        <v>0</v>
      </c>
      <c r="N70" s="283">
        <f t="shared" si="33"/>
        <v>0</v>
      </c>
      <c r="O70" s="283">
        <f t="shared" si="27"/>
        <v>5659313.92</v>
      </c>
      <c r="P70" s="283">
        <f t="shared" si="27"/>
        <v>19185.0741888</v>
      </c>
      <c r="Q70" s="21">
        <v>1</v>
      </c>
      <c r="R70" s="21">
        <v>0</v>
      </c>
      <c r="S70" s="86">
        <f t="shared" si="28"/>
        <v>5659313.92</v>
      </c>
      <c r="T70" s="86">
        <f t="shared" si="28"/>
        <v>19185.0741888</v>
      </c>
      <c r="U70" s="86">
        <f t="shared" si="29"/>
        <v>1828393.728</v>
      </c>
      <c r="V70" s="86">
        <f t="shared" si="29"/>
        <v>6198.2547379200005</v>
      </c>
      <c r="W70" s="21">
        <f t="shared" si="30"/>
        <v>0</v>
      </c>
      <c r="X70" s="21">
        <f t="shared" si="30"/>
        <v>0</v>
      </c>
    </row>
    <row r="71" spans="2:24" ht="12.75">
      <c r="B71" s="21">
        <f t="shared" si="23"/>
        <v>2003</v>
      </c>
      <c r="C71" s="86">
        <f t="shared" si="24"/>
        <v>6627696.96</v>
      </c>
      <c r="D71" s="86">
        <f t="shared" si="24"/>
        <v>21904.5384528</v>
      </c>
      <c r="E71" s="203">
        <v>0.2</v>
      </c>
      <c r="F71" s="203">
        <v>0.8</v>
      </c>
      <c r="G71" s="86">
        <f t="shared" si="25"/>
        <v>0</v>
      </c>
      <c r="H71" s="86">
        <f t="shared" si="26"/>
        <v>0</v>
      </c>
      <c r="I71" s="21">
        <v>0.8</v>
      </c>
      <c r="J71" s="283">
        <f t="shared" si="31"/>
        <v>5302157.568</v>
      </c>
      <c r="K71" s="283">
        <f t="shared" si="32"/>
        <v>17523.63076224</v>
      </c>
      <c r="L71" s="21">
        <v>0</v>
      </c>
      <c r="M71" s="283">
        <f t="shared" si="33"/>
        <v>0</v>
      </c>
      <c r="N71" s="283">
        <f t="shared" si="33"/>
        <v>0</v>
      </c>
      <c r="O71" s="283">
        <f t="shared" si="27"/>
        <v>7180005.04</v>
      </c>
      <c r="P71" s="283">
        <f t="shared" si="27"/>
        <v>23729.916657200003</v>
      </c>
      <c r="Q71" s="21">
        <v>0.3</v>
      </c>
      <c r="R71" s="21">
        <v>0.7</v>
      </c>
      <c r="S71" s="86">
        <f t="shared" si="28"/>
        <v>2154001.512</v>
      </c>
      <c r="T71" s="86">
        <f t="shared" si="28"/>
        <v>7118.97499716</v>
      </c>
      <c r="U71" s="86">
        <f t="shared" si="29"/>
        <v>1325539.392</v>
      </c>
      <c r="V71" s="86">
        <f t="shared" si="29"/>
        <v>4380.90769056</v>
      </c>
      <c r="W71" s="86">
        <f>O71*$R71</f>
        <v>5026003.528</v>
      </c>
      <c r="X71" s="86">
        <f t="shared" si="30"/>
        <v>16610.94166004</v>
      </c>
    </row>
    <row r="72" spans="2:24" s="21" customFormat="1" ht="12.75">
      <c r="B72" s="21">
        <f t="shared" si="23"/>
        <v>2004</v>
      </c>
      <c r="C72" s="86">
        <f t="shared" si="24"/>
        <v>7979318.399999999</v>
      </c>
      <c r="D72" s="86">
        <f t="shared" si="24"/>
        <v>25693.405248</v>
      </c>
      <c r="E72" s="21">
        <v>0</v>
      </c>
      <c r="F72" s="21">
        <v>1</v>
      </c>
      <c r="G72" s="86">
        <f t="shared" si="25"/>
        <v>0</v>
      </c>
      <c r="H72" s="86">
        <f t="shared" si="26"/>
        <v>0</v>
      </c>
      <c r="I72" s="21">
        <v>0</v>
      </c>
      <c r="J72" s="283">
        <f t="shared" si="31"/>
        <v>0</v>
      </c>
      <c r="K72" s="283">
        <f t="shared" si="32"/>
        <v>0</v>
      </c>
      <c r="L72" s="21">
        <v>1</v>
      </c>
      <c r="M72" s="283">
        <f t="shared" si="33"/>
        <v>7979318.399999999</v>
      </c>
      <c r="N72" s="283">
        <f t="shared" si="33"/>
        <v>25693.405248</v>
      </c>
      <c r="O72" s="283">
        <f t="shared" si="27"/>
        <v>8644261.6</v>
      </c>
      <c r="P72" s="283">
        <f t="shared" si="27"/>
        <v>27834.522352000004</v>
      </c>
      <c r="Q72" s="21">
        <v>0.3</v>
      </c>
      <c r="R72" s="21">
        <v>0.7</v>
      </c>
      <c r="S72" s="86">
        <f t="shared" si="28"/>
        <v>2593278.48</v>
      </c>
      <c r="T72" s="86">
        <f t="shared" si="28"/>
        <v>8350.356705600001</v>
      </c>
      <c r="U72" s="86">
        <f t="shared" si="29"/>
        <v>0</v>
      </c>
      <c r="V72" s="86">
        <f t="shared" si="29"/>
        <v>0</v>
      </c>
      <c r="W72" s="86">
        <f t="shared" si="30"/>
        <v>6050983.119999999</v>
      </c>
      <c r="X72" s="86">
        <f t="shared" si="30"/>
        <v>19484.1656464</v>
      </c>
    </row>
    <row r="73" spans="2:24" ht="12.75">
      <c r="B73" s="21">
        <v>2005</v>
      </c>
      <c r="C73" s="86">
        <f aca="true" t="shared" si="34" ref="C73:D75">F33</f>
        <v>9417117.12</v>
      </c>
      <c r="D73" s="86">
        <f t="shared" si="34"/>
        <v>30323.117126400004</v>
      </c>
      <c r="E73" s="21">
        <v>0</v>
      </c>
      <c r="F73" s="21">
        <v>1</v>
      </c>
      <c r="G73" s="86">
        <f t="shared" si="25"/>
        <v>0</v>
      </c>
      <c r="H73" s="86">
        <f t="shared" si="26"/>
        <v>0</v>
      </c>
      <c r="I73" s="21">
        <v>0</v>
      </c>
      <c r="J73" s="283">
        <f t="shared" si="31"/>
        <v>0</v>
      </c>
      <c r="K73" s="283">
        <f t="shared" si="32"/>
        <v>0</v>
      </c>
      <c r="L73" s="21">
        <v>1</v>
      </c>
      <c r="M73" s="283">
        <f t="shared" si="33"/>
        <v>9417117.12</v>
      </c>
      <c r="N73" s="283">
        <f t="shared" si="33"/>
        <v>30323.117126400004</v>
      </c>
      <c r="O73" s="283">
        <f aca="true" t="shared" si="35" ref="O73:P75">H33</f>
        <v>10201876.88</v>
      </c>
      <c r="P73" s="283">
        <f t="shared" si="35"/>
        <v>32850.04355360001</v>
      </c>
      <c r="Q73" s="21">
        <v>0</v>
      </c>
      <c r="R73" s="21">
        <v>1</v>
      </c>
      <c r="S73" s="86">
        <f t="shared" si="28"/>
        <v>0</v>
      </c>
      <c r="T73" s="86">
        <f t="shared" si="28"/>
        <v>0</v>
      </c>
      <c r="U73" s="86">
        <f t="shared" si="29"/>
        <v>0</v>
      </c>
      <c r="V73" s="86">
        <f t="shared" si="29"/>
        <v>0</v>
      </c>
      <c r="W73" s="86">
        <f t="shared" si="30"/>
        <v>10201876.88</v>
      </c>
      <c r="X73" s="86">
        <f t="shared" si="30"/>
        <v>32850.04355360001</v>
      </c>
    </row>
    <row r="74" spans="2:24" ht="12.75">
      <c r="B74" s="21">
        <v>2006</v>
      </c>
      <c r="C74" s="86">
        <f t="shared" si="34"/>
        <v>11663892</v>
      </c>
      <c r="D74" s="86">
        <f t="shared" si="34"/>
        <v>37557.73224</v>
      </c>
      <c r="E74" s="21">
        <v>0</v>
      </c>
      <c r="F74" s="21">
        <v>1</v>
      </c>
      <c r="G74" s="86">
        <f t="shared" si="25"/>
        <v>0</v>
      </c>
      <c r="H74" s="86">
        <f t="shared" si="26"/>
        <v>0</v>
      </c>
      <c r="I74" s="21">
        <v>0</v>
      </c>
      <c r="J74" s="283">
        <f t="shared" si="31"/>
        <v>0</v>
      </c>
      <c r="K74" s="283">
        <f t="shared" si="32"/>
        <v>0</v>
      </c>
      <c r="L74" s="21">
        <v>1</v>
      </c>
      <c r="M74" s="283">
        <f>C74*$L74</f>
        <v>11663892</v>
      </c>
      <c r="N74" s="283">
        <f>D74*$L74</f>
        <v>37557.73224</v>
      </c>
      <c r="O74" s="283">
        <f t="shared" si="35"/>
        <v>12635883</v>
      </c>
      <c r="P74" s="283">
        <f t="shared" si="35"/>
        <v>40687.543260000006</v>
      </c>
      <c r="Q74" s="21">
        <v>0</v>
      </c>
      <c r="R74" s="21">
        <v>1</v>
      </c>
      <c r="S74" s="86">
        <f t="shared" si="28"/>
        <v>0</v>
      </c>
      <c r="T74" s="86">
        <f t="shared" si="28"/>
        <v>0</v>
      </c>
      <c r="U74" s="86">
        <f>C74*$E74</f>
        <v>0</v>
      </c>
      <c r="V74" s="86">
        <f>D74*$E74</f>
        <v>0</v>
      </c>
      <c r="W74" s="86">
        <f t="shared" si="30"/>
        <v>12635883</v>
      </c>
      <c r="X74" s="86">
        <f t="shared" si="30"/>
        <v>40687.543260000006</v>
      </c>
    </row>
    <row r="75" spans="2:24" ht="12.75">
      <c r="B75" s="21">
        <v>2007</v>
      </c>
      <c r="C75" s="86">
        <f t="shared" si="34"/>
        <v>14411445.12</v>
      </c>
      <c r="D75" s="86">
        <f t="shared" si="34"/>
        <v>46404.85328640001</v>
      </c>
      <c r="E75" s="21">
        <v>0</v>
      </c>
      <c r="F75" s="21">
        <v>1</v>
      </c>
      <c r="G75" s="86">
        <f t="shared" si="25"/>
        <v>0</v>
      </c>
      <c r="H75" s="86">
        <f t="shared" si="26"/>
        <v>0</v>
      </c>
      <c r="I75" s="21">
        <v>0</v>
      </c>
      <c r="J75" s="283">
        <f t="shared" si="31"/>
        <v>0</v>
      </c>
      <c r="K75" s="283">
        <f t="shared" si="32"/>
        <v>0</v>
      </c>
      <c r="L75" s="21">
        <v>1</v>
      </c>
      <c r="M75" s="283">
        <f>C75*$L75</f>
        <v>14411445.12</v>
      </c>
      <c r="N75" s="283">
        <f>D75*$L75</f>
        <v>46404.85328640001</v>
      </c>
      <c r="O75" s="283">
        <f t="shared" si="35"/>
        <v>15612398.88</v>
      </c>
      <c r="P75" s="283">
        <f t="shared" si="35"/>
        <v>50271.924393600006</v>
      </c>
      <c r="Q75" s="21">
        <v>0</v>
      </c>
      <c r="R75" s="21">
        <v>1</v>
      </c>
      <c r="S75" s="86">
        <f t="shared" si="28"/>
        <v>0</v>
      </c>
      <c r="T75" s="86">
        <f t="shared" si="28"/>
        <v>0</v>
      </c>
      <c r="U75" s="86">
        <f>C75*$E75</f>
        <v>0</v>
      </c>
      <c r="V75" s="86">
        <f>D75*$E75</f>
        <v>0</v>
      </c>
      <c r="W75" s="86">
        <f t="shared" si="30"/>
        <v>15612398.88</v>
      </c>
      <c r="X75" s="86">
        <f t="shared" si="30"/>
        <v>50271.924393600006</v>
      </c>
    </row>
    <row r="76" spans="2:24" ht="12.75">
      <c r="B76" s="21" t="s">
        <v>22</v>
      </c>
      <c r="C76" s="283">
        <f>SUM(C48:C75)</f>
        <v>81996357.8112</v>
      </c>
      <c r="D76" s="21"/>
      <c r="E76" s="21"/>
      <c r="F76" s="21"/>
      <c r="G76" s="283">
        <f>SUM(G48:G75)</f>
        <v>2068247.5199999996</v>
      </c>
      <c r="H76" s="283">
        <f>SUM(H48:H75)</f>
        <v>7187.160131999999</v>
      </c>
      <c r="I76" s="86"/>
      <c r="J76" s="283">
        <f>SUM(J48:J75)</f>
        <v>8697745.92</v>
      </c>
      <c r="K76" s="283">
        <f>SUM(K48:K75)</f>
        <v>29034.675275520003</v>
      </c>
      <c r="L76" s="21"/>
      <c r="M76" s="283">
        <f>SUM(M48:M75)</f>
        <v>43471772.64</v>
      </c>
      <c r="N76" s="283">
        <f>SUM(N48:N75)</f>
        <v>139979.1079008</v>
      </c>
      <c r="O76" s="283">
        <f>SUM(O48:O75)</f>
        <v>88829387.6288</v>
      </c>
      <c r="P76" s="21"/>
      <c r="Q76" s="21"/>
      <c r="R76" s="21"/>
      <c r="S76" s="283">
        <f aca="true" t="shared" si="36" ref="S76:X76">SUM(S48:S75)</f>
        <v>39302242.220800005</v>
      </c>
      <c r="T76" s="283">
        <f t="shared" si="36"/>
        <v>143557.983032672</v>
      </c>
      <c r="U76" s="283">
        <f t="shared" si="36"/>
        <v>27758591.7312</v>
      </c>
      <c r="V76" s="283">
        <f t="shared" si="36"/>
        <v>103918.38119596799</v>
      </c>
      <c r="W76" s="283">
        <f t="shared" si="36"/>
        <v>49527145.408</v>
      </c>
      <c r="X76" s="283">
        <f t="shared" si="36"/>
        <v>159904.61851364002</v>
      </c>
    </row>
  </sheetData>
  <mergeCells count="33">
    <mergeCell ref="G46:H46"/>
    <mergeCell ref="J46:K46"/>
    <mergeCell ref="M46:N46"/>
    <mergeCell ref="B3:E3"/>
    <mergeCell ref="F5:G5"/>
    <mergeCell ref="H5:I5"/>
    <mergeCell ref="N6:P6"/>
    <mergeCell ref="J5:M5"/>
    <mergeCell ref="O46:P46"/>
    <mergeCell ref="AU5:AV5"/>
    <mergeCell ref="AM5:AN5"/>
    <mergeCell ref="AO5:AP5"/>
    <mergeCell ref="AI5:AJ5"/>
    <mergeCell ref="AK5:AL5"/>
    <mergeCell ref="AN43:AP47"/>
    <mergeCell ref="AQ5:AR5"/>
    <mergeCell ref="AA6:AB6"/>
    <mergeCell ref="AC6:AD6"/>
    <mergeCell ref="Q5:AF5"/>
    <mergeCell ref="AG5:AH5"/>
    <mergeCell ref="S46:T46"/>
    <mergeCell ref="U46:V46"/>
    <mergeCell ref="W46:X46"/>
    <mergeCell ref="B1:AF1"/>
    <mergeCell ref="AW27:AX27"/>
    <mergeCell ref="J6:M6"/>
    <mergeCell ref="Q6:R6"/>
    <mergeCell ref="S6:T6"/>
    <mergeCell ref="U6:V6"/>
    <mergeCell ref="W6:X6"/>
    <mergeCell ref="AE6:AF6"/>
    <mergeCell ref="Y6:Z6"/>
    <mergeCell ref="AS5:AT5"/>
  </mergeCells>
  <printOptions/>
  <pageMargins left="0.75" right="0.75" top="1" bottom="1" header="0.5" footer="0.5"/>
  <pageSetup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dimension ref="B1:AV78"/>
  <sheetViews>
    <sheetView workbookViewId="0" topLeftCell="A1">
      <selection activeCell="C35" sqref="C35"/>
    </sheetView>
  </sheetViews>
  <sheetFormatPr defaultColWidth="9.140625" defaultRowHeight="12.75"/>
  <cols>
    <col min="1" max="2" width="9.140625" style="21" customWidth="1"/>
    <col min="3" max="3" width="11.421875" style="21" customWidth="1"/>
    <col min="4" max="4" width="8.421875" style="21" customWidth="1"/>
    <col min="5" max="5" width="12.421875" style="21" customWidth="1"/>
    <col min="6" max="6" width="10.57421875" style="21" customWidth="1"/>
    <col min="7" max="7" width="8.421875" style="21" customWidth="1"/>
    <col min="8" max="8" width="9.57421875" style="21" customWidth="1"/>
    <col min="9" max="9" width="9.00390625" style="21" customWidth="1"/>
    <col min="10" max="10" width="7.57421875" style="21" customWidth="1"/>
    <col min="11" max="11" width="8.00390625" style="21" customWidth="1"/>
    <col min="12" max="12" width="6.57421875" style="21" customWidth="1"/>
    <col min="13" max="16" width="6.7109375" style="21" customWidth="1"/>
    <col min="17" max="17" width="8.28125" style="21" customWidth="1"/>
    <col min="18" max="18" width="9.00390625" style="21" customWidth="1"/>
    <col min="19" max="19" width="9.140625" style="21" customWidth="1"/>
    <col min="20" max="20" width="9.8515625" style="21" customWidth="1"/>
    <col min="21" max="21" width="10.28125" style="21" bestFit="1" customWidth="1"/>
    <col min="22" max="22" width="9.140625" style="21" customWidth="1"/>
    <col min="23" max="23" width="9.57421875" style="21" customWidth="1"/>
    <col min="24" max="32" width="10.28125" style="21" customWidth="1"/>
    <col min="33" max="35" width="9.140625" style="17" customWidth="1"/>
    <col min="36" max="38" width="9.28125" style="17" customWidth="1"/>
    <col min="39" max="40" width="11.8515625" style="17" customWidth="1"/>
    <col min="41" max="41" width="9.28125" style="17" customWidth="1"/>
    <col min="42" max="42" width="12.00390625" style="17" customWidth="1"/>
    <col min="43" max="43" width="15.421875" style="17" customWidth="1"/>
    <col min="44" max="44" width="10.28125" style="17" customWidth="1"/>
    <col min="45" max="45" width="9.140625" style="17" customWidth="1"/>
    <col min="46" max="46" width="10.28125" style="17" customWidth="1"/>
    <col min="47" max="71" width="9.140625" style="17" customWidth="1"/>
    <col min="72" max="16384" width="9.140625" style="21" customWidth="1"/>
  </cols>
  <sheetData>
    <row r="1" spans="2:32" ht="12.75">
      <c r="B1" s="552" t="s">
        <v>118</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row>
    <row r="2" spans="3:32" ht="13.5" hidden="1" thickBot="1">
      <c r="C2" s="26"/>
      <c r="D2" s="26"/>
      <c r="E2" s="85"/>
      <c r="F2" s="85"/>
      <c r="G2" s="85"/>
      <c r="H2" s="85"/>
      <c r="I2" s="85"/>
      <c r="J2" s="86"/>
      <c r="K2" s="87"/>
      <c r="W2" s="17"/>
      <c r="X2" s="17"/>
      <c r="Y2" s="17"/>
      <c r="Z2" s="17"/>
      <c r="AA2" s="17"/>
      <c r="AB2" s="17"/>
      <c r="AC2" s="17"/>
      <c r="AD2" s="17"/>
      <c r="AE2" s="17"/>
      <c r="AF2" s="17"/>
    </row>
    <row r="3" spans="2:46" ht="12" customHeight="1" thickBot="1">
      <c r="B3" s="588"/>
      <c r="C3" s="588"/>
      <c r="D3" s="588"/>
      <c r="E3" s="588"/>
      <c r="F3" s="268"/>
      <c r="G3" s="268"/>
      <c r="H3" s="268"/>
      <c r="I3" s="268"/>
      <c r="J3" s="187"/>
      <c r="K3" s="187"/>
      <c r="L3" s="187"/>
      <c r="M3" s="187"/>
      <c r="N3" s="187"/>
      <c r="O3" s="187"/>
      <c r="P3" s="187"/>
      <c r="W3" s="17"/>
      <c r="X3" s="17"/>
      <c r="Y3" s="17"/>
      <c r="Z3" s="17"/>
      <c r="AA3" s="17"/>
      <c r="AB3" s="17"/>
      <c r="AC3" s="17"/>
      <c r="AD3" s="17"/>
      <c r="AE3" s="17"/>
      <c r="AF3" s="17"/>
      <c r="AG3" s="201"/>
      <c r="AH3" s="33"/>
      <c r="AI3" s="201"/>
      <c r="AJ3" s="33"/>
      <c r="AK3" s="33"/>
      <c r="AL3" s="33"/>
      <c r="AM3" s="33"/>
      <c r="AN3" s="33"/>
      <c r="AO3" s="33"/>
      <c r="AP3" s="33"/>
      <c r="AQ3" s="201"/>
      <c r="AR3" s="33"/>
      <c r="AS3" s="201"/>
      <c r="AT3" s="33"/>
    </row>
    <row r="4" spans="2:46" ht="13.5" hidden="1" thickBot="1">
      <c r="B4" s="79"/>
      <c r="C4" s="79"/>
      <c r="D4" s="79"/>
      <c r="E4" s="79"/>
      <c r="F4" s="79"/>
      <c r="G4" s="79"/>
      <c r="H4" s="79"/>
      <c r="I4" s="79"/>
      <c r="J4" s="79"/>
      <c r="K4" s="79"/>
      <c r="L4" s="79"/>
      <c r="M4" s="79"/>
      <c r="N4" s="79"/>
      <c r="O4" s="79"/>
      <c r="P4" s="79"/>
      <c r="W4" s="146"/>
      <c r="X4" s="17"/>
      <c r="Y4" s="17"/>
      <c r="Z4" s="17"/>
      <c r="AA4" s="17"/>
      <c r="AB4" s="17"/>
      <c r="AC4" s="17"/>
      <c r="AD4" s="17"/>
      <c r="AE4" s="17"/>
      <c r="AF4" s="17"/>
      <c r="AG4" s="201"/>
      <c r="AH4" s="33"/>
      <c r="AI4" s="201"/>
      <c r="AJ4" s="33"/>
      <c r="AK4" s="33"/>
      <c r="AL4" s="33"/>
      <c r="AM4" s="33"/>
      <c r="AN4" s="33"/>
      <c r="AO4" s="33"/>
      <c r="AP4" s="33"/>
      <c r="AQ4" s="201"/>
      <c r="AR4" s="33"/>
      <c r="AS4" s="201"/>
      <c r="AT4" s="33"/>
    </row>
    <row r="5" spans="2:47" ht="27.75" customHeight="1">
      <c r="B5" s="587" t="s">
        <v>6</v>
      </c>
      <c r="C5" s="548"/>
      <c r="D5" s="548"/>
      <c r="E5" s="548"/>
      <c r="F5" s="567" t="s">
        <v>121</v>
      </c>
      <c r="G5" s="566"/>
      <c r="H5" s="567" t="s">
        <v>122</v>
      </c>
      <c r="I5" s="566"/>
      <c r="J5" s="567" t="s">
        <v>14</v>
      </c>
      <c r="K5" s="458"/>
      <c r="L5" s="458"/>
      <c r="M5" s="458"/>
      <c r="N5" s="589"/>
      <c r="O5" s="269"/>
      <c r="P5" s="269"/>
      <c r="Q5" s="567" t="s">
        <v>48</v>
      </c>
      <c r="R5" s="585"/>
      <c r="S5" s="585"/>
      <c r="T5" s="585"/>
      <c r="U5" s="585"/>
      <c r="V5" s="585"/>
      <c r="W5" s="585"/>
      <c r="X5" s="585"/>
      <c r="Y5" s="585"/>
      <c r="Z5" s="585"/>
      <c r="AA5" s="585"/>
      <c r="AB5" s="585"/>
      <c r="AC5" s="585"/>
      <c r="AD5" s="585"/>
      <c r="AE5" s="585"/>
      <c r="AF5" s="586"/>
      <c r="AG5" s="575"/>
      <c r="AH5" s="575"/>
      <c r="AI5" s="575"/>
      <c r="AJ5" s="575"/>
      <c r="AK5" s="575"/>
      <c r="AL5" s="575"/>
      <c r="AM5" s="575"/>
      <c r="AN5" s="575"/>
      <c r="AO5" s="575"/>
      <c r="AP5" s="575"/>
      <c r="AQ5" s="578"/>
      <c r="AR5" s="578"/>
      <c r="AS5" s="578"/>
      <c r="AT5" s="578"/>
      <c r="AU5" s="191"/>
    </row>
    <row r="6" spans="2:46" ht="12.75">
      <c r="B6" s="248" t="s">
        <v>0</v>
      </c>
      <c r="C6" s="121" t="s">
        <v>1</v>
      </c>
      <c r="D6" s="121" t="s">
        <v>3</v>
      </c>
      <c r="E6" s="121" t="s">
        <v>2</v>
      </c>
      <c r="F6" s="270" t="s">
        <v>123</v>
      </c>
      <c r="G6" s="121">
        <v>0.48</v>
      </c>
      <c r="H6" s="270" t="s">
        <v>124</v>
      </c>
      <c r="I6" s="121">
        <v>0.52</v>
      </c>
      <c r="J6" s="550" t="s">
        <v>120</v>
      </c>
      <c r="K6" s="550"/>
      <c r="L6" s="550"/>
      <c r="M6" s="550"/>
      <c r="N6" s="540" t="s">
        <v>131</v>
      </c>
      <c r="O6" s="547"/>
      <c r="P6" s="541"/>
      <c r="Q6" s="550" t="s">
        <v>127</v>
      </c>
      <c r="R6" s="550"/>
      <c r="S6" s="550" t="s">
        <v>128</v>
      </c>
      <c r="T6" s="550"/>
      <c r="U6" s="550" t="s">
        <v>129</v>
      </c>
      <c r="V6" s="550"/>
      <c r="W6" s="550" t="s">
        <v>130</v>
      </c>
      <c r="X6" s="550"/>
      <c r="Y6" s="540" t="s">
        <v>125</v>
      </c>
      <c r="Z6" s="569"/>
      <c r="AA6" s="540" t="s">
        <v>126</v>
      </c>
      <c r="AB6" s="541"/>
      <c r="AC6" s="540" t="s">
        <v>140</v>
      </c>
      <c r="AD6" s="541"/>
      <c r="AE6" s="550" t="s">
        <v>16</v>
      </c>
      <c r="AF6" s="551"/>
      <c r="AQ6" s="28"/>
      <c r="AR6" s="28"/>
      <c r="AS6" s="28"/>
      <c r="AT6" s="28"/>
    </row>
    <row r="7" spans="2:46" ht="12.75">
      <c r="B7" s="123"/>
      <c r="C7" s="124"/>
      <c r="D7" s="124" t="s">
        <v>4</v>
      </c>
      <c r="E7" s="124"/>
      <c r="F7" s="124" t="s">
        <v>1</v>
      </c>
      <c r="G7" s="124" t="s">
        <v>2</v>
      </c>
      <c r="H7" s="124" t="s">
        <v>1</v>
      </c>
      <c r="I7" s="124" t="s">
        <v>2</v>
      </c>
      <c r="J7" s="152">
        <v>7</v>
      </c>
      <c r="K7" s="152">
        <v>10</v>
      </c>
      <c r="L7" s="152">
        <v>14</v>
      </c>
      <c r="M7" s="152">
        <v>18</v>
      </c>
      <c r="N7" s="152">
        <v>3</v>
      </c>
      <c r="O7" s="152">
        <v>5</v>
      </c>
      <c r="P7" s="152">
        <v>7</v>
      </c>
      <c r="Q7" s="152" t="s">
        <v>46</v>
      </c>
      <c r="R7" s="152" t="s">
        <v>2</v>
      </c>
      <c r="S7" s="152" t="s">
        <v>46</v>
      </c>
      <c r="T7" s="152" t="s">
        <v>2</v>
      </c>
      <c r="U7" s="152" t="s">
        <v>46</v>
      </c>
      <c r="V7" s="152" t="s">
        <v>2</v>
      </c>
      <c r="W7" s="152" t="s">
        <v>46</v>
      </c>
      <c r="X7" s="152" t="s">
        <v>2</v>
      </c>
      <c r="Y7" s="152" t="s">
        <v>46</v>
      </c>
      <c r="Z7" s="152" t="s">
        <v>2</v>
      </c>
      <c r="AA7" s="152" t="s">
        <v>46</v>
      </c>
      <c r="AB7" s="152" t="s">
        <v>2</v>
      </c>
      <c r="AC7" s="152" t="s">
        <v>46</v>
      </c>
      <c r="AD7" s="152" t="s">
        <v>2</v>
      </c>
      <c r="AE7" s="152" t="s">
        <v>46</v>
      </c>
      <c r="AF7" s="217" t="s">
        <v>2</v>
      </c>
      <c r="AQ7" s="28"/>
      <c r="AR7" s="28"/>
      <c r="AS7" s="28"/>
      <c r="AT7" s="28"/>
    </row>
    <row r="8" spans="2:46" ht="12.75">
      <c r="B8" s="140">
        <v>1980</v>
      </c>
      <c r="C8" s="108">
        <f>C9/2</f>
        <v>980645.1612903225</v>
      </c>
      <c r="D8" s="204">
        <v>22</v>
      </c>
      <c r="E8" s="100">
        <f aca="true" t="shared" si="0" ref="E8:E16">C8*D8/2000</f>
        <v>10787.096774193547</v>
      </c>
      <c r="F8" s="100">
        <f>C8*$G$6</f>
        <v>470709.6774193548</v>
      </c>
      <c r="G8" s="100">
        <f>E8*$G$6</f>
        <v>5177.8064516129025</v>
      </c>
      <c r="H8" s="100">
        <f>C8*$I$6</f>
        <v>509935.48387096776</v>
      </c>
      <c r="I8" s="100">
        <f>E8*$I$6</f>
        <v>5609.290322580645</v>
      </c>
      <c r="J8" s="150">
        <v>0.25</v>
      </c>
      <c r="K8" s="150">
        <v>0.25</v>
      </c>
      <c r="L8" s="150">
        <v>0.25</v>
      </c>
      <c r="M8" s="150">
        <v>0.25</v>
      </c>
      <c r="N8" s="164">
        <v>0.4</v>
      </c>
      <c r="O8" s="164">
        <v>0.6</v>
      </c>
      <c r="P8" s="164">
        <v>0</v>
      </c>
      <c r="Q8" s="98"/>
      <c r="R8" s="98"/>
      <c r="S8" s="98"/>
      <c r="T8" s="98"/>
      <c r="U8" s="98"/>
      <c r="V8" s="98"/>
      <c r="W8" s="98"/>
      <c r="X8" s="98"/>
      <c r="Y8" s="98"/>
      <c r="Z8" s="246"/>
      <c r="AA8" s="98"/>
      <c r="AB8" s="98"/>
      <c r="AC8" s="98"/>
      <c r="AD8" s="98"/>
      <c r="AE8" s="98"/>
      <c r="AF8" s="103"/>
      <c r="AQ8" s="28"/>
      <c r="AR8" s="28"/>
      <c r="AS8" s="28"/>
      <c r="AT8" s="28"/>
    </row>
    <row r="9" spans="2:46" ht="12.75">
      <c r="B9" s="140">
        <v>1981</v>
      </c>
      <c r="C9" s="108">
        <f>C10/1.55</f>
        <v>1961290.322580645</v>
      </c>
      <c r="D9" s="204">
        <v>22</v>
      </c>
      <c r="E9" s="100">
        <f t="shared" si="0"/>
        <v>21574.193548387095</v>
      </c>
      <c r="F9" s="100">
        <f aca="true" t="shared" si="1" ref="F9:F35">C9*$G$6</f>
        <v>941419.3548387096</v>
      </c>
      <c r="G9" s="100">
        <f aca="true" t="shared" si="2" ref="G9:G34">E9*$G$6</f>
        <v>10355.612903225805</v>
      </c>
      <c r="H9" s="100">
        <f aca="true" t="shared" si="3" ref="H9:H35">C9*$I$6</f>
        <v>1019870.9677419355</v>
      </c>
      <c r="I9" s="100">
        <f aca="true" t="shared" si="4" ref="I9:I35">E9*$I$6</f>
        <v>11218.58064516129</v>
      </c>
      <c r="J9" s="150">
        <v>0.25</v>
      </c>
      <c r="K9" s="150">
        <v>0.25</v>
      </c>
      <c r="L9" s="150">
        <v>0.25</v>
      </c>
      <c r="M9" s="150">
        <v>0.25</v>
      </c>
      <c r="N9" s="164">
        <v>0.4</v>
      </c>
      <c r="O9" s="164">
        <v>0.6</v>
      </c>
      <c r="P9" s="164">
        <v>0</v>
      </c>
      <c r="Q9" s="98"/>
      <c r="R9" s="98"/>
      <c r="S9" s="98"/>
      <c r="T9" s="98"/>
      <c r="U9" s="98"/>
      <c r="V9" s="98"/>
      <c r="W9" s="98"/>
      <c r="X9" s="98"/>
      <c r="Y9" s="98"/>
      <c r="Z9" s="246"/>
      <c r="AA9" s="98"/>
      <c r="AB9" s="98"/>
      <c r="AC9" s="98"/>
      <c r="AD9" s="98"/>
      <c r="AE9" s="98"/>
      <c r="AF9" s="103"/>
      <c r="AQ9" s="28"/>
      <c r="AR9" s="28"/>
      <c r="AS9" s="28"/>
      <c r="AT9" s="28"/>
    </row>
    <row r="10" spans="2:46" ht="12.75">
      <c r="B10" s="140">
        <v>1982</v>
      </c>
      <c r="C10" s="100">
        <v>3040000</v>
      </c>
      <c r="D10" s="142">
        <v>22</v>
      </c>
      <c r="E10" s="100">
        <f t="shared" si="0"/>
        <v>33440</v>
      </c>
      <c r="F10" s="100">
        <f t="shared" si="1"/>
        <v>1459200</v>
      </c>
      <c r="G10" s="100">
        <f t="shared" si="2"/>
        <v>16051.199999999999</v>
      </c>
      <c r="H10" s="100">
        <f t="shared" si="3"/>
        <v>1580800</v>
      </c>
      <c r="I10" s="100">
        <f t="shared" si="4"/>
        <v>17388.8</v>
      </c>
      <c r="J10" s="150">
        <v>0.25</v>
      </c>
      <c r="K10" s="150">
        <v>0.25</v>
      </c>
      <c r="L10" s="150">
        <v>0.25</v>
      </c>
      <c r="M10" s="150">
        <v>0.25</v>
      </c>
      <c r="N10" s="164">
        <v>0.4</v>
      </c>
      <c r="O10" s="164">
        <v>0.6</v>
      </c>
      <c r="P10" s="164">
        <v>0</v>
      </c>
      <c r="Q10" s="100"/>
      <c r="R10" s="100"/>
      <c r="S10" s="100"/>
      <c r="T10" s="100"/>
      <c r="U10" s="100"/>
      <c r="V10" s="100"/>
      <c r="W10" s="100"/>
      <c r="X10" s="100"/>
      <c r="Y10" s="98"/>
      <c r="Z10" s="246"/>
      <c r="AA10" s="100"/>
      <c r="AB10" s="100"/>
      <c r="AC10" s="100"/>
      <c r="AD10" s="100"/>
      <c r="AE10" s="100">
        <f>Q10+S10+U10+W10+Y10+AA10+AC10</f>
        <v>0</v>
      </c>
      <c r="AF10" s="107">
        <f>R10+T10+V10+X10+Z10+AB10+AD10</f>
        <v>0</v>
      </c>
      <c r="AG10" s="81"/>
      <c r="AH10" s="81"/>
      <c r="AI10" s="81"/>
      <c r="AJ10" s="81"/>
      <c r="AK10" s="81"/>
      <c r="AL10" s="81"/>
      <c r="AM10" s="81"/>
      <c r="AN10" s="81"/>
      <c r="AO10" s="81"/>
      <c r="AP10" s="81"/>
      <c r="AQ10" s="81"/>
      <c r="AR10" s="28"/>
      <c r="AS10" s="28"/>
      <c r="AT10" s="28"/>
    </row>
    <row r="11" spans="2:46" ht="12.75">
      <c r="B11" s="140">
        <v>1983</v>
      </c>
      <c r="C11" s="100">
        <v>5450000</v>
      </c>
      <c r="D11" s="142">
        <v>22</v>
      </c>
      <c r="E11" s="100">
        <f t="shared" si="0"/>
        <v>59950</v>
      </c>
      <c r="F11" s="100">
        <f t="shared" si="1"/>
        <v>2616000</v>
      </c>
      <c r="G11" s="100">
        <f t="shared" si="2"/>
        <v>28776</v>
      </c>
      <c r="H11" s="100">
        <f t="shared" si="3"/>
        <v>2834000</v>
      </c>
      <c r="I11" s="100">
        <f t="shared" si="4"/>
        <v>31174</v>
      </c>
      <c r="J11" s="150">
        <v>0.25</v>
      </c>
      <c r="K11" s="150">
        <v>0.25</v>
      </c>
      <c r="L11" s="150">
        <v>0.25</v>
      </c>
      <c r="M11" s="150">
        <v>0.25</v>
      </c>
      <c r="N11" s="164">
        <v>0.4</v>
      </c>
      <c r="O11" s="164">
        <v>0.6</v>
      </c>
      <c r="P11" s="164">
        <v>0</v>
      </c>
      <c r="Q11" s="100"/>
      <c r="R11" s="100"/>
      <c r="S11" s="100"/>
      <c r="T11" s="100"/>
      <c r="U11" s="100"/>
      <c r="V11" s="100"/>
      <c r="W11" s="100"/>
      <c r="X11" s="100"/>
      <c r="Y11" s="98"/>
      <c r="Z11" s="246"/>
      <c r="AA11" s="100"/>
      <c r="AB11" s="100"/>
      <c r="AC11" s="100">
        <f aca="true" t="shared" si="5" ref="AC11:AC38">$H8*$N8/1000</f>
        <v>203.97419354838712</v>
      </c>
      <c r="AD11" s="100">
        <f aca="true" t="shared" si="6" ref="AD11:AD38">I8*N8</f>
        <v>2243.716129032258</v>
      </c>
      <c r="AE11" s="100">
        <f aca="true" t="shared" si="7" ref="AE11:AE38">Q11+S11+U11+W11+Y11+AA11+AC11</f>
        <v>203.97419354838712</v>
      </c>
      <c r="AF11" s="107">
        <f aca="true" t="shared" si="8" ref="AF11:AF38">R11+T11+V11+X11+Z11+AB11+AD11</f>
        <v>2243.716129032258</v>
      </c>
      <c r="AG11" s="81"/>
      <c r="AH11" s="81"/>
      <c r="AI11" s="81"/>
      <c r="AJ11" s="81"/>
      <c r="AK11" s="81"/>
      <c r="AL11" s="81"/>
      <c r="AM11" s="81"/>
      <c r="AN11" s="81"/>
      <c r="AO11" s="81"/>
      <c r="AP11" s="81"/>
      <c r="AQ11" s="81"/>
      <c r="AR11" s="28"/>
      <c r="AS11" s="28"/>
      <c r="AT11" s="28"/>
    </row>
    <row r="12" spans="2:46" ht="12.75">
      <c r="B12" s="140">
        <v>1984</v>
      </c>
      <c r="C12" s="100">
        <v>6660000</v>
      </c>
      <c r="D12" s="142">
        <v>22</v>
      </c>
      <c r="E12" s="100">
        <f t="shared" si="0"/>
        <v>73260</v>
      </c>
      <c r="F12" s="100">
        <f t="shared" si="1"/>
        <v>3196800</v>
      </c>
      <c r="G12" s="100">
        <f t="shared" si="2"/>
        <v>35164.799999999996</v>
      </c>
      <c r="H12" s="100">
        <f t="shared" si="3"/>
        <v>3463200</v>
      </c>
      <c r="I12" s="100">
        <f t="shared" si="4"/>
        <v>38095.200000000004</v>
      </c>
      <c r="J12" s="150">
        <v>0.25</v>
      </c>
      <c r="K12" s="150">
        <v>0.25</v>
      </c>
      <c r="L12" s="150">
        <v>0.25</v>
      </c>
      <c r="M12" s="150">
        <v>0.25</v>
      </c>
      <c r="N12" s="164">
        <v>0.4</v>
      </c>
      <c r="O12" s="164">
        <v>0.6</v>
      </c>
      <c r="P12" s="164">
        <v>0</v>
      </c>
      <c r="Q12" s="100"/>
      <c r="R12" s="100"/>
      <c r="S12" s="100"/>
      <c r="T12" s="100"/>
      <c r="U12" s="100"/>
      <c r="V12" s="100"/>
      <c r="W12" s="100"/>
      <c r="X12" s="100"/>
      <c r="Y12" s="98"/>
      <c r="Z12" s="246"/>
      <c r="AA12" s="100"/>
      <c r="AB12" s="100"/>
      <c r="AC12" s="100">
        <f t="shared" si="5"/>
        <v>407.94838709677424</v>
      </c>
      <c r="AD12" s="100">
        <f t="shared" si="6"/>
        <v>4487.432258064516</v>
      </c>
      <c r="AE12" s="100">
        <f t="shared" si="7"/>
        <v>407.94838709677424</v>
      </c>
      <c r="AF12" s="107">
        <f t="shared" si="8"/>
        <v>4487.432258064516</v>
      </c>
      <c r="AG12" s="81"/>
      <c r="AH12" s="81"/>
      <c r="AI12" s="81"/>
      <c r="AJ12" s="81"/>
      <c r="AK12" s="81"/>
      <c r="AL12" s="81"/>
      <c r="AM12" s="81"/>
      <c r="AN12" s="81"/>
      <c r="AO12" s="81"/>
      <c r="AP12" s="81"/>
      <c r="AQ12" s="81"/>
      <c r="AR12" s="28"/>
      <c r="AS12" s="28"/>
      <c r="AT12" s="28"/>
    </row>
    <row r="13" spans="2:46" ht="12.75">
      <c r="B13" s="140">
        <v>1985</v>
      </c>
      <c r="C13" s="100">
        <v>5760000</v>
      </c>
      <c r="D13" s="142">
        <v>22</v>
      </c>
      <c r="E13" s="100">
        <f t="shared" si="0"/>
        <v>63360</v>
      </c>
      <c r="F13" s="100">
        <f t="shared" si="1"/>
        <v>2764800</v>
      </c>
      <c r="G13" s="100">
        <f t="shared" si="2"/>
        <v>30412.8</v>
      </c>
      <c r="H13" s="100">
        <f t="shared" si="3"/>
        <v>2995200</v>
      </c>
      <c r="I13" s="100">
        <f t="shared" si="4"/>
        <v>32947.200000000004</v>
      </c>
      <c r="J13" s="150">
        <v>0.25</v>
      </c>
      <c r="K13" s="150">
        <v>0.25</v>
      </c>
      <c r="L13" s="150">
        <v>0.25</v>
      </c>
      <c r="M13" s="150">
        <v>0.25</v>
      </c>
      <c r="N13" s="164">
        <v>0.4</v>
      </c>
      <c r="O13" s="164">
        <v>0.6</v>
      </c>
      <c r="P13" s="164">
        <v>0</v>
      </c>
      <c r="Q13" s="100"/>
      <c r="R13" s="100"/>
      <c r="S13" s="100"/>
      <c r="T13" s="100"/>
      <c r="U13" s="100"/>
      <c r="V13" s="100"/>
      <c r="W13" s="100"/>
      <c r="X13" s="100"/>
      <c r="Y13" s="100">
        <f>$H8*O8/1000</f>
        <v>305.9612903225807</v>
      </c>
      <c r="Z13" s="100">
        <f>I8*O8</f>
        <v>3365.574193548387</v>
      </c>
      <c r="AA13" s="100"/>
      <c r="AB13" s="100"/>
      <c r="AC13" s="100">
        <f t="shared" si="5"/>
        <v>632.32</v>
      </c>
      <c r="AD13" s="100">
        <f t="shared" si="6"/>
        <v>6955.52</v>
      </c>
      <c r="AE13" s="100">
        <f t="shared" si="7"/>
        <v>938.2812903225807</v>
      </c>
      <c r="AF13" s="107">
        <f t="shared" si="8"/>
        <v>10321.094193548388</v>
      </c>
      <c r="AG13" s="81"/>
      <c r="AH13" s="81"/>
      <c r="AI13" s="81"/>
      <c r="AJ13" s="81"/>
      <c r="AK13" s="81"/>
      <c r="AL13" s="81"/>
      <c r="AM13" s="81"/>
      <c r="AN13" s="81"/>
      <c r="AO13" s="81"/>
      <c r="AP13" s="81"/>
      <c r="AQ13" s="81"/>
      <c r="AR13" s="28"/>
      <c r="AS13" s="28"/>
      <c r="AT13" s="28"/>
    </row>
    <row r="14" spans="2:46" ht="12.75">
      <c r="B14" s="140">
        <v>1986</v>
      </c>
      <c r="C14" s="100">
        <v>6851000</v>
      </c>
      <c r="D14" s="142">
        <v>22</v>
      </c>
      <c r="E14" s="100">
        <f t="shared" si="0"/>
        <v>75361</v>
      </c>
      <c r="F14" s="100">
        <f t="shared" si="1"/>
        <v>3288480</v>
      </c>
      <c r="G14" s="100">
        <f t="shared" si="2"/>
        <v>36173.28</v>
      </c>
      <c r="H14" s="100">
        <f t="shared" si="3"/>
        <v>3562520</v>
      </c>
      <c r="I14" s="100">
        <f t="shared" si="4"/>
        <v>39187.72</v>
      </c>
      <c r="J14" s="150">
        <v>0.25</v>
      </c>
      <c r="K14" s="150">
        <v>0.25</v>
      </c>
      <c r="L14" s="150">
        <v>0.25</v>
      </c>
      <c r="M14" s="150">
        <v>0.25</v>
      </c>
      <c r="N14" s="164">
        <v>0.4</v>
      </c>
      <c r="O14" s="164">
        <v>0.6</v>
      </c>
      <c r="P14" s="164">
        <v>0</v>
      </c>
      <c r="Q14" s="100"/>
      <c r="R14" s="100"/>
      <c r="S14" s="100"/>
      <c r="T14" s="100"/>
      <c r="U14" s="100"/>
      <c r="V14" s="100"/>
      <c r="W14" s="100"/>
      <c r="X14" s="100"/>
      <c r="Y14" s="100">
        <f aca="true" t="shared" si="9" ref="Y14:Y38">$H9*O9/1000</f>
        <v>611.9225806451614</v>
      </c>
      <c r="Z14" s="100">
        <f aca="true" t="shared" si="10" ref="Z14:Z38">I9*O9</f>
        <v>6731.148387096774</v>
      </c>
      <c r="AA14" s="100"/>
      <c r="AB14" s="100"/>
      <c r="AC14" s="100">
        <f t="shared" si="5"/>
        <v>1133.6</v>
      </c>
      <c r="AD14" s="100">
        <f t="shared" si="6"/>
        <v>12469.6</v>
      </c>
      <c r="AE14" s="100">
        <f t="shared" si="7"/>
        <v>1745.5225806451613</v>
      </c>
      <c r="AF14" s="107">
        <f t="shared" si="8"/>
        <v>19200.748387096774</v>
      </c>
      <c r="AG14" s="81"/>
      <c r="AH14" s="81"/>
      <c r="AI14" s="81"/>
      <c r="AJ14" s="81"/>
      <c r="AK14" s="81"/>
      <c r="AL14" s="81"/>
      <c r="AM14" s="81"/>
      <c r="AN14" s="81"/>
      <c r="AO14" s="81"/>
      <c r="AP14" s="81"/>
      <c r="AQ14" s="81"/>
      <c r="AR14" s="28"/>
      <c r="AS14" s="28"/>
      <c r="AT14" s="28"/>
    </row>
    <row r="15" spans="2:46" ht="12.75">
      <c r="B15" s="140">
        <v>1987</v>
      </c>
      <c r="C15" s="100">
        <v>8202000</v>
      </c>
      <c r="D15" s="142">
        <v>22</v>
      </c>
      <c r="E15" s="100">
        <f t="shared" si="0"/>
        <v>90222</v>
      </c>
      <c r="F15" s="100">
        <f t="shared" si="1"/>
        <v>3936960</v>
      </c>
      <c r="G15" s="100">
        <f t="shared" si="2"/>
        <v>43306.56</v>
      </c>
      <c r="H15" s="100">
        <f t="shared" si="3"/>
        <v>4265040</v>
      </c>
      <c r="I15" s="100">
        <f t="shared" si="4"/>
        <v>46915.44</v>
      </c>
      <c r="J15" s="150">
        <v>0.25</v>
      </c>
      <c r="K15" s="150">
        <v>0.25</v>
      </c>
      <c r="L15" s="150">
        <v>0.25</v>
      </c>
      <c r="M15" s="150">
        <v>0.25</v>
      </c>
      <c r="N15" s="164">
        <v>0.4</v>
      </c>
      <c r="O15" s="164">
        <v>0.6</v>
      </c>
      <c r="P15" s="164">
        <v>0</v>
      </c>
      <c r="Q15" s="100">
        <f>$F8*$J8/1000</f>
        <v>117.67741935483869</v>
      </c>
      <c r="R15" s="100">
        <f>G8*J8</f>
        <v>1294.4516129032256</v>
      </c>
      <c r="S15" s="100"/>
      <c r="T15" s="100"/>
      <c r="U15" s="100"/>
      <c r="V15" s="100"/>
      <c r="W15" s="100"/>
      <c r="X15" s="100"/>
      <c r="Y15" s="100">
        <f t="shared" si="9"/>
        <v>948.48</v>
      </c>
      <c r="Z15" s="100">
        <f t="shared" si="10"/>
        <v>10433.279999999999</v>
      </c>
      <c r="AA15" s="100">
        <f>$H8*P8/1000</f>
        <v>0</v>
      </c>
      <c r="AB15" s="100">
        <f>I8*P8</f>
        <v>0</v>
      </c>
      <c r="AC15" s="100">
        <f t="shared" si="5"/>
        <v>1385.28</v>
      </c>
      <c r="AD15" s="100">
        <f t="shared" si="6"/>
        <v>15238.080000000002</v>
      </c>
      <c r="AE15" s="100">
        <f t="shared" si="7"/>
        <v>2451.4374193548388</v>
      </c>
      <c r="AF15" s="107">
        <f t="shared" si="8"/>
        <v>26965.811612903228</v>
      </c>
      <c r="AG15" s="81"/>
      <c r="AH15" s="81"/>
      <c r="AI15" s="81"/>
      <c r="AJ15" s="81"/>
      <c r="AK15" s="81"/>
      <c r="AL15" s="81"/>
      <c r="AM15" s="81"/>
      <c r="AN15" s="81"/>
      <c r="AO15" s="81"/>
      <c r="AP15" s="81"/>
      <c r="AQ15" s="81"/>
      <c r="AR15" s="28"/>
      <c r="AS15" s="28"/>
      <c r="AT15" s="28"/>
    </row>
    <row r="16" spans="2:46" ht="12.75">
      <c r="B16" s="140">
        <v>1988</v>
      </c>
      <c r="C16" s="100">
        <v>8724000</v>
      </c>
      <c r="D16" s="142">
        <v>22</v>
      </c>
      <c r="E16" s="100">
        <f t="shared" si="0"/>
        <v>95964</v>
      </c>
      <c r="F16" s="100">
        <f t="shared" si="1"/>
        <v>4187520</v>
      </c>
      <c r="G16" s="100">
        <f t="shared" si="2"/>
        <v>46062.72</v>
      </c>
      <c r="H16" s="100">
        <f t="shared" si="3"/>
        <v>4536480</v>
      </c>
      <c r="I16" s="100">
        <f t="shared" si="4"/>
        <v>49901.28</v>
      </c>
      <c r="J16" s="150">
        <v>0.25</v>
      </c>
      <c r="K16" s="150">
        <v>0.25</v>
      </c>
      <c r="L16" s="150">
        <v>0.25</v>
      </c>
      <c r="M16" s="150">
        <v>0.25</v>
      </c>
      <c r="N16" s="164">
        <v>0.4</v>
      </c>
      <c r="O16" s="164">
        <v>0.6</v>
      </c>
      <c r="P16" s="164">
        <v>0</v>
      </c>
      <c r="Q16" s="100">
        <f aca="true" t="shared" si="11" ref="Q16:Q37">$F9*$J9/1000</f>
        <v>235.35483870967738</v>
      </c>
      <c r="R16" s="100">
        <f aca="true" t="shared" si="12" ref="R16:R38">G9*J9</f>
        <v>2588.9032258064512</v>
      </c>
      <c r="S16" s="100"/>
      <c r="T16" s="100"/>
      <c r="U16" s="100"/>
      <c r="V16" s="100"/>
      <c r="W16" s="100"/>
      <c r="X16" s="100"/>
      <c r="Y16" s="100">
        <f t="shared" si="9"/>
        <v>1700.4</v>
      </c>
      <c r="Z16" s="100">
        <f t="shared" si="10"/>
        <v>18704.399999999998</v>
      </c>
      <c r="AA16" s="100">
        <f aca="true" t="shared" si="13" ref="AA16:AA38">$H9*P9/1000</f>
        <v>0</v>
      </c>
      <c r="AB16" s="100">
        <f aca="true" t="shared" si="14" ref="AB16:AB38">I9*P9</f>
        <v>0</v>
      </c>
      <c r="AC16" s="100">
        <f t="shared" si="5"/>
        <v>1198.08</v>
      </c>
      <c r="AD16" s="100">
        <f t="shared" si="6"/>
        <v>13178.880000000003</v>
      </c>
      <c r="AE16" s="100">
        <f t="shared" si="7"/>
        <v>3133.8348387096776</v>
      </c>
      <c r="AF16" s="107">
        <f t="shared" si="8"/>
        <v>34472.18322580645</v>
      </c>
      <c r="AG16" s="81"/>
      <c r="AH16" s="81"/>
      <c r="AI16" s="81"/>
      <c r="AJ16" s="81"/>
      <c r="AK16" s="81"/>
      <c r="AL16" s="81"/>
      <c r="AM16" s="81"/>
      <c r="AN16" s="81"/>
      <c r="AO16" s="81"/>
      <c r="AP16" s="81"/>
      <c r="AQ16" s="81"/>
      <c r="AR16" s="28"/>
      <c r="AS16" s="28"/>
      <c r="AT16" s="28"/>
    </row>
    <row r="17" spans="2:46" ht="12.75">
      <c r="B17" s="140">
        <v>1989</v>
      </c>
      <c r="C17" s="100">
        <v>8905801</v>
      </c>
      <c r="D17" s="142">
        <v>21.86</v>
      </c>
      <c r="E17" s="100">
        <f>C17*D17/2000</f>
        <v>97340.40492999999</v>
      </c>
      <c r="F17" s="100">
        <f t="shared" si="1"/>
        <v>4274784.4799999995</v>
      </c>
      <c r="G17" s="100">
        <f t="shared" si="2"/>
        <v>46723.394366399996</v>
      </c>
      <c r="H17" s="100">
        <f t="shared" si="3"/>
        <v>4631016.5200000005</v>
      </c>
      <c r="I17" s="100">
        <f t="shared" si="4"/>
        <v>50617.01056359999</v>
      </c>
      <c r="J17" s="150">
        <v>0.25</v>
      </c>
      <c r="K17" s="150">
        <v>0.25</v>
      </c>
      <c r="L17" s="150">
        <v>0.25</v>
      </c>
      <c r="M17" s="150">
        <v>0.25</v>
      </c>
      <c r="N17" s="164">
        <v>0.4</v>
      </c>
      <c r="O17" s="164">
        <v>0.6</v>
      </c>
      <c r="P17" s="164">
        <v>0</v>
      </c>
      <c r="Q17" s="100">
        <f t="shared" si="11"/>
        <v>364.8</v>
      </c>
      <c r="R17" s="100">
        <f t="shared" si="12"/>
        <v>4012.7999999999997</v>
      </c>
      <c r="S17" s="100"/>
      <c r="T17" s="100"/>
      <c r="U17" s="100"/>
      <c r="V17" s="100"/>
      <c r="W17" s="100"/>
      <c r="X17" s="100"/>
      <c r="Y17" s="100">
        <f t="shared" si="9"/>
        <v>2077.92</v>
      </c>
      <c r="Z17" s="100">
        <f t="shared" si="10"/>
        <v>22857.120000000003</v>
      </c>
      <c r="AA17" s="100">
        <f t="shared" si="13"/>
        <v>0</v>
      </c>
      <c r="AB17" s="100">
        <f t="shared" si="14"/>
        <v>0</v>
      </c>
      <c r="AC17" s="100">
        <f t="shared" si="5"/>
        <v>1425.008</v>
      </c>
      <c r="AD17" s="100">
        <f t="shared" si="6"/>
        <v>15675.088000000002</v>
      </c>
      <c r="AE17" s="100">
        <f t="shared" si="7"/>
        <v>3867.728</v>
      </c>
      <c r="AF17" s="107">
        <f t="shared" si="8"/>
        <v>42545.008</v>
      </c>
      <c r="AG17" s="81"/>
      <c r="AH17" s="81"/>
      <c r="AI17" s="81"/>
      <c r="AJ17" s="81"/>
      <c r="AK17" s="81"/>
      <c r="AL17" s="81"/>
      <c r="AM17" s="81"/>
      <c r="AN17" s="81"/>
      <c r="AO17" s="81"/>
      <c r="AP17" s="81"/>
      <c r="AQ17" s="81"/>
      <c r="AR17" s="28"/>
      <c r="AS17" s="28"/>
      <c r="AT17" s="28"/>
    </row>
    <row r="18" spans="2:46" ht="12.75">
      <c r="B18" s="140">
        <v>1990</v>
      </c>
      <c r="C18" s="100">
        <v>9485529</v>
      </c>
      <c r="D18" s="142">
        <v>21.76</v>
      </c>
      <c r="E18" s="100">
        <f aca="true" t="shared" si="15" ref="E18:E35">C18*D18/2000</f>
        <v>103202.55552000001</v>
      </c>
      <c r="F18" s="100">
        <f t="shared" si="1"/>
        <v>4553053.92</v>
      </c>
      <c r="G18" s="100">
        <f t="shared" si="2"/>
        <v>49537.2266496</v>
      </c>
      <c r="H18" s="100">
        <f t="shared" si="3"/>
        <v>4932475.08</v>
      </c>
      <c r="I18" s="100">
        <f t="shared" si="4"/>
        <v>53665.32887040001</v>
      </c>
      <c r="J18" s="150">
        <v>0.25</v>
      </c>
      <c r="K18" s="150">
        <v>0.25</v>
      </c>
      <c r="L18" s="150">
        <v>0.25</v>
      </c>
      <c r="M18" s="150">
        <v>0.25</v>
      </c>
      <c r="N18" s="164">
        <v>0.4</v>
      </c>
      <c r="O18" s="164">
        <v>0.6</v>
      </c>
      <c r="P18" s="164">
        <v>0</v>
      </c>
      <c r="Q18" s="100">
        <f t="shared" si="11"/>
        <v>654</v>
      </c>
      <c r="R18" s="100">
        <f t="shared" si="12"/>
        <v>7194</v>
      </c>
      <c r="S18" s="100">
        <f>$F8*$K8/1000</f>
        <v>117.67741935483869</v>
      </c>
      <c r="T18" s="100">
        <f>G8*K8</f>
        <v>1294.4516129032256</v>
      </c>
      <c r="U18" s="100"/>
      <c r="V18" s="100"/>
      <c r="W18" s="100"/>
      <c r="X18" s="100"/>
      <c r="Y18" s="100">
        <f t="shared" si="9"/>
        <v>1797.12</v>
      </c>
      <c r="Z18" s="100">
        <f t="shared" si="10"/>
        <v>19768.320000000003</v>
      </c>
      <c r="AA18" s="100">
        <f t="shared" si="13"/>
        <v>0</v>
      </c>
      <c r="AB18" s="100">
        <f t="shared" si="14"/>
        <v>0</v>
      </c>
      <c r="AC18" s="100">
        <f t="shared" si="5"/>
        <v>1706.016</v>
      </c>
      <c r="AD18" s="100">
        <f t="shared" si="6"/>
        <v>18766.176000000003</v>
      </c>
      <c r="AE18" s="100">
        <f t="shared" si="7"/>
        <v>4274.8134193548385</v>
      </c>
      <c r="AF18" s="107">
        <f t="shared" si="8"/>
        <v>47022.94761290323</v>
      </c>
      <c r="AG18" s="81"/>
      <c r="AH18" s="81"/>
      <c r="AI18" s="81"/>
      <c r="AJ18" s="81"/>
      <c r="AK18" s="81"/>
      <c r="AL18" s="81"/>
      <c r="AM18" s="81"/>
      <c r="AN18" s="81"/>
      <c r="AO18" s="81"/>
      <c r="AP18" s="81"/>
      <c r="AQ18" s="81"/>
      <c r="AR18" s="29"/>
      <c r="AS18" s="192"/>
      <c r="AT18" s="29"/>
    </row>
    <row r="19" spans="2:46" ht="12.75">
      <c r="B19" s="140">
        <v>1991</v>
      </c>
      <c r="C19" s="100">
        <v>9523762</v>
      </c>
      <c r="D19" s="142">
        <v>21.81</v>
      </c>
      <c r="E19" s="100">
        <f t="shared" si="15"/>
        <v>103856.62461</v>
      </c>
      <c r="F19" s="100">
        <f t="shared" si="1"/>
        <v>4571405.76</v>
      </c>
      <c r="G19" s="100">
        <f t="shared" si="2"/>
        <v>49851.1798128</v>
      </c>
      <c r="H19" s="100">
        <f t="shared" si="3"/>
        <v>4952356.24</v>
      </c>
      <c r="I19" s="100">
        <f t="shared" si="4"/>
        <v>54005.4447972</v>
      </c>
      <c r="J19" s="150">
        <v>0.25</v>
      </c>
      <c r="K19" s="150">
        <v>0.25</v>
      </c>
      <c r="L19" s="150">
        <v>0.25</v>
      </c>
      <c r="M19" s="150">
        <v>0.25</v>
      </c>
      <c r="N19" s="164">
        <v>0.4</v>
      </c>
      <c r="O19" s="164">
        <v>0.6</v>
      </c>
      <c r="P19" s="164">
        <v>0</v>
      </c>
      <c r="Q19" s="100">
        <f t="shared" si="11"/>
        <v>799.2</v>
      </c>
      <c r="R19" s="100">
        <f t="shared" si="12"/>
        <v>8791.199999999999</v>
      </c>
      <c r="S19" s="100">
        <f aca="true" t="shared" si="16" ref="S19:S38">$F9*$K9/1000</f>
        <v>235.35483870967738</v>
      </c>
      <c r="T19" s="100">
        <f aca="true" t="shared" si="17" ref="T19:T38">G9*K9</f>
        <v>2588.9032258064512</v>
      </c>
      <c r="U19" s="100"/>
      <c r="V19" s="100"/>
      <c r="W19" s="100"/>
      <c r="X19" s="100"/>
      <c r="Y19" s="100">
        <f t="shared" si="9"/>
        <v>2137.512</v>
      </c>
      <c r="Z19" s="100">
        <f t="shared" si="10"/>
        <v>23512.632</v>
      </c>
      <c r="AA19" s="100">
        <f t="shared" si="13"/>
        <v>0</v>
      </c>
      <c r="AB19" s="100">
        <f t="shared" si="14"/>
        <v>0</v>
      </c>
      <c r="AC19" s="100">
        <f t="shared" si="5"/>
        <v>1814.592</v>
      </c>
      <c r="AD19" s="100">
        <f t="shared" si="6"/>
        <v>19960.512000000002</v>
      </c>
      <c r="AE19" s="100">
        <f t="shared" si="7"/>
        <v>4986.658838709678</v>
      </c>
      <c r="AF19" s="107">
        <f t="shared" si="8"/>
        <v>54853.24722580645</v>
      </c>
      <c r="AG19" s="81"/>
      <c r="AH19" s="81"/>
      <c r="AI19" s="81"/>
      <c r="AJ19" s="81"/>
      <c r="AK19" s="81"/>
      <c r="AL19" s="81"/>
      <c r="AM19" s="81"/>
      <c r="AN19" s="81"/>
      <c r="AO19" s="81"/>
      <c r="AP19" s="81"/>
      <c r="AQ19" s="81"/>
      <c r="AR19" s="29"/>
      <c r="AS19" s="192"/>
      <c r="AT19" s="29"/>
    </row>
    <row r="20" spans="2:46" ht="12.75">
      <c r="B20" s="140">
        <v>1992</v>
      </c>
      <c r="C20" s="100">
        <v>9911000</v>
      </c>
      <c r="D20" s="142">
        <v>22.19</v>
      </c>
      <c r="E20" s="100">
        <f t="shared" si="15"/>
        <v>109962.545</v>
      </c>
      <c r="F20" s="100">
        <f t="shared" si="1"/>
        <v>4757280</v>
      </c>
      <c r="G20" s="100">
        <f t="shared" si="2"/>
        <v>52782.0216</v>
      </c>
      <c r="H20" s="100">
        <f t="shared" si="3"/>
        <v>5153720</v>
      </c>
      <c r="I20" s="100">
        <f t="shared" si="4"/>
        <v>57180.5234</v>
      </c>
      <c r="J20" s="150">
        <v>0.25</v>
      </c>
      <c r="K20" s="150">
        <v>0.25</v>
      </c>
      <c r="L20" s="150">
        <v>0.25</v>
      </c>
      <c r="M20" s="150">
        <v>0.25</v>
      </c>
      <c r="N20" s="164">
        <v>0.4</v>
      </c>
      <c r="O20" s="164">
        <v>0.6</v>
      </c>
      <c r="P20" s="164">
        <v>0</v>
      </c>
      <c r="Q20" s="100">
        <f t="shared" si="11"/>
        <v>691.2</v>
      </c>
      <c r="R20" s="100">
        <f t="shared" si="12"/>
        <v>7603.2</v>
      </c>
      <c r="S20" s="100">
        <f t="shared" si="16"/>
        <v>364.8</v>
      </c>
      <c r="T20" s="100">
        <f t="shared" si="17"/>
        <v>4012.7999999999997</v>
      </c>
      <c r="U20" s="100"/>
      <c r="V20" s="100"/>
      <c r="W20" s="100"/>
      <c r="X20" s="100"/>
      <c r="Y20" s="100">
        <f t="shared" si="9"/>
        <v>2559.024</v>
      </c>
      <c r="Z20" s="100">
        <f t="shared" si="10"/>
        <v>28149.264</v>
      </c>
      <c r="AA20" s="100">
        <f t="shared" si="13"/>
        <v>0</v>
      </c>
      <c r="AB20" s="100">
        <f t="shared" si="14"/>
        <v>0</v>
      </c>
      <c r="AC20" s="100">
        <f t="shared" si="5"/>
        <v>1852.4066080000002</v>
      </c>
      <c r="AD20" s="100">
        <f t="shared" si="6"/>
        <v>20246.80422544</v>
      </c>
      <c r="AE20" s="100">
        <f t="shared" si="7"/>
        <v>5467.430608000001</v>
      </c>
      <c r="AF20" s="107">
        <f t="shared" si="8"/>
        <v>60012.068225439994</v>
      </c>
      <c r="AG20" s="81"/>
      <c r="AH20" s="81"/>
      <c r="AI20" s="81"/>
      <c r="AJ20" s="81"/>
      <c r="AK20" s="81"/>
      <c r="AL20" s="81"/>
      <c r="AM20" s="81"/>
      <c r="AN20" s="81"/>
      <c r="AO20" s="81"/>
      <c r="AP20" s="81"/>
      <c r="AQ20" s="81"/>
      <c r="AR20" s="29"/>
      <c r="AS20" s="192"/>
      <c r="AT20" s="29"/>
    </row>
    <row r="21" spans="2:46" ht="12.75">
      <c r="B21" s="140">
        <v>1993</v>
      </c>
      <c r="C21" s="100">
        <v>13022020.56</v>
      </c>
      <c r="D21" s="142">
        <v>21.94</v>
      </c>
      <c r="E21" s="100">
        <f t="shared" si="15"/>
        <v>142851.5655432</v>
      </c>
      <c r="F21" s="100">
        <f t="shared" si="1"/>
        <v>6250569.8688</v>
      </c>
      <c r="G21" s="100">
        <f t="shared" si="2"/>
        <v>68568.751460736</v>
      </c>
      <c r="H21" s="100">
        <f t="shared" si="3"/>
        <v>6771450.6912</v>
      </c>
      <c r="I21" s="100">
        <f t="shared" si="4"/>
        <v>74282.814082464</v>
      </c>
      <c r="J21" s="150">
        <v>0.25</v>
      </c>
      <c r="K21" s="150">
        <v>0.25</v>
      </c>
      <c r="L21" s="150">
        <v>0.25</v>
      </c>
      <c r="M21" s="150">
        <v>0.25</v>
      </c>
      <c r="N21" s="164">
        <v>0.4</v>
      </c>
      <c r="O21" s="164">
        <v>0.6</v>
      </c>
      <c r="P21" s="164">
        <v>0</v>
      </c>
      <c r="Q21" s="100">
        <f t="shared" si="11"/>
        <v>822.12</v>
      </c>
      <c r="R21" s="100">
        <f t="shared" si="12"/>
        <v>9043.32</v>
      </c>
      <c r="S21" s="100">
        <f t="shared" si="16"/>
        <v>654</v>
      </c>
      <c r="T21" s="100">
        <f t="shared" si="17"/>
        <v>7194</v>
      </c>
      <c r="U21" s="100"/>
      <c r="V21" s="100"/>
      <c r="W21" s="100"/>
      <c r="X21" s="100"/>
      <c r="Y21" s="100">
        <f t="shared" si="9"/>
        <v>2721.888</v>
      </c>
      <c r="Z21" s="100">
        <f t="shared" si="10"/>
        <v>29940.767999999996</v>
      </c>
      <c r="AA21" s="100">
        <f t="shared" si="13"/>
        <v>0</v>
      </c>
      <c r="AB21" s="100">
        <f t="shared" si="14"/>
        <v>0</v>
      </c>
      <c r="AC21" s="100">
        <f t="shared" si="5"/>
        <v>1972.9900320000002</v>
      </c>
      <c r="AD21" s="100">
        <f t="shared" si="6"/>
        <v>21466.131548160003</v>
      </c>
      <c r="AE21" s="100">
        <f t="shared" si="7"/>
        <v>6170.9980319999995</v>
      </c>
      <c r="AF21" s="107">
        <f t="shared" si="8"/>
        <v>67644.21954816</v>
      </c>
      <c r="AG21" s="81"/>
      <c r="AH21" s="81"/>
      <c r="AI21" s="81"/>
      <c r="AJ21" s="81"/>
      <c r="AK21" s="81"/>
      <c r="AL21" s="81"/>
      <c r="AM21" s="81"/>
      <c r="AN21" s="81"/>
      <c r="AO21" s="81"/>
      <c r="AP21" s="81"/>
      <c r="AQ21" s="81"/>
      <c r="AR21" s="29"/>
      <c r="AS21" s="192"/>
      <c r="AT21" s="29"/>
    </row>
    <row r="22" spans="2:46" ht="12.75">
      <c r="B22" s="140">
        <v>1994</v>
      </c>
      <c r="C22" s="215">
        <v>15296184</v>
      </c>
      <c r="D22" s="185">
        <v>21.68</v>
      </c>
      <c r="E22" s="100">
        <f t="shared" si="15"/>
        <v>165810.63456</v>
      </c>
      <c r="F22" s="100">
        <f t="shared" si="1"/>
        <v>7342168.319999999</v>
      </c>
      <c r="G22" s="100">
        <f t="shared" si="2"/>
        <v>79589.1045888</v>
      </c>
      <c r="H22" s="100">
        <f t="shared" si="3"/>
        <v>7954015.680000001</v>
      </c>
      <c r="I22" s="100">
        <f t="shared" si="4"/>
        <v>86221.52997120001</v>
      </c>
      <c r="J22" s="150">
        <v>0.25</v>
      </c>
      <c r="K22" s="150">
        <v>0.25</v>
      </c>
      <c r="L22" s="150">
        <v>0.25</v>
      </c>
      <c r="M22" s="150">
        <v>0.25</v>
      </c>
      <c r="N22" s="164">
        <v>0.4</v>
      </c>
      <c r="O22" s="164">
        <v>0.6</v>
      </c>
      <c r="P22" s="164">
        <v>0</v>
      </c>
      <c r="Q22" s="100">
        <f t="shared" si="11"/>
        <v>984.24</v>
      </c>
      <c r="R22" s="100">
        <f t="shared" si="12"/>
        <v>10826.64</v>
      </c>
      <c r="S22" s="100">
        <f t="shared" si="16"/>
        <v>799.2</v>
      </c>
      <c r="T22" s="100">
        <f t="shared" si="17"/>
        <v>8791.199999999999</v>
      </c>
      <c r="U22" s="100">
        <f>$F8*$L8/1000</f>
        <v>117.67741935483869</v>
      </c>
      <c r="V22" s="100">
        <f>G8*L8</f>
        <v>1294.4516129032256</v>
      </c>
      <c r="W22" s="100"/>
      <c r="X22" s="100"/>
      <c r="Y22" s="100">
        <f t="shared" si="9"/>
        <v>2778.609912</v>
      </c>
      <c r="Z22" s="100">
        <f t="shared" si="10"/>
        <v>30370.206338159995</v>
      </c>
      <c r="AA22" s="100">
        <f t="shared" si="13"/>
        <v>0</v>
      </c>
      <c r="AB22" s="100">
        <f t="shared" si="14"/>
        <v>0</v>
      </c>
      <c r="AC22" s="100">
        <f t="shared" si="5"/>
        <v>1980.9424960000003</v>
      </c>
      <c r="AD22" s="100">
        <f t="shared" si="6"/>
        <v>21602.17791888</v>
      </c>
      <c r="AE22" s="100">
        <f t="shared" si="7"/>
        <v>6660.669827354839</v>
      </c>
      <c r="AF22" s="107">
        <f t="shared" si="8"/>
        <v>72884.67586994322</v>
      </c>
      <c r="AG22" s="81"/>
      <c r="AH22" s="81"/>
      <c r="AI22" s="81"/>
      <c r="AJ22" s="81"/>
      <c r="AK22" s="81"/>
      <c r="AL22" s="81"/>
      <c r="AM22" s="81"/>
      <c r="AN22" s="81"/>
      <c r="AO22" s="81"/>
      <c r="AP22" s="81"/>
      <c r="AQ22" s="81"/>
      <c r="AR22" s="29"/>
      <c r="AS22" s="192"/>
      <c r="AT22" s="29"/>
    </row>
    <row r="23" spans="2:46" ht="12.75">
      <c r="B23" s="140">
        <v>1995</v>
      </c>
      <c r="C23" s="215">
        <v>19139858</v>
      </c>
      <c r="D23" s="185">
        <v>23.02</v>
      </c>
      <c r="E23" s="100">
        <f t="shared" si="15"/>
        <v>220299.76557999998</v>
      </c>
      <c r="F23" s="100">
        <f t="shared" si="1"/>
        <v>9187131.84</v>
      </c>
      <c r="G23" s="100">
        <f t="shared" si="2"/>
        <v>105743.88747839998</v>
      </c>
      <c r="H23" s="100">
        <f t="shared" si="3"/>
        <v>9952726.16</v>
      </c>
      <c r="I23" s="100">
        <f t="shared" si="4"/>
        <v>114555.8781016</v>
      </c>
      <c r="J23" s="150">
        <v>0.25</v>
      </c>
      <c r="K23" s="150">
        <v>0.25</v>
      </c>
      <c r="L23" s="150">
        <v>0.25</v>
      </c>
      <c r="M23" s="150">
        <v>0.25</v>
      </c>
      <c r="N23" s="164">
        <v>0.4</v>
      </c>
      <c r="O23" s="164">
        <v>0.6</v>
      </c>
      <c r="P23" s="164">
        <v>0</v>
      </c>
      <c r="Q23" s="100">
        <f t="shared" si="11"/>
        <v>1046.88</v>
      </c>
      <c r="R23" s="100">
        <f t="shared" si="12"/>
        <v>11515.68</v>
      </c>
      <c r="S23" s="100">
        <f t="shared" si="16"/>
        <v>691.2</v>
      </c>
      <c r="T23" s="100">
        <f t="shared" si="17"/>
        <v>7603.2</v>
      </c>
      <c r="U23" s="100">
        <f aca="true" t="shared" si="18" ref="U23:U38">$F9*$L9/1000</f>
        <v>235.35483870967738</v>
      </c>
      <c r="V23" s="100">
        <f aca="true" t="shared" si="19" ref="V23:V38">G9*L9</f>
        <v>2588.9032258064512</v>
      </c>
      <c r="W23" s="100"/>
      <c r="X23" s="100"/>
      <c r="Y23" s="100">
        <f t="shared" si="9"/>
        <v>2959.485048</v>
      </c>
      <c r="Z23" s="100">
        <f t="shared" si="10"/>
        <v>32199.197322240005</v>
      </c>
      <c r="AA23" s="100">
        <f t="shared" si="13"/>
        <v>0</v>
      </c>
      <c r="AB23" s="100">
        <f t="shared" si="14"/>
        <v>0</v>
      </c>
      <c r="AC23" s="100">
        <f t="shared" si="5"/>
        <v>2061.488</v>
      </c>
      <c r="AD23" s="100">
        <f t="shared" si="6"/>
        <v>22872.20936</v>
      </c>
      <c r="AE23" s="100">
        <f t="shared" si="7"/>
        <v>6994.407886709678</v>
      </c>
      <c r="AF23" s="107">
        <f t="shared" si="8"/>
        <v>76779.18990804645</v>
      </c>
      <c r="AG23" s="81"/>
      <c r="AH23" s="81"/>
      <c r="AI23" s="81"/>
      <c r="AJ23" s="81"/>
      <c r="AK23" s="81"/>
      <c r="AL23" s="81"/>
      <c r="AM23" s="81"/>
      <c r="AN23" s="81"/>
      <c r="AO23" s="81"/>
      <c r="AP23" s="81"/>
      <c r="AQ23" s="81"/>
      <c r="AR23" s="29"/>
      <c r="AS23" s="192"/>
      <c r="AT23" s="29"/>
    </row>
    <row r="24" spans="2:46" ht="12.75">
      <c r="B24" s="140">
        <v>1996</v>
      </c>
      <c r="C24" s="215">
        <v>22420954</v>
      </c>
      <c r="D24" s="185">
        <v>22.07</v>
      </c>
      <c r="E24" s="100">
        <f t="shared" si="15"/>
        <v>247415.22739000001</v>
      </c>
      <c r="F24" s="100">
        <f t="shared" si="1"/>
        <v>10762057.92</v>
      </c>
      <c r="G24" s="100">
        <f t="shared" si="2"/>
        <v>118759.30914720001</v>
      </c>
      <c r="H24" s="100">
        <f t="shared" si="3"/>
        <v>11658896.08</v>
      </c>
      <c r="I24" s="100">
        <f t="shared" si="4"/>
        <v>128655.9182428</v>
      </c>
      <c r="J24" s="150">
        <v>0.25</v>
      </c>
      <c r="K24" s="150">
        <v>0.25</v>
      </c>
      <c r="L24" s="150">
        <v>0.25</v>
      </c>
      <c r="M24" s="150">
        <v>0.25</v>
      </c>
      <c r="N24" s="164">
        <v>0.4</v>
      </c>
      <c r="O24" s="164">
        <v>0.6</v>
      </c>
      <c r="P24" s="164">
        <v>0</v>
      </c>
      <c r="Q24" s="100">
        <f t="shared" si="11"/>
        <v>1068.6961199999998</v>
      </c>
      <c r="R24" s="100">
        <f t="shared" si="12"/>
        <v>11680.848591599999</v>
      </c>
      <c r="S24" s="100">
        <f t="shared" si="16"/>
        <v>822.12</v>
      </c>
      <c r="T24" s="100">
        <f t="shared" si="17"/>
        <v>9043.32</v>
      </c>
      <c r="U24" s="100">
        <f t="shared" si="18"/>
        <v>364.8</v>
      </c>
      <c r="V24" s="100">
        <f t="shared" si="19"/>
        <v>4012.7999999999997</v>
      </c>
      <c r="W24" s="100"/>
      <c r="X24" s="100"/>
      <c r="Y24" s="100">
        <f t="shared" si="9"/>
        <v>2971.413744</v>
      </c>
      <c r="Z24" s="100">
        <f t="shared" si="10"/>
        <v>32403.26687832</v>
      </c>
      <c r="AA24" s="100">
        <f t="shared" si="13"/>
        <v>0</v>
      </c>
      <c r="AB24" s="100">
        <f t="shared" si="14"/>
        <v>0</v>
      </c>
      <c r="AC24" s="100">
        <f t="shared" si="5"/>
        <v>2708.5802764800005</v>
      </c>
      <c r="AD24" s="100">
        <f t="shared" si="6"/>
        <v>29713.1256329856</v>
      </c>
      <c r="AE24" s="100">
        <f t="shared" si="7"/>
        <v>7935.610140480001</v>
      </c>
      <c r="AF24" s="107">
        <f t="shared" si="8"/>
        <v>86853.36110290559</v>
      </c>
      <c r="AG24" s="81"/>
      <c r="AH24" s="81"/>
      <c r="AI24" s="81"/>
      <c r="AJ24" s="81"/>
      <c r="AK24" s="81"/>
      <c r="AL24" s="81"/>
      <c r="AM24" s="81"/>
      <c r="AN24" s="81"/>
      <c r="AO24" s="81"/>
      <c r="AP24" s="81"/>
      <c r="AQ24" s="81"/>
      <c r="AR24" s="29"/>
      <c r="AS24" s="192"/>
      <c r="AT24" s="29"/>
    </row>
    <row r="25" spans="2:46" ht="12.75">
      <c r="B25" s="140">
        <v>1997</v>
      </c>
      <c r="C25" s="215">
        <v>26767206</v>
      </c>
      <c r="D25" s="185">
        <v>22.61</v>
      </c>
      <c r="E25" s="100">
        <f t="shared" si="15"/>
        <v>302603.26383</v>
      </c>
      <c r="F25" s="100">
        <f t="shared" si="1"/>
        <v>12848258.879999999</v>
      </c>
      <c r="G25" s="100">
        <f t="shared" si="2"/>
        <v>145249.5666384</v>
      </c>
      <c r="H25" s="100">
        <f t="shared" si="3"/>
        <v>13918947.120000001</v>
      </c>
      <c r="I25" s="100">
        <f t="shared" si="4"/>
        <v>157353.69719160002</v>
      </c>
      <c r="J25" s="150">
        <v>0.25</v>
      </c>
      <c r="K25" s="150">
        <v>0.25</v>
      </c>
      <c r="L25" s="150">
        <v>0.25</v>
      </c>
      <c r="M25" s="150">
        <v>0.25</v>
      </c>
      <c r="N25" s="164">
        <v>0.4</v>
      </c>
      <c r="O25" s="164">
        <v>0.6</v>
      </c>
      <c r="P25" s="164">
        <v>0</v>
      </c>
      <c r="Q25" s="100">
        <f t="shared" si="11"/>
        <v>1138.26348</v>
      </c>
      <c r="R25" s="100">
        <f t="shared" si="12"/>
        <v>12384.3066624</v>
      </c>
      <c r="S25" s="100">
        <f t="shared" si="16"/>
        <v>984.24</v>
      </c>
      <c r="T25" s="100">
        <f t="shared" si="17"/>
        <v>10826.64</v>
      </c>
      <c r="U25" s="100">
        <f t="shared" si="18"/>
        <v>654</v>
      </c>
      <c r="V25" s="100">
        <f t="shared" si="19"/>
        <v>7194</v>
      </c>
      <c r="W25" s="100"/>
      <c r="X25" s="100"/>
      <c r="Y25" s="100">
        <f t="shared" si="9"/>
        <v>3092.232</v>
      </c>
      <c r="Z25" s="100">
        <f t="shared" si="10"/>
        <v>34308.31404</v>
      </c>
      <c r="AA25" s="100">
        <f t="shared" si="13"/>
        <v>0</v>
      </c>
      <c r="AB25" s="100">
        <f t="shared" si="14"/>
        <v>0</v>
      </c>
      <c r="AC25" s="100">
        <f t="shared" si="5"/>
        <v>3181.6062720000004</v>
      </c>
      <c r="AD25" s="100">
        <f t="shared" si="6"/>
        <v>34488.61198848001</v>
      </c>
      <c r="AE25" s="100">
        <f t="shared" si="7"/>
        <v>9050.341752</v>
      </c>
      <c r="AF25" s="107">
        <f t="shared" si="8"/>
        <v>99201.87269088</v>
      </c>
      <c r="AG25" s="81"/>
      <c r="AH25" s="81"/>
      <c r="AI25" s="81"/>
      <c r="AJ25" s="81"/>
      <c r="AK25" s="81"/>
      <c r="AL25" s="81"/>
      <c r="AM25" s="81"/>
      <c r="AN25" s="81"/>
      <c r="AO25" s="81"/>
      <c r="AP25" s="81"/>
      <c r="AQ25" s="81"/>
      <c r="AR25" s="29"/>
      <c r="AS25" s="192"/>
      <c r="AT25" s="29"/>
    </row>
    <row r="26" spans="2:46" ht="12.75">
      <c r="B26" s="140">
        <v>1998</v>
      </c>
      <c r="C26" s="215">
        <v>32525826</v>
      </c>
      <c r="D26" s="185">
        <v>22.71</v>
      </c>
      <c r="E26" s="100">
        <f t="shared" si="15"/>
        <v>369330.75423</v>
      </c>
      <c r="F26" s="100">
        <f t="shared" si="1"/>
        <v>15612396.479999999</v>
      </c>
      <c r="G26" s="100">
        <f t="shared" si="2"/>
        <v>177278.76203040002</v>
      </c>
      <c r="H26" s="100">
        <f t="shared" si="3"/>
        <v>16913429.52</v>
      </c>
      <c r="I26" s="100">
        <f t="shared" si="4"/>
        <v>192051.9921996</v>
      </c>
      <c r="J26" s="150">
        <v>0.25</v>
      </c>
      <c r="K26" s="150">
        <v>0.25</v>
      </c>
      <c r="L26" s="150">
        <v>0.25</v>
      </c>
      <c r="M26" s="150">
        <v>0.25</v>
      </c>
      <c r="N26" s="164">
        <v>0.4</v>
      </c>
      <c r="O26" s="164">
        <v>0.6</v>
      </c>
      <c r="P26" s="164">
        <v>0</v>
      </c>
      <c r="Q26" s="100">
        <f t="shared" si="11"/>
        <v>1142.85144</v>
      </c>
      <c r="R26" s="100">
        <f t="shared" si="12"/>
        <v>12462.7949532</v>
      </c>
      <c r="S26" s="100">
        <f t="shared" si="16"/>
        <v>1046.88</v>
      </c>
      <c r="T26" s="100">
        <f t="shared" si="17"/>
        <v>11515.68</v>
      </c>
      <c r="U26" s="100">
        <f t="shared" si="18"/>
        <v>799.2</v>
      </c>
      <c r="V26" s="100">
        <f t="shared" si="19"/>
        <v>8791.199999999999</v>
      </c>
      <c r="W26" s="100">
        <f>$F8*$M8/1000</f>
        <v>117.67741935483869</v>
      </c>
      <c r="X26" s="100">
        <f>G8*M8</f>
        <v>1294.4516129032256</v>
      </c>
      <c r="Y26" s="100">
        <f t="shared" si="9"/>
        <v>4062.8704147199996</v>
      </c>
      <c r="Z26" s="100">
        <f t="shared" si="10"/>
        <v>44569.688449478395</v>
      </c>
      <c r="AA26" s="100">
        <f t="shared" si="13"/>
        <v>0</v>
      </c>
      <c r="AB26" s="100">
        <f t="shared" si="14"/>
        <v>0</v>
      </c>
      <c r="AC26" s="100">
        <f t="shared" si="5"/>
        <v>3981.0904640000003</v>
      </c>
      <c r="AD26" s="100">
        <f t="shared" si="6"/>
        <v>45822.351240640004</v>
      </c>
      <c r="AE26" s="100">
        <f t="shared" si="7"/>
        <v>11150.569738074839</v>
      </c>
      <c r="AF26" s="107">
        <f t="shared" si="8"/>
        <v>124456.16625622162</v>
      </c>
      <c r="AG26" s="81"/>
      <c r="AH26" s="81"/>
      <c r="AI26" s="81"/>
      <c r="AJ26" s="81"/>
      <c r="AK26" s="81"/>
      <c r="AL26" s="81"/>
      <c r="AM26" s="81"/>
      <c r="AN26" s="81"/>
      <c r="AO26" s="81"/>
      <c r="AP26" s="81"/>
      <c r="AQ26" s="81"/>
      <c r="AR26" s="193"/>
      <c r="AS26" s="192"/>
      <c r="AT26" s="29"/>
    </row>
    <row r="27" spans="2:48" ht="12.75">
      <c r="B27" s="140">
        <v>1999</v>
      </c>
      <c r="C27" s="215">
        <v>39488308</v>
      </c>
      <c r="D27" s="185">
        <v>22.02</v>
      </c>
      <c r="E27" s="100">
        <f t="shared" si="15"/>
        <v>434766.27108</v>
      </c>
      <c r="F27" s="100">
        <f t="shared" si="1"/>
        <v>18954387.84</v>
      </c>
      <c r="G27" s="100">
        <f t="shared" si="2"/>
        <v>208687.81011839997</v>
      </c>
      <c r="H27" s="100">
        <f t="shared" si="3"/>
        <v>20533920.16</v>
      </c>
      <c r="I27" s="100">
        <f t="shared" si="4"/>
        <v>226078.4609616</v>
      </c>
      <c r="J27" s="150">
        <v>0.25</v>
      </c>
      <c r="K27" s="150">
        <v>0.25</v>
      </c>
      <c r="L27" s="150">
        <v>0.25</v>
      </c>
      <c r="M27" s="150">
        <v>0.25</v>
      </c>
      <c r="N27" s="164">
        <v>0.4</v>
      </c>
      <c r="O27" s="164">
        <v>0.6</v>
      </c>
      <c r="P27" s="164">
        <v>0</v>
      </c>
      <c r="Q27" s="100">
        <f t="shared" si="11"/>
        <v>1189.32</v>
      </c>
      <c r="R27" s="100">
        <f t="shared" si="12"/>
        <v>13195.5054</v>
      </c>
      <c r="S27" s="100">
        <f t="shared" si="16"/>
        <v>1068.6961199999998</v>
      </c>
      <c r="T27" s="100">
        <f t="shared" si="17"/>
        <v>11680.848591599999</v>
      </c>
      <c r="U27" s="100">
        <f t="shared" si="18"/>
        <v>691.2</v>
      </c>
      <c r="V27" s="100">
        <f t="shared" si="19"/>
        <v>7603.2</v>
      </c>
      <c r="W27" s="100">
        <f aca="true" t="shared" si="20" ref="W27:W38">$F9*$M9/1000</f>
        <v>235.35483870967738</v>
      </c>
      <c r="X27" s="100">
        <f aca="true" t="shared" si="21" ref="X27:X38">G9*M9</f>
        <v>2588.9032258064512</v>
      </c>
      <c r="Y27" s="100">
        <f t="shared" si="9"/>
        <v>4772.4094079999995</v>
      </c>
      <c r="Z27" s="100">
        <f t="shared" si="10"/>
        <v>51732.917982720006</v>
      </c>
      <c r="AA27" s="100">
        <f t="shared" si="13"/>
        <v>0</v>
      </c>
      <c r="AB27" s="100">
        <f t="shared" si="14"/>
        <v>0</v>
      </c>
      <c r="AC27" s="100">
        <f t="shared" si="5"/>
        <v>4663.558432</v>
      </c>
      <c r="AD27" s="100">
        <f t="shared" si="6"/>
        <v>51462.36729712001</v>
      </c>
      <c r="AE27" s="100">
        <f t="shared" si="7"/>
        <v>12620.538798709676</v>
      </c>
      <c r="AF27" s="107">
        <f t="shared" si="8"/>
        <v>138263.74249724648</v>
      </c>
      <c r="AG27" s="81"/>
      <c r="AH27" s="81"/>
      <c r="AI27" s="81"/>
      <c r="AJ27" s="81"/>
      <c r="AK27" s="81"/>
      <c r="AL27" s="81"/>
      <c r="AM27" s="81"/>
      <c r="AN27" s="81"/>
      <c r="AO27" s="81"/>
      <c r="AP27" s="81"/>
      <c r="AQ27" s="81"/>
      <c r="AR27" s="193"/>
      <c r="AS27" s="192"/>
      <c r="AT27" s="29"/>
      <c r="AU27" s="573"/>
      <c r="AV27" s="573"/>
    </row>
    <row r="28" spans="2:48" ht="12.75">
      <c r="B28" s="140">
        <v>2000</v>
      </c>
      <c r="C28" s="215">
        <v>40822348</v>
      </c>
      <c r="D28" s="185">
        <v>22.06</v>
      </c>
      <c r="E28" s="100">
        <f t="shared" si="15"/>
        <v>450270.49844</v>
      </c>
      <c r="F28" s="100">
        <f t="shared" si="1"/>
        <v>19594727.04</v>
      </c>
      <c r="G28" s="100">
        <f t="shared" si="2"/>
        <v>216129.8392512</v>
      </c>
      <c r="H28" s="100">
        <f t="shared" si="3"/>
        <v>21227620.96</v>
      </c>
      <c r="I28" s="100">
        <f t="shared" si="4"/>
        <v>234140.6591888</v>
      </c>
      <c r="J28" s="150">
        <v>0.25</v>
      </c>
      <c r="K28" s="150">
        <v>0.25</v>
      </c>
      <c r="L28" s="150">
        <v>0.25</v>
      </c>
      <c r="M28" s="150">
        <v>0.25</v>
      </c>
      <c r="N28" s="164">
        <v>0.4</v>
      </c>
      <c r="O28" s="164">
        <v>0.6</v>
      </c>
      <c r="P28" s="164">
        <v>0</v>
      </c>
      <c r="Q28" s="100">
        <f t="shared" si="11"/>
        <v>1562.6424672</v>
      </c>
      <c r="R28" s="100">
        <f t="shared" si="12"/>
        <v>17142.187865184</v>
      </c>
      <c r="S28" s="100">
        <f t="shared" si="16"/>
        <v>1138.26348</v>
      </c>
      <c r="T28" s="100">
        <f t="shared" si="17"/>
        <v>12384.3066624</v>
      </c>
      <c r="U28" s="100">
        <f t="shared" si="18"/>
        <v>822.12</v>
      </c>
      <c r="V28" s="100">
        <f t="shared" si="19"/>
        <v>9043.32</v>
      </c>
      <c r="W28" s="100">
        <f t="shared" si="20"/>
        <v>364.8</v>
      </c>
      <c r="X28" s="100">
        <f t="shared" si="21"/>
        <v>4012.7999999999997</v>
      </c>
      <c r="Y28" s="100">
        <f t="shared" si="9"/>
        <v>5971.635695999999</v>
      </c>
      <c r="Z28" s="100">
        <f t="shared" si="10"/>
        <v>68733.52686096</v>
      </c>
      <c r="AA28" s="100">
        <f t="shared" si="13"/>
        <v>0</v>
      </c>
      <c r="AB28" s="100">
        <f t="shared" si="14"/>
        <v>0</v>
      </c>
      <c r="AC28" s="100">
        <f t="shared" si="5"/>
        <v>5567.578848000001</v>
      </c>
      <c r="AD28" s="100">
        <f t="shared" si="6"/>
        <v>62941.47887664001</v>
      </c>
      <c r="AE28" s="100">
        <f t="shared" si="7"/>
        <v>15427.040491200001</v>
      </c>
      <c r="AF28" s="107">
        <f t="shared" si="8"/>
        <v>174257.620265184</v>
      </c>
      <c r="AG28" s="81"/>
      <c r="AH28" s="81"/>
      <c r="AI28" s="81"/>
      <c r="AJ28" s="81"/>
      <c r="AK28" s="81"/>
      <c r="AL28" s="81"/>
      <c r="AM28" s="81"/>
      <c r="AN28" s="81"/>
      <c r="AO28" s="81"/>
      <c r="AP28" s="81"/>
      <c r="AQ28" s="81"/>
      <c r="AR28" s="29"/>
      <c r="AS28" s="192"/>
      <c r="AT28" s="29"/>
      <c r="AU28" s="18"/>
      <c r="AV28" s="24"/>
    </row>
    <row r="29" spans="2:48" ht="12.75">
      <c r="B29" s="140">
        <v>2001</v>
      </c>
      <c r="C29" s="215">
        <v>35092536</v>
      </c>
      <c r="D29" s="185">
        <v>22</v>
      </c>
      <c r="E29" s="100">
        <f t="shared" si="15"/>
        <v>386017.896</v>
      </c>
      <c r="F29" s="100">
        <f t="shared" si="1"/>
        <v>16844417.28</v>
      </c>
      <c r="G29" s="100">
        <f t="shared" si="2"/>
        <v>185288.59008</v>
      </c>
      <c r="H29" s="100">
        <f t="shared" si="3"/>
        <v>18248118.72</v>
      </c>
      <c r="I29" s="100">
        <f t="shared" si="4"/>
        <v>200729.30592</v>
      </c>
      <c r="J29" s="150">
        <v>0.25</v>
      </c>
      <c r="K29" s="150">
        <v>0.25</v>
      </c>
      <c r="L29" s="150">
        <v>0.25</v>
      </c>
      <c r="M29" s="150">
        <v>0.25</v>
      </c>
      <c r="N29" s="164">
        <v>0.4</v>
      </c>
      <c r="O29" s="164">
        <v>0.6</v>
      </c>
      <c r="P29" s="164">
        <v>0</v>
      </c>
      <c r="Q29" s="100">
        <f t="shared" si="11"/>
        <v>1835.54208</v>
      </c>
      <c r="R29" s="100">
        <f t="shared" si="12"/>
        <v>19897.2761472</v>
      </c>
      <c r="S29" s="100">
        <f t="shared" si="16"/>
        <v>1142.85144</v>
      </c>
      <c r="T29" s="100">
        <f t="shared" si="17"/>
        <v>12462.7949532</v>
      </c>
      <c r="U29" s="100">
        <f t="shared" si="18"/>
        <v>984.24</v>
      </c>
      <c r="V29" s="100">
        <f t="shared" si="19"/>
        <v>10826.64</v>
      </c>
      <c r="W29" s="100">
        <f t="shared" si="20"/>
        <v>654</v>
      </c>
      <c r="X29" s="100">
        <f t="shared" si="21"/>
        <v>7194</v>
      </c>
      <c r="Y29" s="100">
        <f t="shared" si="9"/>
        <v>6995.337648</v>
      </c>
      <c r="Z29" s="100">
        <f t="shared" si="10"/>
        <v>77193.55094568</v>
      </c>
      <c r="AA29" s="100">
        <f t="shared" si="13"/>
        <v>0</v>
      </c>
      <c r="AB29" s="100">
        <f t="shared" si="14"/>
        <v>0</v>
      </c>
      <c r="AC29" s="100">
        <f t="shared" si="5"/>
        <v>6765.371808</v>
      </c>
      <c r="AD29" s="100">
        <f t="shared" si="6"/>
        <v>76820.79687984001</v>
      </c>
      <c r="AE29" s="100">
        <f t="shared" si="7"/>
        <v>18377.342976</v>
      </c>
      <c r="AF29" s="107">
        <f t="shared" si="8"/>
        <v>204395.05892592</v>
      </c>
      <c r="AG29" s="81"/>
      <c r="AH29" s="81"/>
      <c r="AI29" s="81"/>
      <c r="AJ29" s="81"/>
      <c r="AK29" s="81"/>
      <c r="AL29" s="81"/>
      <c r="AM29" s="81"/>
      <c r="AN29" s="81"/>
      <c r="AO29" s="81"/>
      <c r="AP29" s="81"/>
      <c r="AQ29" s="81"/>
      <c r="AR29" s="29"/>
      <c r="AS29" s="192"/>
      <c r="AT29" s="29"/>
      <c r="AU29" s="18"/>
      <c r="AV29" s="24"/>
    </row>
    <row r="30" spans="2:48" ht="12.75">
      <c r="B30" s="140">
        <v>2002</v>
      </c>
      <c r="C30" s="215">
        <v>35082080</v>
      </c>
      <c r="D30" s="185">
        <v>24.13</v>
      </c>
      <c r="E30" s="100">
        <f t="shared" si="15"/>
        <v>423265.2952</v>
      </c>
      <c r="F30" s="100">
        <f t="shared" si="1"/>
        <v>16839398.4</v>
      </c>
      <c r="G30" s="100">
        <f t="shared" si="2"/>
        <v>203167.341696</v>
      </c>
      <c r="H30" s="100">
        <f t="shared" si="3"/>
        <v>18242681.6</v>
      </c>
      <c r="I30" s="100">
        <f t="shared" si="4"/>
        <v>220097.953504</v>
      </c>
      <c r="J30" s="150">
        <v>0.25</v>
      </c>
      <c r="K30" s="150">
        <v>0.25</v>
      </c>
      <c r="L30" s="150">
        <v>0.25</v>
      </c>
      <c r="M30" s="150">
        <v>0.25</v>
      </c>
      <c r="N30" s="164">
        <v>0.4</v>
      </c>
      <c r="O30" s="164">
        <v>0.6</v>
      </c>
      <c r="P30" s="164">
        <v>0</v>
      </c>
      <c r="Q30" s="100">
        <f t="shared" si="11"/>
        <v>2296.78296</v>
      </c>
      <c r="R30" s="100">
        <f t="shared" si="12"/>
        <v>26435.971869599995</v>
      </c>
      <c r="S30" s="100">
        <f t="shared" si="16"/>
        <v>1189.32</v>
      </c>
      <c r="T30" s="100">
        <f t="shared" si="17"/>
        <v>13195.5054</v>
      </c>
      <c r="U30" s="100">
        <f t="shared" si="18"/>
        <v>1046.88</v>
      </c>
      <c r="V30" s="100">
        <f t="shared" si="19"/>
        <v>11515.68</v>
      </c>
      <c r="W30" s="100">
        <f t="shared" si="20"/>
        <v>799.2</v>
      </c>
      <c r="X30" s="100">
        <f t="shared" si="21"/>
        <v>8791.199999999999</v>
      </c>
      <c r="Y30" s="100">
        <f t="shared" si="9"/>
        <v>8351.368272</v>
      </c>
      <c r="Z30" s="100">
        <f t="shared" si="10"/>
        <v>94412.21831496</v>
      </c>
      <c r="AA30" s="100">
        <f t="shared" si="13"/>
        <v>0</v>
      </c>
      <c r="AB30" s="100">
        <f t="shared" si="14"/>
        <v>0</v>
      </c>
      <c r="AC30" s="100">
        <f t="shared" si="5"/>
        <v>8213.568064000001</v>
      </c>
      <c r="AD30" s="100">
        <f t="shared" si="6"/>
        <v>90431.38438464001</v>
      </c>
      <c r="AE30" s="100">
        <f t="shared" si="7"/>
        <v>21897.119296</v>
      </c>
      <c r="AF30" s="107">
        <f t="shared" si="8"/>
        <v>244781.95996920002</v>
      </c>
      <c r="AG30" s="81"/>
      <c r="AH30" s="81"/>
      <c r="AI30" s="81"/>
      <c r="AJ30" s="81"/>
      <c r="AK30" s="81"/>
      <c r="AL30" s="81"/>
      <c r="AM30" s="81"/>
      <c r="AN30" s="81"/>
      <c r="AO30" s="81"/>
      <c r="AP30" s="81"/>
      <c r="AQ30" s="81"/>
      <c r="AR30" s="29"/>
      <c r="AS30" s="192"/>
      <c r="AT30" s="29"/>
      <c r="AU30" s="18"/>
      <c r="AV30" s="24"/>
    </row>
    <row r="31" spans="2:48" ht="12.75">
      <c r="B31" s="140">
        <v>2003</v>
      </c>
      <c r="C31" s="215">
        <v>36959328</v>
      </c>
      <c r="D31" s="185">
        <v>22</v>
      </c>
      <c r="E31" s="100">
        <f t="shared" si="15"/>
        <v>406552.608</v>
      </c>
      <c r="F31" s="100">
        <f t="shared" si="1"/>
        <v>17740477.439999998</v>
      </c>
      <c r="G31" s="100">
        <f t="shared" si="2"/>
        <v>195145.25183999998</v>
      </c>
      <c r="H31" s="100">
        <f t="shared" si="3"/>
        <v>19218850.560000002</v>
      </c>
      <c r="I31" s="100">
        <f t="shared" si="4"/>
        <v>211407.35616000002</v>
      </c>
      <c r="J31" s="150">
        <v>0.25</v>
      </c>
      <c r="K31" s="150">
        <v>0.25</v>
      </c>
      <c r="L31" s="150">
        <v>0.25</v>
      </c>
      <c r="M31" s="150">
        <v>0.25</v>
      </c>
      <c r="N31" s="164">
        <v>0.4</v>
      </c>
      <c r="O31" s="164">
        <v>0.6</v>
      </c>
      <c r="P31" s="164">
        <v>0</v>
      </c>
      <c r="Q31" s="100">
        <f t="shared" si="11"/>
        <v>2690.51448</v>
      </c>
      <c r="R31" s="100">
        <f t="shared" si="12"/>
        <v>29689.827286800002</v>
      </c>
      <c r="S31" s="100">
        <f t="shared" si="16"/>
        <v>1562.6424672</v>
      </c>
      <c r="T31" s="100">
        <f t="shared" si="17"/>
        <v>17142.187865184</v>
      </c>
      <c r="U31" s="100">
        <f t="shared" si="18"/>
        <v>1068.6961199999998</v>
      </c>
      <c r="V31" s="100">
        <f t="shared" si="19"/>
        <v>11680.848591599999</v>
      </c>
      <c r="W31" s="100">
        <f t="shared" si="20"/>
        <v>691.2</v>
      </c>
      <c r="X31" s="100">
        <f t="shared" si="21"/>
        <v>7603.2</v>
      </c>
      <c r="Y31" s="100">
        <f t="shared" si="9"/>
        <v>10148.057712</v>
      </c>
      <c r="Z31" s="100">
        <f t="shared" si="10"/>
        <v>115231.19531976</v>
      </c>
      <c r="AA31" s="100">
        <f t="shared" si="13"/>
        <v>0</v>
      </c>
      <c r="AB31" s="100">
        <f t="shared" si="14"/>
        <v>0</v>
      </c>
      <c r="AC31" s="100">
        <f t="shared" si="5"/>
        <v>8491.048384000002</v>
      </c>
      <c r="AD31" s="100">
        <f t="shared" si="6"/>
        <v>93656.26367552001</v>
      </c>
      <c r="AE31" s="100">
        <f t="shared" si="7"/>
        <v>24652.1591632</v>
      </c>
      <c r="AF31" s="107">
        <f t="shared" si="8"/>
        <v>275003.522738864</v>
      </c>
      <c r="AG31" s="81"/>
      <c r="AH31" s="81"/>
      <c r="AI31" s="81"/>
      <c r="AJ31" s="81"/>
      <c r="AK31" s="81"/>
      <c r="AL31" s="81"/>
      <c r="AM31" s="81"/>
      <c r="AN31" s="81"/>
      <c r="AO31" s="81"/>
      <c r="AP31" s="81"/>
      <c r="AQ31" s="81"/>
      <c r="AR31" s="29"/>
      <c r="AS31" s="192"/>
      <c r="AT31" s="29"/>
      <c r="AU31" s="18"/>
      <c r="AV31" s="24"/>
    </row>
    <row r="32" spans="2:48" ht="12.75">
      <c r="B32" s="140">
        <v>2004</v>
      </c>
      <c r="C32" s="215">
        <v>39352168</v>
      </c>
      <c r="D32" s="185">
        <v>22</v>
      </c>
      <c r="E32" s="100">
        <f t="shared" si="15"/>
        <v>432873.848</v>
      </c>
      <c r="F32" s="100">
        <f t="shared" si="1"/>
        <v>18889040.64</v>
      </c>
      <c r="G32" s="100">
        <f t="shared" si="2"/>
        <v>207779.44704</v>
      </c>
      <c r="H32" s="100">
        <f t="shared" si="3"/>
        <v>20463127.36</v>
      </c>
      <c r="I32" s="100">
        <f t="shared" si="4"/>
        <v>225094.40096</v>
      </c>
      <c r="J32" s="150">
        <v>0.25</v>
      </c>
      <c r="K32" s="150">
        <v>0.25</v>
      </c>
      <c r="L32" s="150">
        <v>0.25</v>
      </c>
      <c r="M32" s="150">
        <v>0.25</v>
      </c>
      <c r="N32" s="164">
        <v>0.4</v>
      </c>
      <c r="O32" s="164">
        <v>0.6</v>
      </c>
      <c r="P32" s="164">
        <v>0</v>
      </c>
      <c r="Q32" s="100">
        <f t="shared" si="11"/>
        <v>3212.06472</v>
      </c>
      <c r="R32" s="100">
        <f t="shared" si="12"/>
        <v>36312.3916596</v>
      </c>
      <c r="S32" s="100">
        <f t="shared" si="16"/>
        <v>1835.54208</v>
      </c>
      <c r="T32" s="100">
        <f t="shared" si="17"/>
        <v>19897.2761472</v>
      </c>
      <c r="U32" s="100">
        <f t="shared" si="18"/>
        <v>1138.26348</v>
      </c>
      <c r="V32" s="100">
        <f t="shared" si="19"/>
        <v>12384.3066624</v>
      </c>
      <c r="W32" s="100">
        <f t="shared" si="20"/>
        <v>822.12</v>
      </c>
      <c r="X32" s="100">
        <f t="shared" si="21"/>
        <v>9043.32</v>
      </c>
      <c r="Y32" s="100">
        <f t="shared" si="9"/>
        <v>12320.352095999999</v>
      </c>
      <c r="Z32" s="100">
        <f t="shared" si="10"/>
        <v>135647.07657696</v>
      </c>
      <c r="AA32" s="100">
        <f t="shared" si="13"/>
        <v>0</v>
      </c>
      <c r="AB32" s="100">
        <f t="shared" si="14"/>
        <v>0</v>
      </c>
      <c r="AC32" s="100">
        <f t="shared" si="5"/>
        <v>7299.247488</v>
      </c>
      <c r="AD32" s="100">
        <f t="shared" si="6"/>
        <v>80291.72236800002</v>
      </c>
      <c r="AE32" s="100">
        <f t="shared" si="7"/>
        <v>26627.589863999998</v>
      </c>
      <c r="AF32" s="107">
        <f t="shared" si="8"/>
        <v>293576.09341416</v>
      </c>
      <c r="AG32" s="81"/>
      <c r="AH32" s="81"/>
      <c r="AI32" s="81"/>
      <c r="AJ32" s="81"/>
      <c r="AK32" s="81"/>
      <c r="AL32" s="81"/>
      <c r="AM32" s="81"/>
      <c r="AN32" s="81"/>
      <c r="AO32" s="81"/>
      <c r="AP32" s="81"/>
      <c r="AQ32" s="81"/>
      <c r="AR32" s="29"/>
      <c r="AS32" s="192"/>
      <c r="AT32" s="29"/>
      <c r="AU32" s="18"/>
      <c r="AV32" s="24"/>
    </row>
    <row r="33" spans="2:48" ht="12.75">
      <c r="B33" s="140">
        <v>2005</v>
      </c>
      <c r="C33" s="108">
        <v>38047902</v>
      </c>
      <c r="D33" s="185">
        <v>22</v>
      </c>
      <c r="E33" s="100">
        <f t="shared" si="15"/>
        <v>418526.922</v>
      </c>
      <c r="F33" s="100">
        <f t="shared" si="1"/>
        <v>18262992.96</v>
      </c>
      <c r="G33" s="100">
        <f t="shared" si="2"/>
        <v>200892.92256</v>
      </c>
      <c r="H33" s="100">
        <f t="shared" si="3"/>
        <v>19784909.04</v>
      </c>
      <c r="I33" s="100">
        <f t="shared" si="4"/>
        <v>217633.99944</v>
      </c>
      <c r="J33" s="150">
        <v>0.25</v>
      </c>
      <c r="K33" s="150">
        <v>0.25</v>
      </c>
      <c r="L33" s="150">
        <v>0.25</v>
      </c>
      <c r="M33" s="150">
        <v>0.25</v>
      </c>
      <c r="N33" s="164">
        <v>0.4</v>
      </c>
      <c r="O33" s="164">
        <v>0.6</v>
      </c>
      <c r="P33" s="164">
        <v>0</v>
      </c>
      <c r="Q33" s="100">
        <f t="shared" si="11"/>
        <v>3903.09912</v>
      </c>
      <c r="R33" s="100">
        <f t="shared" si="12"/>
        <v>44319.690507600004</v>
      </c>
      <c r="S33" s="100">
        <f t="shared" si="16"/>
        <v>2296.78296</v>
      </c>
      <c r="T33" s="100">
        <f t="shared" si="17"/>
        <v>26435.971869599995</v>
      </c>
      <c r="U33" s="100">
        <f t="shared" si="18"/>
        <v>1142.85144</v>
      </c>
      <c r="V33" s="100">
        <f t="shared" si="19"/>
        <v>12462.7949532</v>
      </c>
      <c r="W33" s="100">
        <f t="shared" si="20"/>
        <v>984.24</v>
      </c>
      <c r="X33" s="100">
        <f t="shared" si="21"/>
        <v>10826.64</v>
      </c>
      <c r="Y33" s="100">
        <f t="shared" si="9"/>
        <v>12736.572575999999</v>
      </c>
      <c r="Z33" s="100">
        <f t="shared" si="10"/>
        <v>140484.39551328</v>
      </c>
      <c r="AA33" s="100">
        <f t="shared" si="13"/>
        <v>0</v>
      </c>
      <c r="AB33" s="100">
        <f t="shared" si="14"/>
        <v>0</v>
      </c>
      <c r="AC33" s="100">
        <f t="shared" si="5"/>
        <v>7297.07264</v>
      </c>
      <c r="AD33" s="100">
        <f t="shared" si="6"/>
        <v>88039.18140160001</v>
      </c>
      <c r="AE33" s="100">
        <f t="shared" si="7"/>
        <v>28360.618735999997</v>
      </c>
      <c r="AF33" s="107">
        <f t="shared" si="8"/>
        <v>322568.67424528004</v>
      </c>
      <c r="AG33" s="81"/>
      <c r="AH33" s="81"/>
      <c r="AI33" s="81"/>
      <c r="AJ33" s="81"/>
      <c r="AK33" s="202"/>
      <c r="AL33" s="81"/>
      <c r="AM33" s="200"/>
      <c r="AN33" s="81"/>
      <c r="AO33" s="200"/>
      <c r="AP33" s="81"/>
      <c r="AQ33" s="192"/>
      <c r="AR33" s="29"/>
      <c r="AS33" s="192"/>
      <c r="AT33" s="29"/>
      <c r="AU33" s="18"/>
      <c r="AV33" s="24"/>
    </row>
    <row r="34" spans="2:48" ht="12.75">
      <c r="B34" s="140">
        <v>2006</v>
      </c>
      <c r="C34" s="108">
        <v>35418676</v>
      </c>
      <c r="D34" s="185">
        <v>22</v>
      </c>
      <c r="E34" s="100">
        <f t="shared" si="15"/>
        <v>389605.436</v>
      </c>
      <c r="F34" s="108">
        <f t="shared" si="1"/>
        <v>17000964.48</v>
      </c>
      <c r="G34" s="100">
        <f t="shared" si="2"/>
        <v>187010.60927999998</v>
      </c>
      <c r="H34" s="108">
        <f t="shared" si="3"/>
        <v>18417711.52</v>
      </c>
      <c r="I34" s="100">
        <f t="shared" si="4"/>
        <v>202594.82672</v>
      </c>
      <c r="J34" s="150">
        <v>0.25</v>
      </c>
      <c r="K34" s="150">
        <v>0.25</v>
      </c>
      <c r="L34" s="150">
        <v>0.25</v>
      </c>
      <c r="M34" s="150">
        <v>0.25</v>
      </c>
      <c r="N34" s="164">
        <v>0.4</v>
      </c>
      <c r="O34" s="164">
        <v>0.6</v>
      </c>
      <c r="P34" s="164">
        <v>0</v>
      </c>
      <c r="Q34" s="100">
        <f t="shared" si="11"/>
        <v>4738.59696</v>
      </c>
      <c r="R34" s="100">
        <f t="shared" si="12"/>
        <v>52171.95252959999</v>
      </c>
      <c r="S34" s="100">
        <f t="shared" si="16"/>
        <v>2690.51448</v>
      </c>
      <c r="T34" s="100">
        <f t="shared" si="17"/>
        <v>29689.827286800002</v>
      </c>
      <c r="U34" s="100">
        <f t="shared" si="18"/>
        <v>1189.32</v>
      </c>
      <c r="V34" s="100">
        <f t="shared" si="19"/>
        <v>13195.5054</v>
      </c>
      <c r="W34" s="100">
        <f t="shared" si="20"/>
        <v>1046.88</v>
      </c>
      <c r="X34" s="100">
        <f t="shared" si="21"/>
        <v>11515.68</v>
      </c>
      <c r="Y34" s="100">
        <f t="shared" si="9"/>
        <v>10948.871232</v>
      </c>
      <c r="Z34" s="100">
        <f t="shared" si="10"/>
        <v>120437.583552</v>
      </c>
      <c r="AA34" s="100">
        <f t="shared" si="13"/>
        <v>0</v>
      </c>
      <c r="AB34" s="100">
        <f t="shared" si="14"/>
        <v>0</v>
      </c>
      <c r="AC34" s="100">
        <f t="shared" si="5"/>
        <v>7687.540224000001</v>
      </c>
      <c r="AD34" s="100">
        <f t="shared" si="6"/>
        <v>84562.94246400002</v>
      </c>
      <c r="AE34" s="100">
        <f t="shared" si="7"/>
        <v>28301.722896000003</v>
      </c>
      <c r="AF34" s="107">
        <f t="shared" si="8"/>
        <v>311573.4912324</v>
      </c>
      <c r="AG34" s="81"/>
      <c r="AH34" s="81"/>
      <c r="AI34" s="81"/>
      <c r="AJ34" s="81"/>
      <c r="AK34" s="202"/>
      <c r="AL34" s="81"/>
      <c r="AM34" s="200"/>
      <c r="AN34" s="81"/>
      <c r="AO34" s="200"/>
      <c r="AP34" s="81"/>
      <c r="AQ34" s="192"/>
      <c r="AR34" s="29"/>
      <c r="AS34" s="192"/>
      <c r="AT34" s="29"/>
      <c r="AU34" s="18"/>
      <c r="AV34" s="24"/>
    </row>
    <row r="35" spans="2:48" ht="12.75">
      <c r="B35" s="140">
        <v>2007</v>
      </c>
      <c r="C35" s="108">
        <v>34211601</v>
      </c>
      <c r="D35" s="185">
        <v>22</v>
      </c>
      <c r="E35" s="100">
        <f t="shared" si="15"/>
        <v>376327.611</v>
      </c>
      <c r="F35" s="100">
        <f t="shared" si="1"/>
        <v>16421568.479999999</v>
      </c>
      <c r="G35" s="100">
        <f>E35*$G$6</f>
        <v>180637.25327999998</v>
      </c>
      <c r="H35" s="100">
        <f t="shared" si="3"/>
        <v>17790032.52</v>
      </c>
      <c r="I35" s="100">
        <f t="shared" si="4"/>
        <v>195690.35772</v>
      </c>
      <c r="J35" s="150">
        <v>0.25</v>
      </c>
      <c r="K35" s="150">
        <v>0.25</v>
      </c>
      <c r="L35" s="150">
        <v>0.25</v>
      </c>
      <c r="M35" s="150">
        <v>0.25</v>
      </c>
      <c r="N35" s="164">
        <v>0.4</v>
      </c>
      <c r="O35" s="164">
        <v>0.6</v>
      </c>
      <c r="P35" s="164">
        <v>0</v>
      </c>
      <c r="Q35" s="100">
        <f t="shared" si="11"/>
        <v>4898.6817599999995</v>
      </c>
      <c r="R35" s="100">
        <f t="shared" si="12"/>
        <v>54032.4598128</v>
      </c>
      <c r="S35" s="100">
        <f t="shared" si="16"/>
        <v>3212.06472</v>
      </c>
      <c r="T35" s="100">
        <f t="shared" si="17"/>
        <v>36312.3916596</v>
      </c>
      <c r="U35" s="100">
        <f t="shared" si="18"/>
        <v>1562.6424672</v>
      </c>
      <c r="V35" s="100">
        <f t="shared" si="19"/>
        <v>17142.187865184</v>
      </c>
      <c r="W35" s="100">
        <f t="shared" si="20"/>
        <v>1068.6961199999998</v>
      </c>
      <c r="X35" s="100">
        <f t="shared" si="21"/>
        <v>11680.848591599999</v>
      </c>
      <c r="Y35" s="100">
        <f t="shared" si="9"/>
        <v>10945.608960000001</v>
      </c>
      <c r="Z35" s="100">
        <f t="shared" si="10"/>
        <v>132058.7721024</v>
      </c>
      <c r="AA35" s="100">
        <f t="shared" si="13"/>
        <v>0</v>
      </c>
      <c r="AB35" s="100">
        <f t="shared" si="14"/>
        <v>0</v>
      </c>
      <c r="AC35" s="100">
        <f t="shared" si="5"/>
        <v>8185.250944</v>
      </c>
      <c r="AD35" s="100">
        <f t="shared" si="6"/>
        <v>90037.76038400001</v>
      </c>
      <c r="AE35" s="100">
        <f t="shared" si="7"/>
        <v>29872.9449712</v>
      </c>
      <c r="AF35" s="107">
        <f t="shared" si="8"/>
        <v>341264.420415584</v>
      </c>
      <c r="AG35" s="81"/>
      <c r="AH35" s="81"/>
      <c r="AI35" s="81"/>
      <c r="AJ35" s="81"/>
      <c r="AK35" s="202"/>
      <c r="AL35" s="81"/>
      <c r="AM35" s="200"/>
      <c r="AN35" s="81"/>
      <c r="AO35" s="200"/>
      <c r="AP35" s="81"/>
      <c r="AQ35" s="192"/>
      <c r="AR35" s="29"/>
      <c r="AS35" s="192"/>
      <c r="AT35" s="29"/>
      <c r="AU35" s="18"/>
      <c r="AV35" s="24"/>
    </row>
    <row r="36" spans="2:48" ht="12.75">
      <c r="B36" s="140">
        <v>2008</v>
      </c>
      <c r="C36" s="99"/>
      <c r="D36" s="99"/>
      <c r="E36" s="100"/>
      <c r="F36" s="100"/>
      <c r="G36" s="100"/>
      <c r="H36" s="100"/>
      <c r="I36" s="100"/>
      <c r="J36" s="150"/>
      <c r="K36" s="164"/>
      <c r="L36" s="164"/>
      <c r="M36" s="164"/>
      <c r="N36" s="164"/>
      <c r="O36" s="164"/>
      <c r="P36" s="164"/>
      <c r="Q36" s="100">
        <f t="shared" si="11"/>
        <v>4211.10432</v>
      </c>
      <c r="R36" s="100">
        <f t="shared" si="12"/>
        <v>46322.14752</v>
      </c>
      <c r="S36" s="100">
        <f t="shared" si="16"/>
        <v>3903.09912</v>
      </c>
      <c r="T36" s="100">
        <f t="shared" si="17"/>
        <v>44319.690507600004</v>
      </c>
      <c r="U36" s="100">
        <f t="shared" si="18"/>
        <v>1835.54208</v>
      </c>
      <c r="V36" s="100">
        <f t="shared" si="19"/>
        <v>19897.2761472</v>
      </c>
      <c r="W36" s="100">
        <f t="shared" si="20"/>
        <v>1138.26348</v>
      </c>
      <c r="X36" s="100">
        <f t="shared" si="21"/>
        <v>12384.3066624</v>
      </c>
      <c r="Y36" s="100">
        <f t="shared" si="9"/>
        <v>11531.310336</v>
      </c>
      <c r="Z36" s="100">
        <f t="shared" si="10"/>
        <v>126844.413696</v>
      </c>
      <c r="AA36" s="100">
        <f t="shared" si="13"/>
        <v>0</v>
      </c>
      <c r="AB36" s="100">
        <f t="shared" si="14"/>
        <v>0</v>
      </c>
      <c r="AC36" s="100">
        <f t="shared" si="5"/>
        <v>7913.963616</v>
      </c>
      <c r="AD36" s="100">
        <f t="shared" si="6"/>
        <v>87053.59977600002</v>
      </c>
      <c r="AE36" s="100">
        <f t="shared" si="7"/>
        <v>30533.282952</v>
      </c>
      <c r="AF36" s="107">
        <f t="shared" si="8"/>
        <v>336821.43430920003</v>
      </c>
      <c r="AG36" s="81"/>
      <c r="AH36" s="81"/>
      <c r="AI36" s="81"/>
      <c r="AJ36" s="81"/>
      <c r="AK36" s="202"/>
      <c r="AL36" s="81"/>
      <c r="AM36" s="200"/>
      <c r="AN36" s="81"/>
      <c r="AO36" s="200"/>
      <c r="AP36" s="81"/>
      <c r="AQ36" s="192"/>
      <c r="AR36" s="29"/>
      <c r="AS36" s="192"/>
      <c r="AT36" s="29"/>
      <c r="AU36" s="18"/>
      <c r="AV36" s="24"/>
    </row>
    <row r="37" spans="2:48" ht="12.75">
      <c r="B37" s="140">
        <v>2009</v>
      </c>
      <c r="C37" s="99"/>
      <c r="D37" s="99"/>
      <c r="E37" s="100"/>
      <c r="F37" s="100"/>
      <c r="G37" s="100"/>
      <c r="H37" s="100"/>
      <c r="I37" s="100"/>
      <c r="J37" s="150"/>
      <c r="K37" s="164"/>
      <c r="L37" s="164"/>
      <c r="M37" s="164"/>
      <c r="N37" s="164"/>
      <c r="O37" s="164"/>
      <c r="P37" s="164"/>
      <c r="Q37" s="100">
        <f t="shared" si="11"/>
        <v>4209.8496</v>
      </c>
      <c r="R37" s="100">
        <f t="shared" si="12"/>
        <v>50791.835424</v>
      </c>
      <c r="S37" s="100">
        <f t="shared" si="16"/>
        <v>4738.59696</v>
      </c>
      <c r="T37" s="100">
        <f t="shared" si="17"/>
        <v>52171.95252959999</v>
      </c>
      <c r="U37" s="100">
        <f t="shared" si="18"/>
        <v>2296.78296</v>
      </c>
      <c r="V37" s="100">
        <f t="shared" si="19"/>
        <v>26435.971869599995</v>
      </c>
      <c r="W37" s="100">
        <f t="shared" si="20"/>
        <v>1142.85144</v>
      </c>
      <c r="X37" s="100">
        <f t="shared" si="21"/>
        <v>12462.7949532</v>
      </c>
      <c r="Y37" s="100">
        <f t="shared" si="9"/>
        <v>12277.876416</v>
      </c>
      <c r="Z37" s="100">
        <f t="shared" si="10"/>
        <v>135056.640576</v>
      </c>
      <c r="AA37" s="100">
        <f t="shared" si="13"/>
        <v>0</v>
      </c>
      <c r="AB37" s="100">
        <f t="shared" si="14"/>
        <v>0</v>
      </c>
      <c r="AC37" s="100">
        <f t="shared" si="5"/>
        <v>7367.084608</v>
      </c>
      <c r="AD37" s="100">
        <f t="shared" si="6"/>
        <v>81037.93068800001</v>
      </c>
      <c r="AE37" s="100">
        <f t="shared" si="7"/>
        <v>32033.041984</v>
      </c>
      <c r="AF37" s="107">
        <f t="shared" si="8"/>
        <v>357957.12604039995</v>
      </c>
      <c r="AG37" s="81"/>
      <c r="AH37" s="81"/>
      <c r="AI37" s="81"/>
      <c r="AJ37" s="81"/>
      <c r="AK37" s="202"/>
      <c r="AL37" s="81"/>
      <c r="AM37" s="200"/>
      <c r="AN37" s="81"/>
      <c r="AO37" s="200"/>
      <c r="AP37" s="81"/>
      <c r="AQ37" s="192"/>
      <c r="AR37" s="29"/>
      <c r="AS37" s="192"/>
      <c r="AT37" s="29"/>
      <c r="AU37" s="18"/>
      <c r="AV37" s="24"/>
    </row>
    <row r="38" spans="2:48" ht="12.75">
      <c r="B38" s="140">
        <v>2010</v>
      </c>
      <c r="C38" s="99"/>
      <c r="D38" s="99"/>
      <c r="E38" s="100"/>
      <c r="F38" s="100"/>
      <c r="G38" s="100"/>
      <c r="H38" s="100"/>
      <c r="I38" s="100"/>
      <c r="J38" s="150"/>
      <c r="K38" s="164"/>
      <c r="L38" s="164"/>
      <c r="M38" s="164"/>
      <c r="N38" s="164"/>
      <c r="O38" s="164"/>
      <c r="P38" s="164"/>
      <c r="Q38" s="100">
        <f>$F31*$J31/1000</f>
        <v>4435.11936</v>
      </c>
      <c r="R38" s="100">
        <f t="shared" si="12"/>
        <v>48786.312959999996</v>
      </c>
      <c r="S38" s="100">
        <f t="shared" si="16"/>
        <v>4898.6817599999995</v>
      </c>
      <c r="T38" s="100">
        <f t="shared" si="17"/>
        <v>54032.4598128</v>
      </c>
      <c r="U38" s="100">
        <f t="shared" si="18"/>
        <v>2690.51448</v>
      </c>
      <c r="V38" s="100">
        <f t="shared" si="19"/>
        <v>29689.827286800002</v>
      </c>
      <c r="W38" s="100">
        <f t="shared" si="20"/>
        <v>1189.32</v>
      </c>
      <c r="X38" s="100">
        <f t="shared" si="21"/>
        <v>13195.5054</v>
      </c>
      <c r="Y38" s="100">
        <f t="shared" si="9"/>
        <v>11870.945424</v>
      </c>
      <c r="Z38" s="100">
        <f t="shared" si="10"/>
        <v>130580.399664</v>
      </c>
      <c r="AA38" s="100">
        <f t="shared" si="13"/>
        <v>0</v>
      </c>
      <c r="AB38" s="100">
        <f t="shared" si="14"/>
        <v>0</v>
      </c>
      <c r="AC38" s="100">
        <f t="shared" si="5"/>
        <v>7116.013008000001</v>
      </c>
      <c r="AD38" s="100">
        <f t="shared" si="6"/>
        <v>78276.143088</v>
      </c>
      <c r="AE38" s="100">
        <f t="shared" si="7"/>
        <v>32200.594032</v>
      </c>
      <c r="AF38" s="107">
        <f t="shared" si="8"/>
        <v>354560.6482116</v>
      </c>
      <c r="AG38" s="81"/>
      <c r="AH38" s="81"/>
      <c r="AI38" s="81"/>
      <c r="AJ38" s="81"/>
      <c r="AK38" s="202"/>
      <c r="AL38" s="81"/>
      <c r="AM38" s="200"/>
      <c r="AN38" s="81"/>
      <c r="AO38" s="200"/>
      <c r="AP38" s="81"/>
      <c r="AQ38" s="192"/>
      <c r="AR38" s="29"/>
      <c r="AS38" s="192"/>
      <c r="AT38" s="29"/>
      <c r="AU38" s="18"/>
      <c r="AV38" s="24"/>
    </row>
    <row r="39" spans="2:48" ht="13.5" thickBot="1">
      <c r="B39" s="166"/>
      <c r="C39" s="115" t="s">
        <v>5</v>
      </c>
      <c r="D39" s="115"/>
      <c r="E39" s="119"/>
      <c r="F39" s="119"/>
      <c r="G39" s="119"/>
      <c r="H39" s="119"/>
      <c r="I39" s="119"/>
      <c r="J39" s="157"/>
      <c r="K39" s="165"/>
      <c r="L39" s="165"/>
      <c r="M39" s="165"/>
      <c r="N39" s="165"/>
      <c r="O39" s="165"/>
      <c r="P39" s="165"/>
      <c r="Q39" s="119">
        <f>SUM(Q8:Q38)</f>
        <v>48248.60112526451</v>
      </c>
      <c r="R39" s="119">
        <f aca="true" t="shared" si="22" ref="R39:AF39">SUM(R8:R38)</f>
        <v>538495.7040282936</v>
      </c>
      <c r="S39" s="119">
        <f t="shared" si="22"/>
        <v>35392.527845264514</v>
      </c>
      <c r="T39" s="119">
        <f t="shared" si="22"/>
        <v>392595.40812429367</v>
      </c>
      <c r="U39" s="119">
        <f t="shared" si="22"/>
        <v>18640.085285264515</v>
      </c>
      <c r="V39" s="119">
        <f t="shared" si="22"/>
        <v>205758.91361469368</v>
      </c>
      <c r="W39" s="119">
        <f t="shared" si="22"/>
        <v>10254.603298064516</v>
      </c>
      <c r="X39" s="119">
        <f t="shared" si="22"/>
        <v>112593.65044590968</v>
      </c>
      <c r="Y39" s="119">
        <f aca="true" t="shared" si="23" ref="Y39:AD39">SUM(Y8:Y38)</f>
        <v>149595.18476568774</v>
      </c>
      <c r="Z39" s="119">
        <f t="shared" si="23"/>
        <v>1665725.8707135636</v>
      </c>
      <c r="AA39" s="119">
        <f t="shared" si="23"/>
        <v>0</v>
      </c>
      <c r="AB39" s="119">
        <f t="shared" si="23"/>
        <v>0</v>
      </c>
      <c r="AC39" s="119">
        <f t="shared" si="23"/>
        <v>114213.22079312515</v>
      </c>
      <c r="AD39" s="119">
        <f t="shared" si="23"/>
        <v>1269797.9875850424</v>
      </c>
      <c r="AE39" s="119">
        <f t="shared" si="22"/>
        <v>376344.223112671</v>
      </c>
      <c r="AF39" s="119">
        <f t="shared" si="22"/>
        <v>4184967.534511796</v>
      </c>
      <c r="AG39" s="18"/>
      <c r="AH39" s="81"/>
      <c r="AI39" s="18"/>
      <c r="AJ39" s="81"/>
      <c r="AK39" s="202"/>
      <c r="AL39" s="81"/>
      <c r="AM39" s="200"/>
      <c r="AN39" s="81"/>
      <c r="AO39" s="200"/>
      <c r="AP39" s="81"/>
      <c r="AQ39" s="192"/>
      <c r="AR39" s="29"/>
      <c r="AS39" s="192"/>
      <c r="AT39" s="29"/>
      <c r="AU39" s="18"/>
      <c r="AV39" s="24"/>
    </row>
    <row r="40" spans="2:48" ht="13.5" hidden="1" thickBot="1">
      <c r="B40" s="93"/>
      <c r="C40" s="84"/>
      <c r="D40" s="84"/>
      <c r="E40" s="82">
        <f>C40*$E$2</f>
        <v>0</v>
      </c>
      <c r="F40" s="82"/>
      <c r="G40" s="82"/>
      <c r="H40" s="82"/>
      <c r="I40" s="82"/>
      <c r="J40" s="83"/>
      <c r="K40" s="94"/>
      <c r="L40" s="94"/>
      <c r="M40" s="94"/>
      <c r="N40" s="94"/>
      <c r="O40" s="94"/>
      <c r="P40" s="94"/>
      <c r="Q40" s="95"/>
      <c r="R40" s="95"/>
      <c r="S40" s="95"/>
      <c r="T40" s="95"/>
      <c r="U40" s="84"/>
      <c r="V40" s="84"/>
      <c r="W40" s="82"/>
      <c r="X40" s="82"/>
      <c r="Y40" s="82"/>
      <c r="Z40" s="82"/>
      <c r="AA40" s="82"/>
      <c r="AB40" s="82"/>
      <c r="AC40" s="82"/>
      <c r="AD40" s="82"/>
      <c r="AE40" s="82"/>
      <c r="AF40" s="82"/>
      <c r="AG40" s="18"/>
      <c r="AH40" s="81"/>
      <c r="AI40" s="18"/>
      <c r="AJ40" s="81"/>
      <c r="AK40" s="202"/>
      <c r="AL40" s="81"/>
      <c r="AM40" s="200"/>
      <c r="AN40" s="81"/>
      <c r="AO40" s="200"/>
      <c r="AP40" s="81"/>
      <c r="AQ40" s="192"/>
      <c r="AR40" s="29"/>
      <c r="AS40" s="192"/>
      <c r="AT40" s="29"/>
      <c r="AU40" s="18"/>
      <c r="AV40" s="24"/>
    </row>
    <row r="41" spans="2:48" ht="12.75">
      <c r="B41" s="17"/>
      <c r="C41" s="18"/>
      <c r="D41" s="18"/>
      <c r="E41" s="81"/>
      <c r="F41" s="81"/>
      <c r="G41" s="81"/>
      <c r="H41" s="81"/>
      <c r="I41" s="81"/>
      <c r="J41" s="80"/>
      <c r="K41" s="33"/>
      <c r="L41" s="33"/>
      <c r="M41" s="33"/>
      <c r="N41" s="33"/>
      <c r="O41" s="33"/>
      <c r="P41" s="33"/>
      <c r="Q41" s="81"/>
      <c r="R41" s="81"/>
      <c r="S41" s="110"/>
      <c r="T41" s="81"/>
      <c r="U41" s="18"/>
      <c r="V41" s="18"/>
      <c r="W41" s="81"/>
      <c r="X41" s="81"/>
      <c r="Y41" s="81"/>
      <c r="Z41" s="81"/>
      <c r="AA41" s="81"/>
      <c r="AB41" s="81"/>
      <c r="AC41" s="81"/>
      <c r="AD41" s="81"/>
      <c r="AE41" s="81"/>
      <c r="AF41" s="81"/>
      <c r="AG41" s="18"/>
      <c r="AH41" s="81"/>
      <c r="AI41" s="18"/>
      <c r="AJ41" s="81"/>
      <c r="AK41" s="202"/>
      <c r="AL41" s="81"/>
      <c r="AM41" s="200"/>
      <c r="AN41" s="81"/>
      <c r="AO41" s="200"/>
      <c r="AP41" s="81"/>
      <c r="AQ41" s="192"/>
      <c r="AR41" s="29"/>
      <c r="AS41" s="192"/>
      <c r="AT41" s="29"/>
      <c r="AU41" s="18"/>
      <c r="AV41" s="24"/>
    </row>
    <row r="42" spans="3:44" ht="12.75">
      <c r="C42" s="96"/>
      <c r="D42" s="96"/>
      <c r="T42" s="266"/>
      <c r="AR42" s="33"/>
    </row>
    <row r="43" spans="10:44" ht="12.75">
      <c r="J43" s="97"/>
      <c r="S43" s="81"/>
      <c r="T43" s="81"/>
      <c r="U43" s="81"/>
      <c r="W43" s="86"/>
      <c r="AL43" s="576"/>
      <c r="AM43" s="576"/>
      <c r="AN43" s="576"/>
      <c r="AO43" s="34"/>
      <c r="AR43" s="35"/>
    </row>
    <row r="44" spans="2:45" ht="12.75">
      <c r="B44" s="21" t="s">
        <v>224</v>
      </c>
      <c r="I44" s="21" t="s">
        <v>238</v>
      </c>
      <c r="J44" s="97"/>
      <c r="L44" s="21" t="s">
        <v>239</v>
      </c>
      <c r="Q44" s="21" t="s">
        <v>187</v>
      </c>
      <c r="R44" s="21" t="s">
        <v>187</v>
      </c>
      <c r="S44" s="81"/>
      <c r="T44" s="81"/>
      <c r="U44" s="81"/>
      <c r="W44" s="86"/>
      <c r="AL44" s="576"/>
      <c r="AM44" s="576"/>
      <c r="AN44" s="576"/>
      <c r="AO44" s="205"/>
      <c r="AP44" s="24"/>
      <c r="AR44" s="36"/>
      <c r="AS44" s="37"/>
    </row>
    <row r="45" spans="5:45" ht="12.75">
      <c r="E45" s="21" t="s">
        <v>147</v>
      </c>
      <c r="J45" s="97"/>
      <c r="Q45" s="21" t="s">
        <v>147</v>
      </c>
      <c r="R45" s="21" t="s">
        <v>188</v>
      </c>
      <c r="U45" s="81"/>
      <c r="W45" s="86"/>
      <c r="AL45" s="576"/>
      <c r="AM45" s="576"/>
      <c r="AN45" s="576"/>
      <c r="AO45" s="205"/>
      <c r="AP45" s="24"/>
      <c r="AR45" s="36"/>
      <c r="AS45" s="37"/>
    </row>
    <row r="46" spans="2:45" ht="12.75">
      <c r="B46" s="21" t="str">
        <f>B6</f>
        <v>Year</v>
      </c>
      <c r="C46" s="21" t="s">
        <v>141</v>
      </c>
      <c r="D46" s="21" t="s">
        <v>141</v>
      </c>
      <c r="E46" s="284" t="s">
        <v>240</v>
      </c>
      <c r="F46" s="284" t="s">
        <v>144</v>
      </c>
      <c r="G46" s="544" t="s">
        <v>145</v>
      </c>
      <c r="H46" s="544"/>
      <c r="I46" s="21" t="s">
        <v>149</v>
      </c>
      <c r="J46" s="544" t="s">
        <v>150</v>
      </c>
      <c r="K46" s="503"/>
      <c r="L46" s="21" t="s">
        <v>151</v>
      </c>
      <c r="M46" s="544" t="s">
        <v>164</v>
      </c>
      <c r="N46" s="503"/>
      <c r="O46" s="544" t="s">
        <v>167</v>
      </c>
      <c r="P46" s="544"/>
      <c r="Q46" s="284" t="s">
        <v>240</v>
      </c>
      <c r="R46" s="284"/>
      <c r="S46" s="544" t="s">
        <v>170</v>
      </c>
      <c r="T46" s="544"/>
      <c r="U46" s="544" t="s">
        <v>171</v>
      </c>
      <c r="V46" s="544"/>
      <c r="W46" s="574" t="s">
        <v>189</v>
      </c>
      <c r="X46" s="510"/>
      <c r="AL46" s="576"/>
      <c r="AM46" s="576"/>
      <c r="AN46" s="576"/>
      <c r="AO46" s="205"/>
      <c r="AP46" s="24"/>
      <c r="AR46" s="36"/>
      <c r="AS46" s="37"/>
    </row>
    <row r="47" spans="3:45" ht="12.75">
      <c r="C47" s="21" t="s">
        <v>142</v>
      </c>
      <c r="D47" s="21" t="s">
        <v>143</v>
      </c>
      <c r="E47" s="21" t="s">
        <v>148</v>
      </c>
      <c r="F47" s="21" t="s">
        <v>148</v>
      </c>
      <c r="G47" s="21" t="s">
        <v>1</v>
      </c>
      <c r="H47" s="21" t="s">
        <v>2</v>
      </c>
      <c r="I47" s="21" t="s">
        <v>148</v>
      </c>
      <c r="J47" s="97" t="s">
        <v>1</v>
      </c>
      <c r="K47" s="21" t="s">
        <v>2</v>
      </c>
      <c r="L47" s="21" t="s">
        <v>148</v>
      </c>
      <c r="M47" s="97" t="s">
        <v>1</v>
      </c>
      <c r="N47" s="21" t="s">
        <v>2</v>
      </c>
      <c r="O47" s="21" t="s">
        <v>142</v>
      </c>
      <c r="P47" s="21" t="s">
        <v>143</v>
      </c>
      <c r="Q47" s="21" t="s">
        <v>148</v>
      </c>
      <c r="R47" s="111" t="s">
        <v>148</v>
      </c>
      <c r="S47" s="21" t="s">
        <v>1</v>
      </c>
      <c r="T47" s="21" t="s">
        <v>2</v>
      </c>
      <c r="U47" s="21" t="s">
        <v>1</v>
      </c>
      <c r="V47" s="21" t="s">
        <v>2</v>
      </c>
      <c r="W47" s="21" t="s">
        <v>1</v>
      </c>
      <c r="X47" s="21" t="s">
        <v>2</v>
      </c>
      <c r="AL47" s="576"/>
      <c r="AM47" s="576"/>
      <c r="AN47" s="576"/>
      <c r="AO47" s="205"/>
      <c r="AP47" s="24"/>
      <c r="AR47" s="36"/>
      <c r="AS47" s="37"/>
    </row>
    <row r="48" spans="2:45" ht="12.75">
      <c r="B48" s="21">
        <f aca="true" t="shared" si="24" ref="B48:B72">B8</f>
        <v>1980</v>
      </c>
      <c r="C48" s="86">
        <f aca="true" t="shared" si="25" ref="C48:C72">F8</f>
        <v>470709.6774193548</v>
      </c>
      <c r="D48" s="86">
        <f aca="true" t="shared" si="26" ref="D48:D72">G8</f>
        <v>5177.8064516129025</v>
      </c>
      <c r="E48" s="21">
        <v>1</v>
      </c>
      <c r="F48" s="21">
        <v>0</v>
      </c>
      <c r="G48" s="86">
        <f aca="true" t="shared" si="27" ref="G48:G75">C48-(E48*C48)-(C48*F48)</f>
        <v>0</v>
      </c>
      <c r="H48" s="86">
        <f aca="true" t="shared" si="28" ref="H48:H75">D48-(E48*D48)-(D48*F48)</f>
        <v>0</v>
      </c>
      <c r="O48" s="86">
        <f>H8</f>
        <v>509935.48387096776</v>
      </c>
      <c r="P48" s="86">
        <f>I8</f>
        <v>5609.290322580645</v>
      </c>
      <c r="Q48" s="21">
        <v>1</v>
      </c>
      <c r="R48" s="21">
        <v>0</v>
      </c>
      <c r="S48" s="86">
        <f>O48*$Q48</f>
        <v>509935.48387096776</v>
      </c>
      <c r="T48" s="86">
        <f>P48*$Q48</f>
        <v>5609.290322580645</v>
      </c>
      <c r="U48" s="86">
        <f>C48*$E48</f>
        <v>470709.6774193548</v>
      </c>
      <c r="V48" s="86">
        <f>D48*$E48</f>
        <v>5177.8064516129025</v>
      </c>
      <c r="W48" s="21">
        <f>O48*$R48</f>
        <v>0</v>
      </c>
      <c r="X48" s="21">
        <f>P48*$R48</f>
        <v>0</v>
      </c>
      <c r="AL48" s="576"/>
      <c r="AM48" s="576"/>
      <c r="AN48" s="576"/>
      <c r="AO48" s="205"/>
      <c r="AP48" s="24"/>
      <c r="AR48" s="36"/>
      <c r="AS48" s="37"/>
    </row>
    <row r="49" spans="2:45" ht="12.75">
      <c r="B49" s="21">
        <f t="shared" si="24"/>
        <v>1981</v>
      </c>
      <c r="C49" s="86">
        <f t="shared" si="25"/>
        <v>941419.3548387096</v>
      </c>
      <c r="D49" s="86">
        <f t="shared" si="26"/>
        <v>10355.612903225805</v>
      </c>
      <c r="E49" s="21">
        <v>1</v>
      </c>
      <c r="F49" s="21">
        <v>0</v>
      </c>
      <c r="G49" s="86">
        <f t="shared" si="27"/>
        <v>0</v>
      </c>
      <c r="H49" s="86">
        <f t="shared" si="28"/>
        <v>0</v>
      </c>
      <c r="O49" s="283">
        <f aca="true" t="shared" si="29" ref="O49:O72">H9</f>
        <v>1019870.9677419355</v>
      </c>
      <c r="P49" s="283">
        <f aca="true" t="shared" si="30" ref="P49:P72">I9</f>
        <v>11218.58064516129</v>
      </c>
      <c r="Q49" s="21">
        <v>1</v>
      </c>
      <c r="R49" s="21">
        <v>0</v>
      </c>
      <c r="S49" s="86">
        <f aca="true" t="shared" si="31" ref="S49:S73">O49*$Q49</f>
        <v>1019870.9677419355</v>
      </c>
      <c r="T49" s="86">
        <f aca="true" t="shared" si="32" ref="T49:T73">P49*$Q49</f>
        <v>11218.58064516129</v>
      </c>
      <c r="U49" s="86">
        <f aca="true" t="shared" si="33" ref="U49:U73">C49*$E49</f>
        <v>941419.3548387096</v>
      </c>
      <c r="V49" s="86">
        <f aca="true" t="shared" si="34" ref="V49:V73">D49*$E49</f>
        <v>10355.612903225805</v>
      </c>
      <c r="W49" s="21">
        <f aca="true" t="shared" si="35" ref="W49:W75">O49*$R49</f>
        <v>0</v>
      </c>
      <c r="X49" s="21">
        <f aca="true" t="shared" si="36" ref="X49:X75">P49*$R49</f>
        <v>0</v>
      </c>
      <c r="AL49" s="577"/>
      <c r="AM49" s="577"/>
      <c r="AN49" s="577"/>
      <c r="AO49" s="205"/>
      <c r="AP49" s="24"/>
      <c r="AR49" s="36"/>
      <c r="AS49" s="37"/>
    </row>
    <row r="50" spans="2:24" ht="12.75">
      <c r="B50" s="21">
        <f t="shared" si="24"/>
        <v>1982</v>
      </c>
      <c r="C50" s="86">
        <f t="shared" si="25"/>
        <v>1459200</v>
      </c>
      <c r="D50" s="86">
        <f t="shared" si="26"/>
        <v>16051.199999999999</v>
      </c>
      <c r="E50" s="21">
        <v>1</v>
      </c>
      <c r="F50" s="21">
        <v>0</v>
      </c>
      <c r="G50" s="86">
        <f t="shared" si="27"/>
        <v>0</v>
      </c>
      <c r="H50" s="86">
        <f t="shared" si="28"/>
        <v>0</v>
      </c>
      <c r="O50" s="283">
        <f t="shared" si="29"/>
        <v>1580800</v>
      </c>
      <c r="P50" s="283">
        <f t="shared" si="30"/>
        <v>17388.8</v>
      </c>
      <c r="Q50" s="21">
        <v>1</v>
      </c>
      <c r="R50" s="21">
        <v>0</v>
      </c>
      <c r="S50" s="86">
        <f t="shared" si="31"/>
        <v>1580800</v>
      </c>
      <c r="T50" s="86">
        <f t="shared" si="32"/>
        <v>17388.8</v>
      </c>
      <c r="U50" s="86">
        <f t="shared" si="33"/>
        <v>1459200</v>
      </c>
      <c r="V50" s="86">
        <f t="shared" si="34"/>
        <v>16051.199999999999</v>
      </c>
      <c r="W50" s="21">
        <f t="shared" si="35"/>
        <v>0</v>
      </c>
      <c r="X50" s="21">
        <f t="shared" si="36"/>
        <v>0</v>
      </c>
    </row>
    <row r="51" spans="2:43" ht="12.75">
      <c r="B51" s="21">
        <f t="shared" si="24"/>
        <v>1983</v>
      </c>
      <c r="C51" s="86">
        <f t="shared" si="25"/>
        <v>2616000</v>
      </c>
      <c r="D51" s="86">
        <f t="shared" si="26"/>
        <v>28776</v>
      </c>
      <c r="E51" s="21">
        <v>1</v>
      </c>
      <c r="F51" s="21">
        <v>0</v>
      </c>
      <c r="G51" s="86">
        <f t="shared" si="27"/>
        <v>0</v>
      </c>
      <c r="H51" s="86">
        <f t="shared" si="28"/>
        <v>0</v>
      </c>
      <c r="O51" s="283">
        <f t="shared" si="29"/>
        <v>2834000</v>
      </c>
      <c r="P51" s="283">
        <f t="shared" si="30"/>
        <v>31174</v>
      </c>
      <c r="Q51" s="21">
        <v>1</v>
      </c>
      <c r="R51" s="21">
        <v>0</v>
      </c>
      <c r="S51" s="86">
        <f t="shared" si="31"/>
        <v>2834000</v>
      </c>
      <c r="T51" s="86">
        <f t="shared" si="32"/>
        <v>31174</v>
      </c>
      <c r="U51" s="86">
        <f t="shared" si="33"/>
        <v>2616000</v>
      </c>
      <c r="V51" s="86">
        <f t="shared" si="34"/>
        <v>28776</v>
      </c>
      <c r="W51" s="21">
        <f t="shared" si="35"/>
        <v>0</v>
      </c>
      <c r="X51" s="21">
        <f t="shared" si="36"/>
        <v>0</v>
      </c>
      <c r="AQ51" s="24"/>
    </row>
    <row r="52" spans="2:43" ht="12.75">
      <c r="B52" s="21">
        <f t="shared" si="24"/>
        <v>1984</v>
      </c>
      <c r="C52" s="86">
        <f t="shared" si="25"/>
        <v>3196800</v>
      </c>
      <c r="D52" s="86">
        <f t="shared" si="26"/>
        <v>35164.799999999996</v>
      </c>
      <c r="E52" s="21">
        <v>1</v>
      </c>
      <c r="F52" s="21">
        <v>0</v>
      </c>
      <c r="G52" s="86">
        <f t="shared" si="27"/>
        <v>0</v>
      </c>
      <c r="H52" s="86">
        <f t="shared" si="28"/>
        <v>0</v>
      </c>
      <c r="O52" s="283">
        <f t="shared" si="29"/>
        <v>3463200</v>
      </c>
      <c r="P52" s="283">
        <f t="shared" si="30"/>
        <v>38095.200000000004</v>
      </c>
      <c r="Q52" s="21">
        <v>1</v>
      </c>
      <c r="R52" s="21">
        <v>0</v>
      </c>
      <c r="S52" s="86">
        <f t="shared" si="31"/>
        <v>3463200</v>
      </c>
      <c r="T52" s="86">
        <f t="shared" si="32"/>
        <v>38095.200000000004</v>
      </c>
      <c r="U52" s="86">
        <f t="shared" si="33"/>
        <v>3196800</v>
      </c>
      <c r="V52" s="86">
        <f t="shared" si="34"/>
        <v>35164.799999999996</v>
      </c>
      <c r="W52" s="21">
        <f t="shared" si="35"/>
        <v>0</v>
      </c>
      <c r="X52" s="21">
        <f t="shared" si="36"/>
        <v>0</v>
      </c>
      <c r="AQ52" s="24"/>
    </row>
    <row r="53" spans="2:24" ht="12.75">
      <c r="B53" s="21">
        <f t="shared" si="24"/>
        <v>1985</v>
      </c>
      <c r="C53" s="86">
        <f t="shared" si="25"/>
        <v>2764800</v>
      </c>
      <c r="D53" s="86">
        <f t="shared" si="26"/>
        <v>30412.8</v>
      </c>
      <c r="E53" s="21">
        <v>1</v>
      </c>
      <c r="F53" s="21">
        <v>0</v>
      </c>
      <c r="G53" s="86">
        <f t="shared" si="27"/>
        <v>0</v>
      </c>
      <c r="H53" s="86">
        <f t="shared" si="28"/>
        <v>0</v>
      </c>
      <c r="O53" s="283">
        <f t="shared" si="29"/>
        <v>2995200</v>
      </c>
      <c r="P53" s="283">
        <f t="shared" si="30"/>
        <v>32947.200000000004</v>
      </c>
      <c r="Q53" s="21">
        <v>1</v>
      </c>
      <c r="R53" s="21">
        <v>0</v>
      </c>
      <c r="S53" s="86">
        <f t="shared" si="31"/>
        <v>2995200</v>
      </c>
      <c r="T53" s="86">
        <f t="shared" si="32"/>
        <v>32947.200000000004</v>
      </c>
      <c r="U53" s="86">
        <f t="shared" si="33"/>
        <v>2764800</v>
      </c>
      <c r="V53" s="86">
        <f t="shared" si="34"/>
        <v>30412.8</v>
      </c>
      <c r="W53" s="21">
        <f t="shared" si="35"/>
        <v>0</v>
      </c>
      <c r="X53" s="21">
        <f t="shared" si="36"/>
        <v>0</v>
      </c>
    </row>
    <row r="54" spans="2:43" ht="12.75">
      <c r="B54" s="21">
        <f t="shared" si="24"/>
        <v>1986</v>
      </c>
      <c r="C54" s="86">
        <f t="shared" si="25"/>
        <v>3288480</v>
      </c>
      <c r="D54" s="86">
        <f t="shared" si="26"/>
        <v>36173.28</v>
      </c>
      <c r="E54" s="21">
        <v>1</v>
      </c>
      <c r="F54" s="21">
        <v>0</v>
      </c>
      <c r="G54" s="86">
        <f t="shared" si="27"/>
        <v>0</v>
      </c>
      <c r="H54" s="86">
        <f t="shared" si="28"/>
        <v>0</v>
      </c>
      <c r="O54" s="283">
        <f t="shared" si="29"/>
        <v>3562520</v>
      </c>
      <c r="P54" s="283">
        <f t="shared" si="30"/>
        <v>39187.72</v>
      </c>
      <c r="Q54" s="21">
        <v>1</v>
      </c>
      <c r="R54" s="21">
        <v>0</v>
      </c>
      <c r="S54" s="86">
        <f t="shared" si="31"/>
        <v>3562520</v>
      </c>
      <c r="T54" s="86">
        <f t="shared" si="32"/>
        <v>39187.72</v>
      </c>
      <c r="U54" s="86">
        <f t="shared" si="33"/>
        <v>3288480</v>
      </c>
      <c r="V54" s="86">
        <f t="shared" si="34"/>
        <v>36173.28</v>
      </c>
      <c r="W54" s="21">
        <f t="shared" si="35"/>
        <v>0</v>
      </c>
      <c r="X54" s="21">
        <f t="shared" si="36"/>
        <v>0</v>
      </c>
      <c r="AQ54" s="24"/>
    </row>
    <row r="55" spans="2:24" ht="12.75">
      <c r="B55" s="21">
        <f t="shared" si="24"/>
        <v>1987</v>
      </c>
      <c r="C55" s="86">
        <f t="shared" si="25"/>
        <v>3936960</v>
      </c>
      <c r="D55" s="86">
        <f t="shared" si="26"/>
        <v>43306.56</v>
      </c>
      <c r="E55" s="21">
        <v>1</v>
      </c>
      <c r="F55" s="21">
        <v>0</v>
      </c>
      <c r="G55" s="86">
        <f t="shared" si="27"/>
        <v>0</v>
      </c>
      <c r="H55" s="86">
        <f t="shared" si="28"/>
        <v>0</v>
      </c>
      <c r="O55" s="283">
        <f t="shared" si="29"/>
        <v>4265040</v>
      </c>
      <c r="P55" s="283">
        <f t="shared" si="30"/>
        <v>46915.44</v>
      </c>
      <c r="Q55" s="21">
        <v>1</v>
      </c>
      <c r="R55" s="21">
        <v>0</v>
      </c>
      <c r="S55" s="86">
        <f t="shared" si="31"/>
        <v>4265040</v>
      </c>
      <c r="T55" s="86">
        <f t="shared" si="32"/>
        <v>46915.44</v>
      </c>
      <c r="U55" s="86">
        <f t="shared" si="33"/>
        <v>3936960</v>
      </c>
      <c r="V55" s="86">
        <f t="shared" si="34"/>
        <v>43306.56</v>
      </c>
      <c r="W55" s="21">
        <f t="shared" si="35"/>
        <v>0</v>
      </c>
      <c r="X55" s="21">
        <f t="shared" si="36"/>
        <v>0</v>
      </c>
    </row>
    <row r="56" spans="2:24" ht="12.75">
      <c r="B56" s="21">
        <f t="shared" si="24"/>
        <v>1988</v>
      </c>
      <c r="C56" s="86">
        <f t="shared" si="25"/>
        <v>4187520</v>
      </c>
      <c r="D56" s="86">
        <f t="shared" si="26"/>
        <v>46062.72</v>
      </c>
      <c r="E56" s="21">
        <v>1</v>
      </c>
      <c r="F56" s="21">
        <v>0</v>
      </c>
      <c r="G56" s="86">
        <f t="shared" si="27"/>
        <v>0</v>
      </c>
      <c r="H56" s="86">
        <f t="shared" si="28"/>
        <v>0</v>
      </c>
      <c r="O56" s="283">
        <f t="shared" si="29"/>
        <v>4536480</v>
      </c>
      <c r="P56" s="283">
        <f t="shared" si="30"/>
        <v>49901.28</v>
      </c>
      <c r="Q56" s="21">
        <v>1</v>
      </c>
      <c r="R56" s="21">
        <v>0</v>
      </c>
      <c r="S56" s="86">
        <f t="shared" si="31"/>
        <v>4536480</v>
      </c>
      <c r="T56" s="86">
        <f t="shared" si="32"/>
        <v>49901.28</v>
      </c>
      <c r="U56" s="86">
        <f t="shared" si="33"/>
        <v>4187520</v>
      </c>
      <c r="V56" s="86">
        <f t="shared" si="34"/>
        <v>46062.72</v>
      </c>
      <c r="W56" s="21">
        <f t="shared" si="35"/>
        <v>0</v>
      </c>
      <c r="X56" s="21">
        <f t="shared" si="36"/>
        <v>0</v>
      </c>
    </row>
    <row r="57" spans="2:24" ht="12.75">
      <c r="B57" s="21">
        <f t="shared" si="24"/>
        <v>1989</v>
      </c>
      <c r="C57" s="86">
        <f t="shared" si="25"/>
        <v>4274784.4799999995</v>
      </c>
      <c r="D57" s="86">
        <f t="shared" si="26"/>
        <v>46723.394366399996</v>
      </c>
      <c r="E57" s="21">
        <v>1</v>
      </c>
      <c r="F57" s="21">
        <v>0</v>
      </c>
      <c r="G57" s="86">
        <f t="shared" si="27"/>
        <v>0</v>
      </c>
      <c r="H57" s="86">
        <f t="shared" si="28"/>
        <v>0</v>
      </c>
      <c r="O57" s="283">
        <f t="shared" si="29"/>
        <v>4631016.5200000005</v>
      </c>
      <c r="P57" s="283">
        <f t="shared" si="30"/>
        <v>50617.01056359999</v>
      </c>
      <c r="Q57" s="21">
        <v>1</v>
      </c>
      <c r="R57" s="21">
        <v>0</v>
      </c>
      <c r="S57" s="86">
        <f t="shared" si="31"/>
        <v>4631016.5200000005</v>
      </c>
      <c r="T57" s="86">
        <f t="shared" si="32"/>
        <v>50617.01056359999</v>
      </c>
      <c r="U57" s="86">
        <f t="shared" si="33"/>
        <v>4274784.4799999995</v>
      </c>
      <c r="V57" s="86">
        <f t="shared" si="34"/>
        <v>46723.394366399996</v>
      </c>
      <c r="W57" s="21">
        <f t="shared" si="35"/>
        <v>0</v>
      </c>
      <c r="X57" s="21">
        <f t="shared" si="36"/>
        <v>0</v>
      </c>
    </row>
    <row r="58" spans="2:24" ht="12.75">
      <c r="B58" s="21">
        <f t="shared" si="24"/>
        <v>1990</v>
      </c>
      <c r="C58" s="86">
        <f t="shared" si="25"/>
        <v>4553053.92</v>
      </c>
      <c r="D58" s="86">
        <f t="shared" si="26"/>
        <v>49537.2266496</v>
      </c>
      <c r="E58" s="21">
        <v>0.75</v>
      </c>
      <c r="F58" s="21">
        <v>0</v>
      </c>
      <c r="G58" s="86">
        <f t="shared" si="27"/>
        <v>1138263.48</v>
      </c>
      <c r="H58" s="86">
        <f t="shared" si="28"/>
        <v>12384.306662399998</v>
      </c>
      <c r="O58" s="283">
        <f t="shared" si="29"/>
        <v>4932475.08</v>
      </c>
      <c r="P58" s="283">
        <f t="shared" si="30"/>
        <v>53665.32887040001</v>
      </c>
      <c r="Q58" s="21">
        <v>1</v>
      </c>
      <c r="R58" s="21">
        <v>0</v>
      </c>
      <c r="S58" s="86">
        <f t="shared" si="31"/>
        <v>4932475.08</v>
      </c>
      <c r="T58" s="86">
        <f t="shared" si="32"/>
        <v>53665.32887040001</v>
      </c>
      <c r="U58" s="86">
        <f t="shared" si="33"/>
        <v>3414790.44</v>
      </c>
      <c r="V58" s="86">
        <f t="shared" si="34"/>
        <v>37152.9199872</v>
      </c>
      <c r="W58" s="21">
        <f t="shared" si="35"/>
        <v>0</v>
      </c>
      <c r="X58" s="21">
        <f t="shared" si="36"/>
        <v>0</v>
      </c>
    </row>
    <row r="59" spans="2:24" ht="12.75">
      <c r="B59" s="21">
        <f t="shared" si="24"/>
        <v>1991</v>
      </c>
      <c r="C59" s="86">
        <f t="shared" si="25"/>
        <v>4571405.76</v>
      </c>
      <c r="D59" s="86">
        <f t="shared" si="26"/>
        <v>49851.1798128</v>
      </c>
      <c r="E59" s="21">
        <v>0.75</v>
      </c>
      <c r="F59" s="21">
        <v>0</v>
      </c>
      <c r="G59" s="86">
        <f t="shared" si="27"/>
        <v>1142851.44</v>
      </c>
      <c r="H59" s="86">
        <f t="shared" si="28"/>
        <v>12462.794953199998</v>
      </c>
      <c r="O59" s="283">
        <f t="shared" si="29"/>
        <v>4952356.24</v>
      </c>
      <c r="P59" s="283">
        <f t="shared" si="30"/>
        <v>54005.4447972</v>
      </c>
      <c r="Q59" s="21">
        <v>1</v>
      </c>
      <c r="R59" s="21">
        <v>0</v>
      </c>
      <c r="S59" s="86">
        <f t="shared" si="31"/>
        <v>4952356.24</v>
      </c>
      <c r="T59" s="86">
        <f t="shared" si="32"/>
        <v>54005.4447972</v>
      </c>
      <c r="U59" s="86">
        <f t="shared" si="33"/>
        <v>3428554.32</v>
      </c>
      <c r="V59" s="86">
        <f t="shared" si="34"/>
        <v>37388.3848596</v>
      </c>
      <c r="W59" s="21">
        <f t="shared" si="35"/>
        <v>0</v>
      </c>
      <c r="X59" s="21">
        <f t="shared" si="36"/>
        <v>0</v>
      </c>
    </row>
    <row r="60" spans="2:24" ht="12.75">
      <c r="B60" s="21">
        <f t="shared" si="24"/>
        <v>1992</v>
      </c>
      <c r="C60" s="86">
        <f t="shared" si="25"/>
        <v>4757280</v>
      </c>
      <c r="D60" s="86">
        <f t="shared" si="26"/>
        <v>52782.0216</v>
      </c>
      <c r="E60" s="21">
        <v>0.75</v>
      </c>
      <c r="F60" s="21">
        <v>0</v>
      </c>
      <c r="G60" s="86">
        <f t="shared" si="27"/>
        <v>1189320</v>
      </c>
      <c r="H60" s="86">
        <f t="shared" si="28"/>
        <v>13195.505400000002</v>
      </c>
      <c r="O60" s="283">
        <f t="shared" si="29"/>
        <v>5153720</v>
      </c>
      <c r="P60" s="283">
        <f t="shared" si="30"/>
        <v>57180.5234</v>
      </c>
      <c r="Q60" s="21">
        <v>1</v>
      </c>
      <c r="R60" s="21">
        <v>0</v>
      </c>
      <c r="S60" s="86">
        <f t="shared" si="31"/>
        <v>5153720</v>
      </c>
      <c r="T60" s="86">
        <f t="shared" si="32"/>
        <v>57180.5234</v>
      </c>
      <c r="U60" s="86">
        <f t="shared" si="33"/>
        <v>3567960</v>
      </c>
      <c r="V60" s="86">
        <f t="shared" si="34"/>
        <v>39586.5162</v>
      </c>
      <c r="W60" s="21">
        <f t="shared" si="35"/>
        <v>0</v>
      </c>
      <c r="X60" s="21">
        <f t="shared" si="36"/>
        <v>0</v>
      </c>
    </row>
    <row r="61" spans="2:24" ht="12.75">
      <c r="B61" s="21">
        <f t="shared" si="24"/>
        <v>1993</v>
      </c>
      <c r="C61" s="86">
        <f t="shared" si="25"/>
        <v>6250569.8688</v>
      </c>
      <c r="D61" s="86">
        <f t="shared" si="26"/>
        <v>68568.751460736</v>
      </c>
      <c r="E61" s="21">
        <v>0.75</v>
      </c>
      <c r="F61" s="21">
        <v>0</v>
      </c>
      <c r="G61" s="86">
        <f t="shared" si="27"/>
        <v>1562642.4671999998</v>
      </c>
      <c r="H61" s="86">
        <f t="shared" si="28"/>
        <v>17142.187865184</v>
      </c>
      <c r="O61" s="283">
        <f t="shared" si="29"/>
        <v>6771450.6912</v>
      </c>
      <c r="P61" s="283">
        <f t="shared" si="30"/>
        <v>74282.814082464</v>
      </c>
      <c r="Q61" s="21">
        <v>1</v>
      </c>
      <c r="R61" s="21">
        <v>0</v>
      </c>
      <c r="S61" s="86">
        <f t="shared" si="31"/>
        <v>6771450.6912</v>
      </c>
      <c r="T61" s="86">
        <f t="shared" si="32"/>
        <v>74282.814082464</v>
      </c>
      <c r="U61" s="86">
        <f t="shared" si="33"/>
        <v>4687927.4016</v>
      </c>
      <c r="V61" s="86">
        <f t="shared" si="34"/>
        <v>51426.563595552005</v>
      </c>
      <c r="W61" s="21">
        <f t="shared" si="35"/>
        <v>0</v>
      </c>
      <c r="X61" s="21">
        <f t="shared" si="36"/>
        <v>0</v>
      </c>
    </row>
    <row r="62" spans="2:24" ht="12.75">
      <c r="B62" s="21">
        <f t="shared" si="24"/>
        <v>1994</v>
      </c>
      <c r="C62" s="86">
        <f t="shared" si="25"/>
        <v>7342168.319999999</v>
      </c>
      <c r="D62" s="86">
        <f t="shared" si="26"/>
        <v>79589.1045888</v>
      </c>
      <c r="E62" s="203">
        <v>0.5</v>
      </c>
      <c r="F62" s="21">
        <v>0</v>
      </c>
      <c r="G62" s="86">
        <f t="shared" si="27"/>
        <v>3671084.1599999997</v>
      </c>
      <c r="H62" s="86">
        <f t="shared" si="28"/>
        <v>39794.5522944</v>
      </c>
      <c r="O62" s="283">
        <f t="shared" si="29"/>
        <v>7954015.680000001</v>
      </c>
      <c r="P62" s="283">
        <f t="shared" si="30"/>
        <v>86221.52997120001</v>
      </c>
      <c r="Q62" s="21">
        <v>1</v>
      </c>
      <c r="R62" s="21">
        <v>0</v>
      </c>
      <c r="S62" s="86">
        <f t="shared" si="31"/>
        <v>7954015.680000001</v>
      </c>
      <c r="T62" s="86">
        <f t="shared" si="32"/>
        <v>86221.52997120001</v>
      </c>
      <c r="U62" s="86">
        <f t="shared" si="33"/>
        <v>3671084.1599999997</v>
      </c>
      <c r="V62" s="86">
        <f t="shared" si="34"/>
        <v>39794.5522944</v>
      </c>
      <c r="W62" s="21">
        <f t="shared" si="35"/>
        <v>0</v>
      </c>
      <c r="X62" s="21">
        <f t="shared" si="36"/>
        <v>0</v>
      </c>
    </row>
    <row r="63" spans="2:24" ht="12.75">
      <c r="B63" s="21">
        <f t="shared" si="24"/>
        <v>1995</v>
      </c>
      <c r="C63" s="86">
        <f t="shared" si="25"/>
        <v>9187131.84</v>
      </c>
      <c r="D63" s="86">
        <f t="shared" si="26"/>
        <v>105743.88747839998</v>
      </c>
      <c r="E63" s="203">
        <v>0.5</v>
      </c>
      <c r="F63" s="21">
        <v>0</v>
      </c>
      <c r="G63" s="86">
        <f t="shared" si="27"/>
        <v>4593565.92</v>
      </c>
      <c r="H63" s="86">
        <f t="shared" si="28"/>
        <v>52871.94373919999</v>
      </c>
      <c r="O63" s="283">
        <f t="shared" si="29"/>
        <v>9952726.16</v>
      </c>
      <c r="P63" s="283">
        <f t="shared" si="30"/>
        <v>114555.8781016</v>
      </c>
      <c r="Q63" s="21">
        <v>1</v>
      </c>
      <c r="R63" s="21">
        <v>0</v>
      </c>
      <c r="S63" s="86">
        <f t="shared" si="31"/>
        <v>9952726.16</v>
      </c>
      <c r="T63" s="86">
        <f t="shared" si="32"/>
        <v>114555.8781016</v>
      </c>
      <c r="U63" s="86">
        <f t="shared" si="33"/>
        <v>4593565.92</v>
      </c>
      <c r="V63" s="86">
        <f t="shared" si="34"/>
        <v>52871.94373919999</v>
      </c>
      <c r="W63" s="21">
        <f t="shared" si="35"/>
        <v>0</v>
      </c>
      <c r="X63" s="21">
        <f t="shared" si="36"/>
        <v>0</v>
      </c>
    </row>
    <row r="64" spans="2:24" ht="12.75">
      <c r="B64" s="21">
        <f t="shared" si="24"/>
        <v>1996</v>
      </c>
      <c r="C64" s="86">
        <f t="shared" si="25"/>
        <v>10762057.92</v>
      </c>
      <c r="D64" s="86">
        <f t="shared" si="26"/>
        <v>118759.30914720001</v>
      </c>
      <c r="E64" s="203">
        <v>0.5</v>
      </c>
      <c r="F64" s="21">
        <v>0</v>
      </c>
      <c r="G64" s="86">
        <f t="shared" si="27"/>
        <v>5381028.96</v>
      </c>
      <c r="H64" s="86">
        <f t="shared" si="28"/>
        <v>59379.654573600004</v>
      </c>
      <c r="O64" s="283">
        <f t="shared" si="29"/>
        <v>11658896.08</v>
      </c>
      <c r="P64" s="283">
        <f t="shared" si="30"/>
        <v>128655.9182428</v>
      </c>
      <c r="Q64" s="21">
        <v>1</v>
      </c>
      <c r="R64" s="21">
        <v>0</v>
      </c>
      <c r="S64" s="86">
        <f t="shared" si="31"/>
        <v>11658896.08</v>
      </c>
      <c r="T64" s="86">
        <f t="shared" si="32"/>
        <v>128655.9182428</v>
      </c>
      <c r="U64" s="86">
        <f t="shared" si="33"/>
        <v>5381028.96</v>
      </c>
      <c r="V64" s="86">
        <f t="shared" si="34"/>
        <v>59379.654573600004</v>
      </c>
      <c r="W64" s="21">
        <f t="shared" si="35"/>
        <v>0</v>
      </c>
      <c r="X64" s="21">
        <f t="shared" si="36"/>
        <v>0</v>
      </c>
    </row>
    <row r="65" spans="2:24" ht="12.75">
      <c r="B65" s="21">
        <f t="shared" si="24"/>
        <v>1997</v>
      </c>
      <c r="C65" s="86">
        <f t="shared" si="25"/>
        <v>12848258.879999999</v>
      </c>
      <c r="D65" s="86">
        <f t="shared" si="26"/>
        <v>145249.5666384</v>
      </c>
      <c r="E65" s="203">
        <v>0.5</v>
      </c>
      <c r="F65" s="21">
        <v>0</v>
      </c>
      <c r="G65" s="86">
        <f t="shared" si="27"/>
        <v>6424129.4399999995</v>
      </c>
      <c r="H65" s="86">
        <f t="shared" si="28"/>
        <v>72624.7833192</v>
      </c>
      <c r="O65" s="283">
        <f t="shared" si="29"/>
        <v>13918947.120000001</v>
      </c>
      <c r="P65" s="283">
        <f t="shared" si="30"/>
        <v>157353.69719160002</v>
      </c>
      <c r="Q65" s="21">
        <v>1</v>
      </c>
      <c r="R65" s="21">
        <v>0</v>
      </c>
      <c r="S65" s="86">
        <f t="shared" si="31"/>
        <v>13918947.120000001</v>
      </c>
      <c r="T65" s="86">
        <f t="shared" si="32"/>
        <v>157353.69719160002</v>
      </c>
      <c r="U65" s="86">
        <f t="shared" si="33"/>
        <v>6424129.4399999995</v>
      </c>
      <c r="V65" s="86">
        <f t="shared" si="34"/>
        <v>72624.7833192</v>
      </c>
      <c r="W65" s="21">
        <f t="shared" si="35"/>
        <v>0</v>
      </c>
      <c r="X65" s="21">
        <f t="shared" si="36"/>
        <v>0</v>
      </c>
    </row>
    <row r="66" spans="2:24" ht="12.75">
      <c r="B66" s="21">
        <f t="shared" si="24"/>
        <v>1998</v>
      </c>
      <c r="C66" s="86">
        <f t="shared" si="25"/>
        <v>15612396.479999999</v>
      </c>
      <c r="D66" s="86">
        <f t="shared" si="26"/>
        <v>177278.76203040002</v>
      </c>
      <c r="E66" s="21">
        <v>0.25</v>
      </c>
      <c r="F66" s="21">
        <v>0</v>
      </c>
      <c r="G66" s="86">
        <f t="shared" si="27"/>
        <v>11709297.36</v>
      </c>
      <c r="H66" s="86">
        <f t="shared" si="28"/>
        <v>132959.07152280002</v>
      </c>
      <c r="J66" s="283"/>
      <c r="K66" s="283"/>
      <c r="M66" s="283"/>
      <c r="N66" s="283"/>
      <c r="O66" s="283">
        <f t="shared" si="29"/>
        <v>16913429.52</v>
      </c>
      <c r="P66" s="283">
        <f t="shared" si="30"/>
        <v>192051.9921996</v>
      </c>
      <c r="Q66" s="21">
        <v>1</v>
      </c>
      <c r="R66" s="21">
        <v>0</v>
      </c>
      <c r="S66" s="86">
        <f t="shared" si="31"/>
        <v>16913429.52</v>
      </c>
      <c r="T66" s="86">
        <f t="shared" si="32"/>
        <v>192051.9921996</v>
      </c>
      <c r="U66" s="86">
        <f t="shared" si="33"/>
        <v>3903099.1199999996</v>
      </c>
      <c r="V66" s="86">
        <f t="shared" si="34"/>
        <v>44319.690507600004</v>
      </c>
      <c r="W66" s="21">
        <f t="shared" si="35"/>
        <v>0</v>
      </c>
      <c r="X66" s="21">
        <f t="shared" si="36"/>
        <v>0</v>
      </c>
    </row>
    <row r="67" spans="2:24" ht="12.75">
      <c r="B67" s="21">
        <f t="shared" si="24"/>
        <v>1999</v>
      </c>
      <c r="C67" s="86">
        <f t="shared" si="25"/>
        <v>18954387.84</v>
      </c>
      <c r="D67" s="86">
        <f t="shared" si="26"/>
        <v>208687.81011839997</v>
      </c>
      <c r="E67" s="21">
        <v>0.25</v>
      </c>
      <c r="F67" s="21">
        <v>0</v>
      </c>
      <c r="G67" s="86">
        <f t="shared" si="27"/>
        <v>14215790.879999999</v>
      </c>
      <c r="H67" s="86">
        <f t="shared" si="28"/>
        <v>156515.85758879996</v>
      </c>
      <c r="J67" s="283"/>
      <c r="K67" s="283"/>
      <c r="M67" s="283"/>
      <c r="N67" s="283"/>
      <c r="O67" s="283">
        <f t="shared" si="29"/>
        <v>20533920.16</v>
      </c>
      <c r="P67" s="283">
        <f t="shared" si="30"/>
        <v>226078.4609616</v>
      </c>
      <c r="Q67" s="21">
        <v>1</v>
      </c>
      <c r="R67" s="21">
        <v>0</v>
      </c>
      <c r="S67" s="86">
        <f t="shared" si="31"/>
        <v>20533920.16</v>
      </c>
      <c r="T67" s="86">
        <f t="shared" si="32"/>
        <v>226078.4609616</v>
      </c>
      <c r="U67" s="86">
        <f t="shared" si="33"/>
        <v>4738596.96</v>
      </c>
      <c r="V67" s="86">
        <f t="shared" si="34"/>
        <v>52171.95252959999</v>
      </c>
      <c r="W67" s="21">
        <f t="shared" si="35"/>
        <v>0</v>
      </c>
      <c r="X67" s="21">
        <f t="shared" si="36"/>
        <v>0</v>
      </c>
    </row>
    <row r="68" spans="2:24" ht="12.75">
      <c r="B68" s="21">
        <f t="shared" si="24"/>
        <v>2000</v>
      </c>
      <c r="C68" s="86">
        <f t="shared" si="25"/>
        <v>19594727.04</v>
      </c>
      <c r="D68" s="86">
        <f t="shared" si="26"/>
        <v>216129.8392512</v>
      </c>
      <c r="E68" s="21">
        <v>0.25</v>
      </c>
      <c r="F68" s="21">
        <v>0</v>
      </c>
      <c r="G68" s="86">
        <f t="shared" si="27"/>
        <v>14696045.28</v>
      </c>
      <c r="H68" s="86">
        <f t="shared" si="28"/>
        <v>162097.3794384</v>
      </c>
      <c r="J68" s="283"/>
      <c r="K68" s="283"/>
      <c r="M68" s="283"/>
      <c r="N68" s="283"/>
      <c r="O68" s="283">
        <f t="shared" si="29"/>
        <v>21227620.96</v>
      </c>
      <c r="P68" s="283">
        <f t="shared" si="30"/>
        <v>234140.6591888</v>
      </c>
      <c r="Q68" s="21">
        <v>1</v>
      </c>
      <c r="R68" s="21">
        <v>0</v>
      </c>
      <c r="S68" s="86">
        <f t="shared" si="31"/>
        <v>21227620.96</v>
      </c>
      <c r="T68" s="86">
        <f t="shared" si="32"/>
        <v>234140.6591888</v>
      </c>
      <c r="U68" s="86">
        <f t="shared" si="33"/>
        <v>4898681.76</v>
      </c>
      <c r="V68" s="86">
        <f t="shared" si="34"/>
        <v>54032.4598128</v>
      </c>
      <c r="W68" s="21">
        <f t="shared" si="35"/>
        <v>0</v>
      </c>
      <c r="X68" s="21">
        <f t="shared" si="36"/>
        <v>0</v>
      </c>
    </row>
    <row r="69" spans="2:24" ht="12.75">
      <c r="B69" s="21">
        <f t="shared" si="24"/>
        <v>2001</v>
      </c>
      <c r="C69" s="86">
        <f t="shared" si="25"/>
        <v>16844417.28</v>
      </c>
      <c r="D69" s="86">
        <f t="shared" si="26"/>
        <v>185288.59008</v>
      </c>
      <c r="E69" s="21">
        <v>0</v>
      </c>
      <c r="F69" s="21">
        <v>1</v>
      </c>
      <c r="G69" s="86">
        <f t="shared" si="27"/>
        <v>0</v>
      </c>
      <c r="H69" s="86">
        <f t="shared" si="28"/>
        <v>0</v>
      </c>
      <c r="I69" s="21">
        <v>1</v>
      </c>
      <c r="J69" s="283">
        <f aca="true" t="shared" si="37" ref="J69:J75">C69*I69</f>
        <v>16844417.28</v>
      </c>
      <c r="K69" s="283">
        <f aca="true" t="shared" si="38" ref="K69:K75">D69*I69</f>
        <v>185288.59008</v>
      </c>
      <c r="L69" s="21">
        <v>0</v>
      </c>
      <c r="M69" s="283">
        <f aca="true" t="shared" si="39" ref="M69:N75">C69*$L69</f>
        <v>0</v>
      </c>
      <c r="N69" s="283">
        <f t="shared" si="39"/>
        <v>0</v>
      </c>
      <c r="O69" s="283">
        <f t="shared" si="29"/>
        <v>18248118.72</v>
      </c>
      <c r="P69" s="283">
        <f t="shared" si="30"/>
        <v>200729.30592</v>
      </c>
      <c r="Q69" s="21">
        <v>1</v>
      </c>
      <c r="R69" s="21">
        <v>0</v>
      </c>
      <c r="S69" s="86">
        <f t="shared" si="31"/>
        <v>18248118.72</v>
      </c>
      <c r="T69" s="86">
        <f t="shared" si="32"/>
        <v>200729.30592</v>
      </c>
      <c r="U69" s="86">
        <f t="shared" si="33"/>
        <v>0</v>
      </c>
      <c r="V69" s="86">
        <f t="shared" si="34"/>
        <v>0</v>
      </c>
      <c r="W69" s="21">
        <f t="shared" si="35"/>
        <v>0</v>
      </c>
      <c r="X69" s="21">
        <f t="shared" si="36"/>
        <v>0</v>
      </c>
    </row>
    <row r="70" spans="2:24" ht="12.75">
      <c r="B70" s="21">
        <f t="shared" si="24"/>
        <v>2002</v>
      </c>
      <c r="C70" s="86">
        <f t="shared" si="25"/>
        <v>16839398.4</v>
      </c>
      <c r="D70" s="86">
        <f t="shared" si="26"/>
        <v>203167.341696</v>
      </c>
      <c r="E70" s="21">
        <v>0</v>
      </c>
      <c r="F70" s="21">
        <v>1</v>
      </c>
      <c r="G70" s="86">
        <f t="shared" si="27"/>
        <v>0</v>
      </c>
      <c r="H70" s="86">
        <f t="shared" si="28"/>
        <v>0</v>
      </c>
      <c r="I70" s="21">
        <v>1</v>
      </c>
      <c r="J70" s="283">
        <f t="shared" si="37"/>
        <v>16839398.4</v>
      </c>
      <c r="K70" s="283">
        <f t="shared" si="38"/>
        <v>203167.341696</v>
      </c>
      <c r="L70" s="21">
        <v>0</v>
      </c>
      <c r="M70" s="283">
        <f t="shared" si="39"/>
        <v>0</v>
      </c>
      <c r="N70" s="283">
        <f t="shared" si="39"/>
        <v>0</v>
      </c>
      <c r="O70" s="283">
        <f t="shared" si="29"/>
        <v>18242681.6</v>
      </c>
      <c r="P70" s="283">
        <f t="shared" si="30"/>
        <v>220097.953504</v>
      </c>
      <c r="Q70" s="21">
        <v>1</v>
      </c>
      <c r="R70" s="21">
        <v>0</v>
      </c>
      <c r="S70" s="86">
        <f t="shared" si="31"/>
        <v>18242681.6</v>
      </c>
      <c r="T70" s="86">
        <f t="shared" si="32"/>
        <v>220097.953504</v>
      </c>
      <c r="U70" s="86">
        <f t="shared" si="33"/>
        <v>0</v>
      </c>
      <c r="V70" s="86">
        <f t="shared" si="34"/>
        <v>0</v>
      </c>
      <c r="W70" s="21">
        <f t="shared" si="35"/>
        <v>0</v>
      </c>
      <c r="X70" s="21">
        <f t="shared" si="36"/>
        <v>0</v>
      </c>
    </row>
    <row r="71" spans="2:24" ht="12.75">
      <c r="B71" s="21">
        <f t="shared" si="24"/>
        <v>2003</v>
      </c>
      <c r="C71" s="86">
        <f t="shared" si="25"/>
        <v>17740477.439999998</v>
      </c>
      <c r="D71" s="86">
        <f t="shared" si="26"/>
        <v>195145.25183999998</v>
      </c>
      <c r="E71" s="21">
        <v>0</v>
      </c>
      <c r="F71" s="21">
        <v>1</v>
      </c>
      <c r="G71" s="86">
        <f t="shared" si="27"/>
        <v>0</v>
      </c>
      <c r="H71" s="86">
        <f t="shared" si="28"/>
        <v>0</v>
      </c>
      <c r="I71" s="21">
        <v>1</v>
      </c>
      <c r="J71" s="283">
        <f t="shared" si="37"/>
        <v>17740477.439999998</v>
      </c>
      <c r="K71" s="283">
        <f t="shared" si="38"/>
        <v>195145.25183999998</v>
      </c>
      <c r="L71" s="21">
        <v>0</v>
      </c>
      <c r="M71" s="283">
        <f t="shared" si="39"/>
        <v>0</v>
      </c>
      <c r="N71" s="283">
        <f t="shared" si="39"/>
        <v>0</v>
      </c>
      <c r="O71" s="283">
        <f t="shared" si="29"/>
        <v>19218850.560000002</v>
      </c>
      <c r="P71" s="283">
        <f t="shared" si="30"/>
        <v>211407.35616000002</v>
      </c>
      <c r="Q71" s="21">
        <v>0.3</v>
      </c>
      <c r="R71" s="21">
        <v>0.7</v>
      </c>
      <c r="S71" s="86">
        <f t="shared" si="31"/>
        <v>5765655.1680000005</v>
      </c>
      <c r="T71" s="86">
        <f t="shared" si="32"/>
        <v>63422.206848</v>
      </c>
      <c r="U71" s="86">
        <f t="shared" si="33"/>
        <v>0</v>
      </c>
      <c r="V71" s="86">
        <f t="shared" si="34"/>
        <v>0</v>
      </c>
      <c r="W71" s="21">
        <f t="shared" si="35"/>
        <v>13453195.392</v>
      </c>
      <c r="X71" s="21">
        <f t="shared" si="36"/>
        <v>147985.149312</v>
      </c>
    </row>
    <row r="72" spans="2:24" ht="12.75">
      <c r="B72" s="21">
        <f t="shared" si="24"/>
        <v>2004</v>
      </c>
      <c r="C72" s="86">
        <f t="shared" si="25"/>
        <v>18889040.64</v>
      </c>
      <c r="D72" s="86">
        <f t="shared" si="26"/>
        <v>207779.44704</v>
      </c>
      <c r="E72" s="21">
        <v>0</v>
      </c>
      <c r="F72" s="21">
        <v>1</v>
      </c>
      <c r="G72" s="86">
        <f t="shared" si="27"/>
        <v>0</v>
      </c>
      <c r="H72" s="86">
        <f t="shared" si="28"/>
        <v>0</v>
      </c>
      <c r="I72" s="21">
        <v>0</v>
      </c>
      <c r="J72" s="283">
        <f t="shared" si="37"/>
        <v>0</v>
      </c>
      <c r="K72" s="283">
        <f t="shared" si="38"/>
        <v>0</v>
      </c>
      <c r="L72" s="21">
        <v>1</v>
      </c>
      <c r="M72" s="283">
        <f t="shared" si="39"/>
        <v>18889040.64</v>
      </c>
      <c r="N72" s="283">
        <f t="shared" si="39"/>
        <v>207779.44704</v>
      </c>
      <c r="O72" s="283">
        <f t="shared" si="29"/>
        <v>20463127.36</v>
      </c>
      <c r="P72" s="283">
        <f t="shared" si="30"/>
        <v>225094.40096</v>
      </c>
      <c r="Q72" s="21">
        <v>0.3</v>
      </c>
      <c r="R72" s="21">
        <v>0.7</v>
      </c>
      <c r="S72" s="86">
        <f t="shared" si="31"/>
        <v>6138938.208</v>
      </c>
      <c r="T72" s="86">
        <f t="shared" si="32"/>
        <v>67528.320288</v>
      </c>
      <c r="U72" s="86">
        <f t="shared" si="33"/>
        <v>0</v>
      </c>
      <c r="V72" s="86">
        <f t="shared" si="34"/>
        <v>0</v>
      </c>
      <c r="W72" s="21">
        <f t="shared" si="35"/>
        <v>14324189.151999999</v>
      </c>
      <c r="X72" s="21">
        <f t="shared" si="36"/>
        <v>157566.08067199998</v>
      </c>
    </row>
    <row r="73" spans="2:24" ht="12.75">
      <c r="B73" s="21">
        <v>2005</v>
      </c>
      <c r="C73" s="86">
        <f aca="true" t="shared" si="40" ref="C73:D75">F33</f>
        <v>18262992.96</v>
      </c>
      <c r="D73" s="86">
        <f t="shared" si="40"/>
        <v>200892.92256</v>
      </c>
      <c r="E73" s="21">
        <v>0</v>
      </c>
      <c r="F73" s="21">
        <v>1</v>
      </c>
      <c r="G73" s="86">
        <f t="shared" si="27"/>
        <v>0</v>
      </c>
      <c r="H73" s="86">
        <f t="shared" si="28"/>
        <v>0</v>
      </c>
      <c r="I73" s="21">
        <v>0</v>
      </c>
      <c r="J73" s="283">
        <f t="shared" si="37"/>
        <v>0</v>
      </c>
      <c r="K73" s="283">
        <f t="shared" si="38"/>
        <v>0</v>
      </c>
      <c r="L73" s="21">
        <v>1</v>
      </c>
      <c r="M73" s="283">
        <f t="shared" si="39"/>
        <v>18262992.96</v>
      </c>
      <c r="N73" s="283">
        <f t="shared" si="39"/>
        <v>200892.92256</v>
      </c>
      <c r="O73" s="283">
        <f aca="true" t="shared" si="41" ref="O73:P75">H33</f>
        <v>19784909.04</v>
      </c>
      <c r="P73" s="283">
        <f t="shared" si="41"/>
        <v>217633.99944</v>
      </c>
      <c r="Q73" s="21">
        <v>0</v>
      </c>
      <c r="R73" s="21">
        <v>1</v>
      </c>
      <c r="S73" s="86">
        <f t="shared" si="31"/>
        <v>0</v>
      </c>
      <c r="T73" s="86">
        <f t="shared" si="32"/>
        <v>0</v>
      </c>
      <c r="U73" s="86">
        <f t="shared" si="33"/>
        <v>0</v>
      </c>
      <c r="V73" s="86">
        <f t="shared" si="34"/>
        <v>0</v>
      </c>
      <c r="W73" s="21">
        <f t="shared" si="35"/>
        <v>19784909.04</v>
      </c>
      <c r="X73" s="21">
        <f t="shared" si="36"/>
        <v>217633.99944</v>
      </c>
    </row>
    <row r="74" spans="2:24" ht="12.75">
      <c r="B74" s="21">
        <v>2006</v>
      </c>
      <c r="C74" s="86">
        <f t="shared" si="40"/>
        <v>17000964.48</v>
      </c>
      <c r="D74" s="86">
        <f t="shared" si="40"/>
        <v>187010.60927999998</v>
      </c>
      <c r="E74" s="21">
        <v>0</v>
      </c>
      <c r="F74" s="21">
        <v>1</v>
      </c>
      <c r="G74" s="86">
        <f t="shared" si="27"/>
        <v>0</v>
      </c>
      <c r="H74" s="86">
        <f t="shared" si="28"/>
        <v>0</v>
      </c>
      <c r="I74" s="21">
        <v>0</v>
      </c>
      <c r="J74" s="283">
        <f t="shared" si="37"/>
        <v>0</v>
      </c>
      <c r="K74" s="283">
        <f t="shared" si="38"/>
        <v>0</v>
      </c>
      <c r="L74" s="21">
        <v>1</v>
      </c>
      <c r="M74" s="283">
        <f t="shared" si="39"/>
        <v>17000964.48</v>
      </c>
      <c r="N74" s="283">
        <f t="shared" si="39"/>
        <v>187010.60927999998</v>
      </c>
      <c r="O74" s="283">
        <f t="shared" si="41"/>
        <v>18417711.52</v>
      </c>
      <c r="P74" s="283">
        <f t="shared" si="41"/>
        <v>202594.82672</v>
      </c>
      <c r="Q74" s="21">
        <v>0</v>
      </c>
      <c r="R74" s="21">
        <v>1</v>
      </c>
      <c r="S74" s="86">
        <f>O74*$Q74</f>
        <v>0</v>
      </c>
      <c r="T74" s="86">
        <f>P74*$Q74</f>
        <v>0</v>
      </c>
      <c r="U74" s="86">
        <f>C74*$E74</f>
        <v>0</v>
      </c>
      <c r="V74" s="86">
        <f>D74*$E74</f>
        <v>0</v>
      </c>
      <c r="W74" s="21">
        <f t="shared" si="35"/>
        <v>18417711.52</v>
      </c>
      <c r="X74" s="21">
        <f t="shared" si="36"/>
        <v>202594.82672</v>
      </c>
    </row>
    <row r="75" spans="2:24" ht="12.75">
      <c r="B75" s="21">
        <v>2007</v>
      </c>
      <c r="C75" s="86">
        <f t="shared" si="40"/>
        <v>16421568.479999999</v>
      </c>
      <c r="D75" s="86">
        <f t="shared" si="40"/>
        <v>180637.25327999998</v>
      </c>
      <c r="E75" s="21">
        <v>0</v>
      </c>
      <c r="F75" s="21">
        <v>1</v>
      </c>
      <c r="G75" s="86">
        <f t="shared" si="27"/>
        <v>0</v>
      </c>
      <c r="H75" s="86">
        <f t="shared" si="28"/>
        <v>0</v>
      </c>
      <c r="I75" s="21">
        <v>0</v>
      </c>
      <c r="J75" s="283">
        <f t="shared" si="37"/>
        <v>0</v>
      </c>
      <c r="K75" s="283">
        <f t="shared" si="38"/>
        <v>0</v>
      </c>
      <c r="L75" s="21">
        <v>1</v>
      </c>
      <c r="M75" s="283">
        <f t="shared" si="39"/>
        <v>16421568.479999999</v>
      </c>
      <c r="N75" s="283">
        <f t="shared" si="39"/>
        <v>180637.25327999998</v>
      </c>
      <c r="O75" s="283">
        <f t="shared" si="41"/>
        <v>17790032.52</v>
      </c>
      <c r="P75" s="283">
        <f t="shared" si="41"/>
        <v>195690.35772</v>
      </c>
      <c r="Q75" s="21">
        <v>0</v>
      </c>
      <c r="R75" s="21">
        <v>1</v>
      </c>
      <c r="S75" s="86">
        <f>O75*$Q75</f>
        <v>0</v>
      </c>
      <c r="T75" s="86">
        <f>P75*$Q75</f>
        <v>0</v>
      </c>
      <c r="U75" s="86">
        <f>C75*$E75</f>
        <v>0</v>
      </c>
      <c r="V75" s="86">
        <f>D75*$E75</f>
        <v>0</v>
      </c>
      <c r="W75" s="21">
        <f t="shared" si="35"/>
        <v>17790032.52</v>
      </c>
      <c r="X75" s="21">
        <f t="shared" si="36"/>
        <v>195690.35772</v>
      </c>
    </row>
    <row r="76" spans="2:24" ht="12.75">
      <c r="B76" s="21" t="s">
        <v>22</v>
      </c>
      <c r="C76" s="283">
        <f>SUM(C48:C75)</f>
        <v>263568971.06105807</v>
      </c>
      <c r="G76" s="283">
        <f>SUM(G48:G75)</f>
        <v>65724019.3872</v>
      </c>
      <c r="H76" s="283">
        <f>SUM(H48:H75)</f>
        <v>731428.037357184</v>
      </c>
      <c r="I76" s="86"/>
      <c r="J76" s="283">
        <f>SUM(J48:J75)</f>
        <v>51424293.12</v>
      </c>
      <c r="K76" s="283">
        <f>SUM(K48:K75)</f>
        <v>583601.183616</v>
      </c>
      <c r="M76" s="283">
        <f>SUM(M48:M75)</f>
        <v>70574566.56</v>
      </c>
      <c r="N76" s="283">
        <f>SUM(N48:N75)</f>
        <v>776320.2321599999</v>
      </c>
      <c r="O76" s="283">
        <f>SUM(O48:O75)</f>
        <v>285533051.9828129</v>
      </c>
      <c r="S76" s="283">
        <f aca="true" t="shared" si="42" ref="S76:X76">SUM(S48:S75)</f>
        <v>201763014.35881293</v>
      </c>
      <c r="T76" s="283">
        <f t="shared" si="42"/>
        <v>2253024.5550986063</v>
      </c>
      <c r="U76" s="283">
        <f t="shared" si="42"/>
        <v>75846091.99385807</v>
      </c>
      <c r="V76" s="283">
        <f t="shared" si="42"/>
        <v>838953.5951399908</v>
      </c>
      <c r="W76" s="283">
        <f t="shared" si="42"/>
        <v>83770037.624</v>
      </c>
      <c r="X76" s="283">
        <f t="shared" si="42"/>
        <v>921470.413864</v>
      </c>
    </row>
    <row r="78" ht="12.75">
      <c r="Q78" s="283">
        <f>O76+M76+J76+G76</f>
        <v>473255931.0500129</v>
      </c>
    </row>
  </sheetData>
  <mergeCells count="33">
    <mergeCell ref="AC6:AD6"/>
    <mergeCell ref="AL43:AN49"/>
    <mergeCell ref="AG5:AH5"/>
    <mergeCell ref="AU27:AV27"/>
    <mergeCell ref="AQ5:AR5"/>
    <mergeCell ref="AS5:AT5"/>
    <mergeCell ref="AO5:AP5"/>
    <mergeCell ref="AI5:AJ5"/>
    <mergeCell ref="AK5:AL5"/>
    <mergeCell ref="AM5:AN5"/>
    <mergeCell ref="B1:AF1"/>
    <mergeCell ref="J6:M6"/>
    <mergeCell ref="AE6:AF6"/>
    <mergeCell ref="Q5:AF5"/>
    <mergeCell ref="B5:E5"/>
    <mergeCell ref="B3:E3"/>
    <mergeCell ref="Q6:R6"/>
    <mergeCell ref="J5:N5"/>
    <mergeCell ref="S6:T6"/>
    <mergeCell ref="F5:G5"/>
    <mergeCell ref="S46:T46"/>
    <mergeCell ref="U46:V46"/>
    <mergeCell ref="U6:V6"/>
    <mergeCell ref="W6:X6"/>
    <mergeCell ref="W46:X46"/>
    <mergeCell ref="Y6:Z6"/>
    <mergeCell ref="AA6:AB6"/>
    <mergeCell ref="H5:I5"/>
    <mergeCell ref="N6:P6"/>
    <mergeCell ref="J46:K46"/>
    <mergeCell ref="M46:N46"/>
    <mergeCell ref="O46:P46"/>
    <mergeCell ref="G46:H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93"/>
  <sheetViews>
    <sheetView workbookViewId="0" topLeftCell="K1">
      <selection activeCell="N11" sqref="N11"/>
    </sheetView>
  </sheetViews>
  <sheetFormatPr defaultColWidth="9.140625" defaultRowHeight="12.75"/>
  <cols>
    <col min="1" max="1" width="26.140625" style="0" customWidth="1"/>
    <col min="2" max="2" width="10.7109375" style="0" customWidth="1"/>
    <col min="3" max="3" width="1.57421875" style="0" customWidth="1"/>
    <col min="4" max="4" width="10.140625" style="0" bestFit="1" customWidth="1"/>
    <col min="5" max="5" width="1.421875" style="0" customWidth="1"/>
    <col min="7" max="7" width="1.57421875" style="0" customWidth="1"/>
    <col min="11" max="11" width="22.57421875" style="0" customWidth="1"/>
    <col min="12" max="12" width="19.57421875" style="0" customWidth="1"/>
    <col min="13" max="13" width="13.7109375" style="0" customWidth="1"/>
    <col min="14" max="14" width="11.28125" style="0" customWidth="1"/>
    <col min="15" max="15" width="16.28125" style="0" customWidth="1"/>
    <col min="16" max="16" width="12.140625" style="0" customWidth="1"/>
    <col min="17" max="17" width="10.7109375" style="0" customWidth="1"/>
    <col min="18" max="18" width="10.140625" style="0" customWidth="1"/>
    <col min="19" max="19" width="11.28125" style="0" customWidth="1"/>
  </cols>
  <sheetData>
    <row r="1" ht="12.75">
      <c r="K1" t="s">
        <v>265</v>
      </c>
    </row>
    <row r="2" spans="1:16" ht="38.25" customHeight="1" thickBot="1">
      <c r="A2" s="497"/>
      <c r="B2" s="497"/>
      <c r="C2" s="497"/>
      <c r="D2" s="497"/>
      <c r="E2" s="303"/>
      <c r="F2" s="303"/>
      <c r="G2" s="303"/>
      <c r="H2" s="303"/>
      <c r="K2" s="498" t="s">
        <v>241</v>
      </c>
      <c r="L2" s="498"/>
      <c r="M2" s="498"/>
      <c r="N2" s="498"/>
      <c r="O2" s="498"/>
      <c r="P2" s="488"/>
    </row>
    <row r="3" spans="1:16" ht="15.75" thickBot="1">
      <c r="A3" s="371"/>
      <c r="B3" s="39"/>
      <c r="C3" s="304"/>
      <c r="D3" s="39"/>
      <c r="E3" s="301"/>
      <c r="F3" s="301"/>
      <c r="G3" s="301"/>
      <c r="H3" s="301"/>
      <c r="K3" s="286"/>
      <c r="L3" s="496" t="s">
        <v>160</v>
      </c>
      <c r="M3" s="491"/>
      <c r="N3" s="491"/>
      <c r="O3" s="491"/>
      <c r="P3" s="236"/>
    </row>
    <row r="4" spans="1:16" ht="15">
      <c r="A4" s="39"/>
      <c r="B4" s="39"/>
      <c r="C4" s="304"/>
      <c r="D4" s="372"/>
      <c r="E4" s="301"/>
      <c r="F4" s="301"/>
      <c r="G4" s="301"/>
      <c r="H4" s="301"/>
      <c r="L4" s="297" t="s">
        <v>161</v>
      </c>
      <c r="M4" s="297" t="s">
        <v>159</v>
      </c>
      <c r="N4" s="297"/>
      <c r="O4" s="297"/>
      <c r="P4" s="287" t="s">
        <v>195</v>
      </c>
    </row>
    <row r="5" spans="1:22" ht="15.75" thickBot="1">
      <c r="A5" s="371"/>
      <c r="B5" s="39"/>
      <c r="C5" s="304"/>
      <c r="D5" s="39"/>
      <c r="E5" s="304"/>
      <c r="F5" s="302"/>
      <c r="G5" s="302"/>
      <c r="H5" s="302"/>
      <c r="K5" s="288" t="s">
        <v>108</v>
      </c>
      <c r="L5" s="289" t="s">
        <v>158</v>
      </c>
      <c r="M5" s="289" t="s">
        <v>110</v>
      </c>
      <c r="N5" s="289" t="s">
        <v>162</v>
      </c>
      <c r="O5" s="289" t="s">
        <v>163</v>
      </c>
      <c r="P5" s="289" t="s">
        <v>242</v>
      </c>
      <c r="Q5" s="413"/>
      <c r="R5" s="288" t="s">
        <v>108</v>
      </c>
      <c r="S5" s="289" t="s">
        <v>168</v>
      </c>
      <c r="T5" s="289" t="s">
        <v>110</v>
      </c>
      <c r="U5" s="289" t="s">
        <v>162</v>
      </c>
      <c r="V5" s="289" t="s">
        <v>163</v>
      </c>
    </row>
    <row r="6" spans="1:22" ht="15">
      <c r="A6" s="371"/>
      <c r="B6" s="39"/>
      <c r="C6" s="304"/>
      <c r="D6" s="372"/>
      <c r="E6" s="304"/>
      <c r="F6" s="302"/>
      <c r="G6" s="302"/>
      <c r="H6" s="302"/>
      <c r="K6" s="291" t="s">
        <v>156</v>
      </c>
      <c r="L6" s="292">
        <f>Desktops!U76/1000000</f>
        <v>75.84609199385807</v>
      </c>
      <c r="M6" s="292">
        <f>Desktops!G76/1000000</f>
        <v>65.7240193872</v>
      </c>
      <c r="N6" s="292">
        <f>Desktops!M76/1000000</f>
        <v>70.57456656000001</v>
      </c>
      <c r="O6" s="292">
        <f>Desktops!J76/1000000</f>
        <v>51.424293119999994</v>
      </c>
      <c r="P6" s="298">
        <f>Desktops!C76/1000000</f>
        <v>263.56897106105805</v>
      </c>
      <c r="Q6" s="317"/>
      <c r="R6" s="291" t="s">
        <v>156</v>
      </c>
      <c r="S6" s="292">
        <f>L6</f>
        <v>75.84609199385807</v>
      </c>
      <c r="T6" s="292">
        <f>M6</f>
        <v>65.7240193872</v>
      </c>
      <c r="U6" s="292">
        <f>N6</f>
        <v>70.57456656000001</v>
      </c>
      <c r="V6" s="292">
        <f>O6</f>
        <v>51.424293119999994</v>
      </c>
    </row>
    <row r="7" spans="1:17" ht="15">
      <c r="A7" s="371"/>
      <c r="B7" s="39"/>
      <c r="C7" s="304"/>
      <c r="D7" s="373"/>
      <c r="E7" s="304"/>
      <c r="F7" s="302"/>
      <c r="G7" s="302"/>
      <c r="H7" s="302"/>
      <c r="J7" s="390"/>
      <c r="K7" s="291" t="s">
        <v>155</v>
      </c>
      <c r="L7" s="292">
        <f>('PC CRTs'!V76+'PC Flat Panel'!V76)/1000000</f>
        <v>121.36225091225806</v>
      </c>
      <c r="M7" s="292">
        <f>('PC CRTs'!H76+'PC Flat Panel'!H76)/1000000</f>
        <v>42.44495172</v>
      </c>
      <c r="N7" s="292">
        <f>('PC CRTs'!N76+'PC Flat Panel'!N76)/1000000</f>
        <v>75.57375839999999</v>
      </c>
      <c r="O7" s="292">
        <f>('PC CRTs'!K76+'PC Flat Panel'!K76)/1000000</f>
        <v>43.18245744</v>
      </c>
      <c r="P7" s="292">
        <f>('PC CRTs'!D76+'PC Flat Panel'!D76)/1000000</f>
        <v>282.56341847225804</v>
      </c>
      <c r="Q7" s="317"/>
    </row>
    <row r="8" spans="1:22" ht="15.75" thickBot="1">
      <c r="A8" s="371"/>
      <c r="B8" s="39"/>
      <c r="C8" s="304"/>
      <c r="D8" s="373"/>
      <c r="E8" s="304"/>
      <c r="F8" s="302"/>
      <c r="G8" s="302"/>
      <c r="H8" s="302"/>
      <c r="K8" s="291" t="s">
        <v>109</v>
      </c>
      <c r="L8" s="292">
        <f>Portables!U76/1000000</f>
        <v>27.7585917312</v>
      </c>
      <c r="M8" s="292">
        <f>Portables!G76/1000000</f>
        <v>2.0682475199999995</v>
      </c>
      <c r="N8" s="292">
        <f>Portables!M76/1000000</f>
        <v>43.47177264</v>
      </c>
      <c r="O8" s="292">
        <f>Portables!J76/1000000</f>
        <v>8.69774592</v>
      </c>
      <c r="P8" s="292">
        <f>Portables!C76/1000000</f>
        <v>81.9963578112</v>
      </c>
      <c r="Q8" s="317"/>
      <c r="R8" s="288" t="s">
        <v>108</v>
      </c>
      <c r="S8" s="289" t="s">
        <v>168</v>
      </c>
      <c r="T8" s="289" t="s">
        <v>110</v>
      </c>
      <c r="U8" s="289" t="s">
        <v>162</v>
      </c>
      <c r="V8" s="289" t="s">
        <v>163</v>
      </c>
    </row>
    <row r="9" spans="1:22" ht="15.75" thickBot="1">
      <c r="A9" s="39"/>
      <c r="B9" s="39"/>
      <c r="C9" s="39"/>
      <c r="D9" s="39"/>
      <c r="E9" s="304"/>
      <c r="F9" s="302"/>
      <c r="G9" s="302"/>
      <c r="H9" s="302"/>
      <c r="J9" s="390"/>
      <c r="K9" s="293" t="s">
        <v>157</v>
      </c>
      <c r="L9" s="294">
        <f>'Hard Copy Devices'!U76/1000000</f>
        <v>74.15032731193548</v>
      </c>
      <c r="M9" s="294">
        <f>'Hard Copy Devices'!G76/1000000</f>
        <v>25.217792501999998</v>
      </c>
      <c r="N9" s="294">
        <f>'Hard Copy Devices'!M76/1000000</f>
        <v>65.55172305673041</v>
      </c>
      <c r="O9" s="294">
        <f>'Hard Copy Devices'!J76/1000000</f>
        <v>31.01792832</v>
      </c>
      <c r="P9" s="294">
        <f>'Hard Copy Devices'!C76/1000000</f>
        <v>195.93777119066587</v>
      </c>
      <c r="Q9" s="317"/>
      <c r="R9" s="291" t="s">
        <v>155</v>
      </c>
      <c r="S9" s="292">
        <f>L7</f>
        <v>121.36225091225806</v>
      </c>
      <c r="T9" s="292">
        <f>M7</f>
        <v>42.44495172</v>
      </c>
      <c r="U9" s="292">
        <f>N7</f>
        <v>75.57375839999999</v>
      </c>
      <c r="V9" s="292">
        <f>O7</f>
        <v>43.18245744</v>
      </c>
    </row>
    <row r="10" spans="1:17" ht="15.75" thickBot="1">
      <c r="A10" s="39"/>
      <c r="B10" s="39"/>
      <c r="C10" s="39"/>
      <c r="D10" s="39"/>
      <c r="E10" s="304"/>
      <c r="F10" s="302"/>
      <c r="G10" s="302"/>
      <c r="H10" s="302"/>
      <c r="K10" s="295" t="s">
        <v>22</v>
      </c>
      <c r="L10" s="296">
        <f>SUM(L6:L9)</f>
        <v>299.1172619492516</v>
      </c>
      <c r="M10" s="296">
        <f>SUM(M6:M9)</f>
        <v>135.45501112920002</v>
      </c>
      <c r="N10" s="296">
        <f>SUM(N6:N9)</f>
        <v>255.1718206567304</v>
      </c>
      <c r="O10" s="296">
        <f>SUM(O6:O9)</f>
        <v>134.3224248</v>
      </c>
      <c r="P10" s="296">
        <f>SUM(P6:P9)</f>
        <v>824.066518535182</v>
      </c>
      <c r="Q10" s="317"/>
    </row>
    <row r="11" spans="1:22" ht="24.75" customHeight="1" thickBot="1">
      <c r="A11" s="494"/>
      <c r="B11" s="495"/>
      <c r="C11" s="495"/>
      <c r="D11" s="495"/>
      <c r="E11" s="495"/>
      <c r="F11" s="495"/>
      <c r="G11" s="495"/>
      <c r="H11" s="495"/>
      <c r="L11" s="446">
        <f>L10/$P10</f>
        <v>0.36297708403557877</v>
      </c>
      <c r="M11" s="446">
        <f>M10/$P10</f>
        <v>0.16437388012071869</v>
      </c>
      <c r="N11" s="446">
        <f>N10/$P10</f>
        <v>0.30964954274602813</v>
      </c>
      <c r="O11" s="446">
        <f>O10/$P10</f>
        <v>0.16299949309767442</v>
      </c>
      <c r="P11" s="446">
        <f>P10/$P10</f>
        <v>1</v>
      </c>
      <c r="R11" s="288" t="s">
        <v>108</v>
      </c>
      <c r="S11" s="289" t="s">
        <v>168</v>
      </c>
      <c r="T11" s="289" t="s">
        <v>110</v>
      </c>
      <c r="U11" s="289" t="s">
        <v>162</v>
      </c>
      <c r="V11" s="289" t="s">
        <v>163</v>
      </c>
    </row>
    <row r="12" spans="18:22" ht="12.75">
      <c r="R12" t="s">
        <v>109</v>
      </c>
      <c r="S12" s="317">
        <f>L8</f>
        <v>27.7585917312</v>
      </c>
      <c r="T12" s="317">
        <f>M8</f>
        <v>2.0682475199999995</v>
      </c>
      <c r="U12" s="317">
        <f>N8</f>
        <v>43.47177264</v>
      </c>
      <c r="V12" s="317">
        <f>O8</f>
        <v>8.69774592</v>
      </c>
    </row>
    <row r="14" spans="18:22" ht="15.75" thickBot="1">
      <c r="R14" s="288" t="s">
        <v>108</v>
      </c>
      <c r="S14" s="289" t="s">
        <v>168</v>
      </c>
      <c r="T14" s="289" t="s">
        <v>110</v>
      </c>
      <c r="U14" s="289" t="s">
        <v>162</v>
      </c>
      <c r="V14" s="289" t="s">
        <v>163</v>
      </c>
    </row>
    <row r="15" spans="18:22" ht="12.75">
      <c r="R15" t="s">
        <v>157</v>
      </c>
      <c r="S15" s="317">
        <f>L9</f>
        <v>74.15032731193548</v>
      </c>
      <c r="T15" s="317">
        <f>M9</f>
        <v>25.217792501999998</v>
      </c>
      <c r="U15" s="317">
        <f>N9</f>
        <v>65.55172305673041</v>
      </c>
      <c r="V15" s="317">
        <f>O9</f>
        <v>31.01792832</v>
      </c>
    </row>
    <row r="17" ht="12.75">
      <c r="B17" s="257"/>
    </row>
    <row r="18" ht="12.75">
      <c r="B18" s="257"/>
    </row>
    <row r="19" ht="12.75">
      <c r="B19" s="257"/>
    </row>
    <row r="20" ht="12.75">
      <c r="B20" s="257"/>
    </row>
    <row r="21" ht="12.75">
      <c r="B21" s="257"/>
    </row>
    <row r="22" ht="12.75">
      <c r="B22" s="257"/>
    </row>
    <row r="23" ht="12.75">
      <c r="B23" s="257"/>
    </row>
    <row r="24" ht="12.75">
      <c r="B24" s="31"/>
    </row>
    <row r="46" ht="12.75">
      <c r="B46" s="257"/>
    </row>
    <row r="53" spans="11:19" ht="16.5" thickBot="1">
      <c r="K53" s="498" t="s">
        <v>244</v>
      </c>
      <c r="L53" s="498"/>
      <c r="M53" s="498"/>
      <c r="N53" s="498"/>
      <c r="O53" s="498"/>
      <c r="P53" s="488"/>
      <c r="Q53" s="488"/>
      <c r="R53" s="488"/>
      <c r="S53" s="488"/>
    </row>
    <row r="54" spans="11:19" ht="15">
      <c r="K54" s="286"/>
      <c r="L54" s="476"/>
      <c r="M54" s="478"/>
      <c r="N54" s="478"/>
      <c r="O54" s="478"/>
      <c r="P54" s="234"/>
      <c r="Q54" s="234"/>
      <c r="R54" s="476" t="s">
        <v>194</v>
      </c>
      <c r="S54" s="476"/>
    </row>
    <row r="55" spans="12:24" ht="15">
      <c r="L55" s="477" t="s">
        <v>192</v>
      </c>
      <c r="M55" s="479"/>
      <c r="N55" s="477" t="s">
        <v>208</v>
      </c>
      <c r="O55" s="480"/>
      <c r="P55" s="477" t="s">
        <v>209</v>
      </c>
      <c r="Q55" s="480"/>
      <c r="R55" s="477" t="s">
        <v>245</v>
      </c>
      <c r="S55" s="477"/>
      <c r="V55" t="s">
        <v>204</v>
      </c>
      <c r="W55" t="s">
        <v>169</v>
      </c>
      <c r="X55" t="s">
        <v>205</v>
      </c>
    </row>
    <row r="56" spans="11:24" ht="15.75" thickBot="1">
      <c r="K56" s="288" t="s">
        <v>108</v>
      </c>
      <c r="L56" s="289" t="s">
        <v>193</v>
      </c>
      <c r="M56" s="289" t="s">
        <v>191</v>
      </c>
      <c r="N56" s="289" t="s">
        <v>193</v>
      </c>
      <c r="O56" s="289" t="s">
        <v>191</v>
      </c>
      <c r="P56" s="289" t="s">
        <v>193</v>
      </c>
      <c r="Q56" s="289" t="s">
        <v>191</v>
      </c>
      <c r="R56" s="289" t="s">
        <v>193</v>
      </c>
      <c r="S56" s="289" t="s">
        <v>191</v>
      </c>
      <c r="V56" s="317">
        <f>L62</f>
        <v>1199.5660655961644</v>
      </c>
      <c r="W56" s="317">
        <f>N62</f>
        <v>234.56027323747497</v>
      </c>
      <c r="X56" s="317">
        <f>P62</f>
        <v>987.5514661146567</v>
      </c>
    </row>
    <row r="57" spans="11:20" ht="15">
      <c r="K57" s="291" t="s">
        <v>156</v>
      </c>
      <c r="L57" s="292">
        <f>(Desktops!U76+Desktops!S76)/1000000</f>
        <v>277.609106352671</v>
      </c>
      <c r="M57" s="321">
        <f aca="true" t="shared" si="0" ref="M57:M62">L57/R57</f>
        <v>0.505569265277486</v>
      </c>
      <c r="N57" s="290">
        <f>Desktops!G76/1000000</f>
        <v>65.7240193872</v>
      </c>
      <c r="O57" s="321">
        <f aca="true" t="shared" si="1" ref="O57:O62">N57/R57</f>
        <v>0.11969363912168457</v>
      </c>
      <c r="P57" s="290">
        <f>(Desktops!M76+Desktops!J76+Desktops!W76)/1000000</f>
        <v>205.768897304</v>
      </c>
      <c r="Q57" s="321">
        <f aca="true" t="shared" si="2" ref="Q57:Q62">P57/R57</f>
        <v>0.37473709560082963</v>
      </c>
      <c r="R57" s="319">
        <f>(Desktops!C76+Desktops!O76)/1000000</f>
        <v>549.1020230438709</v>
      </c>
      <c r="S57" s="321">
        <f aca="true" t="shared" si="3" ref="S57:S62">M57+O57+Q57</f>
        <v>1.0000000000000002</v>
      </c>
      <c r="T57" s="317"/>
    </row>
    <row r="58" spans="11:20" ht="15">
      <c r="K58" s="291" t="s">
        <v>155</v>
      </c>
      <c r="L58" s="292">
        <f>('PC CRTs'!V76+'PC Flat Panel'!V76+'PC CRTs'!T76+'PC Flat Panel'!T76)/1000000</f>
        <v>339.00729665187094</v>
      </c>
      <c r="M58" s="322">
        <f t="shared" si="0"/>
        <v>0.5758831177535253</v>
      </c>
      <c r="N58" s="292">
        <f>('PC CRTs'!H76+'PC Flat Panel'!H76)/1000000</f>
        <v>42.44495172</v>
      </c>
      <c r="O58" s="322">
        <f t="shared" si="1"/>
        <v>0.07210266967944495</v>
      </c>
      <c r="P58" s="292">
        <f>('PC CRTs'!N76+'PC Flat Panel'!N76+'PC Flat Panel'!K76+'PC CRTs'!K76+'PC CRTs'!X76+'PC Flat Panel'!X76)/1000000</f>
        <v>207.22154011199999</v>
      </c>
      <c r="Q58" s="322">
        <f t="shared" si="2"/>
        <v>0.3520142125670296</v>
      </c>
      <c r="R58" s="292">
        <f>('PC CRTs'!D76+'PC Flat Panel'!D76+'PC CRTs'!P76+'PC Flat Panel'!P76)/1000000</f>
        <v>588.673788483871</v>
      </c>
      <c r="S58" s="322">
        <f t="shared" si="3"/>
        <v>0.9999999999999998</v>
      </c>
      <c r="T58" s="317"/>
    </row>
    <row r="59" spans="11:20" ht="15">
      <c r="K59" s="291" t="s">
        <v>109</v>
      </c>
      <c r="L59" s="292">
        <f>(Portables!U76+Portables!S76)/1000000</f>
        <v>67.06083395200001</v>
      </c>
      <c r="M59" s="322">
        <f t="shared" si="0"/>
        <v>0.3925686598309277</v>
      </c>
      <c r="N59" s="292">
        <f>Portables!G76/1000000</f>
        <v>2.0682475199999995</v>
      </c>
      <c r="O59" s="322">
        <f t="shared" si="1"/>
        <v>0.012107352522728728</v>
      </c>
      <c r="P59" s="292">
        <f>(Portables!M76+Portables!J76+Portables!W76)/1000000</f>
        <v>101.696663968</v>
      </c>
      <c r="Q59" s="322">
        <f t="shared" si="2"/>
        <v>0.5953239876463436</v>
      </c>
      <c r="R59" s="292">
        <f>(Portables!C76+Portables!O76)/1000000</f>
        <v>170.82574544</v>
      </c>
      <c r="S59" s="322">
        <f t="shared" si="3"/>
        <v>1</v>
      </c>
      <c r="T59" s="317"/>
    </row>
    <row r="60" spans="11:20" ht="15">
      <c r="K60" s="291" t="s">
        <v>157</v>
      </c>
      <c r="L60" s="294">
        <f>('Hard Copy Devices'!U76+'Hard Copy Devices'!S76)/1000000</f>
        <v>209.26312033703226</v>
      </c>
      <c r="M60" s="323">
        <f t="shared" si="0"/>
        <v>0.512643872344714</v>
      </c>
      <c r="N60" s="294">
        <f>'Hard Copy Devices'!G76/1000000</f>
        <v>25.217792501999998</v>
      </c>
      <c r="O60" s="323">
        <f t="shared" si="1"/>
        <v>0.06177747316101266</v>
      </c>
      <c r="P60" s="294">
        <f>('Hard Copy Devices'!M76+'Hard Copy Devices'!J76+'Hard Copy Devices'!W76)/1000000</f>
        <v>173.7227771415217</v>
      </c>
      <c r="Q60" s="323">
        <f t="shared" si="2"/>
        <v>0.42557865449427357</v>
      </c>
      <c r="R60" s="294">
        <f>('Hard Copy Devices'!C76+'Hard Copy Devices'!O76)/1000000</f>
        <v>408.20368998055386</v>
      </c>
      <c r="S60" s="323">
        <f t="shared" si="3"/>
        <v>1.0000000000000002</v>
      </c>
      <c r="T60" s="317"/>
    </row>
    <row r="61" spans="11:20" ht="15.75" thickBot="1">
      <c r="K61" s="293" t="s">
        <v>190</v>
      </c>
      <c r="L61" s="313">
        <f>('Monochrome TV'!I76+'TV CRT &lt;19'!I76+'TV CRT &gt;19'!I76+'TV Proj'!I76+'TV Flat Panel'!I76)/1000000</f>
        <v>306.62570830259</v>
      </c>
      <c r="M61" s="324">
        <f>L61/R61</f>
        <v>0.43500871870031005</v>
      </c>
      <c r="N61" s="313">
        <f>('Monochrome TV'!G76+'TV CRT &lt;19'!G76+'TV CRT &gt;19'!G76+'TV Proj'!G76+'TV Flat Panel'!G76)/1000000</f>
        <v>99.10526210827496</v>
      </c>
      <c r="O61" s="324">
        <f t="shared" si="1"/>
        <v>0.1406002560086542</v>
      </c>
      <c r="P61" s="313">
        <f>('Monochrome TV'!K76+'TV CRT &lt;19'!K76+'TV CRT &gt;19'!K76+'TV Proj'!K76+'TV Flat Panel'!K76)/1000000</f>
        <v>299.14158758913504</v>
      </c>
      <c r="Q61" s="324">
        <f t="shared" si="2"/>
        <v>0.42439102529103573</v>
      </c>
      <c r="R61" s="313">
        <f>('Monochrome TV'!C76+'TV CRT &lt;19'!C76+'TV CRT &gt;19'!C76+'TV Proj'!C76+'TV Flat Panel'!C76+'Monochrome TV'!N62+'TV CRT &lt;19'!O76+'TV CRT &gt;19'!O76+'TV Proj'!O76+'TV Flat Panel'!O76+'Monochrome TV'!N62)/1000000</f>
        <v>704.872558</v>
      </c>
      <c r="S61" s="324">
        <f t="shared" si="3"/>
        <v>1</v>
      </c>
      <c r="T61" s="317"/>
    </row>
    <row r="62" spans="11:20" ht="15.75" thickBot="1">
      <c r="K62" s="295" t="s">
        <v>22</v>
      </c>
      <c r="L62" s="318">
        <f>SUM(L57:L61)</f>
        <v>1199.5660655961644</v>
      </c>
      <c r="M62" s="325">
        <f t="shared" si="0"/>
        <v>0.4953450302699437</v>
      </c>
      <c r="N62" s="296">
        <f>SUM(N57:N61)</f>
        <v>234.56027323747497</v>
      </c>
      <c r="O62" s="325">
        <f t="shared" si="1"/>
        <v>0.09685857993090165</v>
      </c>
      <c r="P62" s="296">
        <f>SUM(P57:P61)</f>
        <v>987.5514661146567</v>
      </c>
      <c r="Q62" s="325">
        <f t="shared" si="2"/>
        <v>0.4077963897991547</v>
      </c>
      <c r="R62" s="296">
        <f>SUM(R57:R61)</f>
        <v>2421.677804948296</v>
      </c>
      <c r="S62" s="325">
        <f t="shared" si="3"/>
        <v>1</v>
      </c>
      <c r="T62" s="317"/>
    </row>
    <row r="63" spans="1:11" ht="12.75">
      <c r="A63" s="374" t="s">
        <v>267</v>
      </c>
      <c r="K63" s="320" t="s">
        <v>196</v>
      </c>
    </row>
    <row r="64" spans="1:18" ht="12.75">
      <c r="A64" t="s">
        <v>174</v>
      </c>
      <c r="B64" s="257">
        <f>'EOL Summary'!T110</f>
        <v>2172.625331849524</v>
      </c>
      <c r="R64" s="317"/>
    </row>
    <row r="65" spans="1:6" ht="12.75">
      <c r="A65" t="s">
        <v>178</v>
      </c>
      <c r="B65" s="257">
        <f>F65*$B$70</f>
        <v>177.16</v>
      </c>
      <c r="F65">
        <v>0.43</v>
      </c>
    </row>
    <row r="66" spans="1:6" ht="12.75">
      <c r="A66" t="s">
        <v>179</v>
      </c>
      <c r="B66" s="257">
        <f>F66*$B$70</f>
        <v>12.36</v>
      </c>
      <c r="F66">
        <v>0.03</v>
      </c>
    </row>
    <row r="67" spans="1:6" ht="12.75">
      <c r="A67" t="s">
        <v>180</v>
      </c>
      <c r="B67" s="257">
        <f>F67*$B$70</f>
        <v>65.92</v>
      </c>
      <c r="F67">
        <v>0.16</v>
      </c>
    </row>
    <row r="68" spans="1:6" ht="12.75">
      <c r="A68" t="s">
        <v>181</v>
      </c>
      <c r="B68" s="257">
        <f>F68*$B$70</f>
        <v>156.56</v>
      </c>
      <c r="F68">
        <v>0.38</v>
      </c>
    </row>
    <row r="69" spans="1:2" ht="12.75">
      <c r="A69" t="s">
        <v>62</v>
      </c>
      <c r="B69" s="257">
        <f>B64-B70</f>
        <v>1760.6253318495242</v>
      </c>
    </row>
    <row r="70" spans="1:2" ht="12.75">
      <c r="A70" t="s">
        <v>173</v>
      </c>
      <c r="B70" s="31">
        <v>412</v>
      </c>
    </row>
    <row r="78" ht="12.75">
      <c r="N78" t="s">
        <v>268</v>
      </c>
    </row>
    <row r="90" spans="1:2" ht="12.75">
      <c r="A90" t="s">
        <v>206</v>
      </c>
      <c r="B90">
        <v>91368</v>
      </c>
    </row>
    <row r="91" spans="1:2" ht="12.75">
      <c r="A91" t="s">
        <v>207</v>
      </c>
      <c r="B91">
        <v>5385</v>
      </c>
    </row>
    <row r="92" spans="1:2" ht="12.75">
      <c r="A92" t="s">
        <v>215</v>
      </c>
      <c r="B92">
        <v>34510</v>
      </c>
    </row>
    <row r="93" spans="1:2" ht="12.75">
      <c r="A93" t="s">
        <v>216</v>
      </c>
      <c r="B93">
        <v>55392</v>
      </c>
    </row>
  </sheetData>
  <mergeCells count="11">
    <mergeCell ref="K53:S53"/>
    <mergeCell ref="R54:S54"/>
    <mergeCell ref="R55:S55"/>
    <mergeCell ref="L54:O54"/>
    <mergeCell ref="L55:M55"/>
    <mergeCell ref="N55:O55"/>
    <mergeCell ref="P55:Q55"/>
    <mergeCell ref="A11:H11"/>
    <mergeCell ref="L3:O3"/>
    <mergeCell ref="A2:D2"/>
    <mergeCell ref="K2:P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4:AW93"/>
  <sheetViews>
    <sheetView workbookViewId="0" topLeftCell="A1">
      <selection activeCell="A4" sqref="A4:O36"/>
    </sheetView>
  </sheetViews>
  <sheetFormatPr defaultColWidth="9.140625" defaultRowHeight="12.75"/>
  <cols>
    <col min="2" max="2" width="10.7109375" style="0" customWidth="1"/>
    <col min="3" max="3" width="1.28515625" style="0" customWidth="1"/>
    <col min="4" max="4" width="10.7109375" style="0" customWidth="1"/>
    <col min="5" max="5" width="1.28515625" style="0" customWidth="1"/>
    <col min="6" max="6" width="10.7109375" style="0" customWidth="1"/>
    <col min="7" max="7" width="0.9921875" style="0" customWidth="1"/>
    <col min="8" max="8" width="10.7109375" style="0" customWidth="1"/>
    <col min="9" max="9" width="1.1484375" style="0" customWidth="1"/>
    <col min="10" max="10" width="10.7109375" style="0" customWidth="1"/>
    <col min="11" max="11" width="1.1484375" style="0" customWidth="1"/>
    <col min="12" max="12" width="10.7109375" style="0" customWidth="1"/>
    <col min="13" max="13" width="1.1484375" style="0" customWidth="1"/>
    <col min="14" max="14" width="10.7109375" style="0" customWidth="1"/>
    <col min="15" max="15" width="1.421875" style="0" customWidth="1"/>
    <col min="19" max="19" width="15.57421875" style="0" customWidth="1"/>
    <col min="20" max="20" width="1.421875" style="0" customWidth="1"/>
    <col min="21" max="21" width="10.00390625" style="0" customWidth="1"/>
    <col min="22" max="22" width="1.421875" style="0" customWidth="1"/>
    <col min="23" max="23" width="11.28125" style="0" customWidth="1"/>
    <col min="24" max="24" width="1.421875" style="0" customWidth="1"/>
    <col min="25" max="25" width="9.57421875" style="0" customWidth="1"/>
    <col min="26" max="26" width="1.421875" style="0" customWidth="1"/>
    <col min="27" max="27" width="11.8515625" style="0" customWidth="1"/>
    <col min="28" max="28" width="1.421875" style="0" customWidth="1"/>
    <col min="29" max="29" width="10.57421875" style="0" bestFit="1" customWidth="1"/>
    <col min="30" max="30" width="1.7109375" style="0" customWidth="1"/>
    <col min="31" max="31" width="11.140625" style="0" bestFit="1" customWidth="1"/>
    <col min="39" max="39" width="11.8515625" style="0" customWidth="1"/>
    <col min="43" max="43" width="10.140625" style="0" customWidth="1"/>
    <col min="44" max="44" width="10.00390625" style="0" customWidth="1"/>
    <col min="47" max="47" width="9.57421875" style="0" customWidth="1"/>
    <col min="49" max="49" width="10.00390625" style="0" customWidth="1"/>
  </cols>
  <sheetData>
    <row r="4" spans="1:38" ht="15" customHeight="1">
      <c r="A4" s="455" t="s">
        <v>76</v>
      </c>
      <c r="B4" s="455"/>
      <c r="C4" s="455"/>
      <c r="D4" s="455"/>
      <c r="E4" s="455"/>
      <c r="F4" s="455"/>
      <c r="G4" s="455"/>
      <c r="H4" s="455"/>
      <c r="I4" s="455"/>
      <c r="J4" s="455"/>
      <c r="K4" s="455"/>
      <c r="L4" s="455"/>
      <c r="M4" s="455"/>
      <c r="N4" s="455"/>
      <c r="O4" s="455"/>
      <c r="R4" s="454" t="s">
        <v>199</v>
      </c>
      <c r="S4" s="454"/>
      <c r="T4" s="454"/>
      <c r="U4" s="454"/>
      <c r="V4" s="454"/>
      <c r="W4" s="454"/>
      <c r="X4" s="454"/>
      <c r="Y4" s="454"/>
      <c r="Z4" s="454"/>
      <c r="AA4" s="454"/>
      <c r="AB4" s="454"/>
      <c r="AC4" s="454"/>
      <c r="AD4" s="503"/>
      <c r="AE4" s="503"/>
      <c r="AF4" s="43"/>
      <c r="AG4" s="43"/>
      <c r="AH4" s="43"/>
      <c r="AI4" s="43"/>
      <c r="AJ4" s="43"/>
      <c r="AK4" s="43"/>
      <c r="AL4" s="43"/>
    </row>
    <row r="5" spans="1:48" ht="14.25" customHeight="1" thickBot="1">
      <c r="A5" s="264"/>
      <c r="B5" s="264"/>
      <c r="C5" s="264"/>
      <c r="D5" s="264"/>
      <c r="E5" s="264"/>
      <c r="F5" s="264"/>
      <c r="G5" s="264"/>
      <c r="H5" s="264" t="s">
        <v>172</v>
      </c>
      <c r="I5" s="264"/>
      <c r="J5" s="264"/>
      <c r="K5" s="264"/>
      <c r="L5" s="264"/>
      <c r="M5" s="264"/>
      <c r="N5" s="264"/>
      <c r="O5" s="264"/>
      <c r="R5" s="512" t="s">
        <v>172</v>
      </c>
      <c r="S5" s="513"/>
      <c r="T5" s="513"/>
      <c r="U5" s="513"/>
      <c r="V5" s="513"/>
      <c r="W5" s="513"/>
      <c r="X5" s="513"/>
      <c r="Y5" s="513"/>
      <c r="Z5" s="513"/>
      <c r="AA5" s="513"/>
      <c r="AB5" s="513"/>
      <c r="AC5" s="513"/>
      <c r="AD5" s="513"/>
      <c r="AE5" s="513"/>
      <c r="AF5" s="43"/>
      <c r="AG5" s="43"/>
      <c r="AH5" s="483" t="s">
        <v>201</v>
      </c>
      <c r="AI5" s="488"/>
      <c r="AJ5" s="488"/>
      <c r="AK5" s="488"/>
      <c r="AL5" s="488"/>
      <c r="AM5" s="488"/>
      <c r="AN5" s="488"/>
      <c r="AP5" s="483" t="s">
        <v>211</v>
      </c>
      <c r="AQ5" s="488"/>
      <c r="AR5" s="488"/>
      <c r="AS5" s="488"/>
      <c r="AT5" s="488"/>
      <c r="AU5" s="488"/>
      <c r="AV5" s="484"/>
    </row>
    <row r="6" spans="1:49" ht="39.75" customHeight="1" thickBot="1">
      <c r="A6" s="62" t="s">
        <v>0</v>
      </c>
      <c r="B6" s="511" t="s">
        <v>30</v>
      </c>
      <c r="C6" s="511"/>
      <c r="D6" s="511" t="s">
        <v>55</v>
      </c>
      <c r="E6" s="511"/>
      <c r="F6" s="453" t="s">
        <v>79</v>
      </c>
      <c r="G6" s="453"/>
      <c r="H6" s="511" t="s">
        <v>77</v>
      </c>
      <c r="I6" s="511"/>
      <c r="J6" s="511" t="s">
        <v>78</v>
      </c>
      <c r="K6" s="511"/>
      <c r="L6" s="511" t="s">
        <v>57</v>
      </c>
      <c r="M6" s="511"/>
      <c r="N6" s="453" t="s">
        <v>183</v>
      </c>
      <c r="O6" s="453"/>
      <c r="R6" s="332" t="s">
        <v>0</v>
      </c>
      <c r="S6" s="226" t="s">
        <v>102</v>
      </c>
      <c r="T6" s="62"/>
      <c r="U6" s="226" t="s">
        <v>101</v>
      </c>
      <c r="V6" s="62"/>
      <c r="W6" s="226" t="s">
        <v>182</v>
      </c>
      <c r="X6" s="62"/>
      <c r="Y6" s="226" t="s">
        <v>100</v>
      </c>
      <c r="Z6" s="62"/>
      <c r="AA6" s="62" t="s">
        <v>50</v>
      </c>
      <c r="AB6" s="62"/>
      <c r="AC6" s="226" t="s">
        <v>82</v>
      </c>
      <c r="AD6" s="316"/>
      <c r="AE6" s="226" t="s">
        <v>197</v>
      </c>
      <c r="AF6" s="41"/>
      <c r="AG6" s="41"/>
      <c r="AH6" s="353" t="s">
        <v>0</v>
      </c>
      <c r="AI6" s="343" t="s">
        <v>202</v>
      </c>
      <c r="AJ6" s="343" t="s">
        <v>203</v>
      </c>
      <c r="AK6" s="343" t="s">
        <v>184</v>
      </c>
      <c r="AL6" s="344" t="s">
        <v>106</v>
      </c>
      <c r="AM6" s="344" t="s">
        <v>50</v>
      </c>
      <c r="AN6" s="344" t="s">
        <v>197</v>
      </c>
      <c r="AP6" s="353" t="s">
        <v>0</v>
      </c>
      <c r="AQ6" s="343" t="s">
        <v>212</v>
      </c>
      <c r="AR6" s="343" t="s">
        <v>213</v>
      </c>
      <c r="AS6" s="343" t="s">
        <v>107</v>
      </c>
      <c r="AT6" s="344" t="s">
        <v>185</v>
      </c>
      <c r="AU6" s="344" t="s">
        <v>78</v>
      </c>
      <c r="AV6" s="344" t="s">
        <v>214</v>
      </c>
      <c r="AW6" s="344" t="s">
        <v>79</v>
      </c>
    </row>
    <row r="7" spans="1:49" ht="15" customHeight="1">
      <c r="A7" s="56">
        <v>1980</v>
      </c>
      <c r="B7" s="310">
        <f>Desktops!C8/1000000</f>
        <v>0.9806451612903225</v>
      </c>
      <c r="C7" s="57" t="e">
        <f>#REF!</f>
        <v>#REF!</v>
      </c>
      <c r="D7" s="57"/>
      <c r="E7" s="57" t="e">
        <f>#REF!</f>
        <v>#REF!</v>
      </c>
      <c r="F7" s="309">
        <f>'Hard Copy Devices'!C8/1000000</f>
        <v>0.5148387096774193</v>
      </c>
      <c r="G7" s="309" t="e">
        <f>#REF!</f>
        <v>#REF!</v>
      </c>
      <c r="H7" s="309">
        <f>Mice!C8/1000000</f>
        <v>0.9806451612903225</v>
      </c>
      <c r="I7" s="309" t="e">
        <f>#REF!</f>
        <v>#REF!</v>
      </c>
      <c r="J7" s="309">
        <f>Keyboards!C8/1000000</f>
        <v>0.9806451612903225</v>
      </c>
      <c r="K7" s="309"/>
      <c r="L7" s="309">
        <f>'PC CRTs'!D8/1000000</f>
        <v>0.9806451612903225</v>
      </c>
      <c r="M7" s="56"/>
      <c r="N7" s="232"/>
      <c r="O7" s="230"/>
      <c r="R7" s="333">
        <v>1980</v>
      </c>
      <c r="S7" s="326">
        <f>'TV CRT &lt;19'!C8/1000000</f>
        <v>5.4485</v>
      </c>
      <c r="T7" s="326" t="e">
        <f aca="true" t="shared" si="0" ref="T7:T34">#REF!</f>
        <v>#REF!</v>
      </c>
      <c r="U7" s="326">
        <f>'TV CRT &gt;19'!C8/1000000</f>
        <v>5.4485</v>
      </c>
      <c r="V7" s="327"/>
      <c r="W7" s="328"/>
      <c r="X7" s="327" t="e">
        <f aca="true" t="shared" si="1" ref="X7:X33">#REF!</f>
        <v>#REF!</v>
      </c>
      <c r="Y7" s="327"/>
      <c r="Z7" s="327"/>
      <c r="AA7" s="329">
        <f>'Monochrome TV'!C8/1000000</f>
        <v>6.684</v>
      </c>
      <c r="AB7" s="327"/>
      <c r="AC7" s="326">
        <f>S7+U7+W7+Y7+AA7</f>
        <v>17.581</v>
      </c>
      <c r="AD7" s="42"/>
      <c r="AE7" s="328"/>
      <c r="AF7" s="41"/>
      <c r="AG7" s="41"/>
      <c r="AH7" s="354">
        <v>1980</v>
      </c>
      <c r="AI7" s="352">
        <v>41.97849462365591</v>
      </c>
      <c r="AJ7" s="352">
        <v>73</v>
      </c>
      <c r="AK7" s="345"/>
      <c r="AL7" s="346"/>
      <c r="AM7" s="352">
        <v>41.97849462365591</v>
      </c>
      <c r="AN7" s="347"/>
      <c r="AP7" s="354">
        <v>1980</v>
      </c>
      <c r="AQ7" s="362">
        <f>Desktops!D8</f>
        <v>22</v>
      </c>
      <c r="AR7" s="362"/>
      <c r="AS7" s="363">
        <f>'PC CRTs'!E8</f>
        <v>24.5</v>
      </c>
      <c r="AT7" s="364"/>
      <c r="AU7" s="362">
        <f>Keyboards!D8</f>
        <v>2.9</v>
      </c>
      <c r="AV7" s="365">
        <f>Mice!D8</f>
        <v>0.2</v>
      </c>
      <c r="AW7" s="366">
        <f>'Hard Copy Devices'!D8</f>
        <v>18</v>
      </c>
    </row>
    <row r="8" spans="1:49" ht="15.75" customHeight="1">
      <c r="A8" s="58">
        <v>1981</v>
      </c>
      <c r="B8" s="300">
        <f>Desktops!C9/1000000</f>
        <v>1.961290322580645</v>
      </c>
      <c r="C8" s="53" t="e">
        <f>#REF!</f>
        <v>#REF!</v>
      </c>
      <c r="D8" s="53"/>
      <c r="E8" s="53" t="e">
        <f>#REF!</f>
        <v>#REF!</v>
      </c>
      <c r="F8" s="300">
        <f>'Hard Copy Devices'!C9/1000000</f>
        <v>1.0296774193548386</v>
      </c>
      <c r="G8" s="300" t="e">
        <f>#REF!</f>
        <v>#REF!</v>
      </c>
      <c r="H8" s="300">
        <f>Mice!C9/1000000</f>
        <v>1.961290322580645</v>
      </c>
      <c r="I8" s="300" t="e">
        <f>#REF!</f>
        <v>#REF!</v>
      </c>
      <c r="J8" s="300">
        <f>Keyboards!C9/1000000</f>
        <v>1.961290322580645</v>
      </c>
      <c r="K8" s="300"/>
      <c r="L8" s="300">
        <f>'PC CRTs'!D9/1000000</f>
        <v>1.961290322580645</v>
      </c>
      <c r="M8" s="224"/>
      <c r="N8" s="231"/>
      <c r="O8" s="230"/>
      <c r="R8" s="334">
        <v>1981</v>
      </c>
      <c r="S8" s="279">
        <f>'TV CRT &lt;19'!C9/1000000</f>
        <v>5.5785</v>
      </c>
      <c r="T8" s="279" t="e">
        <f t="shared" si="0"/>
        <v>#REF!</v>
      </c>
      <c r="U8" s="279">
        <f>'TV CRT &gt;19'!C9/1000000</f>
        <v>5.5785</v>
      </c>
      <c r="V8" s="330"/>
      <c r="W8" s="330"/>
      <c r="X8" s="330" t="e">
        <f t="shared" si="1"/>
        <v>#REF!</v>
      </c>
      <c r="Y8" s="330"/>
      <c r="Z8" s="330"/>
      <c r="AA8" s="279">
        <f>'Monochrome TV'!C9/1000000</f>
        <v>5.654</v>
      </c>
      <c r="AB8" s="330"/>
      <c r="AC8" s="331">
        <f>S8+U8+W8+Y8+AA8</f>
        <v>16.811</v>
      </c>
      <c r="AD8" s="339"/>
      <c r="AE8" s="279"/>
      <c r="AF8" s="41"/>
      <c r="AG8" s="41"/>
      <c r="AH8" s="355">
        <v>1981</v>
      </c>
      <c r="AI8" s="281">
        <v>41.97849462365591</v>
      </c>
      <c r="AJ8" s="281">
        <v>73</v>
      </c>
      <c r="AK8" s="348"/>
      <c r="AL8" s="349"/>
      <c r="AM8" s="281">
        <v>41.97849462365591</v>
      </c>
      <c r="AN8" s="350"/>
      <c r="AP8" s="355">
        <v>1981</v>
      </c>
      <c r="AQ8" s="281">
        <f>Desktops!D9</f>
        <v>22</v>
      </c>
      <c r="AR8" s="281"/>
      <c r="AS8" s="367">
        <f>'PC CRTs'!E9</f>
        <v>24.5</v>
      </c>
      <c r="AT8" s="349"/>
      <c r="AU8" s="281">
        <f>Keyboards!D9</f>
        <v>2.9</v>
      </c>
      <c r="AV8" s="350">
        <f>Mice!D9</f>
        <v>0.2</v>
      </c>
      <c r="AW8" s="368">
        <f>'Hard Copy Devices'!D9</f>
        <v>18</v>
      </c>
    </row>
    <row r="9" spans="1:49" ht="15">
      <c r="A9" s="51">
        <v>1982</v>
      </c>
      <c r="B9" s="300">
        <f>Desktops!C10/1000000</f>
        <v>3.04</v>
      </c>
      <c r="C9" s="49" t="e">
        <f>#REF!</f>
        <v>#REF!</v>
      </c>
      <c r="D9" s="49"/>
      <c r="E9" s="49" t="e">
        <f>#REF!</f>
        <v>#REF!</v>
      </c>
      <c r="F9" s="300">
        <f>'Hard Copy Devices'!C10/1000000</f>
        <v>1.596</v>
      </c>
      <c r="G9" s="300" t="e">
        <f>#REF!</f>
        <v>#REF!</v>
      </c>
      <c r="H9" s="300">
        <f>Mice!C10/1000000</f>
        <v>3.04</v>
      </c>
      <c r="I9" s="300" t="e">
        <f>#REF!</f>
        <v>#REF!</v>
      </c>
      <c r="J9" s="300">
        <f>Keyboards!C10/1000000</f>
        <v>3.04</v>
      </c>
      <c r="K9" s="300"/>
      <c r="L9" s="300">
        <f>'PC CRTs'!D10/1000000</f>
        <v>3.04</v>
      </c>
      <c r="M9" s="49" t="e">
        <f aca="true" t="shared" si="2" ref="M9:M31">#REF!</f>
        <v>#REF!</v>
      </c>
      <c r="N9" s="49"/>
      <c r="O9" s="48"/>
      <c r="R9" s="335">
        <v>1982</v>
      </c>
      <c r="S9" s="279">
        <f>'TV CRT &lt;19'!C10/1000000</f>
        <v>5.683</v>
      </c>
      <c r="T9" s="279" t="e">
        <f t="shared" si="0"/>
        <v>#REF!</v>
      </c>
      <c r="U9" s="279">
        <f>'TV CRT &gt;19'!C10/1000000</f>
        <v>5.683</v>
      </c>
      <c r="V9" s="311"/>
      <c r="W9" s="311"/>
      <c r="X9" s="311" t="e">
        <f t="shared" si="1"/>
        <v>#REF!</v>
      </c>
      <c r="Y9" s="311"/>
      <c r="Z9" s="311"/>
      <c r="AA9" s="279">
        <f>'Monochrome TV'!C10/1000000</f>
        <v>5.692</v>
      </c>
      <c r="AB9" s="330"/>
      <c r="AC9" s="331">
        <f aca="true" t="shared" si="3" ref="AC9:AC31">S9+U9+W9+Y9+AA9</f>
        <v>17.058</v>
      </c>
      <c r="AD9" s="340"/>
      <c r="AE9" s="279"/>
      <c r="AF9" s="40"/>
      <c r="AG9" s="40"/>
      <c r="AH9" s="355">
        <v>1982</v>
      </c>
      <c r="AI9" s="352">
        <v>41.97849462365591</v>
      </c>
      <c r="AJ9" s="352">
        <v>73</v>
      </c>
      <c r="AK9" s="345"/>
      <c r="AL9" s="346"/>
      <c r="AM9" s="352">
        <v>41.97849462365591</v>
      </c>
      <c r="AN9" s="350"/>
      <c r="AP9" s="355">
        <v>1982</v>
      </c>
      <c r="AQ9" s="281">
        <f>Desktops!D10</f>
        <v>22</v>
      </c>
      <c r="AR9" s="281"/>
      <c r="AS9" s="367">
        <f>'PC CRTs'!E10</f>
        <v>24.5</v>
      </c>
      <c r="AT9" s="349"/>
      <c r="AU9" s="281">
        <f>Keyboards!D10</f>
        <v>2.9</v>
      </c>
      <c r="AV9" s="350">
        <f>Mice!D10</f>
        <v>0.2</v>
      </c>
      <c r="AW9" s="368">
        <f>'Hard Copy Devices'!D10</f>
        <v>18</v>
      </c>
    </row>
    <row r="10" spans="1:49" ht="15">
      <c r="A10" s="58">
        <v>1983</v>
      </c>
      <c r="B10" s="300">
        <f>Desktops!C11/1000000</f>
        <v>5.45</v>
      </c>
      <c r="C10" s="59" t="e">
        <f>#REF!</f>
        <v>#REF!</v>
      </c>
      <c r="D10" s="59"/>
      <c r="E10" s="59" t="e">
        <f>#REF!</f>
        <v>#REF!</v>
      </c>
      <c r="F10" s="300">
        <f>'Hard Copy Devices'!C11/1000000</f>
        <v>2.86125</v>
      </c>
      <c r="G10" s="300" t="e">
        <f>#REF!</f>
        <v>#REF!</v>
      </c>
      <c r="H10" s="300">
        <f>Mice!C11/1000000</f>
        <v>5.45</v>
      </c>
      <c r="I10" s="300" t="e">
        <f>#REF!</f>
        <v>#REF!</v>
      </c>
      <c r="J10" s="300">
        <f>Keyboards!C11/1000000</f>
        <v>5.45</v>
      </c>
      <c r="K10" s="300"/>
      <c r="L10" s="300">
        <f>'PC CRTs'!D11/1000000</f>
        <v>5.45</v>
      </c>
      <c r="M10" s="59" t="e">
        <f t="shared" si="2"/>
        <v>#REF!</v>
      </c>
      <c r="N10" s="59"/>
      <c r="O10" s="48"/>
      <c r="R10" s="71">
        <v>1983</v>
      </c>
      <c r="S10" s="279">
        <f>'TV CRT &lt;19'!C11/1000000</f>
        <v>6.993</v>
      </c>
      <c r="T10" s="279" t="e">
        <f t="shared" si="0"/>
        <v>#REF!</v>
      </c>
      <c r="U10" s="279">
        <f>'TV CRT &gt;19'!C11/1000000</f>
        <v>6.993</v>
      </c>
      <c r="V10" s="328"/>
      <c r="W10" s="328"/>
      <c r="X10" s="328" t="e">
        <f t="shared" si="1"/>
        <v>#REF!</v>
      </c>
      <c r="Y10" s="328"/>
      <c r="Z10" s="328"/>
      <c r="AA10" s="279">
        <f>'Monochrome TV'!C11/1000000</f>
        <v>5.735</v>
      </c>
      <c r="AB10" s="330"/>
      <c r="AC10" s="331">
        <f t="shared" si="3"/>
        <v>19.721</v>
      </c>
      <c r="AD10" s="340"/>
      <c r="AE10" s="279"/>
      <c r="AF10" s="40"/>
      <c r="AG10" s="40"/>
      <c r="AH10" s="355">
        <v>1983</v>
      </c>
      <c r="AI10" s="281">
        <v>41.97849462365591</v>
      </c>
      <c r="AJ10" s="281">
        <v>73</v>
      </c>
      <c r="AK10" s="348"/>
      <c r="AL10" s="349"/>
      <c r="AM10" s="281">
        <v>41.97849462365591</v>
      </c>
      <c r="AN10" s="350"/>
      <c r="AP10" s="355">
        <v>1983</v>
      </c>
      <c r="AQ10" s="281">
        <f>Desktops!D11</f>
        <v>22</v>
      </c>
      <c r="AR10" s="281"/>
      <c r="AS10" s="367">
        <f>'PC CRTs'!E11</f>
        <v>24.5</v>
      </c>
      <c r="AT10" s="349"/>
      <c r="AU10" s="281">
        <f>Keyboards!D11</f>
        <v>2.9</v>
      </c>
      <c r="AV10" s="350">
        <f>Mice!D11</f>
        <v>0.2</v>
      </c>
      <c r="AW10" s="368">
        <f>'Hard Copy Devices'!D11</f>
        <v>18</v>
      </c>
    </row>
    <row r="11" spans="1:49" ht="15">
      <c r="A11" s="58">
        <v>1984</v>
      </c>
      <c r="B11" s="300">
        <f>Desktops!C12/1000000</f>
        <v>6.66</v>
      </c>
      <c r="C11" s="59" t="e">
        <f>#REF!</f>
        <v>#REF!</v>
      </c>
      <c r="D11" s="59"/>
      <c r="E11" s="59" t="e">
        <f>#REF!</f>
        <v>#REF!</v>
      </c>
      <c r="F11" s="300">
        <f>'Hard Copy Devices'!C12/1000000</f>
        <v>3.4965</v>
      </c>
      <c r="G11" s="300" t="e">
        <f>#REF!</f>
        <v>#REF!</v>
      </c>
      <c r="H11" s="300">
        <f>Mice!C12/1000000</f>
        <v>6.66</v>
      </c>
      <c r="I11" s="300" t="e">
        <f>#REF!</f>
        <v>#REF!</v>
      </c>
      <c r="J11" s="300">
        <f>Keyboards!C12/1000000</f>
        <v>6.66</v>
      </c>
      <c r="K11" s="300"/>
      <c r="L11" s="300">
        <f>'PC CRTs'!D12/1000000</f>
        <v>6.66</v>
      </c>
      <c r="M11" s="59" t="e">
        <f t="shared" si="2"/>
        <v>#REF!</v>
      </c>
      <c r="N11" s="59"/>
      <c r="O11" s="48"/>
      <c r="R11" s="335">
        <v>1984</v>
      </c>
      <c r="S11" s="279">
        <f>'TV CRT &lt;19'!C12/1000000</f>
        <v>8.0415</v>
      </c>
      <c r="T11" s="279" t="e">
        <f t="shared" si="0"/>
        <v>#REF!</v>
      </c>
      <c r="U11" s="279">
        <f>'TV CRT &gt;19'!C12/1000000</f>
        <v>8.0415</v>
      </c>
      <c r="V11" s="311"/>
      <c r="W11" s="311"/>
      <c r="X11" s="311" t="e">
        <f t="shared" si="1"/>
        <v>#REF!</v>
      </c>
      <c r="Y11" s="279">
        <f>'TV Proj'!C12/1000000</f>
        <v>0.195</v>
      </c>
      <c r="Z11" s="311"/>
      <c r="AA11" s="279">
        <f>'Monochrome TV'!C12/1000000</f>
        <v>5.05</v>
      </c>
      <c r="AB11" s="330"/>
      <c r="AC11" s="331">
        <f t="shared" si="3"/>
        <v>21.328</v>
      </c>
      <c r="AD11" s="340"/>
      <c r="AE11" s="361">
        <f>'Cell Phones'!D12/1000000</f>
        <v>0.03521126760563382</v>
      </c>
      <c r="AF11" s="40"/>
      <c r="AG11" s="40"/>
      <c r="AH11" s="355">
        <v>1984</v>
      </c>
      <c r="AI11" s="352">
        <v>41.97849462365591</v>
      </c>
      <c r="AJ11" s="352">
        <v>73</v>
      </c>
      <c r="AK11" s="352"/>
      <c r="AL11" s="352">
        <v>219</v>
      </c>
      <c r="AM11" s="352">
        <v>41.97849462365591</v>
      </c>
      <c r="AN11" s="401">
        <f>'Cell Phones'!E12</f>
        <v>3.5033078300000007</v>
      </c>
      <c r="AP11" s="355">
        <v>1984</v>
      </c>
      <c r="AQ11" s="281">
        <f>Desktops!D12</f>
        <v>22</v>
      </c>
      <c r="AR11" s="281"/>
      <c r="AS11" s="367">
        <f>'PC CRTs'!E12</f>
        <v>24.5</v>
      </c>
      <c r="AT11" s="349"/>
      <c r="AU11" s="281">
        <f>Keyboards!D12</f>
        <v>2.9</v>
      </c>
      <c r="AV11" s="350">
        <f>Mice!D12</f>
        <v>0.2</v>
      </c>
      <c r="AW11" s="368">
        <f>'Hard Copy Devices'!D12</f>
        <v>18</v>
      </c>
    </row>
    <row r="12" spans="1:49" ht="15">
      <c r="A12" s="58">
        <v>1985</v>
      </c>
      <c r="B12" s="300">
        <f>Desktops!C13/1000000</f>
        <v>5.76</v>
      </c>
      <c r="C12" s="59" t="e">
        <f>#REF!</f>
        <v>#REF!</v>
      </c>
      <c r="D12" s="59"/>
      <c r="E12" s="59" t="e">
        <f>#REF!</f>
        <v>#REF!</v>
      </c>
      <c r="F12" s="300">
        <f>'Hard Copy Devices'!C13/1000000</f>
        <v>3.024</v>
      </c>
      <c r="G12" s="300" t="e">
        <f>#REF!</f>
        <v>#REF!</v>
      </c>
      <c r="H12" s="300">
        <f>Mice!C13/1000000</f>
        <v>5.76</v>
      </c>
      <c r="I12" s="300" t="e">
        <f>#REF!</f>
        <v>#REF!</v>
      </c>
      <c r="J12" s="300">
        <f>Keyboards!C13/1000000</f>
        <v>5.76</v>
      </c>
      <c r="K12" s="300"/>
      <c r="L12" s="300">
        <f>'PC CRTs'!D13/1000000</f>
        <v>5.76</v>
      </c>
      <c r="M12" s="59" t="e">
        <f t="shared" si="2"/>
        <v>#REF!</v>
      </c>
      <c r="N12" s="59"/>
      <c r="O12" s="48"/>
      <c r="R12" s="71">
        <v>1985</v>
      </c>
      <c r="S12" s="279">
        <f>'TV CRT &lt;19'!C13/1000000</f>
        <v>8.4145</v>
      </c>
      <c r="T12" s="279" t="e">
        <f t="shared" si="0"/>
        <v>#REF!</v>
      </c>
      <c r="U12" s="279">
        <f>'TV CRT &gt;19'!C13/1000000</f>
        <v>8.4145</v>
      </c>
      <c r="V12" s="328"/>
      <c r="W12" s="328"/>
      <c r="X12" s="328" t="e">
        <f t="shared" si="1"/>
        <v>#REF!</v>
      </c>
      <c r="Y12" s="279">
        <f>'TV Proj'!C13/1000000</f>
        <v>0.266</v>
      </c>
      <c r="Z12" s="328"/>
      <c r="AA12" s="279">
        <f>'Monochrome TV'!C13/1000000</f>
        <v>3.684</v>
      </c>
      <c r="AB12" s="330"/>
      <c r="AC12" s="331">
        <f t="shared" si="3"/>
        <v>20.779</v>
      </c>
      <c r="AD12" s="340"/>
      <c r="AE12" s="361">
        <f>'Cell Phones'!D13/1000000</f>
        <v>0.10563380281690145</v>
      </c>
      <c r="AF12" s="40"/>
      <c r="AG12" s="40"/>
      <c r="AH12" s="355">
        <v>1985</v>
      </c>
      <c r="AI12" s="281">
        <v>40.61904761904762</v>
      </c>
      <c r="AJ12" s="281">
        <v>72.6218487394958</v>
      </c>
      <c r="AK12" s="281"/>
      <c r="AL12" s="281">
        <v>221</v>
      </c>
      <c r="AM12" s="281">
        <v>40.61904761904762</v>
      </c>
      <c r="AN12" s="401">
        <f>'Cell Phones'!E13</f>
        <v>3.5033078300000007</v>
      </c>
      <c r="AP12" s="355">
        <v>1985</v>
      </c>
      <c r="AQ12" s="281">
        <f>Desktops!D13</f>
        <v>22</v>
      </c>
      <c r="AR12" s="281"/>
      <c r="AS12" s="367">
        <f>'PC CRTs'!E13</f>
        <v>24.5</v>
      </c>
      <c r="AT12" s="349"/>
      <c r="AU12" s="281">
        <f>Keyboards!D13</f>
        <v>2.9</v>
      </c>
      <c r="AV12" s="350">
        <f>Mice!D13</f>
        <v>0.2</v>
      </c>
      <c r="AW12" s="368">
        <f>'Hard Copy Devices'!D13</f>
        <v>18</v>
      </c>
    </row>
    <row r="13" spans="1:49" ht="15">
      <c r="A13" s="58">
        <v>1986</v>
      </c>
      <c r="B13" s="300">
        <f>Desktops!C14/1000000</f>
        <v>6.851</v>
      </c>
      <c r="C13" s="59" t="e">
        <f>#REF!</f>
        <v>#REF!</v>
      </c>
      <c r="D13" s="59"/>
      <c r="E13" s="59" t="e">
        <f>#REF!</f>
        <v>#REF!</v>
      </c>
      <c r="F13" s="300">
        <f>'Hard Copy Devices'!C14/1000000</f>
        <v>3.596775</v>
      </c>
      <c r="G13" s="300" t="e">
        <f>#REF!</f>
        <v>#REF!</v>
      </c>
      <c r="H13" s="300">
        <f>Mice!C14/1000000</f>
        <v>6.851</v>
      </c>
      <c r="I13" s="300" t="e">
        <f>#REF!</f>
        <v>#REF!</v>
      </c>
      <c r="J13" s="300">
        <f>Keyboards!C14/1000000</f>
        <v>6.851</v>
      </c>
      <c r="K13" s="300"/>
      <c r="L13" s="300">
        <f>'PC CRTs'!D14/1000000</f>
        <v>6.851</v>
      </c>
      <c r="M13" s="59" t="e">
        <f t="shared" si="2"/>
        <v>#REF!</v>
      </c>
      <c r="N13" s="59"/>
      <c r="O13" s="48"/>
      <c r="R13" s="335">
        <v>1986</v>
      </c>
      <c r="S13" s="279">
        <f>'TV CRT &lt;19'!C14/1000000</f>
        <v>9.102</v>
      </c>
      <c r="T13" s="279" t="e">
        <f t="shared" si="0"/>
        <v>#REF!</v>
      </c>
      <c r="U13" s="279">
        <f>'TV CRT &gt;19'!C14/1000000</f>
        <v>9.102</v>
      </c>
      <c r="V13" s="311"/>
      <c r="W13" s="311"/>
      <c r="X13" s="311" t="e">
        <f t="shared" si="1"/>
        <v>#REF!</v>
      </c>
      <c r="Y13" s="279">
        <f>'TV Proj'!C14/1000000</f>
        <v>0.304</v>
      </c>
      <c r="Z13" s="311"/>
      <c r="AA13" s="279">
        <f>'Monochrome TV'!C14/1000000</f>
        <v>3.953</v>
      </c>
      <c r="AB13" s="330"/>
      <c r="AC13" s="331">
        <f t="shared" si="3"/>
        <v>22.461</v>
      </c>
      <c r="AD13" s="340"/>
      <c r="AE13" s="361">
        <f>'Cell Phones'!D14/1000000</f>
        <v>0.40140845070422543</v>
      </c>
      <c r="AF13" s="40"/>
      <c r="AG13" s="40"/>
      <c r="AH13" s="355">
        <v>1986</v>
      </c>
      <c r="AI13" s="352">
        <v>41.13461538461539</v>
      </c>
      <c r="AJ13" s="352">
        <v>72.97350993377484</v>
      </c>
      <c r="AK13" s="352"/>
      <c r="AL13" s="352">
        <v>223</v>
      </c>
      <c r="AM13" s="352">
        <v>41.13461538461539</v>
      </c>
      <c r="AN13" s="401">
        <f>'Cell Phones'!E14</f>
        <v>3.5033078300000007</v>
      </c>
      <c r="AP13" s="355">
        <v>1986</v>
      </c>
      <c r="AQ13" s="281">
        <f>Desktops!D14</f>
        <v>22</v>
      </c>
      <c r="AR13" s="281"/>
      <c r="AS13" s="367">
        <f>'PC CRTs'!E14</f>
        <v>24.5</v>
      </c>
      <c r="AT13" s="349"/>
      <c r="AU13" s="281">
        <f>Keyboards!D14</f>
        <v>2.9</v>
      </c>
      <c r="AV13" s="350">
        <f>Mice!D14</f>
        <v>0.2</v>
      </c>
      <c r="AW13" s="368">
        <f>'Hard Copy Devices'!D14</f>
        <v>18</v>
      </c>
    </row>
    <row r="14" spans="1:49" ht="15">
      <c r="A14" s="58">
        <v>1987</v>
      </c>
      <c r="B14" s="300">
        <f>Desktops!C15/1000000</f>
        <v>8.202</v>
      </c>
      <c r="C14" s="59" t="e">
        <f>#REF!</f>
        <v>#REF!</v>
      </c>
      <c r="D14" s="59"/>
      <c r="E14" s="59" t="e">
        <f>#REF!</f>
        <v>#REF!</v>
      </c>
      <c r="F14" s="300">
        <f>'Hard Copy Devices'!C15/1000000</f>
        <v>4.30605</v>
      </c>
      <c r="G14" s="300" t="e">
        <f>#REF!</f>
        <v>#REF!</v>
      </c>
      <c r="H14" s="300">
        <f>Mice!C15/1000000</f>
        <v>8.202</v>
      </c>
      <c r="I14" s="300" t="e">
        <f>#REF!</f>
        <v>#REF!</v>
      </c>
      <c r="J14" s="300">
        <f>Keyboards!C15/1000000</f>
        <v>8.202</v>
      </c>
      <c r="K14" s="300"/>
      <c r="L14" s="300">
        <f>'PC CRTs'!D15/1000000</f>
        <v>8.202</v>
      </c>
      <c r="M14" s="59" t="e">
        <f t="shared" si="2"/>
        <v>#REF!</v>
      </c>
      <c r="N14" s="59"/>
      <c r="O14" s="48"/>
      <c r="R14" s="71">
        <v>1987</v>
      </c>
      <c r="S14" s="279">
        <f>'TV CRT &lt;19'!C15/1000000</f>
        <v>9.665</v>
      </c>
      <c r="T14" s="279" t="e">
        <f t="shared" si="0"/>
        <v>#REF!</v>
      </c>
      <c r="U14" s="279">
        <f>'TV CRT &gt;19'!C15/1000000</f>
        <v>9.665</v>
      </c>
      <c r="V14" s="328"/>
      <c r="W14" s="328"/>
      <c r="X14" s="328" t="e">
        <f t="shared" si="1"/>
        <v>#REF!</v>
      </c>
      <c r="Y14" s="279">
        <f>'TV Proj'!C15/1000000</f>
        <v>0.293</v>
      </c>
      <c r="Z14" s="328"/>
      <c r="AA14" s="279">
        <f>'Monochrome TV'!C15/1000000</f>
        <v>3.547</v>
      </c>
      <c r="AB14" s="330"/>
      <c r="AC14" s="331">
        <f t="shared" si="3"/>
        <v>23.169999999999998</v>
      </c>
      <c r="AD14" s="340"/>
      <c r="AE14" s="361">
        <f>'Cell Phones'!D15/1000000</f>
        <v>0.7957746478873241</v>
      </c>
      <c r="AF14" s="40"/>
      <c r="AG14" s="40"/>
      <c r="AH14" s="355">
        <v>1987</v>
      </c>
      <c r="AI14" s="281">
        <v>40.8</v>
      </c>
      <c r="AJ14" s="281">
        <v>73.00558659217877</v>
      </c>
      <c r="AK14" s="281"/>
      <c r="AL14" s="281">
        <v>225</v>
      </c>
      <c r="AM14" s="281">
        <v>40.8</v>
      </c>
      <c r="AN14" s="401">
        <f>'Cell Phones'!E15</f>
        <v>3.5033078300000007</v>
      </c>
      <c r="AP14" s="355">
        <v>1987</v>
      </c>
      <c r="AQ14" s="281">
        <f>Desktops!D15</f>
        <v>22</v>
      </c>
      <c r="AR14" s="281"/>
      <c r="AS14" s="367">
        <f>'PC CRTs'!E15</f>
        <v>24.5</v>
      </c>
      <c r="AT14" s="349"/>
      <c r="AU14" s="281">
        <f>Keyboards!D15</f>
        <v>2.9</v>
      </c>
      <c r="AV14" s="350">
        <f>Mice!D15</f>
        <v>0.2</v>
      </c>
      <c r="AW14" s="368">
        <f>'Hard Copy Devices'!D15</f>
        <v>18</v>
      </c>
    </row>
    <row r="15" spans="1:49" ht="15">
      <c r="A15" s="58">
        <v>1988</v>
      </c>
      <c r="B15" s="300">
        <f>Desktops!C16/1000000</f>
        <v>8.724</v>
      </c>
      <c r="C15" s="59" t="e">
        <f>#REF!</f>
        <v>#REF!</v>
      </c>
      <c r="D15" s="59"/>
      <c r="E15" s="59" t="e">
        <f>#REF!</f>
        <v>#REF!</v>
      </c>
      <c r="F15" s="300">
        <f>'Hard Copy Devices'!C16/1000000</f>
        <v>4.5801</v>
      </c>
      <c r="G15" s="300" t="e">
        <f>#REF!</f>
        <v>#REF!</v>
      </c>
      <c r="H15" s="300">
        <f>Mice!C16/1000000</f>
        <v>8.724</v>
      </c>
      <c r="I15" s="300" t="e">
        <f>#REF!</f>
        <v>#REF!</v>
      </c>
      <c r="J15" s="300">
        <f>Keyboards!C16/1000000</f>
        <v>8.724</v>
      </c>
      <c r="K15" s="300"/>
      <c r="L15" s="300">
        <f>'PC CRTs'!D16/1000000</f>
        <v>8.724</v>
      </c>
      <c r="M15" s="59" t="e">
        <f t="shared" si="2"/>
        <v>#REF!</v>
      </c>
      <c r="N15" s="59"/>
      <c r="O15" s="48"/>
      <c r="R15" s="335">
        <v>1988</v>
      </c>
      <c r="S15" s="279">
        <f>'TV CRT &lt;19'!C16/1000000</f>
        <v>10.108</v>
      </c>
      <c r="T15" s="279" t="e">
        <f t="shared" si="0"/>
        <v>#REF!</v>
      </c>
      <c r="U15" s="279">
        <f>'TV CRT &gt;19'!C16/1000000</f>
        <v>10.108</v>
      </c>
      <c r="V15" s="311"/>
      <c r="W15" s="311"/>
      <c r="X15" s="311" t="e">
        <f t="shared" si="1"/>
        <v>#REF!</v>
      </c>
      <c r="Y15" s="279">
        <f>'TV Proj'!C16/1000000</f>
        <v>0.302</v>
      </c>
      <c r="Z15" s="311"/>
      <c r="AA15" s="279">
        <f>'Monochrome TV'!C16/1000000</f>
        <v>2.574</v>
      </c>
      <c r="AB15" s="330"/>
      <c r="AC15" s="331">
        <f t="shared" si="3"/>
        <v>23.092</v>
      </c>
      <c r="AD15" s="340"/>
      <c r="AE15" s="279">
        <f>'Cell Phones'!D16/1000000</f>
        <v>1.2535211267605635</v>
      </c>
      <c r="AF15" s="40"/>
      <c r="AG15" s="40"/>
      <c r="AH15" s="355">
        <v>1988</v>
      </c>
      <c r="AI15" s="352">
        <v>41.16129032258065</v>
      </c>
      <c r="AJ15" s="352">
        <v>72.9261744966443</v>
      </c>
      <c r="AK15" s="352"/>
      <c r="AL15" s="352">
        <v>227</v>
      </c>
      <c r="AM15" s="352">
        <v>41.16129032258065</v>
      </c>
      <c r="AN15" s="401">
        <f>'Cell Phones'!E16</f>
        <v>3.5033078300000007</v>
      </c>
      <c r="AP15" s="355">
        <v>1988</v>
      </c>
      <c r="AQ15" s="281">
        <f>Desktops!D16</f>
        <v>22</v>
      </c>
      <c r="AR15" s="281"/>
      <c r="AS15" s="367">
        <f>'PC CRTs'!E16</f>
        <v>24.5</v>
      </c>
      <c r="AT15" s="349"/>
      <c r="AU15" s="281">
        <f>Keyboards!D16</f>
        <v>2.9</v>
      </c>
      <c r="AV15" s="350">
        <f>Mice!D16</f>
        <v>0.2</v>
      </c>
      <c r="AW15" s="368">
        <f>'Hard Copy Devices'!D16</f>
        <v>18</v>
      </c>
    </row>
    <row r="16" spans="1:49" ht="15">
      <c r="A16" s="58">
        <v>1989</v>
      </c>
      <c r="B16" s="300">
        <f>Desktops!C17/1000000</f>
        <v>8.905801</v>
      </c>
      <c r="C16" s="59" t="e">
        <f>#REF!</f>
        <v>#REF!</v>
      </c>
      <c r="D16" s="59"/>
      <c r="E16" s="59" t="e">
        <f>#REF!</f>
        <v>#REF!</v>
      </c>
      <c r="F16" s="300">
        <f>'Hard Copy Devices'!C17/1000000</f>
        <v>4.675545525</v>
      </c>
      <c r="G16" s="300" t="e">
        <f>#REF!</f>
        <v>#REF!</v>
      </c>
      <c r="H16" s="300">
        <f>Mice!C17/1000000</f>
        <v>8.905801</v>
      </c>
      <c r="I16" s="300" t="e">
        <f>#REF!</f>
        <v>#REF!</v>
      </c>
      <c r="J16" s="405">
        <f>Keyboards!C17/1000000</f>
        <v>17.522737</v>
      </c>
      <c r="K16" s="300"/>
      <c r="L16" s="300">
        <f>'PC CRTs'!D17/1000000</f>
        <v>8.389497</v>
      </c>
      <c r="M16" s="59" t="e">
        <f t="shared" si="2"/>
        <v>#REF!</v>
      </c>
      <c r="N16" s="300">
        <f>'PC Flat Panel'!D17/1000000</f>
        <v>1.083598</v>
      </c>
      <c r="O16" s="48"/>
      <c r="R16" s="71">
        <v>1989</v>
      </c>
      <c r="S16" s="279">
        <f>'TV CRT &lt;19'!C17/1000000</f>
        <v>10.853</v>
      </c>
      <c r="T16" s="279" t="e">
        <f t="shared" si="0"/>
        <v>#REF!</v>
      </c>
      <c r="U16" s="279">
        <f>'TV CRT &gt;19'!C17/1000000</f>
        <v>10.853</v>
      </c>
      <c r="V16" s="328"/>
      <c r="W16" s="328"/>
      <c r="X16" s="328" t="e">
        <f t="shared" si="1"/>
        <v>#REF!</v>
      </c>
      <c r="Y16" s="279">
        <f>'TV Proj'!C17/1000000</f>
        <v>0.265</v>
      </c>
      <c r="Z16" s="328"/>
      <c r="AA16" s="279">
        <f>'Monochrome TV'!C17/1000000</f>
        <v>1.656</v>
      </c>
      <c r="AB16" s="330"/>
      <c r="AC16" s="331">
        <f t="shared" si="3"/>
        <v>23.627</v>
      </c>
      <c r="AD16" s="340"/>
      <c r="AE16" s="279">
        <f>'Cell Phones'!D17/1000000</f>
        <v>2.1126760563380285</v>
      </c>
      <c r="AF16" s="40"/>
      <c r="AG16" s="40"/>
      <c r="AH16" s="355">
        <v>1989</v>
      </c>
      <c r="AI16" s="281">
        <v>41.013422818791945</v>
      </c>
      <c r="AJ16" s="281">
        <v>71.72685185185185</v>
      </c>
      <c r="AK16" s="281"/>
      <c r="AL16" s="281">
        <v>229</v>
      </c>
      <c r="AM16" s="281">
        <v>41.013422818791945</v>
      </c>
      <c r="AN16" s="401">
        <f>'Cell Phones'!E17</f>
        <v>3.5033078300000007</v>
      </c>
      <c r="AP16" s="355">
        <v>1989</v>
      </c>
      <c r="AQ16" s="281">
        <f>Desktops!D17</f>
        <v>21.86</v>
      </c>
      <c r="AR16" s="281"/>
      <c r="AS16" s="367">
        <f>'PC CRTs'!E17</f>
        <v>24.5</v>
      </c>
      <c r="AT16" s="349">
        <f>'PC Flat Panel'!E17</f>
        <v>24.6</v>
      </c>
      <c r="AU16" s="281">
        <f>Keyboards!D17</f>
        <v>2.9</v>
      </c>
      <c r="AV16" s="350">
        <f>Mice!D17</f>
        <v>0.2</v>
      </c>
      <c r="AW16" s="368">
        <f>'Hard Copy Devices'!D17</f>
        <v>17.86331634129379</v>
      </c>
    </row>
    <row r="17" spans="1:49" ht="15">
      <c r="A17" s="58">
        <v>1990</v>
      </c>
      <c r="B17" s="300">
        <f>Desktops!C18/1000000</f>
        <v>9.485529</v>
      </c>
      <c r="C17" s="59" t="e">
        <f>#REF!</f>
        <v>#REF!</v>
      </c>
      <c r="D17" s="59"/>
      <c r="E17" s="59" t="e">
        <f>#REF!</f>
        <v>#REF!</v>
      </c>
      <c r="F17" s="300">
        <f>'Hard Copy Devices'!C18/1000000</f>
        <v>4.9799027250000005</v>
      </c>
      <c r="G17" s="300" t="e">
        <f>#REF!</f>
        <v>#REF!</v>
      </c>
      <c r="H17" s="300">
        <f>Mice!C18/1000000</f>
        <v>9.485529</v>
      </c>
      <c r="I17" s="300" t="e">
        <f>#REF!</f>
        <v>#REF!</v>
      </c>
      <c r="J17" s="405">
        <f>Keyboards!C18/1000000</f>
        <v>21.737704</v>
      </c>
      <c r="K17" s="300"/>
      <c r="L17" s="300">
        <f>'PC CRTs'!D18/1000000</f>
        <v>9.39836</v>
      </c>
      <c r="M17" s="59" t="e">
        <f t="shared" si="2"/>
        <v>#REF!</v>
      </c>
      <c r="N17" s="300">
        <f>'PC Flat Panel'!D18/1000000</f>
        <v>0.882707</v>
      </c>
      <c r="O17" s="48"/>
      <c r="R17" s="335">
        <v>1990</v>
      </c>
      <c r="S17" s="279">
        <f>'TV CRT &lt;19'!C18/1000000</f>
        <v>10.404</v>
      </c>
      <c r="T17" s="279" t="e">
        <f t="shared" si="0"/>
        <v>#REF!</v>
      </c>
      <c r="U17" s="279">
        <f>'TV CRT &gt;19'!C18/1000000</f>
        <v>10.404</v>
      </c>
      <c r="V17" s="311"/>
      <c r="W17" s="311"/>
      <c r="X17" s="311" t="e">
        <f t="shared" si="1"/>
        <v>#REF!</v>
      </c>
      <c r="Y17" s="279">
        <f>'TV Proj'!C18/1000000</f>
        <v>0.351</v>
      </c>
      <c r="Z17" s="311"/>
      <c r="AA17" s="279">
        <f>'Monochrome TV'!C18/1000000</f>
        <v>1.411</v>
      </c>
      <c r="AB17" s="330"/>
      <c r="AC17" s="331">
        <f t="shared" si="3"/>
        <v>22.57</v>
      </c>
      <c r="AD17" s="340"/>
      <c r="AE17" s="279">
        <f>'Cell Phones'!D18/1000000</f>
        <v>2.5774647887323945</v>
      </c>
      <c r="AF17" s="40"/>
      <c r="AG17" s="40"/>
      <c r="AH17" s="355">
        <v>1990</v>
      </c>
      <c r="AI17" s="352">
        <v>40.53947368421053</v>
      </c>
      <c r="AJ17" s="352">
        <v>74.75</v>
      </c>
      <c r="AK17" s="352"/>
      <c r="AL17" s="352">
        <v>231</v>
      </c>
      <c r="AM17" s="352">
        <v>40.53947368421053</v>
      </c>
      <c r="AN17" s="401">
        <f>'Cell Phones'!E18</f>
        <v>3.5033078300000007</v>
      </c>
      <c r="AP17" s="355">
        <v>1990</v>
      </c>
      <c r="AQ17" s="281">
        <f>Desktops!D18</f>
        <v>21.76</v>
      </c>
      <c r="AR17" s="281"/>
      <c r="AS17" s="367">
        <f>'PC CRTs'!E18</f>
        <v>24.63</v>
      </c>
      <c r="AT17" s="349">
        <f>'PC Flat Panel'!E18</f>
        <v>24.6</v>
      </c>
      <c r="AU17" s="281">
        <f>Keyboards!D18</f>
        <v>2.9</v>
      </c>
      <c r="AV17" s="350">
        <f>Mice!D18</f>
        <v>0.2</v>
      </c>
      <c r="AW17" s="368">
        <f>'Hard Copy Devices'!D18</f>
        <v>19.61576938693987</v>
      </c>
    </row>
    <row r="18" spans="1:49" ht="15">
      <c r="A18" s="58">
        <v>1991</v>
      </c>
      <c r="B18" s="300">
        <f>Desktops!C19/1000000</f>
        <v>9.523762</v>
      </c>
      <c r="C18" s="59" t="e">
        <f>#REF!</f>
        <v>#REF!</v>
      </c>
      <c r="D18" s="59"/>
      <c r="E18" s="59" t="e">
        <f>#REF!</f>
        <v>#REF!</v>
      </c>
      <c r="F18" s="300">
        <f>'Hard Copy Devices'!C19/1000000</f>
        <v>4.99997505</v>
      </c>
      <c r="G18" s="300" t="e">
        <f>#REF!</f>
        <v>#REF!</v>
      </c>
      <c r="H18" s="300">
        <f>Mice!C19/1000000</f>
        <v>14.294014</v>
      </c>
      <c r="I18" s="300" t="e">
        <f>#REF!</f>
        <v>#REF!</v>
      </c>
      <c r="J18" s="405">
        <f>Keyboards!C19/1000000</f>
        <v>26.962186</v>
      </c>
      <c r="K18" s="300"/>
      <c r="L18" s="300">
        <f>'PC CRTs'!D19/1000000</f>
        <v>10.475034</v>
      </c>
      <c r="M18" s="59" t="e">
        <f t="shared" si="2"/>
        <v>#REF!</v>
      </c>
      <c r="N18" s="300">
        <f>'PC Flat Panel'!D19/1000000</f>
        <v>1.499605</v>
      </c>
      <c r="O18" s="48"/>
      <c r="R18" s="71">
        <v>1991</v>
      </c>
      <c r="S18" s="279">
        <f>'TV CRT &lt;19'!C19/1000000</f>
        <v>9.418483516626345</v>
      </c>
      <c r="T18" s="279" t="e">
        <f t="shared" si="0"/>
        <v>#REF!</v>
      </c>
      <c r="U18" s="279">
        <f>'TV CRT &gt;19'!C19/1000000</f>
        <v>10.717534483373655</v>
      </c>
      <c r="V18" s="328"/>
      <c r="W18" s="328"/>
      <c r="X18" s="328" t="e">
        <f t="shared" si="1"/>
        <v>#REF!</v>
      </c>
      <c r="Y18" s="279">
        <f>'TV Proj'!C19/1000000</f>
        <v>0.38</v>
      </c>
      <c r="Z18" s="328"/>
      <c r="AA18" s="279">
        <f>'Monochrome TV'!C19/1000000</f>
        <v>0.784</v>
      </c>
      <c r="AB18" s="330"/>
      <c r="AC18" s="331">
        <f t="shared" si="3"/>
        <v>21.300017999999998</v>
      </c>
      <c r="AD18" s="340"/>
      <c r="AE18" s="279">
        <f>'Cell Phones'!D19/1000000</f>
        <v>3.3661971830985915</v>
      </c>
      <c r="AF18" s="40"/>
      <c r="AG18" s="40"/>
      <c r="AH18" s="355">
        <v>1991</v>
      </c>
      <c r="AI18" s="281">
        <v>41.06923076923077</v>
      </c>
      <c r="AJ18" s="281">
        <v>73.91145833333333</v>
      </c>
      <c r="AK18" s="281"/>
      <c r="AL18" s="281">
        <v>233</v>
      </c>
      <c r="AM18" s="281">
        <v>41.06923076923077</v>
      </c>
      <c r="AN18" s="401">
        <f>'Cell Phones'!E19</f>
        <v>3.5033078300000007</v>
      </c>
      <c r="AP18" s="355">
        <v>1991</v>
      </c>
      <c r="AQ18" s="281">
        <f>Desktops!D19</f>
        <v>21.81</v>
      </c>
      <c r="AR18" s="281"/>
      <c r="AS18" s="367">
        <f>'PC CRTs'!E19</f>
        <v>24.75</v>
      </c>
      <c r="AT18" s="349">
        <f>'PC Flat Panel'!E19</f>
        <v>24.6</v>
      </c>
      <c r="AU18" s="281">
        <f>Keyboards!D19</f>
        <v>2.9</v>
      </c>
      <c r="AV18" s="350">
        <f>Mice!D19</f>
        <v>0.2</v>
      </c>
      <c r="AW18" s="368">
        <f>'Hard Copy Devices'!D19</f>
        <v>18.36082100743387</v>
      </c>
    </row>
    <row r="19" spans="1:49" ht="15">
      <c r="A19" s="58">
        <v>1992</v>
      </c>
      <c r="B19" s="300">
        <f>Desktops!C20/1000000</f>
        <v>9.911</v>
      </c>
      <c r="C19" s="59" t="e">
        <f>#REF!</f>
        <v>#REF!</v>
      </c>
      <c r="D19" s="300">
        <f>Portables!C20/1000000</f>
        <v>1.85</v>
      </c>
      <c r="E19" s="59" t="e">
        <f>#REF!</f>
        <v>#REF!</v>
      </c>
      <c r="F19" s="300">
        <f>'Hard Copy Devices'!C20/1000000</f>
        <v>6.174525</v>
      </c>
      <c r="G19" s="300" t="e">
        <f>#REF!</f>
        <v>#REF!</v>
      </c>
      <c r="H19" s="300">
        <f>Mice!C20/1000000</f>
        <v>20.856314</v>
      </c>
      <c r="I19" s="300" t="e">
        <f>#REF!</f>
        <v>#REF!</v>
      </c>
      <c r="J19" s="405">
        <f>Keyboards!C20/1000000</f>
        <v>37.63145</v>
      </c>
      <c r="K19" s="300"/>
      <c r="L19" s="300">
        <f>'PC CRTs'!D20/1000000</f>
        <v>13.398131</v>
      </c>
      <c r="M19" s="59" t="e">
        <f t="shared" si="2"/>
        <v>#REF!</v>
      </c>
      <c r="N19" s="300">
        <f>'PC Flat Panel'!D20/1000000</f>
        <v>1.726516</v>
      </c>
      <c r="O19" s="48"/>
      <c r="R19" s="335">
        <v>1992</v>
      </c>
      <c r="S19" s="279">
        <f>'TV CRT &lt;19'!C20/1000000</f>
        <v>9.734400667070684</v>
      </c>
      <c r="T19" s="279" t="e">
        <f t="shared" si="0"/>
        <v>#REF!</v>
      </c>
      <c r="U19" s="279">
        <f>'TV CRT &gt;19'!C20/1000000</f>
        <v>12.257854332929316</v>
      </c>
      <c r="V19" s="311"/>
      <c r="W19" s="311"/>
      <c r="X19" s="311" t="e">
        <f t="shared" si="1"/>
        <v>#REF!</v>
      </c>
      <c r="Y19" s="279">
        <f>'TV Proj'!C20/1000000</f>
        <v>0.404</v>
      </c>
      <c r="Z19" s="311"/>
      <c r="AA19" s="279">
        <f>'Monochrome TV'!C20/1000000</f>
        <v>0.633</v>
      </c>
      <c r="AB19" s="330"/>
      <c r="AC19" s="331">
        <f t="shared" si="3"/>
        <v>23.029255</v>
      </c>
      <c r="AD19" s="340"/>
      <c r="AE19" s="279">
        <f>'Cell Phones'!D20/1000000</f>
        <v>5.387323943661972</v>
      </c>
      <c r="AF19" s="40"/>
      <c r="AG19" s="40"/>
      <c r="AH19" s="355">
        <v>1992</v>
      </c>
      <c r="AI19" s="352">
        <v>40.93333333333333</v>
      </c>
      <c r="AJ19" s="352">
        <v>73.5042735042735</v>
      </c>
      <c r="AK19" s="352"/>
      <c r="AL19" s="352">
        <v>235</v>
      </c>
      <c r="AM19" s="352">
        <v>40.93333333333333</v>
      </c>
      <c r="AN19" s="401">
        <f>'Cell Phones'!E20</f>
        <v>0.5333333333333333</v>
      </c>
      <c r="AP19" s="355">
        <v>1992</v>
      </c>
      <c r="AQ19" s="281">
        <f>Desktops!D20</f>
        <v>22.19</v>
      </c>
      <c r="AR19" s="281">
        <f>Portables!D20</f>
        <v>9</v>
      </c>
      <c r="AS19" s="367">
        <f>'PC CRTs'!E20</f>
        <v>24.88</v>
      </c>
      <c r="AT19" s="349">
        <f>'PC Flat Panel'!E20</f>
        <v>24.6</v>
      </c>
      <c r="AU19" s="281">
        <f>Keyboards!D20</f>
        <v>2.9</v>
      </c>
      <c r="AV19" s="350">
        <f>Mice!D20</f>
        <v>0.2</v>
      </c>
      <c r="AW19" s="368">
        <f>'Hard Copy Devices'!D20</f>
        <v>17.43017602235645</v>
      </c>
    </row>
    <row r="20" spans="1:49" ht="15">
      <c r="A20" s="58">
        <v>1993</v>
      </c>
      <c r="B20" s="300">
        <f>Desktops!C21/1000000</f>
        <v>13.022020560000001</v>
      </c>
      <c r="C20" s="60"/>
      <c r="D20" s="300">
        <f>Portables!C21/1000000</f>
        <v>2.5279794399999997</v>
      </c>
      <c r="E20" s="60"/>
      <c r="F20" s="300">
        <f>'Hard Copy Devices'!C21/1000000</f>
        <v>8.16375</v>
      </c>
      <c r="G20" s="300" t="e">
        <f>#REF!</f>
        <v>#REF!</v>
      </c>
      <c r="H20" s="300">
        <f>Mice!C21/1000000</f>
        <v>31.269537</v>
      </c>
      <c r="I20" s="300" t="e">
        <f>#REF!</f>
        <v>#REF!</v>
      </c>
      <c r="J20" s="405">
        <f>Keyboards!C21/1000000</f>
        <v>36.064807</v>
      </c>
      <c r="K20" s="300"/>
      <c r="L20" s="300">
        <f>'PC CRTs'!D21/1000000</f>
        <v>17.337347</v>
      </c>
      <c r="M20" s="59" t="e">
        <f t="shared" si="2"/>
        <v>#REF!</v>
      </c>
      <c r="N20" s="300">
        <f>'PC Flat Panel'!D21/1000000</f>
        <v>1.839521</v>
      </c>
      <c r="O20" s="48"/>
      <c r="R20" s="71">
        <v>1993</v>
      </c>
      <c r="S20" s="279">
        <f>'TV CRT &lt;19'!C21/1000000</f>
        <v>10.621222216448325</v>
      </c>
      <c r="T20" s="279" t="e">
        <f t="shared" si="0"/>
        <v>#REF!</v>
      </c>
      <c r="U20" s="279">
        <f>'TV CRT &gt;19'!C21/1000000</f>
        <v>14.012379783551674</v>
      </c>
      <c r="V20" s="328"/>
      <c r="W20" s="328"/>
      <c r="X20" s="328" t="e">
        <f t="shared" si="1"/>
        <v>#REF!</v>
      </c>
      <c r="Y20" s="279">
        <f>'TV Proj'!C21/1000000</f>
        <v>0.465</v>
      </c>
      <c r="Z20" s="328"/>
      <c r="AA20" s="279">
        <f>'Monochrome TV'!C21/1000000</f>
        <v>0.55</v>
      </c>
      <c r="AB20" s="330"/>
      <c r="AC20" s="331">
        <f t="shared" si="3"/>
        <v>25.648602</v>
      </c>
      <c r="AD20" s="312"/>
      <c r="AE20" s="279">
        <f>'Cell Phones'!D21/1000000</f>
        <v>7.873239436619718</v>
      </c>
      <c r="AF20" s="39"/>
      <c r="AG20" s="40"/>
      <c r="AH20" s="355">
        <v>1993</v>
      </c>
      <c r="AI20" s="281">
        <v>40.74233128834356</v>
      </c>
      <c r="AJ20" s="281">
        <v>75.36575875486382</v>
      </c>
      <c r="AK20" s="281"/>
      <c r="AL20" s="281">
        <v>237</v>
      </c>
      <c r="AM20" s="281">
        <v>40.74233128834356</v>
      </c>
      <c r="AN20" s="401">
        <f>'Cell Phones'!E21</f>
        <v>0.5333333333333333</v>
      </c>
      <c r="AP20" s="355">
        <v>1993</v>
      </c>
      <c r="AQ20" s="281">
        <f>Desktops!D21</f>
        <v>21.94</v>
      </c>
      <c r="AR20" s="281">
        <f>Portables!D21</f>
        <v>8.73</v>
      </c>
      <c r="AS20" s="367">
        <f>'PC CRTs'!E21</f>
        <v>25</v>
      </c>
      <c r="AT20" s="349">
        <f>'PC Flat Panel'!E21</f>
        <v>24.6</v>
      </c>
      <c r="AU20" s="281">
        <f>Keyboards!D21</f>
        <v>2.9</v>
      </c>
      <c r="AV20" s="350">
        <f>Mice!D21</f>
        <v>0.2</v>
      </c>
      <c r="AW20" s="368">
        <f>'Hard Copy Devices'!D21</f>
        <v>17.761993549272578</v>
      </c>
    </row>
    <row r="21" spans="1:49" ht="15">
      <c r="A21" s="58">
        <v>1994</v>
      </c>
      <c r="B21" s="300">
        <f>Desktops!C22/1000000</f>
        <v>15.296184</v>
      </c>
      <c r="C21" s="60"/>
      <c r="D21" s="300">
        <f>Portables!C22/1000000</f>
        <v>3.200464</v>
      </c>
      <c r="E21" s="60"/>
      <c r="F21" s="300">
        <f>'Hard Copy Devices'!C22/1000000</f>
        <v>9.710740200000002</v>
      </c>
      <c r="G21" s="300" t="e">
        <f>#REF!</f>
        <v>#REF!</v>
      </c>
      <c r="H21" s="300">
        <f>Mice!C22/1000000</f>
        <v>39.735254</v>
      </c>
      <c r="I21" s="300" t="e">
        <f>#REF!</f>
        <v>#REF!</v>
      </c>
      <c r="J21" s="405">
        <f>Keyboards!C22/1000000</f>
        <v>41.441594</v>
      </c>
      <c r="K21" s="300"/>
      <c r="L21" s="300">
        <f>'PC CRTs'!D22/1000000</f>
        <v>18.065472</v>
      </c>
      <c r="M21" s="59" t="e">
        <f t="shared" si="2"/>
        <v>#REF!</v>
      </c>
      <c r="N21" s="300">
        <f>'PC Flat Panel'!D22/1000000</f>
        <v>2.79529</v>
      </c>
      <c r="O21" s="48"/>
      <c r="R21" s="335">
        <v>1994</v>
      </c>
      <c r="S21" s="279">
        <f>'TV CRT &lt;19'!C22/1000000</f>
        <v>11.684130139444422</v>
      </c>
      <c r="T21" s="279" t="e">
        <f t="shared" si="0"/>
        <v>#REF!</v>
      </c>
      <c r="U21" s="279">
        <f>'TV CRT &gt;19'!C22/1000000</f>
        <v>15.047726860555578</v>
      </c>
      <c r="V21" s="311"/>
      <c r="W21" s="311"/>
      <c r="X21" s="311" t="e">
        <f t="shared" si="1"/>
        <v>#REF!</v>
      </c>
      <c r="Y21" s="279">
        <f>'TV Proj'!C22/1000000</f>
        <v>0.636</v>
      </c>
      <c r="Z21" s="311"/>
      <c r="AA21" s="279">
        <f>'Monochrome TV'!C22/1000000</f>
        <v>0.54</v>
      </c>
      <c r="AB21" s="330"/>
      <c r="AC21" s="331">
        <f t="shared" si="3"/>
        <v>27.907856999999996</v>
      </c>
      <c r="AD21" s="312"/>
      <c r="AE21" s="279">
        <f>'Cell Phones'!D22/1000000</f>
        <v>12.429577464788732</v>
      </c>
      <c r="AF21" s="39"/>
      <c r="AG21" s="40"/>
      <c r="AH21" s="355">
        <v>1994</v>
      </c>
      <c r="AI21" s="352">
        <v>41.120879120879124</v>
      </c>
      <c r="AJ21" s="352">
        <v>73.34673366834171</v>
      </c>
      <c r="AK21" s="352"/>
      <c r="AL21" s="352">
        <v>239</v>
      </c>
      <c r="AM21" s="352">
        <v>41.120879120879124</v>
      </c>
      <c r="AN21" s="401">
        <f>'Cell Phones'!E22</f>
        <v>0.5333333333333333</v>
      </c>
      <c r="AP21" s="355">
        <v>1994</v>
      </c>
      <c r="AQ21" s="281">
        <f>Desktops!D22</f>
        <v>21.68</v>
      </c>
      <c r="AR21" s="281">
        <f>Portables!D22</f>
        <v>8.46</v>
      </c>
      <c r="AS21" s="367">
        <f>'PC CRTs'!E22</f>
        <v>28.86</v>
      </c>
      <c r="AT21" s="349">
        <f>'PC Flat Panel'!E22</f>
        <v>24.6</v>
      </c>
      <c r="AU21" s="281">
        <f>Keyboards!D22</f>
        <v>2.9</v>
      </c>
      <c r="AV21" s="350">
        <f>Mice!D22</f>
        <v>0.2</v>
      </c>
      <c r="AW21" s="368">
        <f>'Hard Copy Devices'!D22</f>
        <v>17.809990560683474</v>
      </c>
    </row>
    <row r="22" spans="1:49" ht="15">
      <c r="A22" s="58">
        <v>1995</v>
      </c>
      <c r="B22" s="300">
        <f>Desktops!C23/1000000</f>
        <v>19.139858</v>
      </c>
      <c r="C22" s="60"/>
      <c r="D22" s="300">
        <f>Portables!C23/1000000</f>
        <v>3.563808</v>
      </c>
      <c r="E22" s="60"/>
      <c r="F22" s="300">
        <f>'Hard Copy Devices'!C23/1000000</f>
        <v>11.91942465</v>
      </c>
      <c r="G22" s="300" t="e">
        <f>#REF!</f>
        <v>#REF!</v>
      </c>
      <c r="H22" s="405">
        <f>Mice!C23/1000000</f>
        <v>19.139858</v>
      </c>
      <c r="I22" s="300" t="e">
        <f>#REF!</f>
        <v>#REF!</v>
      </c>
      <c r="J22" s="405">
        <f>Keyboards!C23/1000000</f>
        <v>47.596105</v>
      </c>
      <c r="K22" s="300"/>
      <c r="L22" s="300">
        <f>'PC CRTs'!D23/1000000</f>
        <v>22.234917</v>
      </c>
      <c r="M22" s="59" t="e">
        <f t="shared" si="2"/>
        <v>#REF!</v>
      </c>
      <c r="N22" s="300">
        <f>'PC Flat Panel'!D23/1000000</f>
        <v>2.967154</v>
      </c>
      <c r="O22" s="48"/>
      <c r="R22" s="71">
        <v>1995</v>
      </c>
      <c r="S22" s="279">
        <f>'TV CRT &lt;19'!C23/1000000</f>
        <v>10.847194238451854</v>
      </c>
      <c r="T22" s="279" t="e">
        <f t="shared" si="0"/>
        <v>#REF!</v>
      </c>
      <c r="U22" s="279">
        <f>'TV CRT &gt;19'!C23/1000000</f>
        <v>14.588921761548146</v>
      </c>
      <c r="V22" s="328"/>
      <c r="W22" s="328"/>
      <c r="X22" s="328" t="e">
        <f t="shared" si="1"/>
        <v>#REF!</v>
      </c>
      <c r="Y22" s="279">
        <f>'TV Proj'!C23/1000000</f>
        <v>0.82</v>
      </c>
      <c r="Z22" s="328"/>
      <c r="AA22" s="279">
        <f>'Monochrome TV'!C23/1000000</f>
        <v>0.48</v>
      </c>
      <c r="AB22" s="330"/>
      <c r="AC22" s="331">
        <f t="shared" si="3"/>
        <v>26.736116</v>
      </c>
      <c r="AD22" s="312"/>
      <c r="AE22" s="279">
        <f>'Cell Phones'!D23/1000000</f>
        <v>14.5</v>
      </c>
      <c r="AF22" s="39"/>
      <c r="AG22" s="40"/>
      <c r="AH22" s="355">
        <v>1995</v>
      </c>
      <c r="AI22" s="281">
        <v>40.93617021276596</v>
      </c>
      <c r="AJ22" s="281">
        <v>73.54037267080746</v>
      </c>
      <c r="AK22" s="281"/>
      <c r="AL22" s="281">
        <v>241</v>
      </c>
      <c r="AM22" s="281">
        <v>40.93617021276596</v>
      </c>
      <c r="AN22" s="401">
        <f>'Cell Phones'!E23</f>
        <v>0.5333333333333333</v>
      </c>
      <c r="AP22" s="355">
        <v>1995</v>
      </c>
      <c r="AQ22" s="281">
        <f>Desktops!D23</f>
        <v>23.02</v>
      </c>
      <c r="AR22" s="281">
        <f>Portables!D23</f>
        <v>8.2</v>
      </c>
      <c r="AS22" s="367">
        <f>'PC CRTs'!E23</f>
        <v>32.71</v>
      </c>
      <c r="AT22" s="349">
        <f>'PC Flat Panel'!E23</f>
        <v>24.6</v>
      </c>
      <c r="AU22" s="281">
        <f>Keyboards!D23</f>
        <v>2.9</v>
      </c>
      <c r="AV22" s="350">
        <f>Mice!D23</f>
        <v>0.2</v>
      </c>
      <c r="AW22" s="368">
        <f>'Hard Copy Devices'!D23</f>
        <v>16.833347913713883</v>
      </c>
    </row>
    <row r="23" spans="1:49" ht="15">
      <c r="A23" s="58">
        <v>1996</v>
      </c>
      <c r="B23" s="300">
        <f>Desktops!C24/1000000</f>
        <v>22.420954</v>
      </c>
      <c r="C23" s="60"/>
      <c r="D23" s="300">
        <f>Portables!C24/1000000</f>
        <v>4.949204</v>
      </c>
      <c r="E23" s="60"/>
      <c r="F23" s="300">
        <f>'Hard Copy Devices'!C24/1000000</f>
        <v>14.933634</v>
      </c>
      <c r="G23" s="300" t="e">
        <f>#REF!</f>
        <v>#REF!</v>
      </c>
      <c r="H23" s="405">
        <f>Mice!C24/1000000</f>
        <v>22.420954</v>
      </c>
      <c r="I23" s="300" t="e">
        <f>#REF!</f>
        <v>#REF!</v>
      </c>
      <c r="J23" s="405">
        <f>Keyboards!C24/1000000</f>
        <v>53.750616</v>
      </c>
      <c r="K23" s="300"/>
      <c r="L23" s="300">
        <f>'PC CRTs'!D24/1000000</f>
        <v>23.062291</v>
      </c>
      <c r="M23" s="59" t="e">
        <f t="shared" si="2"/>
        <v>#REF!</v>
      </c>
      <c r="N23" s="300">
        <f>'PC Flat Panel'!D24/1000000</f>
        <v>2.266424</v>
      </c>
      <c r="O23" s="48"/>
      <c r="R23" s="335">
        <v>1996</v>
      </c>
      <c r="S23" s="279">
        <f>'TV CRT &lt;19'!C24/1000000</f>
        <v>10.110336541316375</v>
      </c>
      <c r="T23" s="279" t="e">
        <f t="shared" si="0"/>
        <v>#REF!</v>
      </c>
      <c r="U23" s="279">
        <f>'TV CRT &gt;19'!C24/1000000</f>
        <v>14.471963458683625</v>
      </c>
      <c r="V23" s="311"/>
      <c r="W23" s="311"/>
      <c r="X23" s="311" t="e">
        <f t="shared" si="1"/>
        <v>#REF!</v>
      </c>
      <c r="Y23" s="279">
        <f>'TV Proj'!C24/1000000</f>
        <v>0.887</v>
      </c>
      <c r="Z23" s="311"/>
      <c r="AA23" s="279">
        <f>'Monochrome TV'!C24/1000000</f>
        <v>0.425</v>
      </c>
      <c r="AB23" s="330"/>
      <c r="AC23" s="331">
        <f t="shared" si="3"/>
        <v>25.8943</v>
      </c>
      <c r="AD23" s="312"/>
      <c r="AE23" s="279">
        <f>'Cell Phones'!D24/1000000</f>
        <v>16.6</v>
      </c>
      <c r="AF23" s="39"/>
      <c r="AG23" s="40"/>
      <c r="AH23" s="355">
        <v>1996</v>
      </c>
      <c r="AI23" s="352">
        <v>41.26315789473684</v>
      </c>
      <c r="AJ23" s="352">
        <v>72.77165354330708</v>
      </c>
      <c r="AK23" s="352"/>
      <c r="AL23" s="352">
        <v>243</v>
      </c>
      <c r="AM23" s="352">
        <v>41.26315789473684</v>
      </c>
      <c r="AN23" s="401">
        <f>'Cell Phones'!E24</f>
        <v>0.5333333333333333</v>
      </c>
      <c r="AP23" s="355">
        <v>1996</v>
      </c>
      <c r="AQ23" s="281">
        <f>Desktops!D24</f>
        <v>22.07</v>
      </c>
      <c r="AR23" s="281">
        <f>Portables!D24</f>
        <v>7.93</v>
      </c>
      <c r="AS23" s="367">
        <f>'PC CRTs'!E24</f>
        <v>36.57</v>
      </c>
      <c r="AT23" s="349">
        <f>'PC Flat Panel'!E24</f>
        <v>24.6</v>
      </c>
      <c r="AU23" s="281">
        <f>Keyboards!D24</f>
        <v>2.9</v>
      </c>
      <c r="AV23" s="350">
        <f>Mice!D24</f>
        <v>0.2</v>
      </c>
      <c r="AW23" s="368">
        <f>'Hard Copy Devices'!D24</f>
        <v>15.366657626767351</v>
      </c>
    </row>
    <row r="24" spans="1:49" ht="15">
      <c r="A24" s="58">
        <v>1997</v>
      </c>
      <c r="B24" s="300">
        <f>Desktops!C25/1000000</f>
        <v>26.767206</v>
      </c>
      <c r="C24" s="60"/>
      <c r="D24" s="300">
        <f>Portables!C25/1000000</f>
        <v>6.000142</v>
      </c>
      <c r="E24" s="60"/>
      <c r="F24" s="300">
        <f>'Hard Copy Devices'!C25/1000000</f>
        <v>16.243528</v>
      </c>
      <c r="G24" s="300" t="e">
        <f>#REF!</f>
        <v>#REF!</v>
      </c>
      <c r="H24" s="405">
        <f>Mice!C25/1000000</f>
        <v>24.871438</v>
      </c>
      <c r="I24" s="300" t="e">
        <f>#REF!</f>
        <v>#REF!</v>
      </c>
      <c r="J24" s="405">
        <f>Keyboards!C25/1000000</f>
        <v>55.60455</v>
      </c>
      <c r="K24" s="300"/>
      <c r="L24" s="300">
        <f>'PC CRTs'!D25/1000000</f>
        <v>26.583763</v>
      </c>
      <c r="M24" s="59" t="e">
        <f t="shared" si="2"/>
        <v>#REF!</v>
      </c>
      <c r="N24" s="300">
        <f>'PC Flat Panel'!D25/1000000</f>
        <v>0.947115</v>
      </c>
      <c r="O24" s="48"/>
      <c r="R24" s="71">
        <v>1997</v>
      </c>
      <c r="S24" s="279">
        <f>'TV CRT &lt;19'!C25/1000000</f>
        <v>9.572294726244827</v>
      </c>
      <c r="T24" s="279" t="e">
        <f t="shared" si="0"/>
        <v>#REF!</v>
      </c>
      <c r="U24" s="279">
        <f>'TV CRT &gt;19'!C25/1000000</f>
        <v>14.032309273755173</v>
      </c>
      <c r="V24" s="328"/>
      <c r="W24" s="328"/>
      <c r="X24" s="328" t="e">
        <f t="shared" si="1"/>
        <v>#REF!</v>
      </c>
      <c r="Y24" s="279">
        <f>'TV Proj'!C25/1000000</f>
        <v>0.917</v>
      </c>
      <c r="Z24" s="328"/>
      <c r="AA24" s="279">
        <f>'Monochrome TV'!C25/1000000</f>
        <v>0.4</v>
      </c>
      <c r="AB24" s="330"/>
      <c r="AC24" s="331">
        <f t="shared" si="3"/>
        <v>24.921604000000002</v>
      </c>
      <c r="AD24" s="312"/>
      <c r="AE24" s="279">
        <f>'Cell Phones'!D25/1000000</f>
        <v>22.2</v>
      </c>
      <c r="AF24" s="39"/>
      <c r="AG24" s="40"/>
      <c r="AH24" s="355">
        <v>1997</v>
      </c>
      <c r="AI24" s="281">
        <v>40.666666666666664</v>
      </c>
      <c r="AJ24" s="281">
        <v>73.81818181818181</v>
      </c>
      <c r="AK24" s="281"/>
      <c r="AL24" s="281">
        <v>245</v>
      </c>
      <c r="AM24" s="281">
        <v>40.666666666666664</v>
      </c>
      <c r="AN24" s="401">
        <f>'Cell Phones'!E25</f>
        <v>0.5333333333333333</v>
      </c>
      <c r="AP24" s="355">
        <v>1997</v>
      </c>
      <c r="AQ24" s="281">
        <f>Desktops!D25</f>
        <v>22.61</v>
      </c>
      <c r="AR24" s="281">
        <f>Portables!D25</f>
        <v>7.66</v>
      </c>
      <c r="AS24" s="367">
        <f>'PC CRTs'!E25</f>
        <v>40.43</v>
      </c>
      <c r="AT24" s="349">
        <f>'PC Flat Panel'!E25</f>
        <v>24.6</v>
      </c>
      <c r="AU24" s="281">
        <f>Keyboards!D25</f>
        <v>2.9</v>
      </c>
      <c r="AV24" s="350">
        <f>Mice!D25</f>
        <v>0.2</v>
      </c>
      <c r="AW24" s="368">
        <f>'Hard Copy Devices'!D25</f>
        <v>16.73879322274062</v>
      </c>
    </row>
    <row r="25" spans="1:49" ht="15">
      <c r="A25" s="58">
        <v>1998</v>
      </c>
      <c r="B25" s="300">
        <f>Desktops!C26/1000000</f>
        <v>32.525826</v>
      </c>
      <c r="C25" s="60"/>
      <c r="D25" s="300">
        <f>Portables!C26/1000000</f>
        <v>6.407928</v>
      </c>
      <c r="E25" s="60"/>
      <c r="F25" s="300">
        <f>'Hard Copy Devices'!C26/1000000</f>
        <v>22.500414</v>
      </c>
      <c r="G25" s="300" t="e">
        <f>#REF!</f>
        <v>#REF!</v>
      </c>
      <c r="H25" s="405">
        <f>Mice!C26/1000000</f>
        <v>27.892675</v>
      </c>
      <c r="I25" s="300" t="e">
        <f>#REF!</f>
        <v>#REF!</v>
      </c>
      <c r="J25" s="405">
        <f>Keyboards!C26/1000000</f>
        <v>64.956872</v>
      </c>
      <c r="K25" s="300"/>
      <c r="L25" s="300">
        <f>'PC CRTs'!D26/1000000</f>
        <v>32.575976</v>
      </c>
      <c r="M25" s="59" t="e">
        <f t="shared" si="2"/>
        <v>#REF!</v>
      </c>
      <c r="N25" s="300">
        <f>'PC Flat Panel'!D26/1000000</f>
        <v>1.46826</v>
      </c>
      <c r="O25" s="48"/>
      <c r="R25" s="335">
        <v>1998</v>
      </c>
      <c r="S25" s="279">
        <f>'TV CRT &lt;19'!C26/1000000</f>
        <v>10.300595525284038</v>
      </c>
      <c r="T25" s="279" t="e">
        <f t="shared" si="0"/>
        <v>#REF!</v>
      </c>
      <c r="U25" s="279">
        <f>'TV CRT &gt;19'!C26/1000000</f>
        <v>15.052628474715961</v>
      </c>
      <c r="V25" s="311"/>
      <c r="W25" s="311"/>
      <c r="X25" s="311" t="e">
        <f t="shared" si="1"/>
        <v>#REF!</v>
      </c>
      <c r="Y25" s="279">
        <f>'TV Proj'!C26/1000000</f>
        <v>1.08197</v>
      </c>
      <c r="Z25" s="311"/>
      <c r="AA25" s="279">
        <f>'Monochrome TV'!C26/1000000</f>
        <v>0.347</v>
      </c>
      <c r="AB25" s="330"/>
      <c r="AC25" s="331">
        <f t="shared" si="3"/>
        <v>26.782193999999997</v>
      </c>
      <c r="AD25" s="312"/>
      <c r="AE25" s="279">
        <f>'Cell Phones'!D26/1000000</f>
        <v>30.6</v>
      </c>
      <c r="AF25" s="39"/>
      <c r="AG25" s="40"/>
      <c r="AH25" s="355">
        <v>1998</v>
      </c>
      <c r="AI25" s="352">
        <v>41.55555555555556</v>
      </c>
      <c r="AJ25" s="352">
        <v>74.07142857142857</v>
      </c>
      <c r="AK25" s="352"/>
      <c r="AL25" s="352">
        <v>247</v>
      </c>
      <c r="AM25" s="352">
        <v>41.55555555555556</v>
      </c>
      <c r="AN25" s="401">
        <f>'Cell Phones'!E26</f>
        <v>0.5333333333333333</v>
      </c>
      <c r="AP25" s="355">
        <v>1998</v>
      </c>
      <c r="AQ25" s="281">
        <f>Desktops!D26</f>
        <v>22.71</v>
      </c>
      <c r="AR25" s="281">
        <f>Portables!D26</f>
        <v>7.39</v>
      </c>
      <c r="AS25" s="367">
        <f>'PC CRTs'!E26</f>
        <v>44.29</v>
      </c>
      <c r="AT25" s="349">
        <f>'PC Flat Panel'!E26</f>
        <v>24.6</v>
      </c>
      <c r="AU25" s="281">
        <f>Keyboards!D26</f>
        <v>2.9</v>
      </c>
      <c r="AV25" s="350">
        <f>Mice!D26</f>
        <v>0.2</v>
      </c>
      <c r="AW25" s="368">
        <f>'Hard Copy Devices'!D26</f>
        <v>16.269367001965</v>
      </c>
    </row>
    <row r="26" spans="1:49" ht="15">
      <c r="A26" s="61">
        <v>1999</v>
      </c>
      <c r="B26" s="300">
        <f>Desktops!C27/1000000</f>
        <v>39.488308</v>
      </c>
      <c r="C26" s="60"/>
      <c r="D26" s="300">
        <f>Portables!C27/1000000</f>
        <v>7.870995</v>
      </c>
      <c r="E26" s="60"/>
      <c r="F26" s="300">
        <f>'Hard Copy Devices'!C27/1000000</f>
        <v>27.504008</v>
      </c>
      <c r="G26" s="300" t="e">
        <f>#REF!</f>
        <v>#REF!</v>
      </c>
      <c r="H26" s="405">
        <f>Mice!C27/1000000</f>
        <v>39.488308</v>
      </c>
      <c r="I26" s="300" t="e">
        <f>#REF!</f>
        <v>#REF!</v>
      </c>
      <c r="J26" s="405">
        <f>Keyboards!C27/1000000</f>
        <v>63.675073</v>
      </c>
      <c r="K26" s="300"/>
      <c r="L26" s="300">
        <f>'PC CRTs'!D27/1000000</f>
        <v>36.938457</v>
      </c>
      <c r="M26" s="59" t="e">
        <f t="shared" si="2"/>
        <v>#REF!</v>
      </c>
      <c r="N26" s="300">
        <f>'PC Flat Panel'!D27/1000000</f>
        <v>2.829592</v>
      </c>
      <c r="O26" s="48"/>
      <c r="R26" s="336">
        <v>1999</v>
      </c>
      <c r="S26" s="279">
        <f>'TV CRT &lt;19'!C27/1000000</f>
        <v>11.224554568238837</v>
      </c>
      <c r="T26" s="279" t="e">
        <f t="shared" si="0"/>
        <v>#REF!</v>
      </c>
      <c r="U26" s="279">
        <f>'TV CRT &gt;19'!C27/1000000</f>
        <v>16.433156431761162</v>
      </c>
      <c r="V26" s="328"/>
      <c r="W26" s="342">
        <f>'TV Flat Panel'!C27/1000000</f>
        <v>0.001631</v>
      </c>
      <c r="X26" s="328" t="e">
        <f t="shared" si="1"/>
        <v>#REF!</v>
      </c>
      <c r="Y26" s="279">
        <f>'TV Proj'!C27/1000000</f>
        <v>1.332015</v>
      </c>
      <c r="Z26" s="328"/>
      <c r="AA26" s="279">
        <f>'Monochrome TV'!C27/1000000</f>
        <v>0.32</v>
      </c>
      <c r="AB26" s="330"/>
      <c r="AC26" s="331">
        <f t="shared" si="3"/>
        <v>29.311356999999997</v>
      </c>
      <c r="AD26" s="312"/>
      <c r="AE26" s="279">
        <f>'Cell Phones'!D27/1000000</f>
        <v>49.3</v>
      </c>
      <c r="AF26" s="39"/>
      <c r="AG26" s="40"/>
      <c r="AH26" s="355">
        <v>1999</v>
      </c>
      <c r="AI26" s="281">
        <v>41.22727272727273</v>
      </c>
      <c r="AJ26" s="281">
        <v>73.00961538461539</v>
      </c>
      <c r="AK26" s="281">
        <v>29</v>
      </c>
      <c r="AL26" s="281">
        <v>249</v>
      </c>
      <c r="AM26" s="281">
        <v>41.22727272727273</v>
      </c>
      <c r="AN26" s="401">
        <f>'Cell Phones'!E27</f>
        <v>0.45873397435897434</v>
      </c>
      <c r="AP26" s="355">
        <v>1999</v>
      </c>
      <c r="AQ26" s="281">
        <f>Desktops!D27</f>
        <v>22.02</v>
      </c>
      <c r="AR26" s="281">
        <f>Portables!D27</f>
        <v>7.13</v>
      </c>
      <c r="AS26" s="367">
        <f>'PC CRTs'!E27</f>
        <v>48.14</v>
      </c>
      <c r="AT26" s="349">
        <f>'PC Flat Panel'!E27</f>
        <v>24.6</v>
      </c>
      <c r="AU26" s="281">
        <f>Keyboards!D27</f>
        <v>2.9</v>
      </c>
      <c r="AV26" s="350">
        <f>Mice!D27</f>
        <v>0.2</v>
      </c>
      <c r="AW26" s="368">
        <f>'Hard Copy Devices'!D27</f>
        <v>16.39618617588669</v>
      </c>
    </row>
    <row r="27" spans="1:49" ht="15">
      <c r="A27" s="61">
        <v>2000</v>
      </c>
      <c r="B27" s="300">
        <f>Desktops!C28/1000000</f>
        <v>40.822348</v>
      </c>
      <c r="C27" s="60"/>
      <c r="D27" s="300">
        <f>Portables!C28/1000000</f>
        <v>9.622814</v>
      </c>
      <c r="E27" s="60"/>
      <c r="F27" s="300">
        <f>'Hard Copy Devices'!C28/1000000</f>
        <v>28.66605</v>
      </c>
      <c r="G27" s="300" t="e">
        <f>#REF!</f>
        <v>#REF!</v>
      </c>
      <c r="H27" s="405">
        <f>Mice!C28/1000000</f>
        <v>56.162675</v>
      </c>
      <c r="I27" s="300" t="e">
        <f>#REF!</f>
        <v>#REF!</v>
      </c>
      <c r="J27" s="405">
        <f>Keyboards!C28/1000000</f>
        <v>51.733253</v>
      </c>
      <c r="K27" s="300"/>
      <c r="L27" s="300">
        <f>'PC CRTs'!D28/1000000</f>
        <v>37.467234</v>
      </c>
      <c r="M27" s="59" t="e">
        <f t="shared" si="2"/>
        <v>#REF!</v>
      </c>
      <c r="N27" s="300">
        <f>'PC Flat Panel'!D28/1000000</f>
        <v>4.769506</v>
      </c>
      <c r="O27" s="48"/>
      <c r="R27" s="337">
        <v>2000</v>
      </c>
      <c r="S27" s="279">
        <f>'TV CRT &lt;19'!C28/1000000</f>
        <v>12.226855356540366</v>
      </c>
      <c r="T27" s="279" t="e">
        <f t="shared" si="0"/>
        <v>#REF!</v>
      </c>
      <c r="U27" s="279">
        <f>'TV CRT &gt;19'!C28/1000000</f>
        <v>17.060810643459632</v>
      </c>
      <c r="V27" s="311"/>
      <c r="W27" s="342">
        <f>'TV Flat Panel'!C28/1000000</f>
        <v>0.007552</v>
      </c>
      <c r="X27" s="311" t="e">
        <f t="shared" si="1"/>
        <v>#REF!</v>
      </c>
      <c r="Y27" s="279">
        <f>'TV Proj'!C28/1000000</f>
        <v>1.703031</v>
      </c>
      <c r="Z27" s="311"/>
      <c r="AA27" s="279">
        <f>'Monochrome TV'!C28/1000000</f>
        <v>0.265</v>
      </c>
      <c r="AB27" s="330"/>
      <c r="AC27" s="331">
        <f t="shared" si="3"/>
        <v>31.263249</v>
      </c>
      <c r="AD27" s="312"/>
      <c r="AE27" s="279">
        <f>'Cell Phones'!D28/1000000</f>
        <v>72.9</v>
      </c>
      <c r="AF27" s="39"/>
      <c r="AG27" s="40"/>
      <c r="AH27" s="355">
        <v>2000</v>
      </c>
      <c r="AI27" s="352">
        <v>39.810810810810814</v>
      </c>
      <c r="AJ27" s="352">
        <v>74.51764705882353</v>
      </c>
      <c r="AK27" s="352">
        <v>29</v>
      </c>
      <c r="AL27" s="352">
        <v>251</v>
      </c>
      <c r="AM27" s="352">
        <v>39.810810810810814</v>
      </c>
      <c r="AN27" s="401">
        <f>'Cell Phones'!E28</f>
        <v>0.38413461538461535</v>
      </c>
      <c r="AP27" s="355">
        <v>2000</v>
      </c>
      <c r="AQ27" s="281">
        <f>Desktops!D28</f>
        <v>22.06</v>
      </c>
      <c r="AR27" s="281">
        <f>Portables!D28</f>
        <v>7.13</v>
      </c>
      <c r="AS27" s="367">
        <f>'PC CRTs'!E28</f>
        <v>52</v>
      </c>
      <c r="AT27" s="349">
        <f>'PC Flat Panel'!E28</f>
        <v>24.6</v>
      </c>
      <c r="AU27" s="281">
        <f>Keyboards!D28</f>
        <v>2.9</v>
      </c>
      <c r="AV27" s="350">
        <f>Mice!D28</f>
        <v>0.2</v>
      </c>
      <c r="AW27" s="368">
        <f>'Hard Copy Devices'!D28</f>
        <v>18.456228022315194</v>
      </c>
    </row>
    <row r="28" spans="1:49" ht="15">
      <c r="A28" s="61">
        <v>2001</v>
      </c>
      <c r="B28" s="300">
        <f>Desktops!C29/1000000</f>
        <v>35.092536</v>
      </c>
      <c r="C28" s="60"/>
      <c r="D28" s="300">
        <f>Portables!C29/1000000</f>
        <v>9.57522</v>
      </c>
      <c r="E28" s="60"/>
      <c r="F28" s="300">
        <f>'Hard Copy Devices'!C29/1000000</f>
        <v>26.75278</v>
      </c>
      <c r="G28" s="300" t="e">
        <f>#REF!</f>
        <v>#REF!</v>
      </c>
      <c r="H28" s="405">
        <f>Mice!C29/1000000</f>
        <v>53.001254</v>
      </c>
      <c r="I28" s="300" t="e">
        <f>#REF!</f>
        <v>#REF!</v>
      </c>
      <c r="J28" s="405">
        <f>Keyboards!C29/1000000</f>
        <v>43.805273</v>
      </c>
      <c r="K28" s="300"/>
      <c r="L28" s="300">
        <f>'PC CRTs'!D29/1000000</f>
        <v>27.241119</v>
      </c>
      <c r="M28" s="59" t="e">
        <f t="shared" si="2"/>
        <v>#REF!</v>
      </c>
      <c r="N28" s="300">
        <f>'PC Flat Panel'!D29/1000000</f>
        <v>6.598036</v>
      </c>
      <c r="O28" s="48"/>
      <c r="R28" s="336">
        <v>2001</v>
      </c>
      <c r="S28" s="279">
        <f>'TV CRT &lt;19'!C29/1000000</f>
        <v>9.772622289424291</v>
      </c>
      <c r="T28" s="279" t="e">
        <f t="shared" si="0"/>
        <v>#REF!</v>
      </c>
      <c r="U28" s="279">
        <f>'TV CRT &gt;19'!C29/1000000</f>
        <v>16.384849710575708</v>
      </c>
      <c r="V28" s="328"/>
      <c r="W28" s="279">
        <f>'TV Flat Panel'!C29/1000000</f>
        <v>0.054077</v>
      </c>
      <c r="X28" s="328" t="e">
        <f t="shared" si="1"/>
        <v>#REF!</v>
      </c>
      <c r="Y28" s="279">
        <f>'TV Proj'!C29/1000000</f>
        <v>1.969551</v>
      </c>
      <c r="Z28" s="328"/>
      <c r="AA28" s="279">
        <f>'Monochrome TV'!C29/1000000</f>
        <v>0.25</v>
      </c>
      <c r="AB28" s="330"/>
      <c r="AC28" s="331">
        <f t="shared" si="3"/>
        <v>28.431099999999997</v>
      </c>
      <c r="AD28" s="312"/>
      <c r="AE28" s="279">
        <f>'Cell Phones'!D29/1000000</f>
        <v>100.1</v>
      </c>
      <c r="AF28" s="39"/>
      <c r="AG28" s="40"/>
      <c r="AH28" s="355">
        <v>2001</v>
      </c>
      <c r="AI28" s="281">
        <v>41.074074074074076</v>
      </c>
      <c r="AJ28" s="281">
        <v>72.16981132075472</v>
      </c>
      <c r="AK28" s="281">
        <v>29</v>
      </c>
      <c r="AL28" s="281">
        <v>251</v>
      </c>
      <c r="AM28" s="281">
        <v>41.074074074074076</v>
      </c>
      <c r="AN28" s="401">
        <f>'Cell Phones'!E29</f>
        <v>0.3567193223443223</v>
      </c>
      <c r="AP28" s="355">
        <v>2001</v>
      </c>
      <c r="AQ28" s="281">
        <f>Desktops!D29</f>
        <v>22</v>
      </c>
      <c r="AR28" s="281">
        <f>Portables!D29</f>
        <v>6.95</v>
      </c>
      <c r="AS28" s="367">
        <f>'PC CRTs'!E29</f>
        <v>51.62</v>
      </c>
      <c r="AT28" s="349">
        <f>'PC Flat Panel'!E29</f>
        <v>24.6</v>
      </c>
      <c r="AU28" s="281">
        <f>Keyboards!D29</f>
        <v>2.9</v>
      </c>
      <c r="AV28" s="350">
        <f>Mice!D29</f>
        <v>0.2</v>
      </c>
      <c r="AW28" s="368">
        <f>'Hard Copy Devices'!D29</f>
        <v>16.926020817628785</v>
      </c>
    </row>
    <row r="29" spans="1:49" ht="15">
      <c r="A29" s="61">
        <v>2002</v>
      </c>
      <c r="B29" s="300">
        <f>Desktops!C30/1000000</f>
        <v>35.08208</v>
      </c>
      <c r="C29" s="60"/>
      <c r="D29" s="300">
        <f>Portables!C30/1000000</f>
        <v>10.883296</v>
      </c>
      <c r="E29" s="60"/>
      <c r="F29" s="300">
        <f>'Hard Copy Devices'!C30/1000000</f>
        <v>28.743836</v>
      </c>
      <c r="G29" s="300" t="e">
        <f>#REF!</f>
        <v>#REF!</v>
      </c>
      <c r="H29" s="405">
        <f>Mice!C30/1000000</f>
        <v>57.540844</v>
      </c>
      <c r="I29" s="300" t="e">
        <f>#REF!</f>
        <v>#REF!</v>
      </c>
      <c r="J29" s="405">
        <f>Keyboards!C30/1000000</f>
        <v>48.587644</v>
      </c>
      <c r="K29" s="300"/>
      <c r="L29" s="300">
        <f>'PC CRTs'!D30/1000000</f>
        <v>23.296093</v>
      </c>
      <c r="M29" s="59" t="e">
        <f t="shared" si="2"/>
        <v>#REF!</v>
      </c>
      <c r="N29" s="300">
        <f>'PC Flat Panel'!D30/1000000</f>
        <v>11.654952</v>
      </c>
      <c r="O29" s="48"/>
      <c r="R29" s="337">
        <v>2002</v>
      </c>
      <c r="S29" s="279">
        <f>'TV CRT &lt;19'!C30/1000000</f>
        <v>11.677414977153193</v>
      </c>
      <c r="T29" s="279" t="e">
        <f t="shared" si="0"/>
        <v>#REF!</v>
      </c>
      <c r="U29" s="279">
        <f>'TV CRT &gt;19'!C30/1000000</f>
        <v>17.008211022846808</v>
      </c>
      <c r="V29" s="311"/>
      <c r="W29" s="279">
        <f>'TV Flat Panel'!C30/1000000</f>
        <v>0.191309</v>
      </c>
      <c r="X29" s="311" t="e">
        <f t="shared" si="1"/>
        <v>#REF!</v>
      </c>
      <c r="Y29" s="279">
        <f>'TV Proj'!C30/1000000</f>
        <v>2.485596</v>
      </c>
      <c r="Z29" s="311"/>
      <c r="AA29" s="279">
        <f>'Monochrome TV'!C30/1000000</f>
        <v>0.225</v>
      </c>
      <c r="AB29" s="330"/>
      <c r="AC29" s="331">
        <f t="shared" si="3"/>
        <v>31.587531000000002</v>
      </c>
      <c r="AD29" s="312"/>
      <c r="AE29" s="279">
        <f>'Cell Phones'!D30/1000000</f>
        <v>122.3</v>
      </c>
      <c r="AF29" s="39"/>
      <c r="AG29" s="40"/>
      <c r="AH29" s="355">
        <v>2002</v>
      </c>
      <c r="AI29" s="352">
        <v>40.416666666666664</v>
      </c>
      <c r="AJ29" s="352">
        <v>72.77777777777777</v>
      </c>
      <c r="AK29" s="352">
        <v>29</v>
      </c>
      <c r="AL29" s="352">
        <v>223.33948863636363</v>
      </c>
      <c r="AM29" s="352">
        <v>40.416666666666664</v>
      </c>
      <c r="AN29" s="401">
        <f>'Cell Phones'!E30</f>
        <v>0.32930402930402924</v>
      </c>
      <c r="AP29" s="355">
        <v>2002</v>
      </c>
      <c r="AQ29" s="281">
        <f>Desktops!D30</f>
        <v>24.13</v>
      </c>
      <c r="AR29" s="281">
        <f>Portables!D30</f>
        <v>6.78</v>
      </c>
      <c r="AS29" s="367">
        <f>'PC CRTs'!E30</f>
        <v>51.25</v>
      </c>
      <c r="AT29" s="349">
        <f>'PC Flat Panel'!E30</f>
        <v>24.6</v>
      </c>
      <c r="AU29" s="281">
        <f>Keyboards!D30</f>
        <v>2.9</v>
      </c>
      <c r="AV29" s="350">
        <f>Mice!D30</f>
        <v>0.2</v>
      </c>
      <c r="AW29" s="368">
        <f>'Hard Copy Devices'!D30</f>
        <v>16.418903111923537</v>
      </c>
    </row>
    <row r="30" spans="1:49" ht="15">
      <c r="A30" s="61">
        <v>2003</v>
      </c>
      <c r="B30" s="300">
        <f>Desktops!C31/1000000</f>
        <v>36.959328</v>
      </c>
      <c r="C30" s="60"/>
      <c r="D30" s="300">
        <f>Portables!C31/1000000</f>
        <v>13.807702</v>
      </c>
      <c r="E30" s="60"/>
      <c r="F30" s="300">
        <f>'Hard Copy Devices'!C31/1000000</f>
        <v>30.664296</v>
      </c>
      <c r="G30" s="300" t="e">
        <f>#REF!</f>
        <v>#REF!</v>
      </c>
      <c r="H30" s="405">
        <f>Mice!C31/1000000</f>
        <v>36.959328</v>
      </c>
      <c r="I30" s="300" t="e">
        <f>#REF!</f>
        <v>#REF!</v>
      </c>
      <c r="J30" s="405">
        <f>Keyboards!C31/1000000</f>
        <v>51.259676</v>
      </c>
      <c r="K30" s="300"/>
      <c r="L30" s="300">
        <f>'PC CRTs'!D31/1000000</f>
        <v>15.758845</v>
      </c>
      <c r="M30" s="59" t="e">
        <f t="shared" si="2"/>
        <v>#REF!</v>
      </c>
      <c r="N30" s="300">
        <f>'PC Flat Panel'!D31/1000000</f>
        <v>18.048711</v>
      </c>
      <c r="O30" s="48"/>
      <c r="R30" s="338">
        <v>2003</v>
      </c>
      <c r="S30" s="279">
        <f>'TV CRT &lt;19'!C31/1000000</f>
        <v>8.303543391955925</v>
      </c>
      <c r="T30" s="279" t="e">
        <f t="shared" si="0"/>
        <v>#REF!</v>
      </c>
      <c r="U30" s="279">
        <f>'TV CRT &gt;19'!C31/1000000</f>
        <v>17.562636608044077</v>
      </c>
      <c r="V30" s="315"/>
      <c r="W30" s="279">
        <f>'TV Flat Panel'!C31/1000000</f>
        <v>0.955227</v>
      </c>
      <c r="X30" s="315" t="e">
        <f t="shared" si="1"/>
        <v>#REF!</v>
      </c>
      <c r="Y30" s="279">
        <f>'TV Proj'!C31/1000000</f>
        <v>2.719565</v>
      </c>
      <c r="Z30" s="315"/>
      <c r="AA30" s="280">
        <f>'Monochrome TV'!C31/1000000</f>
        <v>0.2</v>
      </c>
      <c r="AB30" s="330"/>
      <c r="AC30" s="331">
        <f t="shared" si="3"/>
        <v>29.740972</v>
      </c>
      <c r="AD30" s="312"/>
      <c r="AE30" s="279">
        <f>'Cell Phones'!D31/1000000</f>
        <v>140</v>
      </c>
      <c r="AF30" s="39"/>
      <c r="AG30" s="40"/>
      <c r="AH30" s="355">
        <v>2003</v>
      </c>
      <c r="AI30" s="281">
        <v>41</v>
      </c>
      <c r="AJ30" s="281">
        <v>73</v>
      </c>
      <c r="AK30" s="281">
        <v>29</v>
      </c>
      <c r="AL30" s="281">
        <v>195.67897727272725</v>
      </c>
      <c r="AM30" s="281">
        <v>41</v>
      </c>
      <c r="AN30" s="401">
        <f>'Cell Phones'!E31</f>
        <v>0.3018887362637362</v>
      </c>
      <c r="AP30" s="355">
        <v>2003</v>
      </c>
      <c r="AQ30" s="281">
        <f>Desktops!D31</f>
        <v>22</v>
      </c>
      <c r="AR30" s="281">
        <f>Portables!D31</f>
        <v>6.61</v>
      </c>
      <c r="AS30" s="367">
        <f>'PC CRTs'!E31</f>
        <v>50.87</v>
      </c>
      <c r="AT30" s="349">
        <f>'PC Flat Panel'!E31</f>
        <v>24.6</v>
      </c>
      <c r="AU30" s="281">
        <f>Keyboards!D31</f>
        <v>2.9</v>
      </c>
      <c r="AV30" s="350">
        <f>Mice!D31</f>
        <v>0.2</v>
      </c>
      <c r="AW30" s="368">
        <f>'Hard Copy Devices'!D31</f>
        <v>16.585382382017876</v>
      </c>
    </row>
    <row r="31" spans="1:49" ht="15">
      <c r="A31" s="51">
        <v>2004</v>
      </c>
      <c r="B31" s="300">
        <f>Desktops!C32/1000000</f>
        <v>39.352168</v>
      </c>
      <c r="C31" s="60"/>
      <c r="D31" s="300">
        <f>Portables!C32/1000000</f>
        <v>16.62358</v>
      </c>
      <c r="E31" s="48"/>
      <c r="F31" s="300">
        <f>'Hard Copy Devices'!C32/1000000</f>
        <v>32.199004</v>
      </c>
      <c r="G31" s="308" t="e">
        <f>#REF!</f>
        <v>#REF!</v>
      </c>
      <c r="H31" s="405">
        <f>Mice!C32/1000000</f>
        <v>39.352168</v>
      </c>
      <c r="I31" s="300" t="e">
        <f>#REF!</f>
        <v>#REF!</v>
      </c>
      <c r="J31" s="405">
        <f>Keyboards!C32/1000000</f>
        <v>47.215338</v>
      </c>
      <c r="K31" s="308"/>
      <c r="L31" s="300">
        <f>'PC CRTs'!D32/1000000</f>
        <v>13.949473</v>
      </c>
      <c r="M31" s="49" t="e">
        <f t="shared" si="2"/>
        <v>#REF!</v>
      </c>
      <c r="N31" s="306">
        <f>'PC Flat Panel'!D32/1000000</f>
        <v>22.667179</v>
      </c>
      <c r="O31" s="48"/>
      <c r="R31" s="335">
        <v>2004</v>
      </c>
      <c r="S31" s="279">
        <f>'TV CRT &lt;19'!C32/1000000</f>
        <v>6.93812777433303</v>
      </c>
      <c r="T31" s="279" t="e">
        <f t="shared" si="0"/>
        <v>#REF!</v>
      </c>
      <c r="U31" s="279">
        <f>'TV CRT &gt;19'!C32/1000000</f>
        <v>17.84216422566697</v>
      </c>
      <c r="V31" s="311"/>
      <c r="W31" s="279">
        <f>'TV Flat Panel'!C32/1000000</f>
        <v>2.712216</v>
      </c>
      <c r="X31" s="311" t="e">
        <f t="shared" si="1"/>
        <v>#REF!</v>
      </c>
      <c r="Y31" s="279">
        <f>'TV Proj'!C32/1000000</f>
        <v>3.510168</v>
      </c>
      <c r="Z31" s="311"/>
      <c r="AA31" s="279">
        <f>'Monochrome TV'!C32/1000000</f>
        <v>0.15</v>
      </c>
      <c r="AB31" s="311"/>
      <c r="AC31" s="279">
        <f t="shared" si="3"/>
        <v>31.152676</v>
      </c>
      <c r="AD31" s="312"/>
      <c r="AE31" s="279">
        <f>'Cell Phones'!D32/1000000</f>
        <v>142.7</v>
      </c>
      <c r="AF31" s="39"/>
      <c r="AG31" s="40"/>
      <c r="AH31" s="355">
        <v>2004</v>
      </c>
      <c r="AI31" s="281">
        <v>41</v>
      </c>
      <c r="AJ31" s="281">
        <v>73</v>
      </c>
      <c r="AK31" s="281">
        <v>29</v>
      </c>
      <c r="AL31" s="281">
        <v>168.01846590909088</v>
      </c>
      <c r="AM31" s="281">
        <v>41</v>
      </c>
      <c r="AN31" s="401">
        <f>'Cell Phones'!E32</f>
        <v>0.27447344322344314</v>
      </c>
      <c r="AP31" s="355">
        <v>2004</v>
      </c>
      <c r="AQ31" s="281">
        <f>Desktops!D32</f>
        <v>22</v>
      </c>
      <c r="AR31" s="281">
        <f>Portables!D32</f>
        <v>6.44</v>
      </c>
      <c r="AS31" s="367">
        <f>'PC CRTs'!E32</f>
        <v>50.5</v>
      </c>
      <c r="AT31" s="349">
        <f>'PC Flat Panel'!E32</f>
        <v>24.6</v>
      </c>
      <c r="AU31" s="281">
        <f>Keyboards!D32</f>
        <v>2.9</v>
      </c>
      <c r="AV31" s="350">
        <f>Mice!D32</f>
        <v>0.2</v>
      </c>
      <c r="AW31" s="368">
        <f>'Hard Copy Devices'!D32</f>
        <v>17.400046935202003</v>
      </c>
    </row>
    <row r="32" spans="1:49" ht="15">
      <c r="A32" s="58">
        <v>2005</v>
      </c>
      <c r="B32" s="300">
        <f>Desktops!C33/1000000</f>
        <v>38.047902</v>
      </c>
      <c r="C32" s="60"/>
      <c r="D32" s="300">
        <f>Portables!C33/1000000</f>
        <v>19.618994</v>
      </c>
      <c r="E32" s="60"/>
      <c r="F32" s="300">
        <f>'Hard Copy Devices'!C33/1000000</f>
        <v>33.13786825118976</v>
      </c>
      <c r="G32" s="300"/>
      <c r="H32" s="406">
        <f>Mice!C33/1000000</f>
        <v>38.047902</v>
      </c>
      <c r="I32" s="299" t="e">
        <f>#REF!</f>
        <v>#REF!</v>
      </c>
      <c r="J32" s="406">
        <f>Keyboards!C33/1000000</f>
        <v>44.147</v>
      </c>
      <c r="K32" s="300"/>
      <c r="L32" s="300">
        <f>'PC CRTs'!D33/1000000</f>
        <v>7.756959</v>
      </c>
      <c r="M32" s="59"/>
      <c r="N32" s="306">
        <f>'PC Flat Panel'!D33/1000000</f>
        <v>33.002804</v>
      </c>
      <c r="O32" s="48"/>
      <c r="R32" s="335">
        <v>2005</v>
      </c>
      <c r="S32" s="279">
        <f>'TV CRT &lt;19'!C33/1000000</f>
        <v>5.441028</v>
      </c>
      <c r="T32" s="279" t="e">
        <f t="shared" si="0"/>
        <v>#REF!</v>
      </c>
      <c r="U32" s="279">
        <f>'TV CRT &gt;19'!C33/1000000</f>
        <v>16.728593</v>
      </c>
      <c r="V32" s="311"/>
      <c r="W32" s="279">
        <f>'TV Flat Panel'!C33/1000000</f>
        <v>5.71317</v>
      </c>
      <c r="X32" s="311" t="e">
        <f t="shared" si="1"/>
        <v>#REF!</v>
      </c>
      <c r="Y32" s="279">
        <f>'TV Proj'!C33/1000000</f>
        <v>2.965375</v>
      </c>
      <c r="Z32" s="311"/>
      <c r="AA32" s="279">
        <f>'Monochrome TV'!C33/1000000</f>
        <v>0.125</v>
      </c>
      <c r="AB32" s="311"/>
      <c r="AC32" s="279">
        <f>S32+U32+W32+Y32+AA32</f>
        <v>30.973166</v>
      </c>
      <c r="AD32" s="312"/>
      <c r="AE32" s="279">
        <f>'Cell Phones'!D33/1000000</f>
        <v>150</v>
      </c>
      <c r="AF32" s="39"/>
      <c r="AG32" s="40"/>
      <c r="AH32" s="355">
        <v>2005</v>
      </c>
      <c r="AI32" s="281">
        <v>41</v>
      </c>
      <c r="AJ32" s="281">
        <v>73</v>
      </c>
      <c r="AK32" s="281">
        <v>29</v>
      </c>
      <c r="AL32" s="400">
        <v>140</v>
      </c>
      <c r="AM32" s="400">
        <v>41</v>
      </c>
      <c r="AN32" s="408">
        <f>'Cell Phones'!E33</f>
        <v>0.25</v>
      </c>
      <c r="AP32" s="355">
        <v>2005</v>
      </c>
      <c r="AQ32" s="281">
        <f>Desktops!D33</f>
        <v>22</v>
      </c>
      <c r="AR32" s="281">
        <f>Portables!D33</f>
        <v>6.44</v>
      </c>
      <c r="AS32" s="367">
        <f>'PC CRTs'!E33</f>
        <v>50.5</v>
      </c>
      <c r="AT32" s="349">
        <f>'PC Flat Panel'!E33</f>
        <v>24.6</v>
      </c>
      <c r="AU32" s="281">
        <f>Keyboards!D33</f>
        <v>2.9</v>
      </c>
      <c r="AV32" s="350">
        <f>Mice!D33</f>
        <v>0.2</v>
      </c>
      <c r="AW32" s="368">
        <f>'Hard Copy Devices'!D33</f>
        <v>17.400046935202003</v>
      </c>
    </row>
    <row r="33" spans="1:49" ht="15">
      <c r="A33" s="58">
        <v>2006</v>
      </c>
      <c r="B33" s="300">
        <f>Desktops!C34/1000000</f>
        <v>35.418676</v>
      </c>
      <c r="C33" s="60"/>
      <c r="D33" s="300">
        <f>Portables!C34/1000000</f>
        <v>24.299775</v>
      </c>
      <c r="E33" s="60"/>
      <c r="F33" s="300">
        <f>'Hard Copy Devices'!C34/1000000</f>
        <v>34.31677962002899</v>
      </c>
      <c r="G33" s="300"/>
      <c r="H33" s="405">
        <f>Mice!C34/1000000</f>
        <v>35.418676</v>
      </c>
      <c r="I33" s="308" t="e">
        <f>#REF!</f>
        <v>#REF!</v>
      </c>
      <c r="J33" s="405">
        <f>Keyboards!C34/1000000</f>
        <v>44.579</v>
      </c>
      <c r="K33" s="300"/>
      <c r="L33" s="300">
        <f>'PC CRTs'!D34/1000000</f>
        <v>3.484431</v>
      </c>
      <c r="M33" s="59"/>
      <c r="N33" s="306">
        <f>'PC Flat Panel'!D34/1000000</f>
        <v>38.558474</v>
      </c>
      <c r="O33" s="48"/>
      <c r="R33" s="335">
        <v>2006</v>
      </c>
      <c r="S33" s="279">
        <f>'TV CRT &lt;19'!C34/1000000</f>
        <v>3.426864</v>
      </c>
      <c r="T33" s="279" t="e">
        <f t="shared" si="0"/>
        <v>#REF!</v>
      </c>
      <c r="U33" s="279">
        <f>'TV CRT &gt;19'!C34/1000000</f>
        <v>13.445386</v>
      </c>
      <c r="V33" s="311"/>
      <c r="W33" s="279">
        <f>'TV Flat Panel'!C34/1000000</f>
        <v>13.35184</v>
      </c>
      <c r="X33" s="311" t="e">
        <f t="shared" si="1"/>
        <v>#REF!</v>
      </c>
      <c r="Y33" s="279">
        <f>'TV Proj'!C34/1000000</f>
        <v>3.064267</v>
      </c>
      <c r="Z33" s="311"/>
      <c r="AA33" s="279">
        <f>'Monochrome TV'!C34/1000000</f>
        <v>0.098</v>
      </c>
      <c r="AB33" s="311"/>
      <c r="AC33" s="279">
        <f>S33+U33+W33+Y33+AA33</f>
        <v>33.386357</v>
      </c>
      <c r="AD33" s="312"/>
      <c r="AE33" s="279">
        <f>'Cell Phones'!D34/1000000</f>
        <v>165.1</v>
      </c>
      <c r="AF33" s="39"/>
      <c r="AG33" s="40"/>
      <c r="AH33" s="355">
        <v>2006</v>
      </c>
      <c r="AI33" s="281">
        <v>41</v>
      </c>
      <c r="AJ33" s="281">
        <v>73</v>
      </c>
      <c r="AK33" s="281">
        <v>29</v>
      </c>
      <c r="AL33" s="281">
        <v>140</v>
      </c>
      <c r="AM33" s="281">
        <v>41</v>
      </c>
      <c r="AN33" s="401">
        <f>'Cell Phones'!E34</f>
        <v>0.22</v>
      </c>
      <c r="AP33" s="355">
        <v>2006</v>
      </c>
      <c r="AQ33" s="281">
        <f>Desktops!D34</f>
        <v>22</v>
      </c>
      <c r="AR33" s="281">
        <f>Portables!D34</f>
        <v>6.44</v>
      </c>
      <c r="AS33" s="367">
        <f>'PC CRTs'!E34</f>
        <v>50.5</v>
      </c>
      <c r="AT33" s="349">
        <f>'PC Flat Panel'!E34</f>
        <v>24.6</v>
      </c>
      <c r="AU33" s="281">
        <f>Keyboards!D34</f>
        <v>2.9</v>
      </c>
      <c r="AV33" s="350">
        <f>Mice!D34</f>
        <v>0.2</v>
      </c>
      <c r="AW33" s="368">
        <f>'Hard Copy Devices'!D34</f>
        <v>17.400046935202003</v>
      </c>
    </row>
    <row r="34" spans="1:49" ht="15">
      <c r="A34" s="58">
        <v>2007</v>
      </c>
      <c r="B34" s="300">
        <f>Desktops!C35/1000000</f>
        <v>34.211601</v>
      </c>
      <c r="C34" s="60"/>
      <c r="D34" s="300">
        <f>Portables!C35/1000000</f>
        <v>30.023844</v>
      </c>
      <c r="E34" s="60"/>
      <c r="F34" s="300">
        <f>'Hard Copy Devices'!C35/1000000</f>
        <v>36.91243783030295</v>
      </c>
      <c r="G34" s="300"/>
      <c r="H34" s="405">
        <f>Mice!C35/1000000</f>
        <v>34.211601</v>
      </c>
      <c r="I34" s="300"/>
      <c r="J34" s="405">
        <f>J33/B33*B34</f>
        <v>43.059739471317336</v>
      </c>
      <c r="K34" s="300"/>
      <c r="L34" s="300">
        <f>'PC CRTs'!D35/1000000</f>
        <v>1.017772</v>
      </c>
      <c r="M34" s="59"/>
      <c r="N34" s="300">
        <f>'PC Flat Panel'!D35/1000000</f>
        <v>37.008238</v>
      </c>
      <c r="O34" s="48"/>
      <c r="R34" s="335">
        <v>2007</v>
      </c>
      <c r="S34" s="279">
        <f>'TV CRT &lt;19'!C35/1000000</f>
        <v>2.092578</v>
      </c>
      <c r="T34" s="279" t="e">
        <f t="shared" si="0"/>
        <v>#REF!</v>
      </c>
      <c r="U34" s="279">
        <f>'TV CRT &gt;19'!C35/1000000</f>
        <v>4.205422</v>
      </c>
      <c r="V34" s="311"/>
      <c r="W34" s="279">
        <f>'TV Flat Panel'!C35/1000000</f>
        <v>20.349204</v>
      </c>
      <c r="X34" s="311"/>
      <c r="Y34" s="279">
        <f>'TV Proj'!C35/1000000</f>
        <v>1.961</v>
      </c>
      <c r="Z34" s="311"/>
      <c r="AA34" s="279">
        <f>'Monochrome TV'!C35/1000000</f>
        <v>0</v>
      </c>
      <c r="AB34" s="311"/>
      <c r="AC34" s="279">
        <f>S34+U34+W34+Y34+AA34</f>
        <v>28.608204</v>
      </c>
      <c r="AD34" s="312"/>
      <c r="AE34" s="279">
        <f>'Cell Phones'!D35/1000000</f>
        <v>181.9</v>
      </c>
      <c r="AF34" s="39"/>
      <c r="AG34" s="40"/>
      <c r="AH34" s="355">
        <v>2007</v>
      </c>
      <c r="AI34" s="281">
        <f>AI33</f>
        <v>41</v>
      </c>
      <c r="AJ34" s="281">
        <f>AJ33</f>
        <v>73</v>
      </c>
      <c r="AK34" s="281">
        <v>29</v>
      </c>
      <c r="AL34" s="400">
        <v>140</v>
      </c>
      <c r="AM34" s="281">
        <v>41</v>
      </c>
      <c r="AN34" s="401">
        <f>AN33</f>
        <v>0.22</v>
      </c>
      <c r="AP34" s="355">
        <v>2007</v>
      </c>
      <c r="AQ34" s="281">
        <f>Desktops!D35</f>
        <v>22</v>
      </c>
      <c r="AR34" s="281">
        <f>Portables!D35</f>
        <v>6.44</v>
      </c>
      <c r="AS34" s="367">
        <f>'PC CRTs'!E35</f>
        <v>50.5</v>
      </c>
      <c r="AT34" s="349">
        <f>'PC Flat Panel'!E35</f>
        <v>24.6</v>
      </c>
      <c r="AU34" s="281">
        <f>Keyboards!D35</f>
        <v>2.9</v>
      </c>
      <c r="AV34" s="350">
        <f>Mice!D35</f>
        <v>0.2</v>
      </c>
      <c r="AW34" s="368">
        <f>'Hard Copy Devices'!D35</f>
        <v>17.400046935202003</v>
      </c>
    </row>
    <row r="35" spans="1:29" ht="15">
      <c r="A35" s="65" t="s">
        <v>81</v>
      </c>
      <c r="B35" s="65" t="s">
        <v>119</v>
      </c>
      <c r="C35" s="65"/>
      <c r="D35" s="65"/>
      <c r="E35" s="65"/>
      <c r="F35" s="65"/>
      <c r="G35" s="65"/>
      <c r="H35" s="65"/>
      <c r="I35" s="65"/>
      <c r="J35" s="65"/>
      <c r="K35" s="65"/>
      <c r="L35" s="65"/>
      <c r="M35" s="65"/>
      <c r="N35" s="65"/>
      <c r="O35" s="48"/>
      <c r="R35" s="48"/>
      <c r="S35" s="375"/>
      <c r="T35" s="48"/>
      <c r="U35" s="375"/>
      <c r="V35" s="48"/>
      <c r="W35" s="375"/>
      <c r="X35" s="48"/>
      <c r="Y35" s="375"/>
      <c r="Z35" s="48"/>
      <c r="AA35" s="375"/>
      <c r="AB35" s="48"/>
      <c r="AC35" s="375"/>
    </row>
    <row r="36" spans="1:49" ht="113.25" customHeight="1">
      <c r="A36" s="52" t="s">
        <v>80</v>
      </c>
      <c r="B36" s="452" t="s">
        <v>270</v>
      </c>
      <c r="C36" s="452"/>
      <c r="D36" s="452"/>
      <c r="E36" s="452"/>
      <c r="F36" s="452"/>
      <c r="G36" s="452"/>
      <c r="H36" s="452"/>
      <c r="I36" s="452"/>
      <c r="J36" s="452"/>
      <c r="K36" s="452"/>
      <c r="L36" s="452"/>
      <c r="M36" s="452"/>
      <c r="N36" s="452"/>
      <c r="O36" s="48"/>
      <c r="R36" s="452" t="s">
        <v>266</v>
      </c>
      <c r="S36" s="482"/>
      <c r="T36" s="482"/>
      <c r="U36" s="482"/>
      <c r="V36" s="482"/>
      <c r="W36" s="482"/>
      <c r="X36" s="482"/>
      <c r="Y36" s="482"/>
      <c r="Z36" s="482"/>
      <c r="AA36" s="482"/>
      <c r="AB36" s="482"/>
      <c r="AC36" s="482"/>
      <c r="AD36" s="44"/>
      <c r="AE36" s="44"/>
      <c r="AF36" s="44"/>
      <c r="AG36" s="44"/>
      <c r="AH36" s="44"/>
      <c r="AI36" s="44"/>
      <c r="AJ36" s="44"/>
      <c r="AK36" s="44"/>
      <c r="AP36" s="451" t="s">
        <v>257</v>
      </c>
      <c r="AQ36" s="451"/>
      <c r="AR36" s="451"/>
      <c r="AS36" s="451"/>
      <c r="AT36" s="451"/>
      <c r="AU36" s="451"/>
      <c r="AV36" s="451"/>
      <c r="AW36" s="451"/>
    </row>
    <row r="37" spans="18:31" ht="12.75">
      <c r="R37" s="481"/>
      <c r="S37" s="482"/>
      <c r="T37" s="482"/>
      <c r="U37" s="482"/>
      <c r="V37" s="482"/>
      <c r="W37" s="482"/>
      <c r="X37" s="482"/>
      <c r="Y37" s="482"/>
      <c r="Z37" s="482"/>
      <c r="AA37" s="482"/>
      <c r="AB37" s="482"/>
      <c r="AC37" s="482"/>
      <c r="AD37" s="44"/>
      <c r="AE37" s="44"/>
    </row>
    <row r="38" spans="2:31" ht="12.75">
      <c r="B38" s="31"/>
      <c r="C38" s="31"/>
      <c r="D38" s="31"/>
      <c r="E38" s="31"/>
      <c r="F38" s="31"/>
      <c r="G38" s="31"/>
      <c r="H38" s="31"/>
      <c r="I38" s="31"/>
      <c r="J38" s="31"/>
      <c r="L38" s="31"/>
      <c r="N38" s="31"/>
      <c r="R38" s="482"/>
      <c r="S38" s="482"/>
      <c r="T38" s="482"/>
      <c r="U38" s="482"/>
      <c r="V38" s="482"/>
      <c r="W38" s="482"/>
      <c r="X38" s="482"/>
      <c r="Y38" s="482"/>
      <c r="Z38" s="482"/>
      <c r="AA38" s="482"/>
      <c r="AB38" s="482"/>
      <c r="AC38" s="482"/>
      <c r="AD38" s="44"/>
      <c r="AE38" s="44"/>
    </row>
    <row r="39" spans="18:31" ht="12.75">
      <c r="R39" s="482"/>
      <c r="S39" s="482"/>
      <c r="T39" s="482"/>
      <c r="U39" s="482"/>
      <c r="V39" s="482"/>
      <c r="W39" s="482"/>
      <c r="X39" s="482"/>
      <c r="Y39" s="482"/>
      <c r="Z39" s="482"/>
      <c r="AA39" s="482"/>
      <c r="AB39" s="482"/>
      <c r="AC39" s="482"/>
      <c r="AD39" s="44"/>
      <c r="AE39" s="44"/>
    </row>
    <row r="40" spans="18:31" ht="12.75">
      <c r="R40" s="482"/>
      <c r="S40" s="482"/>
      <c r="T40" s="482"/>
      <c r="U40" s="482"/>
      <c r="V40" s="482"/>
      <c r="W40" s="482"/>
      <c r="X40" s="482"/>
      <c r="Y40" s="482"/>
      <c r="Z40" s="482"/>
      <c r="AA40" s="482"/>
      <c r="AB40" s="482"/>
      <c r="AC40" s="482"/>
      <c r="AD40" s="44"/>
      <c r="AE40" s="44"/>
    </row>
    <row r="41" spans="18:31" ht="12.75">
      <c r="R41" s="376"/>
      <c r="S41" s="44"/>
      <c r="T41" s="44"/>
      <c r="U41" s="44"/>
      <c r="V41" s="44"/>
      <c r="W41" s="44"/>
      <c r="X41" s="44"/>
      <c r="Y41" s="44"/>
      <c r="Z41" s="44"/>
      <c r="AA41" s="44"/>
      <c r="AB41" s="44"/>
      <c r="AC41" s="44"/>
      <c r="AD41" s="44"/>
      <c r="AE41" s="44"/>
    </row>
    <row r="42" spans="18:29" ht="14.25">
      <c r="R42" s="50"/>
      <c r="S42" s="50"/>
      <c r="T42" s="50"/>
      <c r="U42" s="50"/>
      <c r="V42" s="50"/>
      <c r="W42" s="50"/>
      <c r="X42" s="50"/>
      <c r="Y42" s="50"/>
      <c r="Z42" s="50"/>
      <c r="AA42" s="50"/>
      <c r="AB42" s="50"/>
      <c r="AC42" s="50"/>
    </row>
    <row r="43" spans="18:29" ht="14.25">
      <c r="R43" s="50"/>
      <c r="S43" s="50"/>
      <c r="T43" s="50"/>
      <c r="U43" s="50"/>
      <c r="V43" s="50"/>
      <c r="W43" s="50"/>
      <c r="X43" s="50"/>
      <c r="Y43" s="50"/>
      <c r="Z43" s="50"/>
      <c r="AA43" s="50"/>
      <c r="AB43" s="50"/>
      <c r="AC43" s="50"/>
    </row>
    <row r="44" spans="18:29" ht="14.25">
      <c r="R44" s="50"/>
      <c r="S44" s="50"/>
      <c r="T44" s="50"/>
      <c r="U44" s="50"/>
      <c r="V44" s="50"/>
      <c r="W44" s="50"/>
      <c r="X44" s="50"/>
      <c r="Y44" s="50"/>
      <c r="Z44" s="50"/>
      <c r="AA44" s="50"/>
      <c r="AB44" s="50"/>
      <c r="AC44" s="50"/>
    </row>
    <row r="45" spans="18:29" ht="14.25">
      <c r="R45" s="50"/>
      <c r="S45" s="50"/>
      <c r="T45" s="50"/>
      <c r="U45" s="50"/>
      <c r="V45" s="50"/>
      <c r="W45" s="50"/>
      <c r="X45" s="50"/>
      <c r="Y45" s="50"/>
      <c r="Z45" s="50"/>
      <c r="AA45" s="50"/>
      <c r="AB45" s="50"/>
      <c r="AC45" s="50"/>
    </row>
    <row r="46" spans="18:29" ht="14.25">
      <c r="R46" s="50"/>
      <c r="S46" s="50"/>
      <c r="T46" s="50"/>
      <c r="U46" s="50"/>
      <c r="V46" s="50"/>
      <c r="W46" s="50"/>
      <c r="X46" s="50"/>
      <c r="Y46" s="50"/>
      <c r="Z46" s="50"/>
      <c r="AA46" s="50"/>
      <c r="AB46" s="50"/>
      <c r="AC46" s="50"/>
    </row>
    <row r="47" spans="18:29" ht="14.25">
      <c r="R47" s="50"/>
      <c r="S47" s="50"/>
      <c r="T47" s="50"/>
      <c r="U47" s="50"/>
      <c r="V47" s="50"/>
      <c r="W47" s="50"/>
      <c r="X47" s="50"/>
      <c r="Y47" s="50"/>
      <c r="Z47" s="50"/>
      <c r="AA47" s="50"/>
      <c r="AB47" s="50"/>
      <c r="AC47" s="50"/>
    </row>
    <row r="48" spans="18:29" ht="14.25">
      <c r="R48" s="50"/>
      <c r="S48" s="50"/>
      <c r="T48" s="50"/>
      <c r="U48" s="50"/>
      <c r="V48" s="50"/>
      <c r="W48" s="50"/>
      <c r="X48" s="50"/>
      <c r="Y48" s="50"/>
      <c r="Z48" s="50"/>
      <c r="AA48" s="50"/>
      <c r="AB48" s="50"/>
      <c r="AC48" s="50"/>
    </row>
    <row r="49" spans="18:29" ht="14.25">
      <c r="R49" s="50"/>
      <c r="S49" s="50"/>
      <c r="T49" s="50"/>
      <c r="U49" s="50"/>
      <c r="V49" s="50"/>
      <c r="W49" s="50"/>
      <c r="X49" s="50"/>
      <c r="Y49" s="50"/>
      <c r="Z49" s="50"/>
      <c r="AA49" s="50"/>
      <c r="AB49" s="50"/>
      <c r="AC49" s="50"/>
    </row>
    <row r="50" spans="18:29" ht="14.25">
      <c r="R50" s="50"/>
      <c r="S50" s="50"/>
      <c r="T50" s="50"/>
      <c r="U50" s="50"/>
      <c r="V50" s="50"/>
      <c r="W50" s="50"/>
      <c r="X50" s="50"/>
      <c r="Y50" s="50"/>
      <c r="Z50" s="50"/>
      <c r="AA50" s="50"/>
      <c r="AB50" s="50"/>
      <c r="AC50" s="50"/>
    </row>
    <row r="51" spans="18:29" ht="14.25">
      <c r="R51" s="50"/>
      <c r="S51" s="50"/>
      <c r="T51" s="50"/>
      <c r="U51" s="50"/>
      <c r="V51" s="50"/>
      <c r="W51" s="50"/>
      <c r="X51" s="50"/>
      <c r="Y51" s="50"/>
      <c r="Z51" s="50"/>
      <c r="AA51" s="50"/>
      <c r="AB51" s="50"/>
      <c r="AC51" s="50"/>
    </row>
    <row r="52" spans="18:29" ht="14.25">
      <c r="R52" s="50"/>
      <c r="S52" s="50"/>
      <c r="T52" s="50"/>
      <c r="U52" s="50"/>
      <c r="V52" s="50"/>
      <c r="W52" s="50"/>
      <c r="X52" s="50"/>
      <c r="Y52" s="50"/>
      <c r="Z52" s="50"/>
      <c r="AA52" s="50"/>
      <c r="AB52" s="50"/>
      <c r="AC52" s="50"/>
    </row>
    <row r="53" spans="18:29" ht="14.25">
      <c r="R53" s="50"/>
      <c r="S53" s="50"/>
      <c r="T53" s="50"/>
      <c r="U53" s="50"/>
      <c r="V53" s="50"/>
      <c r="W53" s="50"/>
      <c r="X53" s="50"/>
      <c r="Y53" s="50"/>
      <c r="Z53" s="50"/>
      <c r="AA53" s="50"/>
      <c r="AB53" s="50"/>
      <c r="AC53" s="50"/>
    </row>
    <row r="54" spans="18:29" ht="14.25">
      <c r="R54" s="50"/>
      <c r="S54" s="50"/>
      <c r="T54" s="50"/>
      <c r="U54" s="50"/>
      <c r="V54" s="50"/>
      <c r="W54" s="50"/>
      <c r="X54" s="50"/>
      <c r="Y54" s="50"/>
      <c r="Z54" s="50"/>
      <c r="AA54" s="50"/>
      <c r="AB54" s="50"/>
      <c r="AC54" s="50"/>
    </row>
    <row r="55" spans="18:29" ht="14.25">
      <c r="R55" s="50"/>
      <c r="S55" s="50"/>
      <c r="T55" s="50"/>
      <c r="U55" s="50"/>
      <c r="V55" s="50"/>
      <c r="W55" s="50"/>
      <c r="X55" s="50"/>
      <c r="Y55" s="50"/>
      <c r="Z55" s="50"/>
      <c r="AA55" s="50"/>
      <c r="AB55" s="50"/>
      <c r="AC55" s="50"/>
    </row>
    <row r="56" spans="18:29" ht="14.25">
      <c r="R56" s="50"/>
      <c r="S56" s="50"/>
      <c r="T56" s="50"/>
      <c r="U56" s="50"/>
      <c r="V56" s="50"/>
      <c r="W56" s="50"/>
      <c r="X56" s="50"/>
      <c r="Y56" s="50"/>
      <c r="Z56" s="50"/>
      <c r="AA56" s="50"/>
      <c r="AB56" s="50"/>
      <c r="AC56" s="50"/>
    </row>
    <row r="57" spans="18:29" ht="14.25">
      <c r="R57" s="50"/>
      <c r="S57" s="50"/>
      <c r="T57" s="50"/>
      <c r="U57" s="50"/>
      <c r="V57" s="50"/>
      <c r="W57" s="50"/>
      <c r="X57" s="50"/>
      <c r="Y57" s="50"/>
      <c r="Z57" s="50"/>
      <c r="AA57" s="50"/>
      <c r="AB57" s="50"/>
      <c r="AC57" s="50"/>
    </row>
    <row r="58" spans="18:29" ht="14.25">
      <c r="R58" s="50"/>
      <c r="S58" s="50"/>
      <c r="T58" s="50"/>
      <c r="U58" s="50"/>
      <c r="V58" s="50"/>
      <c r="W58" s="50"/>
      <c r="X58" s="50"/>
      <c r="Y58" s="50"/>
      <c r="Z58" s="50"/>
      <c r="AA58" s="50"/>
      <c r="AB58" s="50"/>
      <c r="AC58" s="50"/>
    </row>
    <row r="59" spans="18:29" ht="14.25">
      <c r="R59" s="50"/>
      <c r="S59" s="50"/>
      <c r="T59" s="50"/>
      <c r="U59" s="50"/>
      <c r="V59" s="50"/>
      <c r="W59" s="50"/>
      <c r="X59" s="50"/>
      <c r="Y59" s="50"/>
      <c r="Z59" s="50"/>
      <c r="AA59" s="50"/>
      <c r="AB59" s="50"/>
      <c r="AC59" s="50"/>
    </row>
    <row r="60" spans="18:29" ht="14.25">
      <c r="R60" s="50"/>
      <c r="S60" s="50"/>
      <c r="T60" s="50"/>
      <c r="U60" s="50"/>
      <c r="V60" s="50"/>
      <c r="W60" s="50"/>
      <c r="X60" s="50"/>
      <c r="Y60" s="50"/>
      <c r="Z60" s="50"/>
      <c r="AA60" s="50"/>
      <c r="AB60" s="50"/>
      <c r="AC60" s="50"/>
    </row>
    <row r="61" spans="18:29" ht="14.25">
      <c r="R61" s="50"/>
      <c r="S61" s="50"/>
      <c r="T61" s="50"/>
      <c r="U61" s="50"/>
      <c r="V61" s="50"/>
      <c r="W61" s="50"/>
      <c r="X61" s="50"/>
      <c r="Y61" s="50"/>
      <c r="Z61" s="50"/>
      <c r="AA61" s="50"/>
      <c r="AB61" s="50"/>
      <c r="AC61" s="50"/>
    </row>
    <row r="62" spans="18:29" ht="14.25">
      <c r="R62" s="50"/>
      <c r="S62" s="50"/>
      <c r="T62" s="50"/>
      <c r="U62" s="50"/>
      <c r="V62" s="50"/>
      <c r="W62" s="50"/>
      <c r="X62" s="50"/>
      <c r="Y62" s="50"/>
      <c r="Z62" s="50"/>
      <c r="AA62" s="50"/>
      <c r="AB62" s="50"/>
      <c r="AC62" s="50"/>
    </row>
    <row r="63" spans="18:29" ht="14.25">
      <c r="R63" s="50"/>
      <c r="S63" s="50"/>
      <c r="T63" s="50"/>
      <c r="U63" s="50"/>
      <c r="V63" s="50"/>
      <c r="W63" s="50"/>
      <c r="X63" s="50"/>
      <c r="Y63" s="50"/>
      <c r="Z63" s="50"/>
      <c r="AA63" s="50"/>
      <c r="AB63" s="50"/>
      <c r="AC63" s="50"/>
    </row>
    <row r="64" spans="18:29" ht="14.25">
      <c r="R64" s="50"/>
      <c r="S64" s="50"/>
      <c r="T64" s="50"/>
      <c r="U64" s="50"/>
      <c r="V64" s="50"/>
      <c r="W64" s="50"/>
      <c r="X64" s="50"/>
      <c r="Y64" s="50"/>
      <c r="Z64" s="50"/>
      <c r="AA64" s="50"/>
      <c r="AB64" s="50"/>
      <c r="AC64" s="50"/>
    </row>
    <row r="65" spans="18:29" ht="14.25">
      <c r="R65" s="50"/>
      <c r="S65" s="50"/>
      <c r="T65" s="50"/>
      <c r="U65" s="50"/>
      <c r="V65" s="50"/>
      <c r="W65" s="50"/>
      <c r="X65" s="50"/>
      <c r="Y65" s="50"/>
      <c r="Z65" s="50"/>
      <c r="AA65" s="50"/>
      <c r="AB65" s="50"/>
      <c r="AC65" s="50"/>
    </row>
    <row r="66" spans="18:29" ht="14.25">
      <c r="R66" s="50"/>
      <c r="S66" s="50"/>
      <c r="T66" s="50"/>
      <c r="U66" s="50"/>
      <c r="V66" s="50"/>
      <c r="W66" s="50"/>
      <c r="X66" s="50"/>
      <c r="Y66" s="50"/>
      <c r="Z66" s="50"/>
      <c r="AA66" s="50"/>
      <c r="AB66" s="50"/>
      <c r="AC66" s="50"/>
    </row>
    <row r="67" spans="18:29" ht="14.25">
      <c r="R67" s="50"/>
      <c r="S67" s="50"/>
      <c r="T67" s="50"/>
      <c r="U67" s="50"/>
      <c r="V67" s="50"/>
      <c r="W67" s="50"/>
      <c r="X67" s="50"/>
      <c r="Y67" s="50"/>
      <c r="Z67" s="50"/>
      <c r="AA67" s="50"/>
      <c r="AB67" s="50"/>
      <c r="AC67" s="50"/>
    </row>
    <row r="68" spans="18:29" ht="14.25">
      <c r="R68" s="50"/>
      <c r="S68" s="50"/>
      <c r="T68" s="50"/>
      <c r="U68" s="50"/>
      <c r="V68" s="50"/>
      <c r="W68" s="50"/>
      <c r="X68" s="50"/>
      <c r="Y68" s="50"/>
      <c r="Z68" s="50"/>
      <c r="AA68" s="50"/>
      <c r="AB68" s="50"/>
      <c r="AC68" s="50"/>
    </row>
    <row r="69" spans="18:29" ht="14.25">
      <c r="R69" s="50"/>
      <c r="S69" s="50"/>
      <c r="T69" s="50"/>
      <c r="U69" s="50"/>
      <c r="V69" s="50"/>
      <c r="W69" s="50"/>
      <c r="X69" s="50"/>
      <c r="Y69" s="50"/>
      <c r="Z69" s="50"/>
      <c r="AA69" s="50"/>
      <c r="AB69" s="50"/>
      <c r="AC69" s="50"/>
    </row>
    <row r="70" spans="18:29" ht="14.25">
      <c r="R70" s="50"/>
      <c r="S70" s="50"/>
      <c r="T70" s="50"/>
      <c r="U70" s="50"/>
      <c r="V70" s="50"/>
      <c r="W70" s="50"/>
      <c r="X70" s="50"/>
      <c r="Y70" s="50"/>
      <c r="Z70" s="50"/>
      <c r="AA70" s="50"/>
      <c r="AB70" s="50"/>
      <c r="AC70" s="50"/>
    </row>
    <row r="71" spans="18:29" ht="14.25">
      <c r="R71" s="50"/>
      <c r="S71" s="50"/>
      <c r="T71" s="50"/>
      <c r="U71" s="50"/>
      <c r="V71" s="50"/>
      <c r="W71" s="50"/>
      <c r="X71" s="50"/>
      <c r="Y71" s="50"/>
      <c r="Z71" s="50"/>
      <c r="AA71" s="50"/>
      <c r="AB71" s="50"/>
      <c r="AC71" s="50"/>
    </row>
    <row r="72" spans="18:29" ht="14.25">
      <c r="R72" s="50"/>
      <c r="S72" s="50"/>
      <c r="T72" s="50"/>
      <c r="U72" s="50"/>
      <c r="V72" s="50"/>
      <c r="W72" s="50"/>
      <c r="X72" s="50"/>
      <c r="Y72" s="50"/>
      <c r="Z72" s="50"/>
      <c r="AA72" s="50"/>
      <c r="AB72" s="50"/>
      <c r="AC72" s="50"/>
    </row>
    <row r="73" spans="18:29" ht="14.25">
      <c r="R73" s="50"/>
      <c r="S73" s="50"/>
      <c r="T73" s="50"/>
      <c r="U73" s="50"/>
      <c r="V73" s="50"/>
      <c r="W73" s="50"/>
      <c r="X73" s="50"/>
      <c r="Y73" s="50"/>
      <c r="Z73" s="50"/>
      <c r="AA73" s="50"/>
      <c r="AB73" s="50"/>
      <c r="AC73" s="50"/>
    </row>
    <row r="74" spans="18:29" ht="14.25">
      <c r="R74" s="50"/>
      <c r="S74" s="50"/>
      <c r="T74" s="50"/>
      <c r="U74" s="50"/>
      <c r="V74" s="50"/>
      <c r="W74" s="50"/>
      <c r="X74" s="50"/>
      <c r="Y74" s="50"/>
      <c r="Z74" s="50"/>
      <c r="AA74" s="50"/>
      <c r="AB74" s="50"/>
      <c r="AC74" s="50"/>
    </row>
    <row r="75" spans="18:29" ht="14.25">
      <c r="R75" s="50"/>
      <c r="S75" s="50"/>
      <c r="T75" s="50"/>
      <c r="U75" s="50"/>
      <c r="V75" s="50"/>
      <c r="W75" s="50"/>
      <c r="X75" s="50"/>
      <c r="Y75" s="50"/>
      <c r="Z75" s="50"/>
      <c r="AA75" s="50"/>
      <c r="AB75" s="50"/>
      <c r="AC75" s="50"/>
    </row>
    <row r="76" spans="18:29" ht="14.25">
      <c r="R76" s="50"/>
      <c r="S76" s="50"/>
      <c r="T76" s="50"/>
      <c r="U76" s="50"/>
      <c r="V76" s="50"/>
      <c r="W76" s="50"/>
      <c r="X76" s="50"/>
      <c r="Y76" s="50"/>
      <c r="Z76" s="50"/>
      <c r="AA76" s="50"/>
      <c r="AB76" s="50"/>
      <c r="AC76" s="50"/>
    </row>
    <row r="77" spans="18:29" ht="14.25">
      <c r="R77" s="50"/>
      <c r="S77" s="50"/>
      <c r="T77" s="50"/>
      <c r="U77" s="50"/>
      <c r="V77" s="50"/>
      <c r="W77" s="50"/>
      <c r="X77" s="50"/>
      <c r="Y77" s="50"/>
      <c r="Z77" s="50"/>
      <c r="AA77" s="50"/>
      <c r="AB77" s="50"/>
      <c r="AC77" s="50"/>
    </row>
    <row r="78" spans="18:29" ht="14.25">
      <c r="R78" s="50"/>
      <c r="S78" s="50"/>
      <c r="T78" s="50"/>
      <c r="U78" s="50"/>
      <c r="V78" s="50"/>
      <c r="W78" s="50"/>
      <c r="X78" s="50"/>
      <c r="Y78" s="50"/>
      <c r="Z78" s="50"/>
      <c r="AA78" s="50"/>
      <c r="AB78" s="50"/>
      <c r="AC78" s="50"/>
    </row>
    <row r="79" spans="18:29" ht="14.25">
      <c r="R79" s="50"/>
      <c r="S79" s="50"/>
      <c r="T79" s="50"/>
      <c r="U79" s="50"/>
      <c r="V79" s="50"/>
      <c r="W79" s="50"/>
      <c r="X79" s="50"/>
      <c r="Y79" s="50"/>
      <c r="Z79" s="50"/>
      <c r="AA79" s="50"/>
      <c r="AB79" s="50"/>
      <c r="AC79" s="50"/>
    </row>
    <row r="80" spans="18:29" ht="14.25">
      <c r="R80" s="50"/>
      <c r="S80" s="50"/>
      <c r="T80" s="50"/>
      <c r="U80" s="50"/>
      <c r="V80" s="50"/>
      <c r="W80" s="50"/>
      <c r="X80" s="50"/>
      <c r="Y80" s="50"/>
      <c r="Z80" s="50"/>
      <c r="AA80" s="50"/>
      <c r="AB80" s="50"/>
      <c r="AC80" s="50"/>
    </row>
    <row r="81" spans="18:29" ht="14.25">
      <c r="R81" s="50"/>
      <c r="S81" s="50"/>
      <c r="T81" s="50"/>
      <c r="U81" s="50"/>
      <c r="V81" s="50"/>
      <c r="W81" s="50"/>
      <c r="X81" s="50"/>
      <c r="Y81" s="50"/>
      <c r="Z81" s="50"/>
      <c r="AA81" s="50"/>
      <c r="AB81" s="50"/>
      <c r="AC81" s="50"/>
    </row>
    <row r="82" spans="18:29" ht="14.25">
      <c r="R82" s="50"/>
      <c r="S82" s="50"/>
      <c r="T82" s="50"/>
      <c r="U82" s="50"/>
      <c r="V82" s="50"/>
      <c r="W82" s="50"/>
      <c r="X82" s="50"/>
      <c r="Y82" s="50"/>
      <c r="Z82" s="50"/>
      <c r="AA82" s="50"/>
      <c r="AB82" s="50"/>
      <c r="AC82" s="50"/>
    </row>
    <row r="83" spans="18:29" ht="14.25">
      <c r="R83" s="50"/>
      <c r="S83" s="50"/>
      <c r="T83" s="50"/>
      <c r="U83" s="50"/>
      <c r="V83" s="50"/>
      <c r="W83" s="50"/>
      <c r="X83" s="50"/>
      <c r="Y83" s="50"/>
      <c r="Z83" s="50"/>
      <c r="AA83" s="50"/>
      <c r="AB83" s="50"/>
      <c r="AC83" s="50"/>
    </row>
    <row r="84" spans="18:29" ht="14.25">
      <c r="R84" s="50"/>
      <c r="S84" s="50"/>
      <c r="T84" s="50"/>
      <c r="U84" s="50"/>
      <c r="V84" s="50"/>
      <c r="W84" s="50"/>
      <c r="X84" s="50"/>
      <c r="Y84" s="50"/>
      <c r="Z84" s="50"/>
      <c r="AA84" s="50"/>
      <c r="AB84" s="50"/>
      <c r="AC84" s="50"/>
    </row>
    <row r="85" spans="18:29" ht="14.25">
      <c r="R85" s="50"/>
      <c r="S85" s="50"/>
      <c r="T85" s="50"/>
      <c r="U85" s="50"/>
      <c r="V85" s="50"/>
      <c r="W85" s="50"/>
      <c r="X85" s="50"/>
      <c r="Y85" s="50"/>
      <c r="Z85" s="50"/>
      <c r="AA85" s="50"/>
      <c r="AB85" s="50"/>
      <c r="AC85" s="50"/>
    </row>
    <row r="86" spans="18:29" ht="14.25">
      <c r="R86" s="50"/>
      <c r="S86" s="50"/>
      <c r="T86" s="50"/>
      <c r="U86" s="50"/>
      <c r="V86" s="50"/>
      <c r="W86" s="50"/>
      <c r="X86" s="50"/>
      <c r="Y86" s="50"/>
      <c r="Z86" s="50"/>
      <c r="AA86" s="50"/>
      <c r="AB86" s="50"/>
      <c r="AC86" s="50"/>
    </row>
    <row r="87" spans="18:29" ht="14.25">
      <c r="R87" s="50"/>
      <c r="S87" s="50"/>
      <c r="T87" s="50"/>
      <c r="U87" s="50"/>
      <c r="V87" s="50"/>
      <c r="W87" s="50"/>
      <c r="X87" s="50"/>
      <c r="Y87" s="50"/>
      <c r="Z87" s="50"/>
      <c r="AA87" s="50"/>
      <c r="AB87" s="50"/>
      <c r="AC87" s="50"/>
    </row>
    <row r="88" spans="18:29" ht="14.25">
      <c r="R88" s="50"/>
      <c r="S88" s="50"/>
      <c r="T88" s="50"/>
      <c r="U88" s="50"/>
      <c r="V88" s="50"/>
      <c r="W88" s="50"/>
      <c r="X88" s="50"/>
      <c r="Y88" s="50"/>
      <c r="Z88" s="50"/>
      <c r="AA88" s="50"/>
      <c r="AB88" s="50"/>
      <c r="AC88" s="50"/>
    </row>
    <row r="89" spans="18:29" ht="14.25">
      <c r="R89" s="50"/>
      <c r="S89" s="50"/>
      <c r="T89" s="50"/>
      <c r="U89" s="50"/>
      <c r="V89" s="50"/>
      <c r="W89" s="50"/>
      <c r="X89" s="50"/>
      <c r="Y89" s="50"/>
      <c r="Z89" s="50"/>
      <c r="AA89" s="50"/>
      <c r="AB89" s="50"/>
      <c r="AC89" s="50"/>
    </row>
    <row r="90" spans="18:29" ht="14.25">
      <c r="R90" s="50"/>
      <c r="S90" s="50"/>
      <c r="T90" s="50"/>
      <c r="U90" s="50"/>
      <c r="V90" s="50"/>
      <c r="W90" s="50"/>
      <c r="X90" s="50"/>
      <c r="Y90" s="50"/>
      <c r="Z90" s="50"/>
      <c r="AA90" s="50"/>
      <c r="AB90" s="50"/>
      <c r="AC90" s="50"/>
    </row>
    <row r="91" spans="18:29" ht="14.25">
      <c r="R91" s="50"/>
      <c r="S91" s="50"/>
      <c r="T91" s="50"/>
      <c r="U91" s="50"/>
      <c r="V91" s="50"/>
      <c r="W91" s="50"/>
      <c r="X91" s="50"/>
      <c r="Y91" s="50"/>
      <c r="Z91" s="50"/>
      <c r="AA91" s="50"/>
      <c r="AB91" s="50"/>
      <c r="AC91" s="50"/>
    </row>
    <row r="92" spans="18:29" ht="14.25">
      <c r="R92" s="50"/>
      <c r="S92" s="50"/>
      <c r="T92" s="50"/>
      <c r="U92" s="50"/>
      <c r="V92" s="50"/>
      <c r="W92" s="50"/>
      <c r="X92" s="50"/>
      <c r="Y92" s="50"/>
      <c r="Z92" s="50"/>
      <c r="AA92" s="50"/>
      <c r="AB92" s="50"/>
      <c r="AC92" s="50"/>
    </row>
    <row r="93" spans="18:29" ht="14.25">
      <c r="R93" s="50"/>
      <c r="S93" s="50"/>
      <c r="T93" s="50"/>
      <c r="U93" s="50"/>
      <c r="V93" s="50"/>
      <c r="W93" s="50"/>
      <c r="X93" s="50"/>
      <c r="Y93" s="50"/>
      <c r="Z93" s="50"/>
      <c r="AA93" s="50"/>
      <c r="AB93" s="50"/>
      <c r="AC93" s="50"/>
    </row>
  </sheetData>
  <mergeCells count="16">
    <mergeCell ref="R4:AE4"/>
    <mergeCell ref="R5:AE5"/>
    <mergeCell ref="N6:O6"/>
    <mergeCell ref="A4:O4"/>
    <mergeCell ref="B36:N36"/>
    <mergeCell ref="B6:C6"/>
    <mergeCell ref="D6:E6"/>
    <mergeCell ref="F6:G6"/>
    <mergeCell ref="H6:I6"/>
    <mergeCell ref="J6:K6"/>
    <mergeCell ref="L6:M6"/>
    <mergeCell ref="R37:AC40"/>
    <mergeCell ref="AP5:AV5"/>
    <mergeCell ref="AP36:AW36"/>
    <mergeCell ref="R36:AC36"/>
    <mergeCell ref="AH5:AN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3:T76"/>
  <sheetViews>
    <sheetView workbookViewId="0" topLeftCell="A1">
      <selection activeCell="E75" sqref="E75"/>
    </sheetView>
  </sheetViews>
  <sheetFormatPr defaultColWidth="9.140625" defaultRowHeight="12.75"/>
  <cols>
    <col min="1" max="1" width="9.140625" style="1" customWidth="1"/>
    <col min="2" max="2" width="9.57421875" style="1" bestFit="1" customWidth="1"/>
    <col min="3" max="3" width="9.140625" style="1" customWidth="1"/>
    <col min="4" max="4" width="11.140625" style="1" bestFit="1" customWidth="1"/>
    <col min="5" max="13" width="9.140625" style="1" customWidth="1"/>
    <col min="14" max="14" width="10.8515625" style="1" bestFit="1" customWidth="1"/>
    <col min="15" max="16384" width="9.140625" style="1" customWidth="1"/>
  </cols>
  <sheetData>
    <row r="1" ht="12.75"/>
    <row r="2" ht="12.75"/>
    <row r="3" spans="2:20" ht="12.75">
      <c r="B3" s="21"/>
      <c r="C3" s="456" t="s">
        <v>197</v>
      </c>
      <c r="D3" s="456"/>
      <c r="E3" s="456"/>
      <c r="F3" s="456"/>
      <c r="G3" s="456"/>
      <c r="H3" s="456"/>
      <c r="I3" s="456"/>
      <c r="J3" s="456"/>
      <c r="K3" s="456"/>
      <c r="L3" s="456"/>
      <c r="M3" s="456"/>
      <c r="N3" s="456"/>
      <c r="O3" s="456"/>
      <c r="P3" s="456"/>
      <c r="Q3" s="456"/>
      <c r="R3" s="456"/>
      <c r="S3" s="456"/>
      <c r="T3" s="456"/>
    </row>
    <row r="4" spans="2:20" ht="13.5" thickBot="1">
      <c r="B4" s="21"/>
      <c r="C4" s="129"/>
      <c r="D4" s="129"/>
      <c r="E4" s="129"/>
      <c r="F4" s="129"/>
      <c r="G4" s="129"/>
      <c r="H4" s="132"/>
      <c r="I4" s="132"/>
      <c r="J4" s="129"/>
      <c r="K4" s="129"/>
      <c r="L4" s="129"/>
      <c r="M4" s="129"/>
      <c r="N4" s="129"/>
      <c r="O4" s="129"/>
      <c r="P4" s="129"/>
      <c r="Q4" s="129"/>
      <c r="R4" s="129"/>
      <c r="S4" s="129"/>
      <c r="T4" s="129"/>
    </row>
    <row r="5" spans="2:20" ht="12.75">
      <c r="B5" s="21"/>
      <c r="C5" s="457" t="s">
        <v>6</v>
      </c>
      <c r="D5" s="458"/>
      <c r="E5" s="458"/>
      <c r="F5" s="459"/>
      <c r="G5" s="460" t="s">
        <v>14</v>
      </c>
      <c r="H5" s="445"/>
      <c r="I5" s="445"/>
      <c r="J5" s="445"/>
      <c r="K5" s="457" t="s">
        <v>48</v>
      </c>
      <c r="L5" s="458"/>
      <c r="M5" s="458"/>
      <c r="N5" s="458"/>
      <c r="O5" s="458"/>
      <c r="P5" s="458"/>
      <c r="Q5" s="458"/>
      <c r="R5" s="458"/>
      <c r="S5" s="458"/>
      <c r="T5" s="459"/>
    </row>
    <row r="6" spans="2:20" ht="12.75">
      <c r="B6" s="21"/>
      <c r="C6" s="120" t="s">
        <v>0</v>
      </c>
      <c r="D6" s="121" t="s">
        <v>1</v>
      </c>
      <c r="E6" s="121" t="s">
        <v>3</v>
      </c>
      <c r="F6" s="122" t="s">
        <v>2</v>
      </c>
      <c r="G6" s="546" t="s">
        <v>15</v>
      </c>
      <c r="H6" s="547"/>
      <c r="I6" s="547"/>
      <c r="J6" s="547"/>
      <c r="K6" s="546" t="s">
        <v>198</v>
      </c>
      <c r="L6" s="541"/>
      <c r="M6" s="540" t="s">
        <v>198</v>
      </c>
      <c r="N6" s="541"/>
      <c r="O6" s="540" t="s">
        <v>17</v>
      </c>
      <c r="P6" s="541"/>
      <c r="Q6" s="540" t="s">
        <v>17</v>
      </c>
      <c r="R6" s="541"/>
      <c r="S6" s="542" t="s">
        <v>16</v>
      </c>
      <c r="T6" s="543"/>
    </row>
    <row r="7" spans="2:20" ht="12.75">
      <c r="B7" s="21"/>
      <c r="C7" s="123"/>
      <c r="D7" s="124"/>
      <c r="E7" s="124" t="s">
        <v>4</v>
      </c>
      <c r="F7" s="125"/>
      <c r="G7" s="17">
        <v>2</v>
      </c>
      <c r="H7" s="207">
        <v>2</v>
      </c>
      <c r="I7" s="207">
        <v>5</v>
      </c>
      <c r="J7" s="17">
        <v>5</v>
      </c>
      <c r="K7" s="140" t="s">
        <v>46</v>
      </c>
      <c r="L7" s="131" t="s">
        <v>2</v>
      </c>
      <c r="M7" s="131" t="s">
        <v>46</v>
      </c>
      <c r="N7" s="131" t="s">
        <v>2</v>
      </c>
      <c r="O7" s="131" t="s">
        <v>46</v>
      </c>
      <c r="P7" s="131" t="s">
        <v>2</v>
      </c>
      <c r="Q7" s="131" t="s">
        <v>46</v>
      </c>
      <c r="R7" s="131" t="s">
        <v>2</v>
      </c>
      <c r="S7" s="131" t="s">
        <v>46</v>
      </c>
      <c r="T7" s="141" t="s">
        <v>2</v>
      </c>
    </row>
    <row r="8" spans="2:20" ht="12.75">
      <c r="B8" s="21"/>
      <c r="C8" s="102">
        <v>1980</v>
      </c>
      <c r="D8" s="108"/>
      <c r="E8" s="258"/>
      <c r="F8" s="107">
        <f>D8*E8/2000</f>
        <v>0</v>
      </c>
      <c r="G8" s="106">
        <v>0.3</v>
      </c>
      <c r="H8" s="134">
        <v>0.35</v>
      </c>
      <c r="I8" s="134">
        <v>0.15</v>
      </c>
      <c r="J8" s="101">
        <v>0.2</v>
      </c>
      <c r="K8" s="102"/>
      <c r="L8" s="98"/>
      <c r="M8" s="181"/>
      <c r="N8" s="98"/>
      <c r="O8" s="98"/>
      <c r="P8" s="98"/>
      <c r="Q8" s="98"/>
      <c r="R8" s="98"/>
      <c r="S8" s="98"/>
      <c r="T8" s="103"/>
    </row>
    <row r="9" spans="2:20" ht="12.75">
      <c r="B9" s="21" t="s">
        <v>218</v>
      </c>
      <c r="C9" s="102">
        <v>1981</v>
      </c>
      <c r="D9" s="108"/>
      <c r="E9" s="258"/>
      <c r="F9" s="107">
        <f>D9*E9/2000</f>
        <v>0</v>
      </c>
      <c r="G9" s="106">
        <v>0.3</v>
      </c>
      <c r="H9" s="134">
        <v>0.35</v>
      </c>
      <c r="I9" s="134">
        <v>0.15</v>
      </c>
      <c r="J9" s="101">
        <v>0.2</v>
      </c>
      <c r="K9" s="102"/>
      <c r="L9" s="98"/>
      <c r="M9" s="181"/>
      <c r="N9" s="98"/>
      <c r="O9" s="98"/>
      <c r="P9" s="98"/>
      <c r="Q9" s="98"/>
      <c r="R9" s="98"/>
      <c r="S9" s="98"/>
      <c r="T9" s="103"/>
    </row>
    <row r="10" spans="2:20" ht="12.75">
      <c r="B10" s="21" t="s">
        <v>69</v>
      </c>
      <c r="C10" s="102">
        <v>1982</v>
      </c>
      <c r="D10" s="108"/>
      <c r="E10" s="258"/>
      <c r="F10" s="107">
        <f>D10*E10/2000</f>
        <v>0</v>
      </c>
      <c r="G10" s="106">
        <v>0.3</v>
      </c>
      <c r="H10" s="134">
        <v>0.35</v>
      </c>
      <c r="I10" s="134">
        <v>0.15</v>
      </c>
      <c r="J10" s="101">
        <v>0.2</v>
      </c>
      <c r="K10" s="109">
        <f>D8*G8/1000</f>
        <v>0</v>
      </c>
      <c r="L10" s="100">
        <f>F8*G8</f>
        <v>0</v>
      </c>
      <c r="M10" s="435">
        <f>D8*H8/1000</f>
        <v>0</v>
      </c>
      <c r="N10" s="100">
        <f>F8*H8</f>
        <v>0</v>
      </c>
      <c r="O10" s="100"/>
      <c r="P10" s="100"/>
      <c r="Q10" s="100"/>
      <c r="R10" s="100"/>
      <c r="S10" s="100">
        <f>K10+M10+O10+Q10</f>
        <v>0</v>
      </c>
      <c r="T10" s="107">
        <f>L10+N10+P10+R10</f>
        <v>0</v>
      </c>
    </row>
    <row r="11" spans="1:20" ht="12.75">
      <c r="A11" s="1" t="s">
        <v>210</v>
      </c>
      <c r="B11" s="21" t="s">
        <v>219</v>
      </c>
      <c r="C11" s="102">
        <v>1983</v>
      </c>
      <c r="D11" s="108"/>
      <c r="E11" s="399">
        <v>3.5033078300000007</v>
      </c>
      <c r="F11" s="107">
        <f>D11*E11/2000</f>
        <v>0</v>
      </c>
      <c r="G11" s="106">
        <v>0.3</v>
      </c>
      <c r="H11" s="134">
        <v>0.35</v>
      </c>
      <c r="I11" s="134">
        <v>0.15</v>
      </c>
      <c r="J11" s="101">
        <v>0.2</v>
      </c>
      <c r="K11" s="109">
        <f aca="true" t="shared" si="0" ref="K11:K38">D9*G9/1000</f>
        <v>0</v>
      </c>
      <c r="L11" s="100">
        <f aca="true" t="shared" si="1" ref="L11:L38">F9*G9</f>
        <v>0</v>
      </c>
      <c r="M11" s="435">
        <f aca="true" t="shared" si="2" ref="M11:M38">D9*H9/1000</f>
        <v>0</v>
      </c>
      <c r="N11" s="100">
        <f aca="true" t="shared" si="3" ref="N11:N38">F9*H9</f>
        <v>0</v>
      </c>
      <c r="O11" s="100"/>
      <c r="P11" s="100"/>
      <c r="Q11" s="100"/>
      <c r="R11" s="100"/>
      <c r="S11" s="100">
        <f aca="true" t="shared" si="4" ref="S11:T38">K11+M11+O11+Q11</f>
        <v>0</v>
      </c>
      <c r="T11" s="107">
        <f t="shared" si="4"/>
        <v>0</v>
      </c>
    </row>
    <row r="12" spans="1:20" ht="12.75">
      <c r="A12" s="397"/>
      <c r="B12" s="108">
        <v>25000</v>
      </c>
      <c r="C12" s="102">
        <v>1984</v>
      </c>
      <c r="D12" s="433">
        <f>D13/A13</f>
        <v>35211.26760563382</v>
      </c>
      <c r="E12" s="434">
        <v>3.5033078300000007</v>
      </c>
      <c r="F12" s="107">
        <f>D12*E12/2000</f>
        <v>61.67795475352116</v>
      </c>
      <c r="G12" s="106">
        <v>0.3</v>
      </c>
      <c r="H12" s="134">
        <v>0.35</v>
      </c>
      <c r="I12" s="134">
        <v>0.15</v>
      </c>
      <c r="J12" s="101">
        <v>0.2</v>
      </c>
      <c r="K12" s="109">
        <f t="shared" si="0"/>
        <v>0</v>
      </c>
      <c r="L12" s="100">
        <f t="shared" si="1"/>
        <v>0</v>
      </c>
      <c r="M12" s="435">
        <f t="shared" si="2"/>
        <v>0</v>
      </c>
      <c r="N12" s="100">
        <f t="shared" si="3"/>
        <v>0</v>
      </c>
      <c r="O12" s="100"/>
      <c r="P12" s="100"/>
      <c r="Q12" s="100"/>
      <c r="R12" s="100"/>
      <c r="S12" s="100">
        <f t="shared" si="4"/>
        <v>0</v>
      </c>
      <c r="T12" s="107">
        <f t="shared" si="4"/>
        <v>0</v>
      </c>
    </row>
    <row r="13" spans="1:20" ht="12.75">
      <c r="A13" s="397">
        <f aca="true" t="shared" si="5" ref="A13:A32">B13/B12</f>
        <v>3</v>
      </c>
      <c r="B13" s="108">
        <v>75000</v>
      </c>
      <c r="C13" s="102">
        <v>1985</v>
      </c>
      <c r="D13" s="433">
        <f aca="true" t="shared" si="6" ref="D13:D21">D14/A14</f>
        <v>105633.80281690144</v>
      </c>
      <c r="E13" s="434">
        <v>3.5033078300000007</v>
      </c>
      <c r="F13" s="107">
        <f aca="true" t="shared" si="7" ref="F13:F35">D13*E13/2000</f>
        <v>185.0338642605635</v>
      </c>
      <c r="G13" s="106">
        <v>0.3</v>
      </c>
      <c r="H13" s="134">
        <v>0.35</v>
      </c>
      <c r="I13" s="134">
        <v>0.15</v>
      </c>
      <c r="J13" s="101">
        <v>0.2</v>
      </c>
      <c r="K13" s="109">
        <f t="shared" si="0"/>
        <v>0</v>
      </c>
      <c r="L13" s="100">
        <f t="shared" si="1"/>
        <v>0</v>
      </c>
      <c r="M13" s="435">
        <f t="shared" si="2"/>
        <v>0</v>
      </c>
      <c r="N13" s="100">
        <f t="shared" si="3"/>
        <v>0</v>
      </c>
      <c r="O13" s="100">
        <f>D8*I8/1000</f>
        <v>0</v>
      </c>
      <c r="P13" s="100">
        <f>F8*I8</f>
        <v>0</v>
      </c>
      <c r="Q13" s="100">
        <f>D8*J8/1000</f>
        <v>0</v>
      </c>
      <c r="R13" s="100">
        <f>F8*J8</f>
        <v>0</v>
      </c>
      <c r="S13" s="100">
        <f t="shared" si="4"/>
        <v>0</v>
      </c>
      <c r="T13" s="107">
        <f t="shared" si="4"/>
        <v>0</v>
      </c>
    </row>
    <row r="14" spans="1:20" ht="12.75">
      <c r="A14" s="397">
        <f t="shared" si="5"/>
        <v>3.8</v>
      </c>
      <c r="B14" s="108">
        <v>285000</v>
      </c>
      <c r="C14" s="102">
        <v>1986</v>
      </c>
      <c r="D14" s="433">
        <f t="shared" si="6"/>
        <v>401408.45070422546</v>
      </c>
      <c r="E14" s="434">
        <v>3.5033078300000007</v>
      </c>
      <c r="F14" s="107">
        <f t="shared" si="7"/>
        <v>703.1286841901411</v>
      </c>
      <c r="G14" s="106">
        <v>0.3</v>
      </c>
      <c r="H14" s="134">
        <v>0.35</v>
      </c>
      <c r="I14" s="134">
        <v>0.15</v>
      </c>
      <c r="J14" s="101">
        <v>0.2</v>
      </c>
      <c r="K14" s="109">
        <f>D12*G12/1000</f>
        <v>10.563380281690144</v>
      </c>
      <c r="L14" s="100">
        <f>F12*G12</f>
        <v>18.50338642605635</v>
      </c>
      <c r="M14" s="435">
        <f>D12*H12/1000</f>
        <v>12.323943661971834</v>
      </c>
      <c r="N14" s="100">
        <f>F12*H12</f>
        <v>21.587284163732406</v>
      </c>
      <c r="O14" s="100">
        <f>D9*I9/1000</f>
        <v>0</v>
      </c>
      <c r="P14" s="100">
        <f aca="true" t="shared" si="8" ref="P14:P38">F9*I9</f>
        <v>0</v>
      </c>
      <c r="Q14" s="100">
        <f aca="true" t="shared" si="9" ref="Q14:Q38">D9*J9/1000</f>
        <v>0</v>
      </c>
      <c r="R14" s="100">
        <f aca="true" t="shared" si="10" ref="R14:R38">F9*J9</f>
        <v>0</v>
      </c>
      <c r="S14" s="100">
        <f t="shared" si="4"/>
        <v>22.887323943661976</v>
      </c>
      <c r="T14" s="107">
        <f t="shared" si="4"/>
        <v>40.09067058978876</v>
      </c>
    </row>
    <row r="15" spans="1:20" ht="12.75">
      <c r="A15" s="397">
        <f t="shared" si="5"/>
        <v>1.9824561403508771</v>
      </c>
      <c r="B15" s="108">
        <v>565000</v>
      </c>
      <c r="C15" s="102">
        <v>1987</v>
      </c>
      <c r="D15" s="433">
        <f t="shared" si="6"/>
        <v>795774.6478873241</v>
      </c>
      <c r="E15" s="434">
        <v>3.5033078300000007</v>
      </c>
      <c r="F15" s="107">
        <f t="shared" si="7"/>
        <v>1393.9217774295778</v>
      </c>
      <c r="G15" s="106">
        <v>0.3</v>
      </c>
      <c r="H15" s="134">
        <v>0.35</v>
      </c>
      <c r="I15" s="134">
        <v>0.15</v>
      </c>
      <c r="J15" s="101">
        <v>0.2</v>
      </c>
      <c r="K15" s="109">
        <f t="shared" si="0"/>
        <v>31.690140845070434</v>
      </c>
      <c r="L15" s="100">
        <f t="shared" si="1"/>
        <v>55.51015927816905</v>
      </c>
      <c r="M15" s="435">
        <f t="shared" si="2"/>
        <v>36.9718309859155</v>
      </c>
      <c r="N15" s="100">
        <f t="shared" si="3"/>
        <v>64.76185249119722</v>
      </c>
      <c r="O15" s="100">
        <f aca="true" t="shared" si="11" ref="O15:O38">D10*I10/1000</f>
        <v>0</v>
      </c>
      <c r="P15" s="100">
        <f t="shared" si="8"/>
        <v>0</v>
      </c>
      <c r="Q15" s="100">
        <f t="shared" si="9"/>
        <v>0</v>
      </c>
      <c r="R15" s="100">
        <f t="shared" si="10"/>
        <v>0</v>
      </c>
      <c r="S15" s="100">
        <f t="shared" si="4"/>
        <v>68.66197183098593</v>
      </c>
      <c r="T15" s="107">
        <f t="shared" si="4"/>
        <v>120.27201176936626</v>
      </c>
    </row>
    <row r="16" spans="1:20" ht="12.75">
      <c r="A16" s="397">
        <f t="shared" si="5"/>
        <v>1.575221238938053</v>
      </c>
      <c r="B16" s="108">
        <v>890000</v>
      </c>
      <c r="C16" s="102">
        <v>1988</v>
      </c>
      <c r="D16" s="433">
        <f t="shared" si="6"/>
        <v>1253521.1267605636</v>
      </c>
      <c r="E16" s="434">
        <v>3.5033078300000007</v>
      </c>
      <c r="F16" s="107">
        <f t="shared" si="7"/>
        <v>2195.7351892253528</v>
      </c>
      <c r="G16" s="106">
        <v>0.3</v>
      </c>
      <c r="H16" s="134">
        <v>0.35</v>
      </c>
      <c r="I16" s="134">
        <v>0.15</v>
      </c>
      <c r="J16" s="101">
        <v>0.2</v>
      </c>
      <c r="K16" s="109">
        <f t="shared" si="0"/>
        <v>120.42253521126763</v>
      </c>
      <c r="L16" s="100">
        <f t="shared" si="1"/>
        <v>210.93860525704233</v>
      </c>
      <c r="M16" s="435">
        <f t="shared" si="2"/>
        <v>140.4929577464789</v>
      </c>
      <c r="N16" s="100">
        <f t="shared" si="3"/>
        <v>246.0950394665494</v>
      </c>
      <c r="O16" s="100">
        <f t="shared" si="11"/>
        <v>0</v>
      </c>
      <c r="P16" s="100">
        <f t="shared" si="8"/>
        <v>0</v>
      </c>
      <c r="Q16" s="100">
        <f t="shared" si="9"/>
        <v>0</v>
      </c>
      <c r="R16" s="100">
        <f t="shared" si="10"/>
        <v>0</v>
      </c>
      <c r="S16" s="100">
        <f t="shared" si="4"/>
        <v>260.91549295774655</v>
      </c>
      <c r="T16" s="107">
        <f t="shared" si="4"/>
        <v>457.0336447235917</v>
      </c>
    </row>
    <row r="17" spans="1:20" ht="12.75">
      <c r="A17" s="397">
        <f t="shared" si="5"/>
        <v>1.6853932584269662</v>
      </c>
      <c r="B17" s="108">
        <v>1500000</v>
      </c>
      <c r="C17" s="102">
        <v>1989</v>
      </c>
      <c r="D17" s="433">
        <f t="shared" si="6"/>
        <v>2112676.0563380285</v>
      </c>
      <c r="E17" s="434">
        <v>3.5033078300000007</v>
      </c>
      <c r="F17" s="107">
        <f t="shared" si="7"/>
        <v>3700.677285211269</v>
      </c>
      <c r="G17" s="106">
        <v>0.3</v>
      </c>
      <c r="H17" s="134">
        <v>0.35</v>
      </c>
      <c r="I17" s="134">
        <v>0.15</v>
      </c>
      <c r="J17" s="101">
        <v>0.2</v>
      </c>
      <c r="K17" s="109">
        <f t="shared" si="0"/>
        <v>238.73239436619724</v>
      </c>
      <c r="L17" s="100">
        <f t="shared" si="1"/>
        <v>418.1765332288733</v>
      </c>
      <c r="M17" s="435">
        <f t="shared" si="2"/>
        <v>278.5211267605634</v>
      </c>
      <c r="N17" s="100">
        <f t="shared" si="3"/>
        <v>487.8726221003522</v>
      </c>
      <c r="O17" s="100">
        <f>D12*I12/1000</f>
        <v>5.281690140845072</v>
      </c>
      <c r="P17" s="100">
        <f t="shared" si="8"/>
        <v>9.251693213028174</v>
      </c>
      <c r="Q17" s="100">
        <f t="shared" si="9"/>
        <v>7.0422535211267645</v>
      </c>
      <c r="R17" s="100">
        <f t="shared" si="10"/>
        <v>12.335590950704233</v>
      </c>
      <c r="S17" s="100">
        <f t="shared" si="4"/>
        <v>529.5774647887325</v>
      </c>
      <c r="T17" s="107">
        <f t="shared" si="4"/>
        <v>927.636439492958</v>
      </c>
    </row>
    <row r="18" spans="1:20" ht="12.75">
      <c r="A18" s="397">
        <f t="shared" si="5"/>
        <v>1.22</v>
      </c>
      <c r="B18" s="108">
        <v>1830000</v>
      </c>
      <c r="C18" s="102">
        <v>1990</v>
      </c>
      <c r="D18" s="433">
        <f t="shared" si="6"/>
        <v>2577464.7887323946</v>
      </c>
      <c r="E18" s="434">
        <v>3.5033078300000007</v>
      </c>
      <c r="F18" s="107">
        <f t="shared" si="7"/>
        <v>4514.826287957748</v>
      </c>
      <c r="G18" s="106">
        <v>0.3</v>
      </c>
      <c r="H18" s="134">
        <v>0.35</v>
      </c>
      <c r="I18" s="134">
        <v>0.15</v>
      </c>
      <c r="J18" s="101">
        <v>0.2</v>
      </c>
      <c r="K18" s="109">
        <f t="shared" si="0"/>
        <v>376.0563380281691</v>
      </c>
      <c r="L18" s="100">
        <f t="shared" si="1"/>
        <v>658.7205567676058</v>
      </c>
      <c r="M18" s="435">
        <f t="shared" si="2"/>
        <v>438.73239436619724</v>
      </c>
      <c r="N18" s="100">
        <f t="shared" si="3"/>
        <v>768.5073162288734</v>
      </c>
      <c r="O18" s="100">
        <f t="shared" si="11"/>
        <v>15.845070422535217</v>
      </c>
      <c r="P18" s="100">
        <f t="shared" si="8"/>
        <v>27.755079639084524</v>
      </c>
      <c r="Q18" s="100">
        <f t="shared" si="9"/>
        <v>21.126760563380287</v>
      </c>
      <c r="R18" s="100">
        <f t="shared" si="10"/>
        <v>37.0067728521127</v>
      </c>
      <c r="S18" s="100">
        <f t="shared" si="4"/>
        <v>851.7605633802818</v>
      </c>
      <c r="T18" s="107">
        <f t="shared" si="4"/>
        <v>1491.9897254876762</v>
      </c>
    </row>
    <row r="19" spans="1:20" ht="12.75">
      <c r="A19" s="397">
        <f t="shared" si="5"/>
        <v>1.3060109289617485</v>
      </c>
      <c r="B19" s="108">
        <v>2390000</v>
      </c>
      <c r="C19" s="102">
        <v>1991</v>
      </c>
      <c r="D19" s="433">
        <f t="shared" si="6"/>
        <v>3366197.1830985914</v>
      </c>
      <c r="E19" s="434">
        <v>3.5033078300000007</v>
      </c>
      <c r="F19" s="107">
        <f t="shared" si="7"/>
        <v>5896.41247443662</v>
      </c>
      <c r="G19" s="106">
        <v>0.3</v>
      </c>
      <c r="H19" s="134">
        <v>0.35</v>
      </c>
      <c r="I19" s="134">
        <v>0.15</v>
      </c>
      <c r="J19" s="101">
        <v>0.2</v>
      </c>
      <c r="K19" s="109">
        <f t="shared" si="0"/>
        <v>633.8028169014085</v>
      </c>
      <c r="L19" s="100">
        <f t="shared" si="1"/>
        <v>1110.2031855633807</v>
      </c>
      <c r="M19" s="435">
        <f t="shared" si="2"/>
        <v>739.43661971831</v>
      </c>
      <c r="N19" s="100">
        <f t="shared" si="3"/>
        <v>1295.237049823944</v>
      </c>
      <c r="O19" s="100">
        <f t="shared" si="11"/>
        <v>60.211267605633815</v>
      </c>
      <c r="P19" s="100">
        <f t="shared" si="8"/>
        <v>105.46930262852116</v>
      </c>
      <c r="Q19" s="100">
        <f t="shared" si="9"/>
        <v>80.2816901408451</v>
      </c>
      <c r="R19" s="100">
        <f t="shared" si="10"/>
        <v>140.62573683802825</v>
      </c>
      <c r="S19" s="100">
        <f t="shared" si="4"/>
        <v>1513.7323943661975</v>
      </c>
      <c r="T19" s="107">
        <f t="shared" si="4"/>
        <v>2651.5352748538744</v>
      </c>
    </row>
    <row r="20" spans="1:20" ht="12.75">
      <c r="A20" s="397">
        <f t="shared" si="5"/>
        <v>1.600418410041841</v>
      </c>
      <c r="B20" s="108">
        <v>3825000</v>
      </c>
      <c r="C20" s="102">
        <v>1992</v>
      </c>
      <c r="D20" s="433">
        <f>D21/A21</f>
        <v>5387323.943661972</v>
      </c>
      <c r="E20" s="434">
        <v>0.5333333333333333</v>
      </c>
      <c r="F20" s="107">
        <f t="shared" si="7"/>
        <v>1436.6197183098593</v>
      </c>
      <c r="G20" s="106">
        <v>0.3</v>
      </c>
      <c r="H20" s="134">
        <v>0.35</v>
      </c>
      <c r="I20" s="134">
        <v>0.15</v>
      </c>
      <c r="J20" s="101">
        <v>0.2</v>
      </c>
      <c r="K20" s="109">
        <f t="shared" si="0"/>
        <v>773.2394366197183</v>
      </c>
      <c r="L20" s="100">
        <f t="shared" si="1"/>
        <v>1354.4478863873244</v>
      </c>
      <c r="M20" s="435">
        <f t="shared" si="2"/>
        <v>902.112676056338</v>
      </c>
      <c r="N20" s="100">
        <f t="shared" si="3"/>
        <v>1580.1892007852116</v>
      </c>
      <c r="O20" s="100">
        <f t="shared" si="11"/>
        <v>119.36619718309862</v>
      </c>
      <c r="P20" s="100">
        <f t="shared" si="8"/>
        <v>209.08826661443666</v>
      </c>
      <c r="Q20" s="100">
        <f t="shared" si="9"/>
        <v>159.15492957746483</v>
      </c>
      <c r="R20" s="100">
        <f t="shared" si="10"/>
        <v>278.78435548591557</v>
      </c>
      <c r="S20" s="100">
        <f t="shared" si="4"/>
        <v>1953.8732394366198</v>
      </c>
      <c r="T20" s="107">
        <f t="shared" si="4"/>
        <v>3422.509709272888</v>
      </c>
    </row>
    <row r="21" spans="1:20" ht="12.75">
      <c r="A21" s="397">
        <f t="shared" si="5"/>
        <v>1.461437908496732</v>
      </c>
      <c r="B21" s="108">
        <v>5590000</v>
      </c>
      <c r="C21" s="102">
        <v>1993</v>
      </c>
      <c r="D21" s="433">
        <f t="shared" si="6"/>
        <v>7873239.436619718</v>
      </c>
      <c r="E21" s="434">
        <v>0.5333333333333333</v>
      </c>
      <c r="F21" s="107">
        <f t="shared" si="7"/>
        <v>2099.5305164319248</v>
      </c>
      <c r="G21" s="106">
        <v>0.3</v>
      </c>
      <c r="H21" s="134">
        <v>0.35</v>
      </c>
      <c r="I21" s="134">
        <v>0.15</v>
      </c>
      <c r="J21" s="101">
        <v>0.2</v>
      </c>
      <c r="K21" s="109">
        <f t="shared" si="0"/>
        <v>1009.8591549295774</v>
      </c>
      <c r="L21" s="100">
        <f t="shared" si="1"/>
        <v>1768.923742330986</v>
      </c>
      <c r="M21" s="435">
        <f t="shared" si="2"/>
        <v>1178.1690140845071</v>
      </c>
      <c r="N21" s="100">
        <f t="shared" si="3"/>
        <v>2063.744366052817</v>
      </c>
      <c r="O21" s="100">
        <f t="shared" si="11"/>
        <v>188.02816901408454</v>
      </c>
      <c r="P21" s="100">
        <f t="shared" si="8"/>
        <v>329.3602783838029</v>
      </c>
      <c r="Q21" s="100">
        <f t="shared" si="9"/>
        <v>250.70422535211273</v>
      </c>
      <c r="R21" s="100">
        <f t="shared" si="10"/>
        <v>439.1470378450706</v>
      </c>
      <c r="S21" s="100">
        <f t="shared" si="4"/>
        <v>2626.760563380282</v>
      </c>
      <c r="T21" s="107">
        <f t="shared" si="4"/>
        <v>4601.175424612677</v>
      </c>
    </row>
    <row r="22" spans="1:20" ht="12.75">
      <c r="A22" s="397">
        <f t="shared" si="5"/>
        <v>1.57871198568873</v>
      </c>
      <c r="B22" s="108">
        <v>8825000</v>
      </c>
      <c r="C22" s="102">
        <v>1994</v>
      </c>
      <c r="D22" s="433">
        <f>D23/A23</f>
        <v>12429577.464788731</v>
      </c>
      <c r="E22" s="434">
        <v>0.5333333333333333</v>
      </c>
      <c r="F22" s="107">
        <f t="shared" si="7"/>
        <v>3314.5539906103286</v>
      </c>
      <c r="G22" s="106">
        <v>0.3</v>
      </c>
      <c r="H22" s="134">
        <v>0.35</v>
      </c>
      <c r="I22" s="134">
        <v>0.15</v>
      </c>
      <c r="J22" s="101">
        <v>0.2</v>
      </c>
      <c r="K22" s="109">
        <f t="shared" si="0"/>
        <v>1616.1971830985917</v>
      </c>
      <c r="L22" s="100">
        <f t="shared" si="1"/>
        <v>430.98591549295776</v>
      </c>
      <c r="M22" s="435">
        <f t="shared" si="2"/>
        <v>1885.5633802816901</v>
      </c>
      <c r="N22" s="100">
        <f t="shared" si="3"/>
        <v>502.81690140845075</v>
      </c>
      <c r="O22" s="100">
        <f t="shared" si="11"/>
        <v>316.90140845070425</v>
      </c>
      <c r="P22" s="100">
        <f t="shared" si="8"/>
        <v>555.1015927816903</v>
      </c>
      <c r="Q22" s="100">
        <f t="shared" si="9"/>
        <v>422.5352112676057</v>
      </c>
      <c r="R22" s="100">
        <f t="shared" si="10"/>
        <v>740.1354570422538</v>
      </c>
      <c r="S22" s="100">
        <f t="shared" si="4"/>
        <v>4241.197183098592</v>
      </c>
      <c r="T22" s="107">
        <f t="shared" si="4"/>
        <v>2229.039866725353</v>
      </c>
    </row>
    <row r="23" spans="1:20" ht="12.75">
      <c r="A23" s="397">
        <f>B23/B22</f>
        <v>1.16657223796034</v>
      </c>
      <c r="B23" s="108">
        <v>10295000</v>
      </c>
      <c r="C23" s="102">
        <v>1995</v>
      </c>
      <c r="D23" s="433">
        <v>14500000</v>
      </c>
      <c r="E23" s="434">
        <v>0.5333333333333333</v>
      </c>
      <c r="F23" s="107">
        <f t="shared" si="7"/>
        <v>3866.6666666666665</v>
      </c>
      <c r="G23" s="106">
        <v>0.3</v>
      </c>
      <c r="H23" s="134">
        <v>0.35</v>
      </c>
      <c r="I23" s="134">
        <v>0.15</v>
      </c>
      <c r="J23" s="101">
        <v>0.2</v>
      </c>
      <c r="K23" s="109">
        <f t="shared" si="0"/>
        <v>2361.9718309859154</v>
      </c>
      <c r="L23" s="100">
        <f t="shared" si="1"/>
        <v>629.8591549295774</v>
      </c>
      <c r="M23" s="435">
        <f t="shared" si="2"/>
        <v>2755.6338028169007</v>
      </c>
      <c r="N23" s="100">
        <f t="shared" si="3"/>
        <v>734.8356807511736</v>
      </c>
      <c r="O23" s="100">
        <f t="shared" si="11"/>
        <v>386.61971830985914</v>
      </c>
      <c r="P23" s="100">
        <f t="shared" si="8"/>
        <v>677.2239431936622</v>
      </c>
      <c r="Q23" s="100">
        <f t="shared" si="9"/>
        <v>515.492957746479</v>
      </c>
      <c r="R23" s="100">
        <f t="shared" si="10"/>
        <v>902.9652575915496</v>
      </c>
      <c r="S23" s="100">
        <f t="shared" si="4"/>
        <v>6019.718309859154</v>
      </c>
      <c r="T23" s="107">
        <f t="shared" si="4"/>
        <v>2944.884036465963</v>
      </c>
    </row>
    <row r="24" spans="1:20" ht="12.75">
      <c r="A24" s="397">
        <f t="shared" si="5"/>
        <v>1.1233608547838756</v>
      </c>
      <c r="B24" s="108">
        <v>11565000</v>
      </c>
      <c r="C24" s="102">
        <v>1996</v>
      </c>
      <c r="D24" s="433">
        <v>16600000</v>
      </c>
      <c r="E24" s="434">
        <v>0.5333333333333333</v>
      </c>
      <c r="F24" s="107">
        <f t="shared" si="7"/>
        <v>4426.666666666667</v>
      </c>
      <c r="G24" s="106">
        <v>0.3</v>
      </c>
      <c r="H24" s="134">
        <v>0.35</v>
      </c>
      <c r="I24" s="134">
        <v>0.15</v>
      </c>
      <c r="J24" s="101">
        <v>0.2</v>
      </c>
      <c r="K24" s="109">
        <f t="shared" si="0"/>
        <v>3728.8732394366193</v>
      </c>
      <c r="L24" s="100">
        <f t="shared" si="1"/>
        <v>994.3661971830985</v>
      </c>
      <c r="M24" s="435">
        <f t="shared" si="2"/>
        <v>4350.352112676056</v>
      </c>
      <c r="N24" s="100">
        <f t="shared" si="3"/>
        <v>1160.0938967136149</v>
      </c>
      <c r="O24" s="100">
        <f t="shared" si="11"/>
        <v>504.9295774647887</v>
      </c>
      <c r="P24" s="100">
        <f t="shared" si="8"/>
        <v>884.461871165493</v>
      </c>
      <c r="Q24" s="100">
        <f t="shared" si="9"/>
        <v>673.2394366197183</v>
      </c>
      <c r="R24" s="100">
        <f t="shared" si="10"/>
        <v>1179.282494887324</v>
      </c>
      <c r="S24" s="100">
        <f t="shared" si="4"/>
        <v>9257.394366197183</v>
      </c>
      <c r="T24" s="107">
        <f t="shared" si="4"/>
        <v>4218.20445994953</v>
      </c>
    </row>
    <row r="25" spans="1:20" ht="12.75">
      <c r="A25" s="397">
        <f t="shared" si="5"/>
        <v>1.0808473843493298</v>
      </c>
      <c r="B25" s="108">
        <v>12500000</v>
      </c>
      <c r="C25" s="102">
        <v>1997</v>
      </c>
      <c r="D25" s="433">
        <v>22200000</v>
      </c>
      <c r="E25" s="434">
        <v>0.5333333333333333</v>
      </c>
      <c r="F25" s="107">
        <f t="shared" si="7"/>
        <v>5920</v>
      </c>
      <c r="G25" s="106">
        <v>0.3</v>
      </c>
      <c r="H25" s="134">
        <v>0.35</v>
      </c>
      <c r="I25" s="134">
        <v>0.15</v>
      </c>
      <c r="J25" s="101">
        <v>0.2</v>
      </c>
      <c r="K25" s="109">
        <f t="shared" si="0"/>
        <v>4350</v>
      </c>
      <c r="L25" s="100">
        <f t="shared" si="1"/>
        <v>1160</v>
      </c>
      <c r="M25" s="435">
        <f t="shared" si="2"/>
        <v>5075</v>
      </c>
      <c r="N25" s="100">
        <f t="shared" si="3"/>
        <v>1353.3333333333333</v>
      </c>
      <c r="O25" s="100">
        <f t="shared" si="11"/>
        <v>808.0985915492959</v>
      </c>
      <c r="P25" s="100">
        <f t="shared" si="8"/>
        <v>215.49295774647888</v>
      </c>
      <c r="Q25" s="100">
        <f t="shared" si="9"/>
        <v>1077.4647887323943</v>
      </c>
      <c r="R25" s="100">
        <f t="shared" si="10"/>
        <v>287.3239436619719</v>
      </c>
      <c r="S25" s="100">
        <f t="shared" si="4"/>
        <v>11310.56338028169</v>
      </c>
      <c r="T25" s="107">
        <f t="shared" si="4"/>
        <v>3016.150234741784</v>
      </c>
    </row>
    <row r="26" spans="1:20" ht="12.75">
      <c r="A26" s="397">
        <f t="shared" si="5"/>
        <v>1.11</v>
      </c>
      <c r="B26" s="108">
        <v>13875000</v>
      </c>
      <c r="C26" s="102">
        <v>1998</v>
      </c>
      <c r="D26" s="433">
        <v>30600000</v>
      </c>
      <c r="E26" s="434">
        <v>0.5333333333333333</v>
      </c>
      <c r="F26" s="107">
        <f t="shared" si="7"/>
        <v>8160</v>
      </c>
      <c r="G26" s="106">
        <v>0.3</v>
      </c>
      <c r="H26" s="134">
        <v>0.35</v>
      </c>
      <c r="I26" s="134">
        <v>0.15</v>
      </c>
      <c r="J26" s="101">
        <v>0.2</v>
      </c>
      <c r="K26" s="109">
        <f t="shared" si="0"/>
        <v>4980</v>
      </c>
      <c r="L26" s="100">
        <f t="shared" si="1"/>
        <v>1328</v>
      </c>
      <c r="M26" s="435">
        <f t="shared" si="2"/>
        <v>5810</v>
      </c>
      <c r="N26" s="100">
        <f t="shared" si="3"/>
        <v>1549.3333333333333</v>
      </c>
      <c r="O26" s="100">
        <f t="shared" si="11"/>
        <v>1180.9859154929577</v>
      </c>
      <c r="P26" s="100">
        <f t="shared" si="8"/>
        <v>314.9295774647887</v>
      </c>
      <c r="Q26" s="100">
        <f t="shared" si="9"/>
        <v>1574.6478873239437</v>
      </c>
      <c r="R26" s="100">
        <f t="shared" si="10"/>
        <v>419.90610328638496</v>
      </c>
      <c r="S26" s="100">
        <f t="shared" si="4"/>
        <v>13545.633802816901</v>
      </c>
      <c r="T26" s="107">
        <f t="shared" si="4"/>
        <v>3612.1690140845067</v>
      </c>
    </row>
    <row r="27" spans="1:20" ht="12.75">
      <c r="A27" s="397">
        <f t="shared" si="5"/>
        <v>1.1243243243243244</v>
      </c>
      <c r="B27" s="108">
        <v>15600000</v>
      </c>
      <c r="C27" s="102">
        <v>1999</v>
      </c>
      <c r="D27" s="433">
        <v>49300000</v>
      </c>
      <c r="E27" s="434">
        <v>0.45873397435897434</v>
      </c>
      <c r="F27" s="107">
        <f t="shared" si="7"/>
        <v>11307.792467948719</v>
      </c>
      <c r="G27" s="106">
        <v>0.3</v>
      </c>
      <c r="H27" s="134">
        <v>0.35</v>
      </c>
      <c r="I27" s="134">
        <v>0.15</v>
      </c>
      <c r="J27" s="101">
        <v>0.2</v>
      </c>
      <c r="K27" s="109">
        <f t="shared" si="0"/>
        <v>6660</v>
      </c>
      <c r="L27" s="100">
        <f t="shared" si="1"/>
        <v>1776</v>
      </c>
      <c r="M27" s="435">
        <f t="shared" si="2"/>
        <v>7769.999999999999</v>
      </c>
      <c r="N27" s="100">
        <f t="shared" si="3"/>
        <v>2072</v>
      </c>
      <c r="O27" s="100">
        <f t="shared" si="11"/>
        <v>1864.4366197183097</v>
      </c>
      <c r="P27" s="100">
        <f t="shared" si="8"/>
        <v>497.18309859154925</v>
      </c>
      <c r="Q27" s="100">
        <f t="shared" si="9"/>
        <v>2485.915492957746</v>
      </c>
      <c r="R27" s="100">
        <f t="shared" si="10"/>
        <v>662.9107981220658</v>
      </c>
      <c r="S27" s="100">
        <f t="shared" si="4"/>
        <v>18780.352112676057</v>
      </c>
      <c r="T27" s="107">
        <f t="shared" si="4"/>
        <v>5008.093896713615</v>
      </c>
    </row>
    <row r="28" spans="1:20" ht="12.75">
      <c r="A28" s="397">
        <f t="shared" si="5"/>
        <v>1.21</v>
      </c>
      <c r="B28" s="108">
        <v>18876000</v>
      </c>
      <c r="C28" s="102">
        <v>2000</v>
      </c>
      <c r="D28" s="433">
        <v>72900000</v>
      </c>
      <c r="E28" s="434">
        <v>0.38413461538461535</v>
      </c>
      <c r="F28" s="107">
        <f t="shared" si="7"/>
        <v>14001.70673076923</v>
      </c>
      <c r="G28" s="106">
        <v>0.3</v>
      </c>
      <c r="H28" s="134">
        <v>0.35</v>
      </c>
      <c r="I28" s="134">
        <v>0.15</v>
      </c>
      <c r="J28" s="101">
        <v>0.2</v>
      </c>
      <c r="K28" s="109">
        <f t="shared" si="0"/>
        <v>9180</v>
      </c>
      <c r="L28" s="100">
        <f t="shared" si="1"/>
        <v>2448</v>
      </c>
      <c r="M28" s="435">
        <f t="shared" si="2"/>
        <v>10710</v>
      </c>
      <c r="N28" s="100">
        <f t="shared" si="3"/>
        <v>2856</v>
      </c>
      <c r="O28" s="100">
        <f t="shared" si="11"/>
        <v>2175</v>
      </c>
      <c r="P28" s="100">
        <f t="shared" si="8"/>
        <v>580</v>
      </c>
      <c r="Q28" s="100">
        <f t="shared" si="9"/>
        <v>2900</v>
      </c>
      <c r="R28" s="100">
        <f t="shared" si="10"/>
        <v>773.3333333333334</v>
      </c>
      <c r="S28" s="100">
        <f t="shared" si="4"/>
        <v>24965</v>
      </c>
      <c r="T28" s="107">
        <f t="shared" si="4"/>
        <v>6657.333333333333</v>
      </c>
    </row>
    <row r="29" spans="1:20" ht="12.75">
      <c r="A29" s="397">
        <f t="shared" si="5"/>
        <v>2.8289891926255564</v>
      </c>
      <c r="B29" s="108">
        <v>53400000</v>
      </c>
      <c r="C29" s="102">
        <v>2001</v>
      </c>
      <c r="D29" s="433">
        <v>100100000</v>
      </c>
      <c r="E29" s="434">
        <v>0.3567193223443223</v>
      </c>
      <c r="F29" s="107">
        <f t="shared" si="7"/>
        <v>17853.802083333332</v>
      </c>
      <c r="G29" s="106">
        <v>0.3</v>
      </c>
      <c r="H29" s="134">
        <v>0.35</v>
      </c>
      <c r="I29" s="134">
        <v>0.15</v>
      </c>
      <c r="J29" s="101">
        <v>0.2</v>
      </c>
      <c r="K29" s="109">
        <f t="shared" si="0"/>
        <v>14790</v>
      </c>
      <c r="L29" s="100">
        <f t="shared" si="1"/>
        <v>3392.3377403846157</v>
      </c>
      <c r="M29" s="435">
        <f t="shared" si="2"/>
        <v>17255</v>
      </c>
      <c r="N29" s="100">
        <f t="shared" si="3"/>
        <v>3957.7273637820513</v>
      </c>
      <c r="O29" s="100">
        <f t="shared" si="11"/>
        <v>2490</v>
      </c>
      <c r="P29" s="100">
        <f t="shared" si="8"/>
        <v>664</v>
      </c>
      <c r="Q29" s="100">
        <f t="shared" si="9"/>
        <v>3320</v>
      </c>
      <c r="R29" s="100">
        <f t="shared" si="10"/>
        <v>885.3333333333335</v>
      </c>
      <c r="S29" s="100">
        <f t="shared" si="4"/>
        <v>37855</v>
      </c>
      <c r="T29" s="107">
        <f t="shared" si="4"/>
        <v>8899.3984375</v>
      </c>
    </row>
    <row r="30" spans="1:20" ht="12.75">
      <c r="A30" s="397">
        <f t="shared" si="5"/>
        <v>1.1</v>
      </c>
      <c r="B30" s="108">
        <v>58740000</v>
      </c>
      <c r="C30" s="102">
        <v>2002</v>
      </c>
      <c r="D30" s="433">
        <v>122300000</v>
      </c>
      <c r="E30" s="434">
        <v>0.32930402930402924</v>
      </c>
      <c r="F30" s="107">
        <f t="shared" si="7"/>
        <v>20136.941391941386</v>
      </c>
      <c r="G30" s="106">
        <v>0.3</v>
      </c>
      <c r="H30" s="134">
        <v>0.35</v>
      </c>
      <c r="I30" s="134">
        <v>0.15</v>
      </c>
      <c r="J30" s="101">
        <v>0.2</v>
      </c>
      <c r="K30" s="109">
        <f>D28*G28/1000</f>
        <v>21870</v>
      </c>
      <c r="L30" s="100">
        <f t="shared" si="1"/>
        <v>4200.512019230769</v>
      </c>
      <c r="M30" s="435">
        <f>D28*H28/1000</f>
        <v>25515</v>
      </c>
      <c r="N30" s="100">
        <f t="shared" si="3"/>
        <v>4900.5973557692305</v>
      </c>
      <c r="O30" s="100">
        <f>D25*I25/1000</f>
        <v>3330</v>
      </c>
      <c r="P30" s="100">
        <f t="shared" si="8"/>
        <v>888</v>
      </c>
      <c r="Q30" s="100">
        <f t="shared" si="9"/>
        <v>4440</v>
      </c>
      <c r="R30" s="100">
        <f t="shared" si="10"/>
        <v>1184</v>
      </c>
      <c r="S30" s="100">
        <f t="shared" si="4"/>
        <v>55155</v>
      </c>
      <c r="T30" s="107">
        <f t="shared" si="4"/>
        <v>11173.109375</v>
      </c>
    </row>
    <row r="31" spans="1:20" ht="12.75">
      <c r="A31" s="397">
        <f t="shared" si="5"/>
        <v>1.2</v>
      </c>
      <c r="B31" s="108">
        <v>70488000</v>
      </c>
      <c r="C31" s="102">
        <v>2003</v>
      </c>
      <c r="D31" s="433">
        <v>140000000</v>
      </c>
      <c r="E31" s="434">
        <v>0.3018887362637362</v>
      </c>
      <c r="F31" s="107">
        <f t="shared" si="7"/>
        <v>21132.21153846153</v>
      </c>
      <c r="G31" s="106">
        <v>0.3</v>
      </c>
      <c r="H31" s="134">
        <v>0.35</v>
      </c>
      <c r="I31" s="134">
        <v>0.15</v>
      </c>
      <c r="J31" s="101">
        <v>0.2</v>
      </c>
      <c r="K31" s="109">
        <f t="shared" si="0"/>
        <v>30030</v>
      </c>
      <c r="L31" s="100">
        <f t="shared" si="1"/>
        <v>5356.140624999999</v>
      </c>
      <c r="M31" s="435">
        <f t="shared" si="2"/>
        <v>35035</v>
      </c>
      <c r="N31" s="100">
        <f t="shared" si="3"/>
        <v>6248.830729166666</v>
      </c>
      <c r="O31" s="100">
        <f t="shared" si="11"/>
        <v>4590</v>
      </c>
      <c r="P31" s="100">
        <f t="shared" si="8"/>
        <v>1224</v>
      </c>
      <c r="Q31" s="100">
        <f t="shared" si="9"/>
        <v>6120</v>
      </c>
      <c r="R31" s="100">
        <f t="shared" si="10"/>
        <v>1632</v>
      </c>
      <c r="S31" s="100">
        <f t="shared" si="4"/>
        <v>75775</v>
      </c>
      <c r="T31" s="107">
        <f t="shared" si="4"/>
        <v>14460.971354166664</v>
      </c>
    </row>
    <row r="32" spans="1:20" ht="12.75">
      <c r="A32" s="397">
        <f t="shared" si="5"/>
        <v>1.1299937578027466</v>
      </c>
      <c r="B32" s="108">
        <v>79651000</v>
      </c>
      <c r="C32" s="102">
        <v>2004</v>
      </c>
      <c r="D32" s="108">
        <f>142.7*1000000</f>
        <v>142700000</v>
      </c>
      <c r="E32" s="434">
        <v>0.27447344322344314</v>
      </c>
      <c r="F32" s="107">
        <f>D32*E32/2000</f>
        <v>19583.680173992667</v>
      </c>
      <c r="G32" s="106">
        <v>0.3</v>
      </c>
      <c r="H32" s="134">
        <v>0.35</v>
      </c>
      <c r="I32" s="134">
        <v>0.15</v>
      </c>
      <c r="J32" s="101">
        <v>0.2</v>
      </c>
      <c r="K32" s="109">
        <f t="shared" si="0"/>
        <v>36690</v>
      </c>
      <c r="L32" s="100">
        <f t="shared" si="1"/>
        <v>6041.0824175824155</v>
      </c>
      <c r="M32" s="435">
        <f t="shared" si="2"/>
        <v>42805</v>
      </c>
      <c r="N32" s="100">
        <f t="shared" si="3"/>
        <v>7047.929487179485</v>
      </c>
      <c r="O32" s="100">
        <f>D27*I27/1000</f>
        <v>7395</v>
      </c>
      <c r="P32" s="100">
        <f t="shared" si="8"/>
        <v>1696.1688701923078</v>
      </c>
      <c r="Q32" s="100">
        <f t="shared" si="9"/>
        <v>9860</v>
      </c>
      <c r="R32" s="100">
        <f t="shared" si="10"/>
        <v>2261.5584935897436</v>
      </c>
      <c r="S32" s="100">
        <f t="shared" si="4"/>
        <v>96750</v>
      </c>
      <c r="T32" s="107">
        <f t="shared" si="4"/>
        <v>17046.73926854395</v>
      </c>
    </row>
    <row r="33" spans="2:20" ht="12.75">
      <c r="B33" s="21"/>
      <c r="C33" s="102">
        <v>2005</v>
      </c>
      <c r="D33" s="108">
        <f>150*1000000</f>
        <v>150000000</v>
      </c>
      <c r="E33" s="398">
        <v>0.25</v>
      </c>
      <c r="F33" s="107">
        <f t="shared" si="7"/>
        <v>18750</v>
      </c>
      <c r="G33" s="106">
        <v>0.3</v>
      </c>
      <c r="H33" s="134">
        <v>0.35</v>
      </c>
      <c r="I33" s="134">
        <v>0.15</v>
      </c>
      <c r="J33" s="101">
        <v>0.2</v>
      </c>
      <c r="K33" s="109">
        <f t="shared" si="0"/>
        <v>42000</v>
      </c>
      <c r="L33" s="100">
        <f t="shared" si="1"/>
        <v>6339.663461538459</v>
      </c>
      <c r="M33" s="435">
        <f t="shared" si="2"/>
        <v>49000</v>
      </c>
      <c r="N33" s="100">
        <f t="shared" si="3"/>
        <v>7396.274038461535</v>
      </c>
      <c r="O33" s="100">
        <f t="shared" si="11"/>
        <v>10935</v>
      </c>
      <c r="P33" s="100">
        <f t="shared" si="8"/>
        <v>2100.2560096153843</v>
      </c>
      <c r="Q33" s="100">
        <f t="shared" si="9"/>
        <v>14580</v>
      </c>
      <c r="R33" s="100">
        <f t="shared" si="10"/>
        <v>2800.341346153846</v>
      </c>
      <c r="S33" s="100">
        <f t="shared" si="4"/>
        <v>116515</v>
      </c>
      <c r="T33" s="107">
        <f t="shared" si="4"/>
        <v>18636.534855769227</v>
      </c>
    </row>
    <row r="34" spans="2:20" ht="12.75">
      <c r="B34" s="21"/>
      <c r="C34" s="102">
        <v>2006</v>
      </c>
      <c r="D34" s="108">
        <f>165.1*1000000</f>
        <v>165100000</v>
      </c>
      <c r="E34" s="398">
        <v>0.22</v>
      </c>
      <c r="F34" s="107">
        <f t="shared" si="7"/>
        <v>18161</v>
      </c>
      <c r="G34" s="106">
        <v>0.3</v>
      </c>
      <c r="H34" s="134">
        <v>0.35</v>
      </c>
      <c r="I34" s="134">
        <v>0.15</v>
      </c>
      <c r="J34" s="101">
        <v>0.2</v>
      </c>
      <c r="K34" s="109">
        <f>D32*G32/1000</f>
        <v>42810</v>
      </c>
      <c r="L34" s="100">
        <f>F32*G32</f>
        <v>5875.1040521978</v>
      </c>
      <c r="M34" s="435">
        <f>D32*H32/1000</f>
        <v>49945</v>
      </c>
      <c r="N34" s="100">
        <f t="shared" si="3"/>
        <v>6854.288060897433</v>
      </c>
      <c r="O34" s="100">
        <f t="shared" si="11"/>
        <v>15015</v>
      </c>
      <c r="P34" s="100">
        <f t="shared" si="8"/>
        <v>2678.0703124999995</v>
      </c>
      <c r="Q34" s="100">
        <f>D29*J29/1000</f>
        <v>20020</v>
      </c>
      <c r="R34" s="100">
        <f t="shared" si="10"/>
        <v>3570.7604166666665</v>
      </c>
      <c r="S34" s="100">
        <f t="shared" si="4"/>
        <v>127790</v>
      </c>
      <c r="T34" s="107">
        <f t="shared" si="4"/>
        <v>18978.2228422619</v>
      </c>
    </row>
    <row r="35" spans="2:20" ht="12.75">
      <c r="B35" s="21"/>
      <c r="C35" s="102">
        <v>2007</v>
      </c>
      <c r="D35" s="108">
        <f>181.9*1000000</f>
        <v>181900000</v>
      </c>
      <c r="E35" s="398">
        <v>0.22</v>
      </c>
      <c r="F35" s="107">
        <f t="shared" si="7"/>
        <v>20009</v>
      </c>
      <c r="G35" s="106">
        <v>0.3</v>
      </c>
      <c r="H35" s="134">
        <v>0.35</v>
      </c>
      <c r="I35" s="134">
        <v>0.15</v>
      </c>
      <c r="J35" s="101">
        <v>0.2</v>
      </c>
      <c r="K35" s="109">
        <f>D33*G33/1000</f>
        <v>45000</v>
      </c>
      <c r="L35" s="100">
        <f>F33*G33</f>
        <v>5625</v>
      </c>
      <c r="M35" s="435">
        <f>D33*H33/1000</f>
        <v>52500</v>
      </c>
      <c r="N35" s="100">
        <f t="shared" si="3"/>
        <v>6562.5</v>
      </c>
      <c r="O35" s="100">
        <f>D30*I30/1000</f>
        <v>18345</v>
      </c>
      <c r="P35" s="100">
        <f t="shared" si="8"/>
        <v>3020.5412087912077</v>
      </c>
      <c r="Q35" s="100">
        <f t="shared" si="9"/>
        <v>24460</v>
      </c>
      <c r="R35" s="100">
        <f t="shared" si="10"/>
        <v>4027.3882783882773</v>
      </c>
      <c r="S35" s="100">
        <f t="shared" si="4"/>
        <v>140305</v>
      </c>
      <c r="T35" s="107">
        <f t="shared" si="4"/>
        <v>19235.429487179485</v>
      </c>
    </row>
    <row r="36" spans="2:20" ht="12.75">
      <c r="B36" s="21"/>
      <c r="C36" s="102">
        <v>2008</v>
      </c>
      <c r="D36" s="99"/>
      <c r="E36" s="127"/>
      <c r="F36" s="107"/>
      <c r="G36" s="106"/>
      <c r="H36" s="134"/>
      <c r="I36" s="134"/>
      <c r="J36" s="101"/>
      <c r="K36" s="109">
        <f t="shared" si="0"/>
        <v>49530</v>
      </c>
      <c r="L36" s="100">
        <f>F34*G34</f>
        <v>5448.3</v>
      </c>
      <c r="M36" s="435">
        <f t="shared" si="2"/>
        <v>57785</v>
      </c>
      <c r="N36" s="100">
        <f t="shared" si="3"/>
        <v>6356.349999999999</v>
      </c>
      <c r="O36" s="100">
        <f t="shared" si="11"/>
        <v>21000</v>
      </c>
      <c r="P36" s="100">
        <f t="shared" si="8"/>
        <v>3169.8317307692296</v>
      </c>
      <c r="Q36" s="100">
        <f t="shared" si="9"/>
        <v>28000</v>
      </c>
      <c r="R36" s="100">
        <f t="shared" si="10"/>
        <v>4226.442307692307</v>
      </c>
      <c r="S36" s="100">
        <f t="shared" si="4"/>
        <v>156315</v>
      </c>
      <c r="T36" s="107">
        <f t="shared" si="4"/>
        <v>19200.924038461533</v>
      </c>
    </row>
    <row r="37" spans="2:20" ht="12.75">
      <c r="B37" s="21"/>
      <c r="C37" s="102">
        <v>2009</v>
      </c>
      <c r="D37" s="99"/>
      <c r="E37" s="99"/>
      <c r="F37" s="107"/>
      <c r="G37" s="106"/>
      <c r="H37" s="134"/>
      <c r="I37" s="134"/>
      <c r="J37" s="101"/>
      <c r="K37" s="109">
        <f t="shared" si="0"/>
        <v>54570</v>
      </c>
      <c r="L37" s="100">
        <f t="shared" si="1"/>
        <v>6002.7</v>
      </c>
      <c r="M37" s="435">
        <f t="shared" si="2"/>
        <v>63664.99999999999</v>
      </c>
      <c r="N37" s="100">
        <f t="shared" si="3"/>
        <v>7003.15</v>
      </c>
      <c r="O37" s="100">
        <f t="shared" si="11"/>
        <v>21405</v>
      </c>
      <c r="P37" s="100">
        <f t="shared" si="8"/>
        <v>2937.5520260989</v>
      </c>
      <c r="Q37" s="100">
        <f t="shared" si="9"/>
        <v>28540</v>
      </c>
      <c r="R37" s="100">
        <f t="shared" si="10"/>
        <v>3916.7360347985336</v>
      </c>
      <c r="S37" s="100">
        <f t="shared" si="4"/>
        <v>168180</v>
      </c>
      <c r="T37" s="107">
        <f t="shared" si="4"/>
        <v>19860.138060897432</v>
      </c>
    </row>
    <row r="38" spans="2:20" ht="12.75">
      <c r="B38" s="21"/>
      <c r="C38" s="102">
        <v>2010</v>
      </c>
      <c r="D38" s="99"/>
      <c r="E38" s="99"/>
      <c r="F38" s="107"/>
      <c r="G38" s="106"/>
      <c r="H38" s="134"/>
      <c r="I38" s="134"/>
      <c r="J38" s="101"/>
      <c r="K38" s="109">
        <f t="shared" si="0"/>
        <v>0</v>
      </c>
      <c r="L38" s="100">
        <f t="shared" si="1"/>
        <v>0</v>
      </c>
      <c r="M38" s="435">
        <f t="shared" si="2"/>
        <v>0</v>
      </c>
      <c r="N38" s="100">
        <f t="shared" si="3"/>
        <v>0</v>
      </c>
      <c r="O38" s="100">
        <f t="shared" si="11"/>
        <v>22500</v>
      </c>
      <c r="P38" s="100">
        <f t="shared" si="8"/>
        <v>2812.5</v>
      </c>
      <c r="Q38" s="100">
        <f t="shared" si="9"/>
        <v>30000</v>
      </c>
      <c r="R38" s="100">
        <f t="shared" si="10"/>
        <v>3750</v>
      </c>
      <c r="S38" s="100">
        <f t="shared" si="4"/>
        <v>52500</v>
      </c>
      <c r="T38" s="107">
        <f t="shared" si="4"/>
        <v>6562.5</v>
      </c>
    </row>
    <row r="39" spans="2:20" ht="13.5" thickBot="1">
      <c r="B39" s="21"/>
      <c r="C39" s="114"/>
      <c r="D39" s="115" t="s">
        <v>5</v>
      </c>
      <c r="E39" s="115"/>
      <c r="F39" s="116"/>
      <c r="G39" s="117"/>
      <c r="H39" s="135"/>
      <c r="I39" s="135"/>
      <c r="J39" s="139"/>
      <c r="K39" s="118">
        <f aca="true" t="shared" si="12" ref="K39:R39">SUM(K8:K38)</f>
        <v>373361.40845070424</v>
      </c>
      <c r="L39" s="119">
        <f t="shared" si="12"/>
        <v>62643.475638779135</v>
      </c>
      <c r="M39" s="119">
        <f t="shared" si="12"/>
        <v>435588.3098591549</v>
      </c>
      <c r="N39" s="119">
        <f t="shared" si="12"/>
        <v>73084.05491190897</v>
      </c>
      <c r="O39" s="119">
        <f>SUM(O8:O38)</f>
        <v>134630.70422535212</v>
      </c>
      <c r="P39" s="119">
        <f t="shared" si="12"/>
        <v>25596.237819389567</v>
      </c>
      <c r="Q39" s="119">
        <f t="shared" si="12"/>
        <v>179507.60563380283</v>
      </c>
      <c r="R39" s="119">
        <f t="shared" si="12"/>
        <v>34128.31709251943</v>
      </c>
      <c r="S39" s="119">
        <f>SUM(S8:S38)</f>
        <v>1123088.028169014</v>
      </c>
      <c r="T39" s="116">
        <f>SUM(T8:T38)</f>
        <v>195452.0854625971</v>
      </c>
    </row>
    <row r="40" spans="2:20" ht="13.5" thickBot="1">
      <c r="B40" s="21"/>
      <c r="C40" s="93"/>
      <c r="D40" s="84"/>
      <c r="E40" s="84"/>
      <c r="F40" s="104"/>
      <c r="G40" s="83"/>
      <c r="H40" s="136"/>
      <c r="I40" s="136"/>
      <c r="J40" s="105"/>
      <c r="K40" s="93"/>
      <c r="L40" s="95"/>
      <c r="M40" s="95"/>
      <c r="N40" s="95"/>
      <c r="O40" s="84"/>
      <c r="P40" s="84"/>
      <c r="Q40" s="82"/>
      <c r="R40" s="82"/>
      <c r="S40" s="82"/>
      <c r="T40" s="104"/>
    </row>
    <row r="41" spans="2:20" ht="12.75">
      <c r="B41" s="21"/>
      <c r="C41" s="17"/>
      <c r="D41" s="18"/>
      <c r="E41" s="18"/>
      <c r="F41" s="81"/>
      <c r="G41" s="80"/>
      <c r="H41" s="137"/>
      <c r="I41" s="137"/>
      <c r="J41" s="33"/>
      <c r="K41" s="81"/>
      <c r="L41" s="81"/>
      <c r="M41" s="110"/>
      <c r="N41" s="81"/>
      <c r="O41" s="18"/>
      <c r="P41" s="18"/>
      <c r="Q41" s="81"/>
      <c r="R41" s="81"/>
      <c r="S41" s="81"/>
      <c r="T41" s="81"/>
    </row>
    <row r="42" spans="2:20" ht="12.75">
      <c r="B42" s="21"/>
      <c r="C42" s="21"/>
      <c r="D42" s="96"/>
      <c r="E42" s="96"/>
      <c r="F42" s="21"/>
      <c r="G42" s="21"/>
      <c r="H42" s="26"/>
      <c r="I42" s="26"/>
      <c r="J42" s="21"/>
      <c r="K42" s="21"/>
      <c r="L42" s="21"/>
      <c r="M42" s="81"/>
      <c r="N42" s="81"/>
      <c r="O42" s="21"/>
      <c r="P42" s="21"/>
      <c r="Q42" s="21"/>
      <c r="R42" s="21"/>
      <c r="S42" s="21"/>
      <c r="T42" s="21"/>
    </row>
    <row r="43" spans="2:20" ht="12.75">
      <c r="B43" s="21"/>
      <c r="C43" s="21"/>
      <c r="D43" s="21"/>
      <c r="E43" s="21"/>
      <c r="F43" s="21"/>
      <c r="G43" s="97"/>
      <c r="H43" s="26"/>
      <c r="I43" s="26"/>
      <c r="J43" s="21"/>
      <c r="K43" s="81"/>
      <c r="L43" s="81"/>
      <c r="M43" s="81"/>
      <c r="N43" s="81"/>
      <c r="O43" s="21"/>
      <c r="P43" s="21"/>
      <c r="Q43" s="21"/>
      <c r="R43" s="21"/>
      <c r="S43" s="21"/>
      <c r="T43" s="21"/>
    </row>
    <row r="44" spans="2:20" ht="12.75">
      <c r="B44" s="21"/>
      <c r="C44" s="21" t="s">
        <v>224</v>
      </c>
      <c r="D44" s="21"/>
      <c r="E44" s="21"/>
      <c r="F44" s="21"/>
      <c r="G44" s="21"/>
      <c r="H44" s="21"/>
      <c r="I44" s="21"/>
      <c r="J44" s="21"/>
      <c r="K44" s="81"/>
      <c r="L44" s="81"/>
      <c r="M44" s="81"/>
      <c r="N44" s="81"/>
      <c r="O44" s="21"/>
      <c r="P44" s="21"/>
      <c r="Q44" s="21"/>
      <c r="R44" s="21"/>
      <c r="S44" s="21"/>
      <c r="T44" s="21"/>
    </row>
    <row r="45" spans="2:20" ht="12.75">
      <c r="B45" s="21"/>
      <c r="C45" s="21"/>
      <c r="D45" s="21"/>
      <c r="E45" s="21"/>
      <c r="F45" s="21" t="s">
        <v>147</v>
      </c>
      <c r="G45" s="21"/>
      <c r="H45" s="21"/>
      <c r="I45" s="21"/>
      <c r="J45" s="21"/>
      <c r="K45" s="21"/>
      <c r="L45" s="97"/>
      <c r="M45" s="97"/>
      <c r="N45" s="21"/>
      <c r="O45" s="96"/>
      <c r="P45" s="96"/>
      <c r="Q45" s="21"/>
      <c r="R45" s="21"/>
      <c r="S45" s="21"/>
      <c r="T45" s="21"/>
    </row>
    <row r="46" spans="2:20" ht="12.75">
      <c r="B46" s="21"/>
      <c r="C46" s="21" t="str">
        <f>C6</f>
        <v>Year</v>
      </c>
      <c r="D46" s="21" t="s">
        <v>69</v>
      </c>
      <c r="E46" s="21" t="s">
        <v>69</v>
      </c>
      <c r="F46" s="284" t="s">
        <v>146</v>
      </c>
      <c r="G46" s="284" t="s">
        <v>144</v>
      </c>
      <c r="H46" s="544" t="s">
        <v>110</v>
      </c>
      <c r="I46" s="544"/>
      <c r="J46" s="545" t="s">
        <v>147</v>
      </c>
      <c r="K46" s="545"/>
      <c r="L46" s="545" t="s">
        <v>186</v>
      </c>
      <c r="M46" s="545"/>
      <c r="N46" s="21"/>
      <c r="O46" s="96"/>
      <c r="P46" s="96"/>
      <c r="Q46" s="21"/>
      <c r="R46" s="21"/>
      <c r="S46" s="21"/>
      <c r="T46" s="21"/>
    </row>
    <row r="47" spans="3:13" ht="12.75">
      <c r="C47" s="21"/>
      <c r="D47" s="21" t="s">
        <v>142</v>
      </c>
      <c r="E47" s="21" t="s">
        <v>152</v>
      </c>
      <c r="F47" s="21" t="s">
        <v>148</v>
      </c>
      <c r="G47" s="21" t="s">
        <v>148</v>
      </c>
      <c r="H47" s="21" t="s">
        <v>1</v>
      </c>
      <c r="I47" s="21" t="s">
        <v>2</v>
      </c>
      <c r="J47" s="21" t="s">
        <v>1</v>
      </c>
      <c r="K47" s="21" t="s">
        <v>2</v>
      </c>
      <c r="L47" s="21" t="s">
        <v>1</v>
      </c>
      <c r="M47" s="21" t="s">
        <v>2</v>
      </c>
    </row>
    <row r="48" spans="3:14" ht="12.75">
      <c r="C48" s="21">
        <f aca="true" t="shared" si="13" ref="C48:D63">C8</f>
        <v>1980</v>
      </c>
      <c r="D48" s="86">
        <f>D8</f>
        <v>0</v>
      </c>
      <c r="E48" s="86">
        <f>F8</f>
        <v>0</v>
      </c>
      <c r="F48" s="21">
        <v>1</v>
      </c>
      <c r="G48" s="21">
        <v>0</v>
      </c>
      <c r="H48" s="283">
        <f>D48-J48-L48</f>
        <v>0</v>
      </c>
      <c r="I48" s="283">
        <f>E48-K48-M48</f>
        <v>0</v>
      </c>
      <c r="J48" s="21">
        <f>D48*$F48</f>
        <v>0</v>
      </c>
      <c r="K48" s="21">
        <f>E48*$F48</f>
        <v>0</v>
      </c>
      <c r="L48" s="21">
        <f>D48*$G48</f>
        <v>0</v>
      </c>
      <c r="M48" s="21">
        <f>E48*$G48</f>
        <v>0</v>
      </c>
      <c r="N48" s="23"/>
    </row>
    <row r="49" spans="3:14" ht="12.75">
      <c r="C49" s="21">
        <f t="shared" si="13"/>
        <v>1981</v>
      </c>
      <c r="D49" s="86">
        <f t="shared" si="13"/>
        <v>0</v>
      </c>
      <c r="E49" s="86">
        <f aca="true" t="shared" si="14" ref="E49:E74">F9</f>
        <v>0</v>
      </c>
      <c r="F49" s="21">
        <v>1</v>
      </c>
      <c r="G49" s="21">
        <v>0</v>
      </c>
      <c r="H49" s="283">
        <f aca="true" t="shared" si="15" ref="H49:I74">D49-J49-L49</f>
        <v>0</v>
      </c>
      <c r="I49" s="283">
        <f t="shared" si="15"/>
        <v>0</v>
      </c>
      <c r="J49" s="21">
        <f aca="true" t="shared" si="16" ref="J49:K74">D49*$F49</f>
        <v>0</v>
      </c>
      <c r="K49" s="21">
        <f t="shared" si="16"/>
        <v>0</v>
      </c>
      <c r="L49" s="21">
        <f aca="true" t="shared" si="17" ref="L49:M74">D49*$G49</f>
        <v>0</v>
      </c>
      <c r="M49" s="21">
        <f t="shared" si="17"/>
        <v>0</v>
      </c>
      <c r="N49" s="23"/>
    </row>
    <row r="50" spans="3:14" ht="12.75">
      <c r="C50" s="21">
        <f t="shared" si="13"/>
        <v>1982</v>
      </c>
      <c r="D50" s="86">
        <f t="shared" si="13"/>
        <v>0</v>
      </c>
      <c r="E50" s="86">
        <f t="shared" si="14"/>
        <v>0</v>
      </c>
      <c r="F50" s="21">
        <v>1</v>
      </c>
      <c r="G50" s="21">
        <v>0</v>
      </c>
      <c r="H50" s="283">
        <f t="shared" si="15"/>
        <v>0</v>
      </c>
      <c r="I50" s="283">
        <f t="shared" si="15"/>
        <v>0</v>
      </c>
      <c r="J50" s="21">
        <f t="shared" si="16"/>
        <v>0</v>
      </c>
      <c r="K50" s="21">
        <f t="shared" si="16"/>
        <v>0</v>
      </c>
      <c r="L50" s="21">
        <f t="shared" si="17"/>
        <v>0</v>
      </c>
      <c r="M50" s="21">
        <f t="shared" si="17"/>
        <v>0</v>
      </c>
      <c r="N50" s="23"/>
    </row>
    <row r="51" spans="3:14" ht="12.75">
      <c r="C51" s="21">
        <f t="shared" si="13"/>
        <v>1983</v>
      </c>
      <c r="D51" s="86">
        <f t="shared" si="13"/>
        <v>0</v>
      </c>
      <c r="E51" s="86">
        <f t="shared" si="14"/>
        <v>0</v>
      </c>
      <c r="F51" s="21">
        <v>1</v>
      </c>
      <c r="G51" s="21">
        <v>0</v>
      </c>
      <c r="H51" s="283">
        <f t="shared" si="15"/>
        <v>0</v>
      </c>
      <c r="I51" s="283">
        <f t="shared" si="15"/>
        <v>0</v>
      </c>
      <c r="J51" s="21">
        <f t="shared" si="16"/>
        <v>0</v>
      </c>
      <c r="K51" s="21">
        <f t="shared" si="16"/>
        <v>0</v>
      </c>
      <c r="L51" s="21">
        <f t="shared" si="17"/>
        <v>0</v>
      </c>
      <c r="M51" s="21">
        <f t="shared" si="17"/>
        <v>0</v>
      </c>
      <c r="N51" s="23"/>
    </row>
    <row r="52" spans="3:14" ht="12.75">
      <c r="C52" s="21">
        <f t="shared" si="13"/>
        <v>1984</v>
      </c>
      <c r="D52" s="86">
        <f aca="true" t="shared" si="18" ref="D52:D63">D12</f>
        <v>35211.26760563382</v>
      </c>
      <c r="E52" s="86">
        <f t="shared" si="14"/>
        <v>61.67795475352116</v>
      </c>
      <c r="F52" s="21">
        <v>1</v>
      </c>
      <c r="G52" s="21">
        <v>0</v>
      </c>
      <c r="H52" s="283">
        <f t="shared" si="15"/>
        <v>0</v>
      </c>
      <c r="I52" s="283">
        <f t="shared" si="15"/>
        <v>0</v>
      </c>
      <c r="J52" s="21">
        <f t="shared" si="16"/>
        <v>35211.26760563382</v>
      </c>
      <c r="K52" s="21">
        <f t="shared" si="16"/>
        <v>61.67795475352116</v>
      </c>
      <c r="L52" s="21">
        <f t="shared" si="17"/>
        <v>0</v>
      </c>
      <c r="M52" s="21">
        <f t="shared" si="17"/>
        <v>0</v>
      </c>
      <c r="N52" s="23"/>
    </row>
    <row r="53" spans="3:14" ht="12.75">
      <c r="C53" s="21">
        <f t="shared" si="13"/>
        <v>1985</v>
      </c>
      <c r="D53" s="86">
        <f t="shared" si="18"/>
        <v>105633.80281690144</v>
      </c>
      <c r="E53" s="86">
        <f t="shared" si="14"/>
        <v>185.0338642605635</v>
      </c>
      <c r="F53" s="21">
        <v>1</v>
      </c>
      <c r="G53" s="21">
        <v>0</v>
      </c>
      <c r="H53" s="283">
        <f t="shared" si="15"/>
        <v>0</v>
      </c>
      <c r="I53" s="283">
        <f t="shared" si="15"/>
        <v>0</v>
      </c>
      <c r="J53" s="21">
        <f t="shared" si="16"/>
        <v>105633.80281690144</v>
      </c>
      <c r="K53" s="21">
        <f t="shared" si="16"/>
        <v>185.0338642605635</v>
      </c>
      <c r="L53" s="21">
        <f t="shared" si="17"/>
        <v>0</v>
      </c>
      <c r="M53" s="21">
        <f t="shared" si="17"/>
        <v>0</v>
      </c>
      <c r="N53" s="23"/>
    </row>
    <row r="54" spans="3:14" ht="12.75">
      <c r="C54" s="21">
        <f t="shared" si="13"/>
        <v>1986</v>
      </c>
      <c r="D54" s="86">
        <f t="shared" si="18"/>
        <v>401408.45070422546</v>
      </c>
      <c r="E54" s="86">
        <f t="shared" si="14"/>
        <v>703.1286841901411</v>
      </c>
      <c r="F54" s="21">
        <v>1</v>
      </c>
      <c r="G54" s="21">
        <v>0</v>
      </c>
      <c r="H54" s="283">
        <f t="shared" si="15"/>
        <v>0</v>
      </c>
      <c r="I54" s="283">
        <f t="shared" si="15"/>
        <v>0</v>
      </c>
      <c r="J54" s="21">
        <f t="shared" si="16"/>
        <v>401408.45070422546</v>
      </c>
      <c r="K54" s="21">
        <f t="shared" si="16"/>
        <v>703.1286841901411</v>
      </c>
      <c r="L54" s="21">
        <f t="shared" si="17"/>
        <v>0</v>
      </c>
      <c r="M54" s="21">
        <f t="shared" si="17"/>
        <v>0</v>
      </c>
      <c r="N54" s="23"/>
    </row>
    <row r="55" spans="3:14" ht="12.75">
      <c r="C55" s="21">
        <f t="shared" si="13"/>
        <v>1987</v>
      </c>
      <c r="D55" s="86">
        <f t="shared" si="18"/>
        <v>795774.6478873241</v>
      </c>
      <c r="E55" s="86">
        <f t="shared" si="14"/>
        <v>1393.9217774295778</v>
      </c>
      <c r="F55" s="21">
        <v>1</v>
      </c>
      <c r="G55" s="21">
        <v>0</v>
      </c>
      <c r="H55" s="283">
        <f t="shared" si="15"/>
        <v>0</v>
      </c>
      <c r="I55" s="283">
        <f t="shared" si="15"/>
        <v>0</v>
      </c>
      <c r="J55" s="21">
        <f t="shared" si="16"/>
        <v>795774.6478873241</v>
      </c>
      <c r="K55" s="21">
        <f t="shared" si="16"/>
        <v>1393.9217774295778</v>
      </c>
      <c r="L55" s="21">
        <f t="shared" si="17"/>
        <v>0</v>
      </c>
      <c r="M55" s="21">
        <f t="shared" si="17"/>
        <v>0</v>
      </c>
      <c r="N55" s="23"/>
    </row>
    <row r="56" spans="3:14" ht="12.75">
      <c r="C56" s="21">
        <f t="shared" si="13"/>
        <v>1988</v>
      </c>
      <c r="D56" s="86">
        <f t="shared" si="18"/>
        <v>1253521.1267605636</v>
      </c>
      <c r="E56" s="86">
        <f t="shared" si="14"/>
        <v>2195.7351892253528</v>
      </c>
      <c r="F56" s="21">
        <v>1</v>
      </c>
      <c r="G56" s="21">
        <v>0</v>
      </c>
      <c r="H56" s="283">
        <f t="shared" si="15"/>
        <v>0</v>
      </c>
      <c r="I56" s="283">
        <f t="shared" si="15"/>
        <v>0</v>
      </c>
      <c r="J56" s="21">
        <f t="shared" si="16"/>
        <v>1253521.1267605636</v>
      </c>
      <c r="K56" s="21">
        <f t="shared" si="16"/>
        <v>2195.7351892253528</v>
      </c>
      <c r="L56" s="21">
        <f t="shared" si="17"/>
        <v>0</v>
      </c>
      <c r="M56" s="21">
        <f t="shared" si="17"/>
        <v>0</v>
      </c>
      <c r="N56" s="23"/>
    </row>
    <row r="57" spans="3:14" ht="12.75">
      <c r="C57" s="21">
        <f t="shared" si="13"/>
        <v>1989</v>
      </c>
      <c r="D57" s="86">
        <f t="shared" si="18"/>
        <v>2112676.0563380285</v>
      </c>
      <c r="E57" s="86">
        <f t="shared" si="14"/>
        <v>3700.677285211269</v>
      </c>
      <c r="F57" s="21">
        <v>1</v>
      </c>
      <c r="G57" s="21">
        <v>0</v>
      </c>
      <c r="H57" s="283">
        <f t="shared" si="15"/>
        <v>0</v>
      </c>
      <c r="I57" s="283">
        <f t="shared" si="15"/>
        <v>0</v>
      </c>
      <c r="J57" s="21">
        <f t="shared" si="16"/>
        <v>2112676.0563380285</v>
      </c>
      <c r="K57" s="21">
        <f t="shared" si="16"/>
        <v>3700.677285211269</v>
      </c>
      <c r="L57" s="21">
        <f t="shared" si="17"/>
        <v>0</v>
      </c>
      <c r="M57" s="21">
        <f t="shared" si="17"/>
        <v>0</v>
      </c>
      <c r="N57" s="23"/>
    </row>
    <row r="58" spans="3:14" ht="12.75">
      <c r="C58" s="21">
        <f t="shared" si="13"/>
        <v>1990</v>
      </c>
      <c r="D58" s="86">
        <f t="shared" si="18"/>
        <v>2577464.7887323946</v>
      </c>
      <c r="E58" s="86">
        <f t="shared" si="14"/>
        <v>4514.826287957748</v>
      </c>
      <c r="F58" s="21">
        <v>1</v>
      </c>
      <c r="G58" s="21">
        <v>0</v>
      </c>
      <c r="H58" s="283">
        <f t="shared" si="15"/>
        <v>0</v>
      </c>
      <c r="I58" s="283">
        <f t="shared" si="15"/>
        <v>0</v>
      </c>
      <c r="J58" s="21">
        <f t="shared" si="16"/>
        <v>2577464.7887323946</v>
      </c>
      <c r="K58" s="21">
        <f t="shared" si="16"/>
        <v>4514.826287957748</v>
      </c>
      <c r="L58" s="21">
        <f t="shared" si="17"/>
        <v>0</v>
      </c>
      <c r="M58" s="21">
        <f t="shared" si="17"/>
        <v>0</v>
      </c>
      <c r="N58" s="23"/>
    </row>
    <row r="59" spans="3:14" ht="12.75">
      <c r="C59" s="21">
        <f t="shared" si="13"/>
        <v>1991</v>
      </c>
      <c r="D59" s="86">
        <f t="shared" si="18"/>
        <v>3366197.1830985914</v>
      </c>
      <c r="E59" s="86">
        <f t="shared" si="14"/>
        <v>5896.41247443662</v>
      </c>
      <c r="F59" s="21">
        <v>1</v>
      </c>
      <c r="G59" s="21">
        <v>0</v>
      </c>
      <c r="H59" s="283">
        <f t="shared" si="15"/>
        <v>0</v>
      </c>
      <c r="I59" s="283">
        <f t="shared" si="15"/>
        <v>0</v>
      </c>
      <c r="J59" s="21">
        <f t="shared" si="16"/>
        <v>3366197.1830985914</v>
      </c>
      <c r="K59" s="21">
        <f t="shared" si="16"/>
        <v>5896.41247443662</v>
      </c>
      <c r="L59" s="21">
        <f t="shared" si="17"/>
        <v>0</v>
      </c>
      <c r="M59" s="21">
        <f t="shared" si="17"/>
        <v>0</v>
      </c>
      <c r="N59" s="23"/>
    </row>
    <row r="60" spans="3:14" ht="12.75">
      <c r="C60" s="21">
        <f t="shared" si="13"/>
        <v>1992</v>
      </c>
      <c r="D60" s="86">
        <f t="shared" si="18"/>
        <v>5387323.943661972</v>
      </c>
      <c r="E60" s="86">
        <f t="shared" si="14"/>
        <v>1436.6197183098593</v>
      </c>
      <c r="F60" s="21">
        <v>1</v>
      </c>
      <c r="G60" s="21">
        <v>0</v>
      </c>
      <c r="H60" s="283">
        <f t="shared" si="15"/>
        <v>0</v>
      </c>
      <c r="I60" s="283">
        <f t="shared" si="15"/>
        <v>0</v>
      </c>
      <c r="J60" s="21">
        <f t="shared" si="16"/>
        <v>5387323.943661972</v>
      </c>
      <c r="K60" s="21">
        <f t="shared" si="16"/>
        <v>1436.6197183098593</v>
      </c>
      <c r="L60" s="21">
        <f t="shared" si="17"/>
        <v>0</v>
      </c>
      <c r="M60" s="21">
        <f t="shared" si="17"/>
        <v>0</v>
      </c>
      <c r="N60" s="23"/>
    </row>
    <row r="61" spans="3:14" ht="12.75">
      <c r="C61" s="21">
        <f t="shared" si="13"/>
        <v>1993</v>
      </c>
      <c r="D61" s="86">
        <f t="shared" si="18"/>
        <v>7873239.436619718</v>
      </c>
      <c r="E61" s="86">
        <f t="shared" si="14"/>
        <v>2099.5305164319248</v>
      </c>
      <c r="F61" s="21">
        <v>1</v>
      </c>
      <c r="G61" s="21">
        <v>0</v>
      </c>
      <c r="H61" s="283">
        <f t="shared" si="15"/>
        <v>0</v>
      </c>
      <c r="I61" s="283">
        <f t="shared" si="15"/>
        <v>0</v>
      </c>
      <c r="J61" s="21">
        <f t="shared" si="16"/>
        <v>7873239.436619718</v>
      </c>
      <c r="K61" s="21">
        <f t="shared" si="16"/>
        <v>2099.5305164319248</v>
      </c>
      <c r="L61" s="21">
        <f t="shared" si="17"/>
        <v>0</v>
      </c>
      <c r="M61" s="21">
        <f t="shared" si="17"/>
        <v>0</v>
      </c>
      <c r="N61" s="23"/>
    </row>
    <row r="62" spans="3:14" ht="12.75">
      <c r="C62" s="21">
        <f t="shared" si="13"/>
        <v>1994</v>
      </c>
      <c r="D62" s="86">
        <f t="shared" si="18"/>
        <v>12429577.464788731</v>
      </c>
      <c r="E62" s="86">
        <f t="shared" si="14"/>
        <v>3314.5539906103286</v>
      </c>
      <c r="F62" s="21">
        <v>1</v>
      </c>
      <c r="G62" s="21">
        <v>0</v>
      </c>
      <c r="H62" s="283">
        <f t="shared" si="15"/>
        <v>0</v>
      </c>
      <c r="I62" s="283">
        <f t="shared" si="15"/>
        <v>0</v>
      </c>
      <c r="J62" s="21">
        <f t="shared" si="16"/>
        <v>12429577.464788731</v>
      </c>
      <c r="K62" s="21">
        <f t="shared" si="16"/>
        <v>3314.5539906103286</v>
      </c>
      <c r="L62" s="21">
        <f t="shared" si="17"/>
        <v>0</v>
      </c>
      <c r="M62" s="21">
        <f t="shared" si="17"/>
        <v>0</v>
      </c>
      <c r="N62" s="23"/>
    </row>
    <row r="63" spans="3:14" ht="12.75">
      <c r="C63" s="21">
        <f t="shared" si="13"/>
        <v>1995</v>
      </c>
      <c r="D63" s="86">
        <f t="shared" si="18"/>
        <v>14500000</v>
      </c>
      <c r="E63" s="86">
        <f t="shared" si="14"/>
        <v>3866.6666666666665</v>
      </c>
      <c r="F63" s="21">
        <v>1</v>
      </c>
      <c r="G63" s="21">
        <v>0</v>
      </c>
      <c r="H63" s="283">
        <f t="shared" si="15"/>
        <v>0</v>
      </c>
      <c r="I63" s="283">
        <f t="shared" si="15"/>
        <v>0</v>
      </c>
      <c r="J63" s="21">
        <f t="shared" si="16"/>
        <v>14500000</v>
      </c>
      <c r="K63" s="21">
        <f t="shared" si="16"/>
        <v>3866.6666666666665</v>
      </c>
      <c r="L63" s="21">
        <f t="shared" si="17"/>
        <v>0</v>
      </c>
      <c r="M63" s="21">
        <f t="shared" si="17"/>
        <v>0</v>
      </c>
      <c r="N63" s="23"/>
    </row>
    <row r="64" spans="3:14" ht="12.75">
      <c r="C64" s="21">
        <f aca="true" t="shared" si="19" ref="C64:D72">C24</f>
        <v>1996</v>
      </c>
      <c r="D64" s="86">
        <f t="shared" si="19"/>
        <v>16600000</v>
      </c>
      <c r="E64" s="86">
        <f t="shared" si="14"/>
        <v>4426.666666666667</v>
      </c>
      <c r="F64" s="21">
        <v>1</v>
      </c>
      <c r="G64" s="21">
        <v>0</v>
      </c>
      <c r="H64" s="283">
        <f t="shared" si="15"/>
        <v>0</v>
      </c>
      <c r="I64" s="283">
        <f t="shared" si="15"/>
        <v>0</v>
      </c>
      <c r="J64" s="21">
        <f t="shared" si="16"/>
        <v>16600000</v>
      </c>
      <c r="K64" s="21">
        <f t="shared" si="16"/>
        <v>4426.666666666667</v>
      </c>
      <c r="L64" s="21">
        <f t="shared" si="17"/>
        <v>0</v>
      </c>
      <c r="M64" s="21">
        <f t="shared" si="17"/>
        <v>0</v>
      </c>
      <c r="N64" s="23"/>
    </row>
    <row r="65" spans="3:14" ht="12.75">
      <c r="C65" s="21">
        <f t="shared" si="19"/>
        <v>1997</v>
      </c>
      <c r="D65" s="86">
        <f t="shared" si="19"/>
        <v>22200000</v>
      </c>
      <c r="E65" s="86">
        <f t="shared" si="14"/>
        <v>5920</v>
      </c>
      <c r="F65" s="21">
        <v>1</v>
      </c>
      <c r="G65" s="21">
        <v>0</v>
      </c>
      <c r="H65" s="283">
        <f t="shared" si="15"/>
        <v>0</v>
      </c>
      <c r="I65" s="283">
        <f t="shared" si="15"/>
        <v>0</v>
      </c>
      <c r="J65" s="21">
        <f t="shared" si="16"/>
        <v>22200000</v>
      </c>
      <c r="K65" s="21">
        <f t="shared" si="16"/>
        <v>5920</v>
      </c>
      <c r="L65" s="21">
        <f t="shared" si="17"/>
        <v>0</v>
      </c>
      <c r="M65" s="21">
        <f t="shared" si="17"/>
        <v>0</v>
      </c>
      <c r="N65" s="23"/>
    </row>
    <row r="66" spans="3:14" ht="12.75">
      <c r="C66" s="21">
        <f t="shared" si="19"/>
        <v>1998</v>
      </c>
      <c r="D66" s="86">
        <f t="shared" si="19"/>
        <v>30600000</v>
      </c>
      <c r="E66" s="86">
        <f t="shared" si="14"/>
        <v>8160</v>
      </c>
      <c r="F66" s="21">
        <v>1</v>
      </c>
      <c r="G66" s="21">
        <v>0</v>
      </c>
      <c r="H66" s="283">
        <f t="shared" si="15"/>
        <v>0</v>
      </c>
      <c r="I66" s="283">
        <f t="shared" si="15"/>
        <v>0</v>
      </c>
      <c r="J66" s="21">
        <f t="shared" si="16"/>
        <v>30600000</v>
      </c>
      <c r="K66" s="21">
        <f t="shared" si="16"/>
        <v>8160</v>
      </c>
      <c r="L66" s="21">
        <f t="shared" si="17"/>
        <v>0</v>
      </c>
      <c r="M66" s="21">
        <f t="shared" si="17"/>
        <v>0</v>
      </c>
      <c r="N66" s="23"/>
    </row>
    <row r="67" spans="3:14" ht="12.75">
      <c r="C67" s="21">
        <f t="shared" si="19"/>
        <v>1999</v>
      </c>
      <c r="D67" s="86">
        <f t="shared" si="19"/>
        <v>49300000</v>
      </c>
      <c r="E67" s="86">
        <f t="shared" si="14"/>
        <v>11307.792467948719</v>
      </c>
      <c r="F67" s="21">
        <v>1</v>
      </c>
      <c r="G67" s="21">
        <v>0</v>
      </c>
      <c r="H67" s="283">
        <f t="shared" si="15"/>
        <v>0</v>
      </c>
      <c r="I67" s="283">
        <f t="shared" si="15"/>
        <v>0</v>
      </c>
      <c r="J67" s="21">
        <f t="shared" si="16"/>
        <v>49300000</v>
      </c>
      <c r="K67" s="21">
        <f t="shared" si="16"/>
        <v>11307.792467948719</v>
      </c>
      <c r="L67" s="21">
        <f t="shared" si="17"/>
        <v>0</v>
      </c>
      <c r="M67" s="21">
        <f t="shared" si="17"/>
        <v>0</v>
      </c>
      <c r="N67" s="23"/>
    </row>
    <row r="68" spans="3:14" ht="12.75">
      <c r="C68" s="21">
        <f t="shared" si="19"/>
        <v>2000</v>
      </c>
      <c r="D68" s="86">
        <f t="shared" si="19"/>
        <v>72900000</v>
      </c>
      <c r="E68" s="86">
        <f t="shared" si="14"/>
        <v>14001.70673076923</v>
      </c>
      <c r="F68" s="21">
        <v>1</v>
      </c>
      <c r="G68" s="21">
        <v>0</v>
      </c>
      <c r="H68" s="283">
        <f t="shared" si="15"/>
        <v>0</v>
      </c>
      <c r="I68" s="283">
        <f t="shared" si="15"/>
        <v>0</v>
      </c>
      <c r="J68" s="21">
        <f t="shared" si="16"/>
        <v>72900000</v>
      </c>
      <c r="K68" s="21">
        <f t="shared" si="16"/>
        <v>14001.70673076923</v>
      </c>
      <c r="L68" s="21">
        <f t="shared" si="17"/>
        <v>0</v>
      </c>
      <c r="M68" s="21">
        <f t="shared" si="17"/>
        <v>0</v>
      </c>
      <c r="N68" s="23"/>
    </row>
    <row r="69" spans="3:14" ht="12.75">
      <c r="C69" s="21">
        <f t="shared" si="19"/>
        <v>2001</v>
      </c>
      <c r="D69" s="86">
        <f t="shared" si="19"/>
        <v>100100000</v>
      </c>
      <c r="E69" s="86">
        <f t="shared" si="14"/>
        <v>17853.802083333332</v>
      </c>
      <c r="F69" s="21">
        <v>1</v>
      </c>
      <c r="G69" s="21">
        <v>0</v>
      </c>
      <c r="H69" s="283">
        <f t="shared" si="15"/>
        <v>0</v>
      </c>
      <c r="I69" s="283">
        <f t="shared" si="15"/>
        <v>0</v>
      </c>
      <c r="J69" s="21">
        <f t="shared" si="16"/>
        <v>100100000</v>
      </c>
      <c r="K69" s="21">
        <f t="shared" si="16"/>
        <v>17853.802083333332</v>
      </c>
      <c r="L69" s="21">
        <f t="shared" si="17"/>
        <v>0</v>
      </c>
      <c r="M69" s="21">
        <f t="shared" si="17"/>
        <v>0</v>
      </c>
      <c r="N69" s="23"/>
    </row>
    <row r="70" spans="3:14" ht="12.75">
      <c r="C70" s="21">
        <f t="shared" si="19"/>
        <v>2002</v>
      </c>
      <c r="D70" s="86">
        <f t="shared" si="19"/>
        <v>122300000</v>
      </c>
      <c r="E70" s="86">
        <f t="shared" si="14"/>
        <v>20136.941391941386</v>
      </c>
      <c r="F70" s="21">
        <v>1</v>
      </c>
      <c r="G70" s="21">
        <v>0</v>
      </c>
      <c r="H70" s="283">
        <f t="shared" si="15"/>
        <v>0</v>
      </c>
      <c r="I70" s="283">
        <f t="shared" si="15"/>
        <v>0</v>
      </c>
      <c r="J70" s="21">
        <f>D70*$F70</f>
        <v>122300000</v>
      </c>
      <c r="K70" s="21">
        <f>E70*$F70</f>
        <v>20136.941391941386</v>
      </c>
      <c r="L70" s="21">
        <f>D70*$G70</f>
        <v>0</v>
      </c>
      <c r="M70" s="21">
        <f t="shared" si="17"/>
        <v>0</v>
      </c>
      <c r="N70" s="23"/>
    </row>
    <row r="71" spans="3:14" ht="12.75">
      <c r="C71" s="21">
        <f t="shared" si="19"/>
        <v>2003</v>
      </c>
      <c r="D71" s="86">
        <f t="shared" si="19"/>
        <v>140000000</v>
      </c>
      <c r="E71" s="86">
        <f t="shared" si="14"/>
        <v>21132.21153846153</v>
      </c>
      <c r="F71" s="21">
        <v>0.65</v>
      </c>
      <c r="G71" s="21">
        <v>0.35</v>
      </c>
      <c r="H71" s="283">
        <f t="shared" si="15"/>
        <v>0</v>
      </c>
      <c r="I71" s="283">
        <f t="shared" si="15"/>
        <v>0</v>
      </c>
      <c r="J71" s="21">
        <f t="shared" si="16"/>
        <v>91000000</v>
      </c>
      <c r="K71" s="21">
        <f t="shared" si="16"/>
        <v>13735.937499999996</v>
      </c>
      <c r="L71" s="21">
        <f t="shared" si="17"/>
        <v>49000000</v>
      </c>
      <c r="M71" s="21">
        <f t="shared" si="17"/>
        <v>7396.274038461535</v>
      </c>
      <c r="N71" s="23"/>
    </row>
    <row r="72" spans="3:14" ht="12.75">
      <c r="C72" s="21">
        <f t="shared" si="19"/>
        <v>2004</v>
      </c>
      <c r="D72" s="86">
        <f t="shared" si="19"/>
        <v>142700000</v>
      </c>
      <c r="E72" s="86">
        <f t="shared" si="14"/>
        <v>19583.680173992667</v>
      </c>
      <c r="F72" s="21">
        <v>0.65</v>
      </c>
      <c r="G72" s="21">
        <v>0.35</v>
      </c>
      <c r="H72" s="283">
        <f t="shared" si="15"/>
        <v>0</v>
      </c>
      <c r="I72" s="283">
        <f t="shared" si="15"/>
        <v>0</v>
      </c>
      <c r="J72" s="21">
        <f>D72*$F72</f>
        <v>92755000</v>
      </c>
      <c r="K72" s="21">
        <f t="shared" si="16"/>
        <v>12729.392113095233</v>
      </c>
      <c r="L72" s="21">
        <f t="shared" si="17"/>
        <v>49945000</v>
      </c>
      <c r="M72" s="21">
        <f t="shared" si="17"/>
        <v>6854.288060897433</v>
      </c>
      <c r="N72" s="23"/>
    </row>
    <row r="73" spans="3:14" ht="12.75">
      <c r="C73" s="21">
        <v>2005</v>
      </c>
      <c r="D73" s="86">
        <f>D33</f>
        <v>150000000</v>
      </c>
      <c r="E73" s="86">
        <f t="shared" si="14"/>
        <v>18750</v>
      </c>
      <c r="F73" s="21">
        <v>0.65</v>
      </c>
      <c r="G73" s="21">
        <v>0.35</v>
      </c>
      <c r="H73" s="283">
        <f t="shared" si="15"/>
        <v>0</v>
      </c>
      <c r="I73" s="283">
        <f t="shared" si="15"/>
        <v>0</v>
      </c>
      <c r="J73" s="21">
        <f>D73*$F73</f>
        <v>97500000</v>
      </c>
      <c r="K73" s="21">
        <f t="shared" si="16"/>
        <v>12187.5</v>
      </c>
      <c r="L73" s="21">
        <f t="shared" si="17"/>
        <v>52500000</v>
      </c>
      <c r="M73" s="21">
        <f t="shared" si="17"/>
        <v>6562.5</v>
      </c>
      <c r="N73" s="23"/>
    </row>
    <row r="74" spans="3:14" ht="12.75">
      <c r="C74" s="21">
        <v>2006</v>
      </c>
      <c r="D74" s="86">
        <f>D34</f>
        <v>165100000</v>
      </c>
      <c r="E74" s="86">
        <f t="shared" si="14"/>
        <v>18161</v>
      </c>
      <c r="F74" s="21">
        <v>0</v>
      </c>
      <c r="G74" s="21">
        <v>1</v>
      </c>
      <c r="H74" s="283">
        <f t="shared" si="15"/>
        <v>0</v>
      </c>
      <c r="I74" s="283">
        <f t="shared" si="15"/>
        <v>0</v>
      </c>
      <c r="J74" s="21">
        <f t="shared" si="16"/>
        <v>0</v>
      </c>
      <c r="K74" s="21">
        <f t="shared" si="16"/>
        <v>0</v>
      </c>
      <c r="L74" s="21">
        <f t="shared" si="17"/>
        <v>165100000</v>
      </c>
      <c r="M74" s="21">
        <f t="shared" si="17"/>
        <v>18161</v>
      </c>
      <c r="N74" s="23"/>
    </row>
    <row r="75" spans="3:14" ht="12.75">
      <c r="C75" s="21">
        <v>2007</v>
      </c>
      <c r="D75" s="86">
        <f>D35</f>
        <v>181900000</v>
      </c>
      <c r="E75" s="86">
        <f>F35</f>
        <v>20009</v>
      </c>
      <c r="F75" s="21">
        <v>0</v>
      </c>
      <c r="G75" s="21">
        <v>1</v>
      </c>
      <c r="H75" s="283">
        <f>D75-J75-L75</f>
        <v>0</v>
      </c>
      <c r="I75" s="283">
        <f>E75-K75-M75</f>
        <v>0</v>
      </c>
      <c r="J75" s="21">
        <f>D75*$F75</f>
        <v>0</v>
      </c>
      <c r="K75" s="21">
        <f>E75*$F75</f>
        <v>0</v>
      </c>
      <c r="L75" s="21">
        <f>D75*$G75</f>
        <v>181900000</v>
      </c>
      <c r="M75" s="21">
        <f>E75*$G75</f>
        <v>20009</v>
      </c>
      <c r="N75" s="23"/>
    </row>
    <row r="76" spans="3:14" ht="12.75">
      <c r="C76" s="21" t="s">
        <v>22</v>
      </c>
      <c r="D76" s="283">
        <f>SUM(D48:D74)</f>
        <v>1062638028.1690141</v>
      </c>
      <c r="E76" s="283">
        <f aca="true" t="shared" si="20" ref="E76:M76">SUM(E48:E74)</f>
        <v>188802.5854625971</v>
      </c>
      <c r="F76" s="283"/>
      <c r="G76" s="283"/>
      <c r="H76" s="283">
        <f t="shared" si="20"/>
        <v>0</v>
      </c>
      <c r="I76" s="283">
        <f t="shared" si="20"/>
        <v>0</v>
      </c>
      <c r="J76" s="283">
        <f t="shared" si="20"/>
        <v>746093028.1690141</v>
      </c>
      <c r="K76" s="283">
        <f t="shared" si="20"/>
        <v>149828.52336323814</v>
      </c>
      <c r="L76" s="283">
        <f t="shared" si="20"/>
        <v>316545000</v>
      </c>
      <c r="M76" s="283">
        <f t="shared" si="20"/>
        <v>38974.06209935897</v>
      </c>
      <c r="N76" s="23"/>
    </row>
  </sheetData>
  <mergeCells count="13">
    <mergeCell ref="Q6:R6"/>
    <mergeCell ref="S6:T6"/>
    <mergeCell ref="H46:I46"/>
    <mergeCell ref="J46:K46"/>
    <mergeCell ref="L46:M46"/>
    <mergeCell ref="G6:J6"/>
    <mergeCell ref="K6:L6"/>
    <mergeCell ref="M6:N6"/>
    <mergeCell ref="O6:P6"/>
    <mergeCell ref="C3:T3"/>
    <mergeCell ref="C5:F5"/>
    <mergeCell ref="G5:J5"/>
    <mergeCell ref="K5:T5"/>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H78"/>
  <sheetViews>
    <sheetView workbookViewId="0" topLeftCell="A1">
      <selection activeCell="C34" sqref="C34"/>
    </sheetView>
  </sheetViews>
  <sheetFormatPr defaultColWidth="9.140625" defaultRowHeight="12.75"/>
  <cols>
    <col min="1" max="2" width="9.140625" style="21" customWidth="1"/>
    <col min="3" max="4" width="10.140625" style="21" bestFit="1" customWidth="1"/>
    <col min="5" max="5" width="9.140625" style="21" customWidth="1"/>
    <col min="6" max="6" width="29.140625" style="21" customWidth="1"/>
    <col min="7" max="7" width="9.140625" style="21" customWidth="1"/>
    <col min="8" max="8" width="15.7109375" style="21" customWidth="1"/>
    <col min="9" max="16384" width="9.140625" style="21" customWidth="1"/>
  </cols>
  <sheetData>
    <row r="1" spans="2:8" ht="13.5" thickBot="1">
      <c r="B1" s="552" t="s">
        <v>77</v>
      </c>
      <c r="C1" s="552"/>
      <c r="D1" s="552"/>
      <c r="E1" s="552"/>
      <c r="F1" s="552"/>
      <c r="G1" s="552"/>
      <c r="H1" s="552"/>
    </row>
    <row r="2" spans="2:8" ht="13.5" hidden="1" thickBot="1">
      <c r="B2" s="17"/>
      <c r="C2" s="133"/>
      <c r="D2" s="133"/>
      <c r="E2" s="151"/>
      <c r="F2" s="24"/>
      <c r="G2" s="17"/>
      <c r="H2" s="17"/>
    </row>
    <row r="3" spans="2:8" ht="47.25" customHeight="1" thickBot="1">
      <c r="B3" s="553" t="s">
        <v>51</v>
      </c>
      <c r="C3" s="554"/>
      <c r="D3" s="554"/>
      <c r="E3" s="555"/>
      <c r="F3" s="79"/>
      <c r="G3" s="17"/>
      <c r="H3" s="17"/>
    </row>
    <row r="4" spans="2:8" ht="13.5" hidden="1" thickBot="1">
      <c r="B4" s="145"/>
      <c r="C4" s="79"/>
      <c r="D4" s="79"/>
      <c r="E4" s="79"/>
      <c r="F4" s="218"/>
      <c r="G4" s="17"/>
      <c r="H4" s="159"/>
    </row>
    <row r="5" spans="2:8" ht="12.75">
      <c r="B5" s="221" t="s">
        <v>6</v>
      </c>
      <c r="C5" s="222"/>
      <c r="D5" s="222"/>
      <c r="E5" s="222"/>
      <c r="F5" s="216" t="s">
        <v>14</v>
      </c>
      <c r="G5" s="548" t="s">
        <v>48</v>
      </c>
      <c r="H5" s="549"/>
    </row>
    <row r="6" spans="2:8" ht="12.75">
      <c r="B6" s="254" t="s">
        <v>0</v>
      </c>
      <c r="C6" s="91" t="s">
        <v>1</v>
      </c>
      <c r="D6" s="91" t="s">
        <v>3</v>
      </c>
      <c r="E6" s="91" t="s">
        <v>2</v>
      </c>
      <c r="F6" s="131" t="s">
        <v>15</v>
      </c>
      <c r="G6" s="550" t="s">
        <v>17</v>
      </c>
      <c r="H6" s="551"/>
    </row>
    <row r="7" spans="2:8" ht="12.75">
      <c r="B7" s="253"/>
      <c r="C7" s="15"/>
      <c r="D7" s="15" t="s">
        <v>4</v>
      </c>
      <c r="E7" s="15"/>
      <c r="F7" s="131">
        <v>5</v>
      </c>
      <c r="G7" s="98" t="s">
        <v>46</v>
      </c>
      <c r="H7" s="103" t="s">
        <v>2</v>
      </c>
    </row>
    <row r="8" spans="2:8" ht="12.75">
      <c r="B8" s="102">
        <v>1980</v>
      </c>
      <c r="C8" s="148">
        <f>C51</f>
        <v>980645.1612903225</v>
      </c>
      <c r="D8" s="142">
        <v>0.2</v>
      </c>
      <c r="E8" s="100">
        <f>C8*D8/2000</f>
        <v>98.06451612903226</v>
      </c>
      <c r="F8" s="149">
        <v>1</v>
      </c>
      <c r="G8" s="98"/>
      <c r="H8" s="103"/>
    </row>
    <row r="9" spans="2:8" ht="12.75">
      <c r="B9" s="102">
        <v>1981</v>
      </c>
      <c r="C9" s="148">
        <f>C52</f>
        <v>1961290.322580645</v>
      </c>
      <c r="D9" s="142">
        <v>0.2</v>
      </c>
      <c r="E9" s="100">
        <f>C9*D9/2000</f>
        <v>196.1290322580645</v>
      </c>
      <c r="F9" s="149">
        <v>1</v>
      </c>
      <c r="G9" s="98"/>
      <c r="H9" s="103"/>
    </row>
    <row r="10" spans="2:8" ht="12.75">
      <c r="B10" s="102">
        <v>1982</v>
      </c>
      <c r="C10" s="148">
        <f>C53</f>
        <v>3040000</v>
      </c>
      <c r="D10" s="142">
        <v>0.2</v>
      </c>
      <c r="E10" s="100">
        <f aca="true" t="shared" si="0" ref="E10:E16">C10*D10/2000</f>
        <v>304</v>
      </c>
      <c r="F10" s="149">
        <v>1</v>
      </c>
      <c r="G10" s="100"/>
      <c r="H10" s="107"/>
    </row>
    <row r="11" spans="2:8" ht="12.75">
      <c r="B11" s="102">
        <v>1983</v>
      </c>
      <c r="C11" s="148">
        <f aca="true" t="shared" si="1" ref="C11:C18">C54</f>
        <v>5450000</v>
      </c>
      <c r="D11" s="142">
        <v>0.2</v>
      </c>
      <c r="E11" s="100">
        <f t="shared" si="0"/>
        <v>545</v>
      </c>
      <c r="F11" s="149">
        <v>1</v>
      </c>
      <c r="G11" s="100"/>
      <c r="H11" s="107"/>
    </row>
    <row r="12" spans="2:8" ht="12.75">
      <c r="B12" s="102">
        <v>1984</v>
      </c>
      <c r="C12" s="148">
        <f t="shared" si="1"/>
        <v>6660000</v>
      </c>
      <c r="D12" s="142">
        <v>0.2</v>
      </c>
      <c r="E12" s="100">
        <f t="shared" si="0"/>
        <v>666</v>
      </c>
      <c r="F12" s="149">
        <v>1</v>
      </c>
      <c r="G12" s="100"/>
      <c r="H12" s="107"/>
    </row>
    <row r="13" spans="2:8" ht="12.75">
      <c r="B13" s="102">
        <v>1985</v>
      </c>
      <c r="C13" s="148">
        <f t="shared" si="1"/>
        <v>5760000</v>
      </c>
      <c r="D13" s="142">
        <v>0.2</v>
      </c>
      <c r="E13" s="100">
        <f t="shared" si="0"/>
        <v>576</v>
      </c>
      <c r="F13" s="149">
        <v>1</v>
      </c>
      <c r="G13" s="100">
        <f>C8*F8/1000</f>
        <v>980.6451612903226</v>
      </c>
      <c r="H13" s="107">
        <f>E8*F8</f>
        <v>98.06451612903226</v>
      </c>
    </row>
    <row r="14" spans="2:8" ht="12.75">
      <c r="B14" s="102">
        <v>1986</v>
      </c>
      <c r="C14" s="148">
        <f t="shared" si="1"/>
        <v>6851000</v>
      </c>
      <c r="D14" s="142">
        <v>0.2</v>
      </c>
      <c r="E14" s="100">
        <f t="shared" si="0"/>
        <v>685.1</v>
      </c>
      <c r="F14" s="149">
        <v>1</v>
      </c>
      <c r="G14" s="100">
        <f>C9*F9/1000</f>
        <v>1961.2903225806451</v>
      </c>
      <c r="H14" s="107">
        <f>E9*F9</f>
        <v>196.1290322580645</v>
      </c>
    </row>
    <row r="15" spans="2:8" ht="12.75">
      <c r="B15" s="102">
        <v>1987</v>
      </c>
      <c r="C15" s="148">
        <f t="shared" si="1"/>
        <v>8202000</v>
      </c>
      <c r="D15" s="142">
        <v>0.2</v>
      </c>
      <c r="E15" s="100">
        <f t="shared" si="0"/>
        <v>820.2</v>
      </c>
      <c r="F15" s="149">
        <v>1</v>
      </c>
      <c r="G15" s="100">
        <f>C10*F10/1000</f>
        <v>3040</v>
      </c>
      <c r="H15" s="107">
        <f>E10*F10</f>
        <v>304</v>
      </c>
    </row>
    <row r="16" spans="2:8" ht="12.75">
      <c r="B16" s="102">
        <v>1988</v>
      </c>
      <c r="C16" s="148">
        <f t="shared" si="1"/>
        <v>8724000</v>
      </c>
      <c r="D16" s="142">
        <v>0.2</v>
      </c>
      <c r="E16" s="100">
        <f t="shared" si="0"/>
        <v>872.4</v>
      </c>
      <c r="F16" s="149">
        <v>1</v>
      </c>
      <c r="G16" s="100">
        <f aca="true" t="shared" si="2" ref="G16:G38">C11*F11/1000</f>
        <v>5450</v>
      </c>
      <c r="H16" s="107">
        <f aca="true" t="shared" si="3" ref="H16:H38">E11*F11</f>
        <v>545</v>
      </c>
    </row>
    <row r="17" spans="2:8" ht="12.75">
      <c r="B17" s="102">
        <v>1989</v>
      </c>
      <c r="C17" s="148">
        <f t="shared" si="1"/>
        <v>8905801</v>
      </c>
      <c r="D17" s="142">
        <v>0.2</v>
      </c>
      <c r="E17" s="100">
        <f>C17*D17/2000</f>
        <v>890.5801000000001</v>
      </c>
      <c r="F17" s="149">
        <v>1</v>
      </c>
      <c r="G17" s="100">
        <f t="shared" si="2"/>
        <v>6660</v>
      </c>
      <c r="H17" s="107">
        <f t="shared" si="3"/>
        <v>666</v>
      </c>
    </row>
    <row r="18" spans="2:8" ht="12.75">
      <c r="B18" s="102">
        <v>1990</v>
      </c>
      <c r="C18" s="148">
        <f t="shared" si="1"/>
        <v>9485529</v>
      </c>
      <c r="D18" s="142">
        <v>0.2</v>
      </c>
      <c r="E18" s="100">
        <f aca="true" t="shared" si="4" ref="E18:E32">C18*D18/2000</f>
        <v>948.5529</v>
      </c>
      <c r="F18" s="149">
        <v>1</v>
      </c>
      <c r="G18" s="100">
        <f t="shared" si="2"/>
        <v>5760</v>
      </c>
      <c r="H18" s="107">
        <f t="shared" si="3"/>
        <v>576</v>
      </c>
    </row>
    <row r="19" spans="2:8" ht="12.75">
      <c r="B19" s="102">
        <v>1991</v>
      </c>
      <c r="C19" s="148">
        <v>14294014</v>
      </c>
      <c r="D19" s="142">
        <v>0.2</v>
      </c>
      <c r="E19" s="100">
        <f t="shared" si="4"/>
        <v>1429.4014000000002</v>
      </c>
      <c r="F19" s="149">
        <v>1</v>
      </c>
      <c r="G19" s="100">
        <f t="shared" si="2"/>
        <v>6851</v>
      </c>
      <c r="H19" s="107">
        <f t="shared" si="3"/>
        <v>685.1</v>
      </c>
    </row>
    <row r="20" spans="2:8" ht="12.75">
      <c r="B20" s="102">
        <v>1992</v>
      </c>
      <c r="C20" s="148">
        <v>20856314</v>
      </c>
      <c r="D20" s="142">
        <v>0.2</v>
      </c>
      <c r="E20" s="100">
        <f t="shared" si="4"/>
        <v>2085.6314</v>
      </c>
      <c r="F20" s="149">
        <v>1</v>
      </c>
      <c r="G20" s="100">
        <f t="shared" si="2"/>
        <v>8202</v>
      </c>
      <c r="H20" s="107">
        <f t="shared" si="3"/>
        <v>820.2</v>
      </c>
    </row>
    <row r="21" spans="2:8" ht="12.75">
      <c r="B21" s="102">
        <v>1993</v>
      </c>
      <c r="C21" s="148">
        <v>31269537</v>
      </c>
      <c r="D21" s="142">
        <v>0.2</v>
      </c>
      <c r="E21" s="100">
        <f t="shared" si="4"/>
        <v>3126.9537</v>
      </c>
      <c r="F21" s="149">
        <v>1</v>
      </c>
      <c r="G21" s="100">
        <f t="shared" si="2"/>
        <v>8724</v>
      </c>
      <c r="H21" s="107">
        <f t="shared" si="3"/>
        <v>872.4</v>
      </c>
    </row>
    <row r="22" spans="2:8" ht="12.75">
      <c r="B22" s="102">
        <v>1994</v>
      </c>
      <c r="C22" s="148">
        <v>39735254</v>
      </c>
      <c r="D22" s="142">
        <v>0.2</v>
      </c>
      <c r="E22" s="100">
        <f t="shared" si="4"/>
        <v>3973.5254000000004</v>
      </c>
      <c r="F22" s="149">
        <v>1</v>
      </c>
      <c r="G22" s="100">
        <f t="shared" si="2"/>
        <v>8905.801</v>
      </c>
      <c r="H22" s="107">
        <f t="shared" si="3"/>
        <v>890.5801000000001</v>
      </c>
    </row>
    <row r="23" spans="2:8" ht="12.75">
      <c r="B23" s="102">
        <v>1995</v>
      </c>
      <c r="C23" s="148">
        <f>C66</f>
        <v>19139858</v>
      </c>
      <c r="D23" s="142">
        <v>0.2</v>
      </c>
      <c r="E23" s="100">
        <f t="shared" si="4"/>
        <v>1913.9858000000002</v>
      </c>
      <c r="F23" s="149">
        <v>1</v>
      </c>
      <c r="G23" s="100">
        <f t="shared" si="2"/>
        <v>9485.529</v>
      </c>
      <c r="H23" s="107">
        <f t="shared" si="3"/>
        <v>948.5529</v>
      </c>
    </row>
    <row r="24" spans="2:8" ht="12.75">
      <c r="B24" s="102">
        <v>1996</v>
      </c>
      <c r="C24" s="148">
        <f>C67</f>
        <v>22420954</v>
      </c>
      <c r="D24" s="142">
        <v>0.2</v>
      </c>
      <c r="E24" s="100">
        <f t="shared" si="4"/>
        <v>2242.0953999999997</v>
      </c>
      <c r="F24" s="149">
        <v>1</v>
      </c>
      <c r="G24" s="100">
        <f t="shared" si="2"/>
        <v>14294.014</v>
      </c>
      <c r="H24" s="107">
        <f t="shared" si="3"/>
        <v>1429.4014000000002</v>
      </c>
    </row>
    <row r="25" spans="2:8" ht="12.75">
      <c r="B25" s="102">
        <v>1997</v>
      </c>
      <c r="C25" s="148">
        <v>24871438</v>
      </c>
      <c r="D25" s="142">
        <v>0.2</v>
      </c>
      <c r="E25" s="100">
        <f t="shared" si="4"/>
        <v>2487.1438000000003</v>
      </c>
      <c r="F25" s="149">
        <v>1</v>
      </c>
      <c r="G25" s="100">
        <f t="shared" si="2"/>
        <v>20856.314</v>
      </c>
      <c r="H25" s="107">
        <f t="shared" si="3"/>
        <v>2085.6314</v>
      </c>
    </row>
    <row r="26" spans="2:8" ht="12.75">
      <c r="B26" s="102">
        <v>1998</v>
      </c>
      <c r="C26" s="148">
        <v>27892675</v>
      </c>
      <c r="D26" s="142">
        <v>0.2</v>
      </c>
      <c r="E26" s="100">
        <f t="shared" si="4"/>
        <v>2789.2675</v>
      </c>
      <c r="F26" s="149">
        <v>1</v>
      </c>
      <c r="G26" s="100">
        <f t="shared" si="2"/>
        <v>31269.537</v>
      </c>
      <c r="H26" s="107">
        <f t="shared" si="3"/>
        <v>3126.9537</v>
      </c>
    </row>
    <row r="27" spans="2:8" ht="12.75">
      <c r="B27" s="102">
        <v>1999</v>
      </c>
      <c r="C27" s="148">
        <f>C70</f>
        <v>39488308</v>
      </c>
      <c r="D27" s="142">
        <v>0.2</v>
      </c>
      <c r="E27" s="100">
        <f t="shared" si="4"/>
        <v>3948.8308</v>
      </c>
      <c r="F27" s="149">
        <v>1</v>
      </c>
      <c r="G27" s="100">
        <f t="shared" si="2"/>
        <v>39735.254</v>
      </c>
      <c r="H27" s="107">
        <f t="shared" si="3"/>
        <v>3973.5254000000004</v>
      </c>
    </row>
    <row r="28" spans="2:8" ht="12.75">
      <c r="B28" s="102">
        <v>2000</v>
      </c>
      <c r="C28" s="148">
        <v>56162675</v>
      </c>
      <c r="D28" s="142">
        <v>0.2</v>
      </c>
      <c r="E28" s="100">
        <f t="shared" si="4"/>
        <v>5616.2675</v>
      </c>
      <c r="F28" s="149">
        <v>1</v>
      </c>
      <c r="G28" s="100">
        <f t="shared" si="2"/>
        <v>19139.858</v>
      </c>
      <c r="H28" s="107">
        <f t="shared" si="3"/>
        <v>1913.9858000000002</v>
      </c>
    </row>
    <row r="29" spans="2:8" ht="12.75">
      <c r="B29" s="102">
        <v>2001</v>
      </c>
      <c r="C29" s="148">
        <v>53001254</v>
      </c>
      <c r="D29" s="142">
        <v>0.2</v>
      </c>
      <c r="E29" s="100">
        <f t="shared" si="4"/>
        <v>5300.125400000001</v>
      </c>
      <c r="F29" s="149">
        <v>1</v>
      </c>
      <c r="G29" s="100">
        <f t="shared" si="2"/>
        <v>22420.954</v>
      </c>
      <c r="H29" s="107">
        <f t="shared" si="3"/>
        <v>2242.0953999999997</v>
      </c>
    </row>
    <row r="30" spans="2:8" ht="12.75">
      <c r="B30" s="102">
        <v>2002</v>
      </c>
      <c r="C30" s="148">
        <v>57540844</v>
      </c>
      <c r="D30" s="142">
        <v>0.2</v>
      </c>
      <c r="E30" s="100">
        <f t="shared" si="4"/>
        <v>5754.084400000001</v>
      </c>
      <c r="F30" s="149">
        <v>1</v>
      </c>
      <c r="G30" s="100">
        <f t="shared" si="2"/>
        <v>24871.438</v>
      </c>
      <c r="H30" s="107">
        <f t="shared" si="3"/>
        <v>2487.1438000000003</v>
      </c>
    </row>
    <row r="31" spans="2:8" ht="12.75">
      <c r="B31" s="102">
        <v>2003</v>
      </c>
      <c r="C31" s="148">
        <f>C74</f>
        <v>36959328</v>
      </c>
      <c r="D31" s="142">
        <v>0.2</v>
      </c>
      <c r="E31" s="100">
        <f t="shared" si="4"/>
        <v>3695.9328000000005</v>
      </c>
      <c r="F31" s="149">
        <v>1</v>
      </c>
      <c r="G31" s="100">
        <f t="shared" si="2"/>
        <v>27892.675</v>
      </c>
      <c r="H31" s="107">
        <f t="shared" si="3"/>
        <v>2789.2675</v>
      </c>
    </row>
    <row r="32" spans="2:8" ht="12.75">
      <c r="B32" s="102">
        <v>2004</v>
      </c>
      <c r="C32" s="148">
        <f>C75</f>
        <v>39352168</v>
      </c>
      <c r="D32" s="142">
        <v>0.2</v>
      </c>
      <c r="E32" s="100">
        <f t="shared" si="4"/>
        <v>3935.2168</v>
      </c>
      <c r="F32" s="149">
        <v>1</v>
      </c>
      <c r="G32" s="100">
        <f t="shared" si="2"/>
        <v>39488.308</v>
      </c>
      <c r="H32" s="107">
        <f t="shared" si="3"/>
        <v>3948.8308</v>
      </c>
    </row>
    <row r="33" spans="2:8" ht="12.75">
      <c r="B33" s="102">
        <v>2005</v>
      </c>
      <c r="C33" s="148">
        <f>C76</f>
        <v>38047902</v>
      </c>
      <c r="D33" s="142">
        <v>0.2</v>
      </c>
      <c r="E33" s="100">
        <f>C33*D33/2000</f>
        <v>3804.7902000000004</v>
      </c>
      <c r="F33" s="149">
        <v>1</v>
      </c>
      <c r="G33" s="100">
        <f t="shared" si="2"/>
        <v>56162.675</v>
      </c>
      <c r="H33" s="107">
        <f t="shared" si="3"/>
        <v>5616.2675</v>
      </c>
    </row>
    <row r="34" spans="2:8" ht="12.75">
      <c r="B34" s="102">
        <v>2006</v>
      </c>
      <c r="C34" s="148">
        <f>C77</f>
        <v>35418676</v>
      </c>
      <c r="D34" s="142">
        <v>0.2</v>
      </c>
      <c r="E34" s="100">
        <f>C34*D34/2000</f>
        <v>3541.8676</v>
      </c>
      <c r="F34" s="149">
        <v>1</v>
      </c>
      <c r="G34" s="100">
        <f>C29*F29/1000</f>
        <v>53001.254</v>
      </c>
      <c r="H34" s="107">
        <f t="shared" si="3"/>
        <v>5300.125400000001</v>
      </c>
    </row>
    <row r="35" spans="2:8" ht="12.75">
      <c r="B35" s="102">
        <v>2007</v>
      </c>
      <c r="C35" s="148">
        <f>C78</f>
        <v>34211601</v>
      </c>
      <c r="D35" s="142">
        <v>0.2</v>
      </c>
      <c r="E35" s="100">
        <f>C35*D35/2000</f>
        <v>3421.1601</v>
      </c>
      <c r="F35" s="149">
        <v>1</v>
      </c>
      <c r="G35" s="100">
        <f t="shared" si="2"/>
        <v>57540.844</v>
      </c>
      <c r="H35" s="107">
        <f t="shared" si="3"/>
        <v>5754.084400000001</v>
      </c>
    </row>
    <row r="36" spans="2:8" ht="12.75">
      <c r="B36" s="102">
        <v>2008</v>
      </c>
      <c r="C36" s="99"/>
      <c r="D36" s="99"/>
      <c r="E36" s="100"/>
      <c r="F36" s="149"/>
      <c r="G36" s="100">
        <f t="shared" si="2"/>
        <v>36959.328</v>
      </c>
      <c r="H36" s="107">
        <f t="shared" si="3"/>
        <v>3695.9328000000005</v>
      </c>
    </row>
    <row r="37" spans="2:8" ht="12.75">
      <c r="B37" s="102">
        <v>2009</v>
      </c>
      <c r="C37" s="99"/>
      <c r="D37" s="99"/>
      <c r="E37" s="100"/>
      <c r="F37" s="149"/>
      <c r="G37" s="100">
        <f>C32*F32/1000</f>
        <v>39352.168</v>
      </c>
      <c r="H37" s="107">
        <f t="shared" si="3"/>
        <v>3935.2168</v>
      </c>
    </row>
    <row r="38" spans="2:8" ht="12.75">
      <c r="B38" s="102">
        <v>2010</v>
      </c>
      <c r="C38" s="99"/>
      <c r="D38" s="99"/>
      <c r="E38" s="100"/>
      <c r="F38" s="149"/>
      <c r="G38" s="100">
        <f t="shared" si="2"/>
        <v>38047.902</v>
      </c>
      <c r="H38" s="107">
        <f t="shared" si="3"/>
        <v>3804.7902000000004</v>
      </c>
    </row>
    <row r="39" spans="2:8" ht="13.5" thickBot="1">
      <c r="B39" s="114"/>
      <c r="C39" s="115" t="s">
        <v>5</v>
      </c>
      <c r="D39" s="115"/>
      <c r="E39" s="119"/>
      <c r="F39" s="157"/>
      <c r="G39" s="119">
        <f>SUM(G8:G38)</f>
        <v>587052.7884838709</v>
      </c>
      <c r="H39" s="116">
        <f>SUM(H8:H38)</f>
        <v>58705.278848387105</v>
      </c>
    </row>
    <row r="40" spans="2:8" ht="13.5" hidden="1" thickBot="1">
      <c r="B40" s="219"/>
      <c r="C40" s="196"/>
      <c r="D40" s="196"/>
      <c r="E40" s="195">
        <f>C40*$E$2</f>
        <v>0</v>
      </c>
      <c r="F40" s="220"/>
      <c r="G40" s="195"/>
      <c r="H40" s="199"/>
    </row>
    <row r="49" spans="2:3" ht="12.75">
      <c r="B49" s="90" t="s">
        <v>0</v>
      </c>
      <c r="C49" s="369" t="s">
        <v>68</v>
      </c>
    </row>
    <row r="50" spans="2:3" ht="12.75">
      <c r="B50" s="92"/>
      <c r="C50" s="144" t="s">
        <v>69</v>
      </c>
    </row>
    <row r="51" spans="2:3" ht="12.75">
      <c r="B51" s="20">
        <v>1980</v>
      </c>
      <c r="C51" s="370">
        <f>Desktops!C8</f>
        <v>980645.1612903225</v>
      </c>
    </row>
    <row r="52" spans="2:3" ht="12.75">
      <c r="B52" s="20">
        <v>1981</v>
      </c>
      <c r="C52" s="370">
        <f>Desktops!C9</f>
        <v>1961290.322580645</v>
      </c>
    </row>
    <row r="53" spans="2:3" ht="12.75">
      <c r="B53" s="20">
        <v>1982</v>
      </c>
      <c r="C53" s="370">
        <f>Desktops!C10</f>
        <v>3040000</v>
      </c>
    </row>
    <row r="54" spans="2:3" ht="12.75">
      <c r="B54" s="20">
        <v>1983</v>
      </c>
      <c r="C54" s="370">
        <f>Desktops!C11</f>
        <v>5450000</v>
      </c>
    </row>
    <row r="55" spans="2:3" ht="12.75">
      <c r="B55" s="20">
        <v>1984</v>
      </c>
      <c r="C55" s="370">
        <f>Desktops!C12</f>
        <v>6660000</v>
      </c>
    </row>
    <row r="56" spans="2:3" ht="12.75">
      <c r="B56" s="20">
        <v>1985</v>
      </c>
      <c r="C56" s="370">
        <f>Desktops!C13</f>
        <v>5760000</v>
      </c>
    </row>
    <row r="57" spans="2:3" ht="12.75">
      <c r="B57" s="20">
        <v>1986</v>
      </c>
      <c r="C57" s="370">
        <f>Desktops!C14</f>
        <v>6851000</v>
      </c>
    </row>
    <row r="58" spans="2:3" ht="12.75">
      <c r="B58" s="20">
        <v>1987</v>
      </c>
      <c r="C58" s="370">
        <f>Desktops!C15</f>
        <v>8202000</v>
      </c>
    </row>
    <row r="59" spans="2:3" ht="12.75">
      <c r="B59" s="20">
        <v>1988</v>
      </c>
      <c r="C59" s="370">
        <f>Desktops!C16</f>
        <v>8724000</v>
      </c>
    </row>
    <row r="60" spans="2:3" ht="12.75">
      <c r="B60" s="20">
        <v>1989</v>
      </c>
      <c r="C60" s="370">
        <f>Desktops!C17</f>
        <v>8905801</v>
      </c>
    </row>
    <row r="61" spans="2:3" ht="12.75">
      <c r="B61" s="20">
        <v>1990</v>
      </c>
      <c r="C61" s="370">
        <f>Desktops!C18</f>
        <v>9485529</v>
      </c>
    </row>
    <row r="62" spans="2:5" ht="12.75">
      <c r="B62" s="20">
        <v>1991</v>
      </c>
      <c r="C62" s="370">
        <f>Desktops!C19</f>
        <v>9523762</v>
      </c>
      <c r="D62" s="86"/>
      <c r="E62" s="147"/>
    </row>
    <row r="63" spans="2:5" ht="12.75">
      <c r="B63" s="20">
        <v>1992</v>
      </c>
      <c r="C63" s="370">
        <f>Desktops!C20</f>
        <v>9911000</v>
      </c>
      <c r="D63" s="86"/>
      <c r="E63" s="147"/>
    </row>
    <row r="64" spans="2:5" ht="12.75">
      <c r="B64" s="20">
        <v>1993</v>
      </c>
      <c r="C64" s="370">
        <f>Desktops!C21</f>
        <v>13022020.56</v>
      </c>
      <c r="D64" s="86"/>
      <c r="E64" s="147"/>
    </row>
    <row r="65" spans="2:5" ht="12.75">
      <c r="B65" s="20">
        <v>1994</v>
      </c>
      <c r="C65" s="370">
        <f>Desktops!C22</f>
        <v>15296184</v>
      </c>
      <c r="D65" s="86"/>
      <c r="E65" s="147"/>
    </row>
    <row r="66" spans="2:5" ht="12.75">
      <c r="B66" s="20">
        <v>1995</v>
      </c>
      <c r="C66" s="370">
        <f>Desktops!C23</f>
        <v>19139858</v>
      </c>
      <c r="D66" s="86"/>
      <c r="E66" s="147"/>
    </row>
    <row r="67" spans="2:5" ht="12.75">
      <c r="B67" s="20">
        <v>1996</v>
      </c>
      <c r="C67" s="370">
        <f>Desktops!C24</f>
        <v>22420954</v>
      </c>
      <c r="D67" s="86"/>
      <c r="E67" s="147"/>
    </row>
    <row r="68" spans="2:5" ht="12.75">
      <c r="B68" s="20">
        <v>1997</v>
      </c>
      <c r="C68" s="370">
        <f>Desktops!C25</f>
        <v>26767206</v>
      </c>
      <c r="D68" s="86"/>
      <c r="E68" s="147"/>
    </row>
    <row r="69" spans="2:5" ht="12.75">
      <c r="B69" s="20">
        <v>1998</v>
      </c>
      <c r="C69" s="370">
        <f>Desktops!C26</f>
        <v>32525826</v>
      </c>
      <c r="D69" s="86"/>
      <c r="E69" s="147"/>
    </row>
    <row r="70" spans="2:5" ht="12.75">
      <c r="B70" s="20">
        <v>1999</v>
      </c>
      <c r="C70" s="370">
        <f>Desktops!C27</f>
        <v>39488308</v>
      </c>
      <c r="D70" s="86"/>
      <c r="E70" s="147"/>
    </row>
    <row r="71" spans="2:5" ht="12.75">
      <c r="B71" s="20">
        <v>2000</v>
      </c>
      <c r="C71" s="370">
        <f>Desktops!C28</f>
        <v>40822348</v>
      </c>
      <c r="D71" s="86"/>
      <c r="E71" s="147"/>
    </row>
    <row r="72" spans="2:5" ht="12.75">
      <c r="B72" s="20">
        <v>2001</v>
      </c>
      <c r="C72" s="370">
        <f>Desktops!C29</f>
        <v>35092536</v>
      </c>
      <c r="D72" s="86"/>
      <c r="E72" s="147"/>
    </row>
    <row r="73" spans="2:5" ht="12.75">
      <c r="B73" s="20">
        <v>2002</v>
      </c>
      <c r="C73" s="370">
        <f>Desktops!C30</f>
        <v>35082080</v>
      </c>
      <c r="D73" s="86"/>
      <c r="E73" s="147"/>
    </row>
    <row r="74" spans="2:5" ht="12.75">
      <c r="B74" s="20">
        <v>2003</v>
      </c>
      <c r="C74" s="370">
        <f>Desktops!C31</f>
        <v>36959328</v>
      </c>
      <c r="D74" s="86"/>
      <c r="E74" s="147"/>
    </row>
    <row r="75" spans="2:5" ht="12.75">
      <c r="B75" s="20">
        <v>2004</v>
      </c>
      <c r="C75" s="370">
        <f>Desktops!C32</f>
        <v>39352168</v>
      </c>
      <c r="D75" s="86"/>
      <c r="E75" s="147"/>
    </row>
    <row r="76" spans="2:3" ht="12.75">
      <c r="B76" s="20">
        <v>2005</v>
      </c>
      <c r="C76" s="370">
        <f>Desktops!C33</f>
        <v>38047902</v>
      </c>
    </row>
    <row r="77" spans="2:3" ht="12.75">
      <c r="B77" s="20">
        <v>2006</v>
      </c>
      <c r="C77" s="370">
        <f>Desktops!C34</f>
        <v>35418676</v>
      </c>
    </row>
    <row r="78" spans="2:3" ht="12.75">
      <c r="B78" s="20">
        <v>2007</v>
      </c>
      <c r="C78" s="370">
        <f>Desktops!C35</f>
        <v>34211601</v>
      </c>
    </row>
  </sheetData>
  <mergeCells count="4">
    <mergeCell ref="G5:H5"/>
    <mergeCell ref="G6:H6"/>
    <mergeCell ref="B1:H1"/>
    <mergeCell ref="B3:E3"/>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J130"/>
  <sheetViews>
    <sheetView workbookViewId="0" topLeftCell="A10">
      <selection activeCell="C31" sqref="C31:C35"/>
    </sheetView>
  </sheetViews>
  <sheetFormatPr defaultColWidth="9.140625" defaultRowHeight="12.75"/>
  <cols>
    <col min="1" max="2" width="9.140625" style="153" customWidth="1"/>
    <col min="3" max="3" width="12.00390625" style="153" customWidth="1"/>
    <col min="4" max="4" width="11.57421875" style="153" customWidth="1"/>
    <col min="5" max="5" width="9.140625" style="153" customWidth="1"/>
    <col min="6" max="6" width="29.28125" style="153" customWidth="1"/>
    <col min="7" max="7" width="9.140625" style="153" customWidth="1"/>
    <col min="8" max="8" width="16.140625" style="153" customWidth="1"/>
    <col min="9" max="9" width="9.140625" style="153" customWidth="1"/>
    <col min="10" max="10" width="12.00390625" style="153" bestFit="1" customWidth="1"/>
    <col min="11" max="16384" width="9.140625" style="153" customWidth="1"/>
  </cols>
  <sheetData>
    <row r="1" spans="2:8" ht="13.5" thickBot="1">
      <c r="B1" s="552" t="s">
        <v>78</v>
      </c>
      <c r="C1" s="552"/>
      <c r="D1" s="552"/>
      <c r="E1" s="552"/>
      <c r="F1" s="552"/>
      <c r="G1" s="552"/>
      <c r="H1" s="552"/>
    </row>
    <row r="2" spans="2:8" ht="13.5" hidden="1" thickBot="1">
      <c r="B2" s="21"/>
      <c r="C2" s="26"/>
      <c r="D2" s="26"/>
      <c r="E2" s="85"/>
      <c r="F2" s="86"/>
      <c r="G2" s="21"/>
      <c r="H2" s="21"/>
    </row>
    <row r="3" spans="2:8" ht="39.75" customHeight="1">
      <c r="B3" s="559" t="s">
        <v>51</v>
      </c>
      <c r="C3" s="560"/>
      <c r="D3" s="560"/>
      <c r="E3" s="561"/>
      <c r="F3" s="229"/>
      <c r="G3" s="238"/>
      <c r="H3" s="239"/>
    </row>
    <row r="4" spans="2:8" ht="12.75" hidden="1">
      <c r="B4" s="240"/>
      <c r="C4" s="241"/>
      <c r="D4" s="241"/>
      <c r="E4" s="241"/>
      <c r="F4" s="242"/>
      <c r="G4" s="243"/>
      <c r="H4" s="144"/>
    </row>
    <row r="5" spans="2:8" ht="12.75">
      <c r="B5" s="244" t="s">
        <v>6</v>
      </c>
      <c r="C5" s="237"/>
      <c r="D5" s="237"/>
      <c r="E5" s="245"/>
      <c r="F5" s="131" t="s">
        <v>14</v>
      </c>
      <c r="G5" s="540" t="s">
        <v>48</v>
      </c>
      <c r="H5" s="556"/>
    </row>
    <row r="6" spans="2:8" ht="12.75">
      <c r="B6" s="120" t="s">
        <v>0</v>
      </c>
      <c r="C6" s="121" t="s">
        <v>1</v>
      </c>
      <c r="D6" s="121" t="s">
        <v>3</v>
      </c>
      <c r="E6" s="121" t="s">
        <v>2</v>
      </c>
      <c r="F6" s="131" t="s">
        <v>15</v>
      </c>
      <c r="G6" s="557" t="s">
        <v>17</v>
      </c>
      <c r="H6" s="558"/>
    </row>
    <row r="7" spans="2:8" ht="12.75">
      <c r="B7" s="158"/>
      <c r="C7" s="152"/>
      <c r="D7" s="152" t="s">
        <v>4</v>
      </c>
      <c r="E7" s="152"/>
      <c r="F7" s="152">
        <v>5</v>
      </c>
      <c r="G7" s="131" t="s">
        <v>46</v>
      </c>
      <c r="H7" s="235" t="s">
        <v>2</v>
      </c>
    </row>
    <row r="8" spans="2:8" ht="12.75">
      <c r="B8" s="158">
        <v>1980</v>
      </c>
      <c r="C8" s="148">
        <f>C55</f>
        <v>980645.1612903225</v>
      </c>
      <c r="D8" s="142">
        <v>2.9</v>
      </c>
      <c r="E8" s="100">
        <f>C8*D8/2000</f>
        <v>1421.9354838709678</v>
      </c>
      <c r="F8" s="149">
        <v>1</v>
      </c>
      <c r="G8" s="131"/>
      <c r="H8" s="235"/>
    </row>
    <row r="9" spans="2:8" ht="12.75">
      <c r="B9" s="158">
        <v>1981</v>
      </c>
      <c r="C9" s="148">
        <f>C56</f>
        <v>1961290.322580645</v>
      </c>
      <c r="D9" s="142">
        <v>2.9</v>
      </c>
      <c r="E9" s="100">
        <f>C9*D9/2000</f>
        <v>2843.8709677419356</v>
      </c>
      <c r="F9" s="149">
        <v>1</v>
      </c>
      <c r="G9" s="131"/>
      <c r="H9" s="235"/>
    </row>
    <row r="10" spans="2:8" ht="12.75">
      <c r="B10" s="140">
        <v>1982</v>
      </c>
      <c r="C10" s="148">
        <f>C57</f>
        <v>3040000</v>
      </c>
      <c r="D10" s="142">
        <v>2.9</v>
      </c>
      <c r="E10" s="100">
        <f aca="true" t="shared" si="0" ref="E10:E16">C10*D10/2000</f>
        <v>4408</v>
      </c>
      <c r="F10" s="149">
        <v>1</v>
      </c>
      <c r="G10" s="100"/>
      <c r="H10" s="107"/>
    </row>
    <row r="11" spans="2:8" ht="12.75">
      <c r="B11" s="140">
        <v>1983</v>
      </c>
      <c r="C11" s="148">
        <f aca="true" t="shared" si="1" ref="C11:C16">C58</f>
        <v>5450000</v>
      </c>
      <c r="D11" s="142">
        <v>2.9</v>
      </c>
      <c r="E11" s="100">
        <f t="shared" si="0"/>
        <v>7902.5</v>
      </c>
      <c r="F11" s="149">
        <v>1</v>
      </c>
      <c r="G11" s="100"/>
      <c r="H11" s="107"/>
    </row>
    <row r="12" spans="2:8" ht="12.75">
      <c r="B12" s="140">
        <v>1984</v>
      </c>
      <c r="C12" s="148">
        <f t="shared" si="1"/>
        <v>6660000</v>
      </c>
      <c r="D12" s="142">
        <v>2.9</v>
      </c>
      <c r="E12" s="100">
        <f t="shared" si="0"/>
        <v>9657</v>
      </c>
      <c r="F12" s="149">
        <v>1</v>
      </c>
      <c r="G12" s="100"/>
      <c r="H12" s="107"/>
    </row>
    <row r="13" spans="2:8" ht="12.75">
      <c r="B13" s="140">
        <v>1985</v>
      </c>
      <c r="C13" s="148">
        <f t="shared" si="1"/>
        <v>5760000</v>
      </c>
      <c r="D13" s="142">
        <v>2.9</v>
      </c>
      <c r="E13" s="100">
        <f t="shared" si="0"/>
        <v>8352</v>
      </c>
      <c r="F13" s="149">
        <v>1</v>
      </c>
      <c r="G13" s="100">
        <f>C8*F8/1000</f>
        <v>980.6451612903226</v>
      </c>
      <c r="H13" s="107">
        <f>E8*F8</f>
        <v>1421.9354838709678</v>
      </c>
    </row>
    <row r="14" spans="2:8" ht="12.75">
      <c r="B14" s="140">
        <v>1986</v>
      </c>
      <c r="C14" s="148">
        <f t="shared" si="1"/>
        <v>6851000</v>
      </c>
      <c r="D14" s="142">
        <v>2.9</v>
      </c>
      <c r="E14" s="100">
        <f t="shared" si="0"/>
        <v>9933.95</v>
      </c>
      <c r="F14" s="149">
        <v>1</v>
      </c>
      <c r="G14" s="100">
        <f>C9*F9/1000</f>
        <v>1961.2903225806451</v>
      </c>
      <c r="H14" s="107">
        <f>E9*F9</f>
        <v>2843.8709677419356</v>
      </c>
    </row>
    <row r="15" spans="2:8" ht="12.75">
      <c r="B15" s="140">
        <v>1987</v>
      </c>
      <c r="C15" s="148">
        <f t="shared" si="1"/>
        <v>8202000</v>
      </c>
      <c r="D15" s="142">
        <v>2.9</v>
      </c>
      <c r="E15" s="100">
        <f t="shared" si="0"/>
        <v>11892.9</v>
      </c>
      <c r="F15" s="149">
        <v>1</v>
      </c>
      <c r="G15" s="100">
        <f>C10*F10/1000</f>
        <v>3040</v>
      </c>
      <c r="H15" s="107">
        <f>E10*F10</f>
        <v>4408</v>
      </c>
    </row>
    <row r="16" spans="2:8" ht="12.75">
      <c r="B16" s="140">
        <v>1988</v>
      </c>
      <c r="C16" s="148">
        <f t="shared" si="1"/>
        <v>8724000</v>
      </c>
      <c r="D16" s="142">
        <v>2.9</v>
      </c>
      <c r="E16" s="100">
        <f t="shared" si="0"/>
        <v>12649.8</v>
      </c>
      <c r="F16" s="149">
        <v>1</v>
      </c>
      <c r="G16" s="100">
        <f aca="true" t="shared" si="2" ref="G16:G38">C11*F11/1000</f>
        <v>5450</v>
      </c>
      <c r="H16" s="107">
        <f aca="true" t="shared" si="3" ref="H16:H38">E11*F11</f>
        <v>7902.5</v>
      </c>
    </row>
    <row r="17" spans="2:8" ht="12.75">
      <c r="B17" s="140">
        <v>1989</v>
      </c>
      <c r="C17" s="148">
        <v>17522737</v>
      </c>
      <c r="D17" s="142">
        <v>2.9</v>
      </c>
      <c r="E17" s="100">
        <f>C17*D17/2000</f>
        <v>25407.96865</v>
      </c>
      <c r="F17" s="149">
        <v>1</v>
      </c>
      <c r="G17" s="100">
        <f t="shared" si="2"/>
        <v>6660</v>
      </c>
      <c r="H17" s="107">
        <f t="shared" si="3"/>
        <v>9657</v>
      </c>
    </row>
    <row r="18" spans="2:8" ht="12.75">
      <c r="B18" s="140">
        <v>1990</v>
      </c>
      <c r="C18" s="148">
        <v>21737704</v>
      </c>
      <c r="D18" s="142">
        <v>2.9</v>
      </c>
      <c r="E18" s="100">
        <f aca="true" t="shared" si="4" ref="E18:E32">C18*D18/2000</f>
        <v>31519.6708</v>
      </c>
      <c r="F18" s="149">
        <v>1</v>
      </c>
      <c r="G18" s="100">
        <f t="shared" si="2"/>
        <v>5760</v>
      </c>
      <c r="H18" s="107">
        <f t="shared" si="3"/>
        <v>8352</v>
      </c>
    </row>
    <row r="19" spans="2:8" ht="12.75">
      <c r="B19" s="140">
        <v>1991</v>
      </c>
      <c r="C19" s="148">
        <v>26962186</v>
      </c>
      <c r="D19" s="142">
        <v>2.9</v>
      </c>
      <c r="E19" s="100">
        <f t="shared" si="4"/>
        <v>39095.1697</v>
      </c>
      <c r="F19" s="149">
        <v>1</v>
      </c>
      <c r="G19" s="100">
        <f t="shared" si="2"/>
        <v>6851</v>
      </c>
      <c r="H19" s="107">
        <f t="shared" si="3"/>
        <v>9933.95</v>
      </c>
    </row>
    <row r="20" spans="2:8" ht="12.75">
      <c r="B20" s="140">
        <v>1992</v>
      </c>
      <c r="C20" s="148">
        <v>37631450</v>
      </c>
      <c r="D20" s="142">
        <v>2.9</v>
      </c>
      <c r="E20" s="100">
        <f t="shared" si="4"/>
        <v>54565.6025</v>
      </c>
      <c r="F20" s="149">
        <v>1</v>
      </c>
      <c r="G20" s="100">
        <f t="shared" si="2"/>
        <v>8202</v>
      </c>
      <c r="H20" s="107">
        <f t="shared" si="3"/>
        <v>11892.9</v>
      </c>
    </row>
    <row r="21" spans="2:8" ht="12.75">
      <c r="B21" s="140">
        <v>1993</v>
      </c>
      <c r="C21" s="148">
        <v>36064807</v>
      </c>
      <c r="D21" s="142">
        <v>2.9</v>
      </c>
      <c r="E21" s="100">
        <f t="shared" si="4"/>
        <v>52293.97015</v>
      </c>
      <c r="F21" s="149">
        <v>1</v>
      </c>
      <c r="G21" s="100">
        <f t="shared" si="2"/>
        <v>8724</v>
      </c>
      <c r="H21" s="107">
        <f t="shared" si="3"/>
        <v>12649.8</v>
      </c>
    </row>
    <row r="22" spans="2:8" ht="12.75">
      <c r="B22" s="140">
        <v>1994</v>
      </c>
      <c r="C22" s="148">
        <v>41441594</v>
      </c>
      <c r="D22" s="142">
        <v>2.9</v>
      </c>
      <c r="E22" s="100">
        <f t="shared" si="4"/>
        <v>60090.311299999994</v>
      </c>
      <c r="F22" s="149">
        <v>1</v>
      </c>
      <c r="G22" s="100">
        <f t="shared" si="2"/>
        <v>17522.737</v>
      </c>
      <c r="H22" s="107">
        <f t="shared" si="3"/>
        <v>25407.96865</v>
      </c>
    </row>
    <row r="23" spans="2:8" ht="12.75">
      <c r="B23" s="140">
        <v>1995</v>
      </c>
      <c r="C23" s="148">
        <v>47596105</v>
      </c>
      <c r="D23" s="142">
        <v>2.9</v>
      </c>
      <c r="E23" s="100">
        <f t="shared" si="4"/>
        <v>69014.35225</v>
      </c>
      <c r="F23" s="149">
        <v>1</v>
      </c>
      <c r="G23" s="100">
        <f t="shared" si="2"/>
        <v>21737.704</v>
      </c>
      <c r="H23" s="107">
        <f t="shared" si="3"/>
        <v>31519.6708</v>
      </c>
    </row>
    <row r="24" spans="2:8" ht="12.75">
      <c r="B24" s="140">
        <v>1996</v>
      </c>
      <c r="C24" s="148">
        <v>53750616</v>
      </c>
      <c r="D24" s="142">
        <v>2.9</v>
      </c>
      <c r="E24" s="100">
        <f t="shared" si="4"/>
        <v>77938.3932</v>
      </c>
      <c r="F24" s="149">
        <v>1</v>
      </c>
      <c r="G24" s="100">
        <f t="shared" si="2"/>
        <v>26962.186</v>
      </c>
      <c r="H24" s="107">
        <f t="shared" si="3"/>
        <v>39095.1697</v>
      </c>
    </row>
    <row r="25" spans="2:8" ht="12.75">
      <c r="B25" s="140">
        <v>1997</v>
      </c>
      <c r="C25" s="148">
        <v>55604550</v>
      </c>
      <c r="D25" s="142">
        <v>2.9</v>
      </c>
      <c r="E25" s="100">
        <f t="shared" si="4"/>
        <v>80626.5975</v>
      </c>
      <c r="F25" s="149">
        <v>1</v>
      </c>
      <c r="G25" s="100">
        <f t="shared" si="2"/>
        <v>37631.45</v>
      </c>
      <c r="H25" s="107">
        <f t="shared" si="3"/>
        <v>54565.6025</v>
      </c>
    </row>
    <row r="26" spans="2:8" ht="12.75">
      <c r="B26" s="140">
        <v>1998</v>
      </c>
      <c r="C26" s="148">
        <v>64956872</v>
      </c>
      <c r="D26" s="142">
        <v>2.9</v>
      </c>
      <c r="E26" s="100">
        <f t="shared" si="4"/>
        <v>94187.4644</v>
      </c>
      <c r="F26" s="149">
        <v>1</v>
      </c>
      <c r="G26" s="100">
        <f t="shared" si="2"/>
        <v>36064.807</v>
      </c>
      <c r="H26" s="107">
        <f t="shared" si="3"/>
        <v>52293.97015</v>
      </c>
    </row>
    <row r="27" spans="2:8" ht="12.75">
      <c r="B27" s="140">
        <v>1999</v>
      </c>
      <c r="C27" s="148">
        <v>63675073</v>
      </c>
      <c r="D27" s="142">
        <v>2.9</v>
      </c>
      <c r="E27" s="100">
        <f t="shared" si="4"/>
        <v>92328.85584999999</v>
      </c>
      <c r="F27" s="149">
        <v>1</v>
      </c>
      <c r="G27" s="100">
        <f t="shared" si="2"/>
        <v>41441.594</v>
      </c>
      <c r="H27" s="107">
        <f t="shared" si="3"/>
        <v>60090.311299999994</v>
      </c>
    </row>
    <row r="28" spans="2:10" ht="12.75">
      <c r="B28" s="140">
        <v>2000</v>
      </c>
      <c r="C28" s="148">
        <v>51733253</v>
      </c>
      <c r="D28" s="142">
        <v>2.9</v>
      </c>
      <c r="E28" s="100">
        <f t="shared" si="4"/>
        <v>75013.21685</v>
      </c>
      <c r="F28" s="149">
        <v>1</v>
      </c>
      <c r="G28" s="100">
        <f t="shared" si="2"/>
        <v>47596.105</v>
      </c>
      <c r="H28" s="107">
        <f t="shared" si="3"/>
        <v>69014.35225</v>
      </c>
      <c r="J28" s="403"/>
    </row>
    <row r="29" spans="2:10" ht="12.75">
      <c r="B29" s="140">
        <v>2001</v>
      </c>
      <c r="C29" s="148">
        <v>43805273</v>
      </c>
      <c r="D29" s="142">
        <v>2.9</v>
      </c>
      <c r="E29" s="100">
        <f t="shared" si="4"/>
        <v>63517.64585</v>
      </c>
      <c r="F29" s="149">
        <v>1</v>
      </c>
      <c r="G29" s="100">
        <f t="shared" si="2"/>
        <v>53750.616</v>
      </c>
      <c r="H29" s="107">
        <f t="shared" si="3"/>
        <v>77938.3932</v>
      </c>
      <c r="J29" s="403"/>
    </row>
    <row r="30" spans="2:10" ht="12.75">
      <c r="B30" s="140">
        <v>2002</v>
      </c>
      <c r="C30" s="148">
        <v>48587644</v>
      </c>
      <c r="D30" s="142">
        <v>2.9</v>
      </c>
      <c r="E30" s="100">
        <f t="shared" si="4"/>
        <v>70452.0838</v>
      </c>
      <c r="F30" s="149">
        <v>1</v>
      </c>
      <c r="G30" s="100">
        <f t="shared" si="2"/>
        <v>55604.55</v>
      </c>
      <c r="H30" s="107">
        <f t="shared" si="3"/>
        <v>80626.5975</v>
      </c>
      <c r="J30" s="403"/>
    </row>
    <row r="31" spans="2:10" ht="12.75">
      <c r="B31" s="140">
        <v>2003</v>
      </c>
      <c r="C31" s="148">
        <v>51259676</v>
      </c>
      <c r="D31" s="142">
        <v>2.9</v>
      </c>
      <c r="E31" s="100">
        <f t="shared" si="4"/>
        <v>74326.53020000001</v>
      </c>
      <c r="F31" s="149">
        <v>1</v>
      </c>
      <c r="G31" s="100">
        <f t="shared" si="2"/>
        <v>64956.872</v>
      </c>
      <c r="H31" s="107">
        <f t="shared" si="3"/>
        <v>94187.4644</v>
      </c>
      <c r="J31" s="403"/>
    </row>
    <row r="32" spans="2:10" ht="12.75">
      <c r="B32" s="140">
        <v>2004</v>
      </c>
      <c r="C32" s="148">
        <v>47215338</v>
      </c>
      <c r="D32" s="142">
        <v>2.9</v>
      </c>
      <c r="E32" s="100">
        <f t="shared" si="4"/>
        <v>68462.2401</v>
      </c>
      <c r="F32" s="149">
        <v>1</v>
      </c>
      <c r="G32" s="100">
        <f t="shared" si="2"/>
        <v>63675.073</v>
      </c>
      <c r="H32" s="107">
        <f t="shared" si="3"/>
        <v>92328.85584999999</v>
      </c>
      <c r="J32" s="403"/>
    </row>
    <row r="33" spans="2:10" ht="12.75">
      <c r="B33" s="140">
        <v>2005</v>
      </c>
      <c r="C33" s="402">
        <v>44147000</v>
      </c>
      <c r="D33" s="142">
        <v>2.9</v>
      </c>
      <c r="E33" s="100">
        <f>C33*D33/2000</f>
        <v>64013.15</v>
      </c>
      <c r="F33" s="149">
        <v>1</v>
      </c>
      <c r="G33" s="100">
        <f t="shared" si="2"/>
        <v>51733.253</v>
      </c>
      <c r="H33" s="107">
        <f t="shared" si="3"/>
        <v>75013.21685</v>
      </c>
      <c r="J33" s="403"/>
    </row>
    <row r="34" spans="2:10" ht="12.75">
      <c r="B34" s="140">
        <v>2006</v>
      </c>
      <c r="C34" s="404">
        <v>44579000</v>
      </c>
      <c r="D34" s="142">
        <v>2.9</v>
      </c>
      <c r="E34" s="100">
        <f>C34*D34/2000</f>
        <v>64639.55</v>
      </c>
      <c r="F34" s="149">
        <v>1</v>
      </c>
      <c r="G34" s="100">
        <f t="shared" si="2"/>
        <v>43805.273</v>
      </c>
      <c r="H34" s="107">
        <f t="shared" si="3"/>
        <v>63517.64585</v>
      </c>
      <c r="J34" s="403"/>
    </row>
    <row r="35" spans="2:8" ht="12.75">
      <c r="B35" s="140">
        <v>2007</v>
      </c>
      <c r="C35" s="108">
        <v>43100000</v>
      </c>
      <c r="D35" s="142">
        <v>2.9</v>
      </c>
      <c r="E35" s="100">
        <f>C35*D35/2000</f>
        <v>62495</v>
      </c>
      <c r="F35" s="149">
        <v>1</v>
      </c>
      <c r="G35" s="100">
        <f t="shared" si="2"/>
        <v>48587.644</v>
      </c>
      <c r="H35" s="107">
        <f t="shared" si="3"/>
        <v>70452.0838</v>
      </c>
    </row>
    <row r="36" spans="2:8" ht="12.75">
      <c r="B36" s="140">
        <v>2008</v>
      </c>
      <c r="C36" s="99"/>
      <c r="D36" s="99"/>
      <c r="E36" s="100"/>
      <c r="F36" s="150"/>
      <c r="G36" s="100">
        <f t="shared" si="2"/>
        <v>51259.676</v>
      </c>
      <c r="H36" s="107">
        <f t="shared" si="3"/>
        <v>74326.53020000001</v>
      </c>
    </row>
    <row r="37" spans="2:8" ht="12.75">
      <c r="B37" s="140">
        <v>2009</v>
      </c>
      <c r="C37" s="99"/>
      <c r="D37" s="99"/>
      <c r="E37" s="100"/>
      <c r="F37" s="150"/>
      <c r="G37" s="100">
        <f t="shared" si="2"/>
        <v>47215.338</v>
      </c>
      <c r="H37" s="107">
        <f t="shared" si="3"/>
        <v>68462.2401</v>
      </c>
    </row>
    <row r="38" spans="2:8" ht="12.75">
      <c r="B38" s="140">
        <v>2010</v>
      </c>
      <c r="C38" s="99"/>
      <c r="D38" s="99"/>
      <c r="E38" s="100"/>
      <c r="F38" s="150"/>
      <c r="G38" s="100">
        <f t="shared" si="2"/>
        <v>44147</v>
      </c>
      <c r="H38" s="107">
        <f t="shared" si="3"/>
        <v>64013.15</v>
      </c>
    </row>
    <row r="39" spans="2:8" ht="13.5" thickBot="1">
      <c r="B39" s="166"/>
      <c r="C39" s="115" t="s">
        <v>5</v>
      </c>
      <c r="D39" s="115"/>
      <c r="E39" s="119"/>
      <c r="F39" s="157"/>
      <c r="G39" s="119">
        <f>SUM(G8:G38)</f>
        <v>801320.8134838709</v>
      </c>
      <c r="H39" s="116">
        <f>SUM(H8:H38)</f>
        <v>1161915.1795516128</v>
      </c>
    </row>
    <row r="40" spans="2:8" ht="13.5" hidden="1" thickBot="1">
      <c r="B40" s="162"/>
      <c r="C40" s="27"/>
      <c r="D40" s="27"/>
      <c r="E40" s="14">
        <f>C40*$E$2</f>
        <v>0</v>
      </c>
      <c r="F40" s="155"/>
      <c r="G40" s="156"/>
      <c r="H40" s="160"/>
    </row>
    <row r="41" ht="12.75">
      <c r="B41" s="163"/>
    </row>
    <row r="42" ht="12.75">
      <c r="B42" s="163"/>
    </row>
    <row r="43" ht="12.75">
      <c r="B43" s="163"/>
    </row>
    <row r="44" ht="12.75">
      <c r="B44" s="163"/>
    </row>
    <row r="45" ht="12.75">
      <c r="B45" s="163"/>
    </row>
    <row r="46" ht="12.75">
      <c r="B46" s="163"/>
    </row>
    <row r="47" ht="12.75">
      <c r="B47" s="163"/>
    </row>
    <row r="48" ht="12.75">
      <c r="B48" s="163"/>
    </row>
    <row r="49" ht="12.75">
      <c r="B49" s="163"/>
    </row>
    <row r="50" ht="12.75">
      <c r="B50" s="163"/>
    </row>
    <row r="51" ht="12.75">
      <c r="B51" s="163"/>
    </row>
    <row r="52" ht="12.75">
      <c r="B52" s="163"/>
    </row>
    <row r="53" spans="2:3" ht="12.75">
      <c r="B53" s="120" t="s">
        <v>0</v>
      </c>
      <c r="C53" s="369" t="s">
        <v>68</v>
      </c>
    </row>
    <row r="54" spans="2:3" ht="12.75">
      <c r="B54" s="158"/>
      <c r="C54" s="144" t="s">
        <v>69</v>
      </c>
    </row>
    <row r="55" spans="2:3" ht="12.75">
      <c r="B55" s="123">
        <v>1980</v>
      </c>
      <c r="C55" s="370">
        <f>Desktops!C8</f>
        <v>980645.1612903225</v>
      </c>
    </row>
    <row r="56" spans="2:3" ht="12.75">
      <c r="B56" s="123">
        <v>1981</v>
      </c>
      <c r="C56" s="370">
        <f>Desktops!C9</f>
        <v>1961290.322580645</v>
      </c>
    </row>
    <row r="57" spans="2:4" ht="12.75">
      <c r="B57" s="123">
        <v>1982</v>
      </c>
      <c r="C57" s="370">
        <f>Desktops!C10</f>
        <v>3040000</v>
      </c>
      <c r="D57" s="154"/>
    </row>
    <row r="58" spans="2:4" ht="12.75">
      <c r="B58" s="123">
        <v>1983</v>
      </c>
      <c r="C58" s="370">
        <f>Desktops!C11</f>
        <v>5450000</v>
      </c>
      <c r="D58" s="154"/>
    </row>
    <row r="59" spans="2:4" ht="12.75">
      <c r="B59" s="123">
        <v>1984</v>
      </c>
      <c r="C59" s="370">
        <f>Desktops!C12</f>
        <v>6660000</v>
      </c>
      <c r="D59" s="154"/>
    </row>
    <row r="60" spans="2:4" ht="12.75">
      <c r="B60" s="123">
        <v>1985</v>
      </c>
      <c r="C60" s="370">
        <f>Desktops!C13</f>
        <v>5760000</v>
      </c>
      <c r="D60" s="154"/>
    </row>
    <row r="61" spans="2:4" ht="12.75">
      <c r="B61" s="123">
        <v>1986</v>
      </c>
      <c r="C61" s="370">
        <f>Desktops!C14</f>
        <v>6851000</v>
      </c>
      <c r="D61" s="154"/>
    </row>
    <row r="62" spans="2:4" ht="12.75">
      <c r="B62" s="123">
        <v>1987</v>
      </c>
      <c r="C62" s="370">
        <f>Desktops!C15</f>
        <v>8202000</v>
      </c>
      <c r="D62" s="154"/>
    </row>
    <row r="63" spans="2:4" ht="12.75">
      <c r="B63" s="123">
        <v>1988</v>
      </c>
      <c r="C63" s="370">
        <f>Desktops!C16</f>
        <v>8724000</v>
      </c>
      <c r="D63" s="154"/>
    </row>
    <row r="64" spans="2:5" ht="12.75">
      <c r="B64" s="123">
        <v>1989</v>
      </c>
      <c r="C64" s="370">
        <f>Desktops!C17</f>
        <v>8905801</v>
      </c>
      <c r="D64" s="154"/>
      <c r="E64" s="161"/>
    </row>
    <row r="65" spans="2:5" ht="12.75">
      <c r="B65" s="123">
        <v>1990</v>
      </c>
      <c r="C65" s="370">
        <f>Desktops!C18</f>
        <v>9485529</v>
      </c>
      <c r="D65" s="154"/>
      <c r="E65" s="161"/>
    </row>
    <row r="66" spans="2:5" ht="12.75">
      <c r="B66" s="123">
        <v>1991</v>
      </c>
      <c r="C66" s="370">
        <f>Desktops!C19</f>
        <v>9523762</v>
      </c>
      <c r="D66" s="154"/>
      <c r="E66" s="161"/>
    </row>
    <row r="67" spans="2:5" ht="12.75">
      <c r="B67" s="123">
        <v>1992</v>
      </c>
      <c r="C67" s="370">
        <f>Desktops!C20</f>
        <v>9911000</v>
      </c>
      <c r="D67" s="154"/>
      <c r="E67" s="161"/>
    </row>
    <row r="68" spans="2:5" ht="12.75">
      <c r="B68" s="123">
        <v>1993</v>
      </c>
      <c r="C68" s="370">
        <f>Desktops!C21</f>
        <v>13022020.56</v>
      </c>
      <c r="D68" s="154"/>
      <c r="E68" s="161"/>
    </row>
    <row r="69" spans="2:5" ht="12.75">
      <c r="B69" s="123">
        <v>1994</v>
      </c>
      <c r="C69" s="370">
        <f>Desktops!C22</f>
        <v>15296184</v>
      </c>
      <c r="D69" s="154"/>
      <c r="E69" s="161"/>
    </row>
    <row r="70" spans="2:5" ht="12.75">
      <c r="B70" s="123">
        <v>1995</v>
      </c>
      <c r="C70" s="370">
        <f>Desktops!C23</f>
        <v>19139858</v>
      </c>
      <c r="D70" s="154"/>
      <c r="E70" s="161"/>
    </row>
    <row r="71" spans="2:5" ht="12.75">
      <c r="B71" s="123">
        <v>1996</v>
      </c>
      <c r="C71" s="370">
        <f>Desktops!C24</f>
        <v>22420954</v>
      </c>
      <c r="D71" s="154"/>
      <c r="E71" s="161"/>
    </row>
    <row r="72" spans="2:5" ht="12.75">
      <c r="B72" s="123">
        <v>1997</v>
      </c>
      <c r="C72" s="370">
        <f>Desktops!C25</f>
        <v>26767206</v>
      </c>
      <c r="D72" s="154"/>
      <c r="E72" s="161"/>
    </row>
    <row r="73" spans="2:5" ht="12.75">
      <c r="B73" s="123">
        <v>1998</v>
      </c>
      <c r="C73" s="370">
        <f>Desktops!C26</f>
        <v>32525826</v>
      </c>
      <c r="D73" s="154"/>
      <c r="E73" s="161"/>
    </row>
    <row r="74" spans="2:5" ht="12.75">
      <c r="B74" s="123">
        <v>1999</v>
      </c>
      <c r="C74" s="370">
        <f>Desktops!C27</f>
        <v>39488308</v>
      </c>
      <c r="D74" s="154"/>
      <c r="E74" s="161"/>
    </row>
    <row r="75" spans="2:5" ht="12.75">
      <c r="B75" s="123">
        <v>2000</v>
      </c>
      <c r="C75" s="370">
        <f>Desktops!C28</f>
        <v>40822348</v>
      </c>
      <c r="D75" s="154"/>
      <c r="E75" s="161"/>
    </row>
    <row r="76" spans="2:5" ht="12.75">
      <c r="B76" s="123">
        <v>2001</v>
      </c>
      <c r="C76" s="370">
        <f>Desktops!C29</f>
        <v>35092536</v>
      </c>
      <c r="D76" s="154"/>
      <c r="E76" s="161"/>
    </row>
    <row r="77" spans="2:5" ht="12.75">
      <c r="B77" s="123">
        <v>2002</v>
      </c>
      <c r="C77" s="370">
        <f>Desktops!C30</f>
        <v>35082080</v>
      </c>
      <c r="D77" s="154"/>
      <c r="E77" s="161"/>
    </row>
    <row r="78" spans="2:5" ht="12.75">
      <c r="B78" s="123">
        <v>2003</v>
      </c>
      <c r="C78" s="370">
        <f>Desktops!C31</f>
        <v>36959328</v>
      </c>
      <c r="D78" s="154"/>
      <c r="E78" s="161"/>
    </row>
    <row r="79" spans="2:5" ht="12.75">
      <c r="B79" s="123">
        <v>2004</v>
      </c>
      <c r="C79" s="370">
        <f>Desktops!C32</f>
        <v>39352168</v>
      </c>
      <c r="D79" s="154"/>
      <c r="E79" s="161"/>
    </row>
    <row r="80" ht="12.75">
      <c r="B80" s="163"/>
    </row>
    <row r="81" ht="12.75">
      <c r="B81" s="163"/>
    </row>
    <row r="82" ht="12.75">
      <c r="B82" s="163"/>
    </row>
    <row r="83" ht="12.75">
      <c r="B83" s="163"/>
    </row>
    <row r="84" ht="12.75">
      <c r="B84" s="163"/>
    </row>
    <row r="85" ht="12.75">
      <c r="B85" s="163"/>
    </row>
    <row r="86" ht="12.75">
      <c r="B86" s="163"/>
    </row>
    <row r="87" ht="12.75">
      <c r="B87" s="163"/>
    </row>
    <row r="88" ht="12.75">
      <c r="B88" s="163"/>
    </row>
    <row r="89" ht="12.75">
      <c r="B89" s="163"/>
    </row>
    <row r="90" ht="12.75">
      <c r="B90" s="163"/>
    </row>
    <row r="91" ht="12.75">
      <c r="B91" s="163"/>
    </row>
    <row r="92" ht="12.75">
      <c r="B92" s="163"/>
    </row>
    <row r="93" ht="12.75">
      <c r="B93" s="163"/>
    </row>
    <row r="94" ht="12.75">
      <c r="B94" s="163"/>
    </row>
    <row r="95" ht="12.75">
      <c r="B95" s="163"/>
    </row>
    <row r="96" ht="12.75">
      <c r="B96" s="163"/>
    </row>
    <row r="97" ht="12.75">
      <c r="B97" s="163"/>
    </row>
    <row r="98" ht="12.75">
      <c r="B98" s="163"/>
    </row>
    <row r="99" ht="12.75">
      <c r="B99" s="163"/>
    </row>
    <row r="100" ht="12.75">
      <c r="B100" s="163"/>
    </row>
    <row r="101" ht="12.75">
      <c r="B101" s="163"/>
    </row>
    <row r="102" ht="12.75">
      <c r="B102" s="163"/>
    </row>
    <row r="103" ht="12.75">
      <c r="B103" s="163"/>
    </row>
    <row r="104" ht="12.75">
      <c r="B104" s="163"/>
    </row>
    <row r="105" ht="12.75">
      <c r="B105" s="163"/>
    </row>
    <row r="106" ht="12.75">
      <c r="B106" s="163"/>
    </row>
    <row r="107" ht="12.75">
      <c r="B107" s="163"/>
    </row>
    <row r="108" ht="12.75">
      <c r="B108" s="163"/>
    </row>
    <row r="109" ht="12.75">
      <c r="B109" s="163"/>
    </row>
    <row r="110" ht="12.75">
      <c r="B110" s="163"/>
    </row>
    <row r="111" ht="12.75">
      <c r="B111" s="163"/>
    </row>
    <row r="112" ht="12.75">
      <c r="B112" s="163"/>
    </row>
    <row r="113" ht="12.75">
      <c r="B113" s="163"/>
    </row>
    <row r="114" ht="12.75">
      <c r="B114" s="163"/>
    </row>
    <row r="115" ht="12.75">
      <c r="B115" s="163"/>
    </row>
    <row r="116" ht="12.75">
      <c r="B116" s="163"/>
    </row>
    <row r="117" ht="12.75">
      <c r="B117" s="163"/>
    </row>
    <row r="118" ht="12.75">
      <c r="B118" s="163"/>
    </row>
    <row r="119" ht="12.75">
      <c r="B119" s="163"/>
    </row>
    <row r="120" ht="12.75">
      <c r="B120" s="163"/>
    </row>
    <row r="121" ht="12.75">
      <c r="B121" s="163"/>
    </row>
    <row r="122" ht="12.75">
      <c r="B122" s="163"/>
    </row>
    <row r="123" ht="12.75">
      <c r="B123" s="163"/>
    </row>
    <row r="124" ht="12.75">
      <c r="B124" s="163"/>
    </row>
    <row r="125" ht="12.75">
      <c r="B125" s="163"/>
    </row>
    <row r="126" ht="12.75">
      <c r="B126" s="163"/>
    </row>
    <row r="127" ht="12.75">
      <c r="B127" s="163"/>
    </row>
    <row r="128" ht="12.75">
      <c r="B128" s="163"/>
    </row>
    <row r="129" ht="12.75">
      <c r="B129" s="163"/>
    </row>
    <row r="130" ht="12.75">
      <c r="B130" s="163"/>
    </row>
  </sheetData>
  <mergeCells count="4">
    <mergeCell ref="G5:H5"/>
    <mergeCell ref="G6:H6"/>
    <mergeCell ref="B3:E3"/>
    <mergeCell ref="B1:H1"/>
  </mergeCells>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2:AU76"/>
  <sheetViews>
    <sheetView workbookViewId="0" topLeftCell="A1">
      <selection activeCell="A35" sqref="A35:IV35"/>
    </sheetView>
  </sheetViews>
  <sheetFormatPr defaultColWidth="9.140625" defaultRowHeight="12.75"/>
  <cols>
    <col min="1" max="2" width="9.140625" style="21" customWidth="1"/>
    <col min="3" max="3" width="10.8515625" style="21" bestFit="1" customWidth="1"/>
    <col min="4" max="4" width="9.140625" style="21" customWidth="1"/>
    <col min="5" max="5" width="11.28125" style="21" bestFit="1" customWidth="1"/>
    <col min="6" max="9" width="7.57421875" style="21" customWidth="1"/>
    <col min="10" max="11" width="9.140625" style="21" customWidth="1"/>
    <col min="12" max="12" width="10.28125" style="21" bestFit="1" customWidth="1"/>
    <col min="13" max="16384" width="9.140625" style="21" customWidth="1"/>
  </cols>
  <sheetData>
    <row r="2" spans="2:47" ht="12.75">
      <c r="B2" s="456" t="s">
        <v>154</v>
      </c>
      <c r="C2" s="456"/>
      <c r="D2" s="456"/>
      <c r="E2" s="456"/>
      <c r="F2" s="456"/>
      <c r="G2" s="456"/>
      <c r="H2" s="456"/>
      <c r="I2" s="456"/>
      <c r="J2" s="456"/>
      <c r="K2" s="456"/>
      <c r="L2" s="456"/>
      <c r="M2" s="456"/>
      <c r="N2" s="456"/>
      <c r="O2" s="456"/>
      <c r="P2" s="456"/>
      <c r="Q2" s="456"/>
      <c r="R2" s="456"/>
      <c r="S2" s="456"/>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row>
    <row r="3" spans="2:47" ht="12.75" hidden="1">
      <c r="B3" s="17"/>
      <c r="C3" s="133"/>
      <c r="D3" s="133"/>
      <c r="E3" s="151"/>
      <c r="F3" s="24"/>
      <c r="G3" s="223"/>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row>
    <row r="4" spans="2:47" ht="13.5" customHeight="1" thickBot="1">
      <c r="B4" s="265"/>
      <c r="C4" s="265"/>
      <c r="D4" s="265"/>
      <c r="E4" s="265"/>
      <c r="F4" s="143"/>
      <c r="G4" s="143"/>
      <c r="H4" s="143"/>
      <c r="I4" s="143"/>
      <c r="J4" s="143"/>
      <c r="K4" s="143"/>
      <c r="L4" s="143"/>
      <c r="M4" s="143"/>
      <c r="N4" s="143"/>
      <c r="O4" s="143"/>
      <c r="P4" s="143"/>
      <c r="Q4" s="143"/>
      <c r="R4" s="143"/>
      <c r="S4" s="143"/>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row>
    <row r="5" spans="2:19" ht="12.75">
      <c r="B5" s="221" t="s">
        <v>6</v>
      </c>
      <c r="C5" s="222"/>
      <c r="D5" s="222"/>
      <c r="E5" s="222"/>
      <c r="F5" s="548" t="s">
        <v>14</v>
      </c>
      <c r="G5" s="548"/>
      <c r="H5" s="548"/>
      <c r="I5" s="548"/>
      <c r="J5" s="548" t="s">
        <v>48</v>
      </c>
      <c r="K5" s="548"/>
      <c r="L5" s="548"/>
      <c r="M5" s="548"/>
      <c r="N5" s="548"/>
      <c r="O5" s="548"/>
      <c r="P5" s="548"/>
      <c r="Q5" s="548"/>
      <c r="R5" s="548"/>
      <c r="S5" s="549"/>
    </row>
    <row r="6" spans="2:19" ht="12.75">
      <c r="B6" s="248" t="s">
        <v>0</v>
      </c>
      <c r="C6" s="121" t="s">
        <v>1</v>
      </c>
      <c r="D6" s="121" t="s">
        <v>3</v>
      </c>
      <c r="E6" s="121" t="s">
        <v>2</v>
      </c>
      <c r="F6" s="550" t="s">
        <v>15</v>
      </c>
      <c r="G6" s="550"/>
      <c r="H6" s="550"/>
      <c r="I6" s="550"/>
      <c r="J6" s="550" t="s">
        <v>52</v>
      </c>
      <c r="K6" s="550"/>
      <c r="L6" s="550" t="s">
        <v>52</v>
      </c>
      <c r="M6" s="550"/>
      <c r="N6" s="550" t="s">
        <v>52</v>
      </c>
      <c r="O6" s="550"/>
      <c r="P6" s="550" t="s">
        <v>52</v>
      </c>
      <c r="Q6" s="550"/>
      <c r="R6" s="550" t="s">
        <v>16</v>
      </c>
      <c r="S6" s="551"/>
    </row>
    <row r="7" spans="2:19" ht="12.75">
      <c r="B7" s="247"/>
      <c r="C7" s="152"/>
      <c r="D7" s="152" t="s">
        <v>4</v>
      </c>
      <c r="E7" s="152"/>
      <c r="F7" s="98">
        <v>9</v>
      </c>
      <c r="G7" s="98">
        <v>9</v>
      </c>
      <c r="H7" s="98">
        <v>9</v>
      </c>
      <c r="I7" s="98">
        <v>9</v>
      </c>
      <c r="J7" s="98" t="s">
        <v>46</v>
      </c>
      <c r="K7" s="98" t="s">
        <v>2</v>
      </c>
      <c r="L7" s="98" t="s">
        <v>46</v>
      </c>
      <c r="M7" s="98" t="s">
        <v>2</v>
      </c>
      <c r="N7" s="98" t="s">
        <v>46</v>
      </c>
      <c r="O7" s="98" t="s">
        <v>2</v>
      </c>
      <c r="P7" s="98" t="s">
        <v>46</v>
      </c>
      <c r="Q7" s="98" t="s">
        <v>2</v>
      </c>
      <c r="R7" s="98" t="s">
        <v>46</v>
      </c>
      <c r="S7" s="103" t="s">
        <v>2</v>
      </c>
    </row>
    <row r="8" spans="2:19" ht="12.75">
      <c r="B8" s="247">
        <v>1980</v>
      </c>
      <c r="C8" s="152"/>
      <c r="D8" s="152"/>
      <c r="E8" s="152"/>
      <c r="F8" s="98"/>
      <c r="G8" s="98"/>
      <c r="H8" s="98"/>
      <c r="I8" s="98"/>
      <c r="J8" s="98"/>
      <c r="K8" s="98"/>
      <c r="L8" s="98"/>
      <c r="M8" s="98"/>
      <c r="N8" s="98"/>
      <c r="O8" s="98"/>
      <c r="P8" s="98"/>
      <c r="Q8" s="98"/>
      <c r="R8" s="98"/>
      <c r="S8" s="103"/>
    </row>
    <row r="9" spans="2:19" ht="12.75">
      <c r="B9" s="247">
        <v>1981</v>
      </c>
      <c r="C9" s="152"/>
      <c r="D9" s="152"/>
      <c r="E9" s="152"/>
      <c r="F9" s="98"/>
      <c r="G9" s="98"/>
      <c r="H9" s="98"/>
      <c r="I9" s="98"/>
      <c r="J9" s="98"/>
      <c r="K9" s="98"/>
      <c r="L9" s="98"/>
      <c r="M9" s="98"/>
      <c r="N9" s="98"/>
      <c r="O9" s="98"/>
      <c r="P9" s="98"/>
      <c r="Q9" s="98"/>
      <c r="R9" s="98"/>
      <c r="S9" s="103"/>
    </row>
    <row r="10" spans="2:19" ht="12.75">
      <c r="B10" s="140">
        <v>1982</v>
      </c>
      <c r="C10" s="148"/>
      <c r="D10" s="142"/>
      <c r="E10" s="100"/>
      <c r="F10" s="150"/>
      <c r="G10" s="164"/>
      <c r="H10" s="164"/>
      <c r="I10" s="164"/>
      <c r="J10" s="100"/>
      <c r="K10" s="100"/>
      <c r="L10" s="100"/>
      <c r="M10" s="100"/>
      <c r="N10" s="100"/>
      <c r="O10" s="100"/>
      <c r="P10" s="100"/>
      <c r="Q10" s="100"/>
      <c r="R10" s="100">
        <f>J10+L10+N10+P10</f>
        <v>0</v>
      </c>
      <c r="S10" s="107">
        <f>K10+M10+O10+Q10</f>
        <v>0</v>
      </c>
    </row>
    <row r="11" spans="2:19" ht="12.75">
      <c r="B11" s="140">
        <v>1983</v>
      </c>
      <c r="C11" s="148"/>
      <c r="D11" s="142"/>
      <c r="E11" s="100"/>
      <c r="F11" s="150"/>
      <c r="G11" s="164"/>
      <c r="H11" s="164"/>
      <c r="I11" s="164"/>
      <c r="J11" s="100"/>
      <c r="K11" s="100"/>
      <c r="L11" s="100"/>
      <c r="M11" s="100"/>
      <c r="N11" s="100"/>
      <c r="O11" s="100"/>
      <c r="P11" s="100"/>
      <c r="Q11" s="100"/>
      <c r="R11" s="100">
        <f aca="true" t="shared" si="0" ref="R11:S38">J11+L11+N11+P11</f>
        <v>0</v>
      </c>
      <c r="S11" s="107">
        <f t="shared" si="0"/>
        <v>0</v>
      </c>
    </row>
    <row r="12" spans="2:19" ht="12.75">
      <c r="B12" s="140">
        <v>1984</v>
      </c>
      <c r="C12" s="148"/>
      <c r="D12" s="142"/>
      <c r="E12" s="100"/>
      <c r="F12" s="150"/>
      <c r="G12" s="164"/>
      <c r="H12" s="164"/>
      <c r="I12" s="164"/>
      <c r="J12" s="100"/>
      <c r="K12" s="100"/>
      <c r="L12" s="100"/>
      <c r="M12" s="100"/>
      <c r="N12" s="100"/>
      <c r="O12" s="100"/>
      <c r="P12" s="100"/>
      <c r="Q12" s="100"/>
      <c r="R12" s="100">
        <f t="shared" si="0"/>
        <v>0</v>
      </c>
      <c r="S12" s="107">
        <f t="shared" si="0"/>
        <v>0</v>
      </c>
    </row>
    <row r="13" spans="2:19" ht="12.75">
      <c r="B13" s="140">
        <v>1985</v>
      </c>
      <c r="C13" s="148"/>
      <c r="D13" s="142"/>
      <c r="E13" s="100"/>
      <c r="F13" s="150"/>
      <c r="G13" s="164"/>
      <c r="H13" s="164"/>
      <c r="I13" s="164"/>
      <c r="J13" s="100"/>
      <c r="K13" s="100"/>
      <c r="L13" s="100"/>
      <c r="M13" s="100"/>
      <c r="N13" s="100"/>
      <c r="O13" s="100"/>
      <c r="P13" s="100"/>
      <c r="Q13" s="100"/>
      <c r="R13" s="100">
        <f t="shared" si="0"/>
        <v>0</v>
      </c>
      <c r="S13" s="107">
        <f t="shared" si="0"/>
        <v>0</v>
      </c>
    </row>
    <row r="14" spans="2:19" ht="12.75">
      <c r="B14" s="140">
        <v>1986</v>
      </c>
      <c r="C14" s="148"/>
      <c r="D14" s="142"/>
      <c r="E14" s="100"/>
      <c r="F14" s="150"/>
      <c r="G14" s="164"/>
      <c r="H14" s="164"/>
      <c r="I14" s="164"/>
      <c r="J14" s="100"/>
      <c r="K14" s="100"/>
      <c r="L14" s="100"/>
      <c r="M14" s="100"/>
      <c r="N14" s="100"/>
      <c r="O14" s="100"/>
      <c r="P14" s="100"/>
      <c r="Q14" s="100"/>
      <c r="R14" s="100">
        <f t="shared" si="0"/>
        <v>0</v>
      </c>
      <c r="S14" s="107">
        <f t="shared" si="0"/>
        <v>0</v>
      </c>
    </row>
    <row r="15" spans="2:19" ht="12.75">
      <c r="B15" s="140">
        <v>1987</v>
      </c>
      <c r="C15" s="148"/>
      <c r="D15" s="142"/>
      <c r="E15" s="100"/>
      <c r="F15" s="150"/>
      <c r="G15" s="164"/>
      <c r="H15" s="164"/>
      <c r="I15" s="164"/>
      <c r="J15" s="100"/>
      <c r="K15" s="100"/>
      <c r="L15" s="100"/>
      <c r="M15" s="100"/>
      <c r="N15" s="100"/>
      <c r="O15" s="100"/>
      <c r="P15" s="100"/>
      <c r="Q15" s="100"/>
      <c r="R15" s="100">
        <f t="shared" si="0"/>
        <v>0</v>
      </c>
      <c r="S15" s="107">
        <f t="shared" si="0"/>
        <v>0</v>
      </c>
    </row>
    <row r="16" spans="2:19" ht="12.75">
      <c r="B16" s="140">
        <v>1988</v>
      </c>
      <c r="C16" s="148"/>
      <c r="D16" s="142"/>
      <c r="E16" s="100"/>
      <c r="F16" s="150"/>
      <c r="G16" s="164"/>
      <c r="H16" s="164"/>
      <c r="I16" s="164"/>
      <c r="J16" s="100"/>
      <c r="K16" s="100"/>
      <c r="L16" s="100"/>
      <c r="M16" s="100"/>
      <c r="N16" s="100"/>
      <c r="O16" s="100"/>
      <c r="P16" s="100"/>
      <c r="Q16" s="100"/>
      <c r="R16" s="100">
        <f t="shared" si="0"/>
        <v>0</v>
      </c>
      <c r="S16" s="107">
        <f t="shared" si="0"/>
        <v>0</v>
      </c>
    </row>
    <row r="17" spans="2:19" ht="12.75">
      <c r="B17" s="140">
        <v>1989</v>
      </c>
      <c r="C17" s="148">
        <v>0</v>
      </c>
      <c r="D17" s="142">
        <v>29</v>
      </c>
      <c r="E17" s="100">
        <f>C17*D17/2000</f>
        <v>0</v>
      </c>
      <c r="F17" s="150">
        <v>0.25</v>
      </c>
      <c r="G17" s="164">
        <v>0.25</v>
      </c>
      <c r="H17" s="164">
        <v>0.25</v>
      </c>
      <c r="I17" s="164">
        <v>0.25</v>
      </c>
      <c r="J17" s="100"/>
      <c r="K17" s="100"/>
      <c r="L17" s="100"/>
      <c r="M17" s="100"/>
      <c r="N17" s="100"/>
      <c r="O17" s="100"/>
      <c r="P17" s="100"/>
      <c r="Q17" s="100"/>
      <c r="R17" s="100">
        <f t="shared" si="0"/>
        <v>0</v>
      </c>
      <c r="S17" s="107">
        <f t="shared" si="0"/>
        <v>0</v>
      </c>
    </row>
    <row r="18" spans="2:19" ht="12.75">
      <c r="B18" s="140">
        <v>1990</v>
      </c>
      <c r="C18" s="148">
        <v>0</v>
      </c>
      <c r="D18" s="142">
        <v>29</v>
      </c>
      <c r="E18" s="100">
        <f aca="true" t="shared" si="1" ref="E18:E32">C18*D18/2000</f>
        <v>0</v>
      </c>
      <c r="F18" s="150">
        <v>0.25</v>
      </c>
      <c r="G18" s="164">
        <v>0.25</v>
      </c>
      <c r="H18" s="164">
        <v>0.25</v>
      </c>
      <c r="I18" s="164">
        <v>0.25</v>
      </c>
      <c r="J18" s="100"/>
      <c r="K18" s="100"/>
      <c r="L18" s="100"/>
      <c r="M18" s="100"/>
      <c r="N18" s="100"/>
      <c r="O18" s="100"/>
      <c r="P18" s="100"/>
      <c r="Q18" s="100"/>
      <c r="R18" s="100">
        <f t="shared" si="0"/>
        <v>0</v>
      </c>
      <c r="S18" s="107">
        <f t="shared" si="0"/>
        <v>0</v>
      </c>
    </row>
    <row r="19" spans="2:19" ht="12.75">
      <c r="B19" s="140">
        <v>1991</v>
      </c>
      <c r="C19" s="148">
        <v>0</v>
      </c>
      <c r="D19" s="142">
        <v>29</v>
      </c>
      <c r="E19" s="100">
        <f t="shared" si="1"/>
        <v>0</v>
      </c>
      <c r="F19" s="150">
        <v>0.25</v>
      </c>
      <c r="G19" s="164">
        <v>0.25</v>
      </c>
      <c r="H19" s="164">
        <v>0.25</v>
      </c>
      <c r="I19" s="164">
        <v>0.25</v>
      </c>
      <c r="J19" s="100"/>
      <c r="K19" s="100"/>
      <c r="L19" s="100"/>
      <c r="M19" s="100"/>
      <c r="N19" s="100"/>
      <c r="O19" s="100"/>
      <c r="P19" s="100"/>
      <c r="Q19" s="100"/>
      <c r="R19" s="100">
        <f t="shared" si="0"/>
        <v>0</v>
      </c>
      <c r="S19" s="107">
        <f t="shared" si="0"/>
        <v>0</v>
      </c>
    </row>
    <row r="20" spans="2:19" ht="12.75">
      <c r="B20" s="140">
        <v>1992</v>
      </c>
      <c r="C20" s="148">
        <v>0</v>
      </c>
      <c r="D20" s="142">
        <v>29</v>
      </c>
      <c r="E20" s="100">
        <f t="shared" si="1"/>
        <v>0</v>
      </c>
      <c r="F20" s="150">
        <v>0.25</v>
      </c>
      <c r="G20" s="164">
        <v>0.25</v>
      </c>
      <c r="H20" s="164">
        <v>0.25</v>
      </c>
      <c r="I20" s="164">
        <v>0.25</v>
      </c>
      <c r="J20" s="100"/>
      <c r="K20" s="100"/>
      <c r="L20" s="100"/>
      <c r="M20" s="100"/>
      <c r="N20" s="100"/>
      <c r="O20" s="100"/>
      <c r="P20" s="100"/>
      <c r="Q20" s="100"/>
      <c r="R20" s="100">
        <f t="shared" si="0"/>
        <v>0</v>
      </c>
      <c r="S20" s="107">
        <f t="shared" si="0"/>
        <v>0</v>
      </c>
    </row>
    <row r="21" spans="2:19" ht="12.75">
      <c r="B21" s="140">
        <v>1993</v>
      </c>
      <c r="C21" s="148">
        <v>0</v>
      </c>
      <c r="D21" s="142">
        <v>29</v>
      </c>
      <c r="E21" s="100">
        <f t="shared" si="1"/>
        <v>0</v>
      </c>
      <c r="F21" s="150">
        <v>0.25</v>
      </c>
      <c r="G21" s="164">
        <v>0.25</v>
      </c>
      <c r="H21" s="164">
        <v>0.25</v>
      </c>
      <c r="I21" s="164">
        <v>0.25</v>
      </c>
      <c r="J21" s="100"/>
      <c r="K21" s="100"/>
      <c r="L21" s="100"/>
      <c r="M21" s="100"/>
      <c r="N21" s="100"/>
      <c r="O21" s="100"/>
      <c r="P21" s="100"/>
      <c r="Q21" s="100"/>
      <c r="R21" s="100">
        <f t="shared" si="0"/>
        <v>0</v>
      </c>
      <c r="S21" s="107">
        <f t="shared" si="0"/>
        <v>0</v>
      </c>
    </row>
    <row r="22" spans="2:19" ht="12.75">
      <c r="B22" s="140">
        <v>1994</v>
      </c>
      <c r="C22" s="148">
        <v>0</v>
      </c>
      <c r="D22" s="142">
        <v>29</v>
      </c>
      <c r="E22" s="100">
        <f t="shared" si="1"/>
        <v>0</v>
      </c>
      <c r="F22" s="150">
        <v>0.25</v>
      </c>
      <c r="G22" s="164">
        <v>0.25</v>
      </c>
      <c r="H22" s="164">
        <v>0.25</v>
      </c>
      <c r="I22" s="164">
        <v>0.25</v>
      </c>
      <c r="J22" s="100"/>
      <c r="K22" s="100"/>
      <c r="L22" s="100"/>
      <c r="M22" s="100"/>
      <c r="N22" s="100"/>
      <c r="O22" s="100"/>
      <c r="P22" s="100"/>
      <c r="Q22" s="100"/>
      <c r="R22" s="100">
        <f t="shared" si="0"/>
        <v>0</v>
      </c>
      <c r="S22" s="107">
        <f t="shared" si="0"/>
        <v>0</v>
      </c>
    </row>
    <row r="23" spans="2:19" ht="12.75">
      <c r="B23" s="140">
        <v>1995</v>
      </c>
      <c r="C23" s="148">
        <v>0</v>
      </c>
      <c r="D23" s="142">
        <v>29</v>
      </c>
      <c r="E23" s="100">
        <f t="shared" si="1"/>
        <v>0</v>
      </c>
      <c r="F23" s="150">
        <v>0.25</v>
      </c>
      <c r="G23" s="164">
        <v>0.25</v>
      </c>
      <c r="H23" s="164">
        <v>0.25</v>
      </c>
      <c r="I23" s="164">
        <v>0.25</v>
      </c>
      <c r="J23" s="100"/>
      <c r="K23" s="100"/>
      <c r="L23" s="100"/>
      <c r="M23" s="100"/>
      <c r="N23" s="100"/>
      <c r="O23" s="100"/>
      <c r="P23" s="100"/>
      <c r="Q23" s="100"/>
      <c r="R23" s="100">
        <f t="shared" si="0"/>
        <v>0</v>
      </c>
      <c r="S23" s="107">
        <f t="shared" si="0"/>
        <v>0</v>
      </c>
    </row>
    <row r="24" spans="2:19" ht="12.75">
      <c r="B24" s="140">
        <v>1996</v>
      </c>
      <c r="C24" s="148">
        <v>0</v>
      </c>
      <c r="D24" s="142">
        <v>29</v>
      </c>
      <c r="E24" s="100">
        <f t="shared" si="1"/>
        <v>0</v>
      </c>
      <c r="F24" s="150">
        <v>0.25</v>
      </c>
      <c r="G24" s="164">
        <v>0.25</v>
      </c>
      <c r="H24" s="164">
        <v>0.25</v>
      </c>
      <c r="I24" s="164">
        <v>0.25</v>
      </c>
      <c r="J24" s="100"/>
      <c r="K24" s="100"/>
      <c r="L24" s="100"/>
      <c r="M24" s="100"/>
      <c r="N24" s="100"/>
      <c r="O24" s="100"/>
      <c r="P24" s="100"/>
      <c r="Q24" s="100"/>
      <c r="R24" s="100">
        <f t="shared" si="0"/>
        <v>0</v>
      </c>
      <c r="S24" s="107">
        <f t="shared" si="0"/>
        <v>0</v>
      </c>
    </row>
    <row r="25" spans="2:19" ht="12.75">
      <c r="B25" s="140">
        <v>1997</v>
      </c>
      <c r="C25" s="148">
        <v>0</v>
      </c>
      <c r="D25" s="142">
        <v>29</v>
      </c>
      <c r="E25" s="100">
        <f t="shared" si="1"/>
        <v>0</v>
      </c>
      <c r="F25" s="150">
        <v>0.25</v>
      </c>
      <c r="G25" s="164">
        <v>0.25</v>
      </c>
      <c r="H25" s="164">
        <v>0.25</v>
      </c>
      <c r="I25" s="164">
        <v>0.25</v>
      </c>
      <c r="J25" s="100"/>
      <c r="K25" s="100"/>
      <c r="L25" s="100"/>
      <c r="M25" s="100"/>
      <c r="N25" s="100"/>
      <c r="O25" s="100"/>
      <c r="P25" s="100"/>
      <c r="Q25" s="100"/>
      <c r="R25" s="100">
        <f t="shared" si="0"/>
        <v>0</v>
      </c>
      <c r="S25" s="107">
        <f t="shared" si="0"/>
        <v>0</v>
      </c>
    </row>
    <row r="26" spans="2:19" ht="12.75">
      <c r="B26" s="140">
        <v>1998</v>
      </c>
      <c r="C26" s="148">
        <v>0</v>
      </c>
      <c r="D26" s="142">
        <v>29</v>
      </c>
      <c r="E26" s="100">
        <f t="shared" si="1"/>
        <v>0</v>
      </c>
      <c r="F26" s="150">
        <v>0.25</v>
      </c>
      <c r="G26" s="164">
        <v>0.25</v>
      </c>
      <c r="H26" s="164">
        <v>0.25</v>
      </c>
      <c r="I26" s="164">
        <v>0.25</v>
      </c>
      <c r="J26" s="100">
        <f>$C17*F17/1000</f>
        <v>0</v>
      </c>
      <c r="K26" s="100">
        <f>$E17*F17</f>
        <v>0</v>
      </c>
      <c r="L26" s="100">
        <f>$C17*G17/1000</f>
        <v>0</v>
      </c>
      <c r="M26" s="100">
        <f>$E17*G17</f>
        <v>0</v>
      </c>
      <c r="N26" s="100">
        <f>$C17*H17/1000</f>
        <v>0</v>
      </c>
      <c r="O26" s="100">
        <f>$E17*H17</f>
        <v>0</v>
      </c>
      <c r="P26" s="100">
        <f>$C17*I17/1000</f>
        <v>0</v>
      </c>
      <c r="Q26" s="100">
        <f>$E17*I17</f>
        <v>0</v>
      </c>
      <c r="R26" s="100">
        <f t="shared" si="0"/>
        <v>0</v>
      </c>
      <c r="S26" s="107">
        <f t="shared" si="0"/>
        <v>0</v>
      </c>
    </row>
    <row r="27" spans="2:19" ht="12.75">
      <c r="B27" s="140">
        <v>1999</v>
      </c>
      <c r="C27" s="148">
        <v>1631</v>
      </c>
      <c r="D27" s="142">
        <v>29</v>
      </c>
      <c r="E27" s="100">
        <f t="shared" si="1"/>
        <v>23.6495</v>
      </c>
      <c r="F27" s="150">
        <v>0.25</v>
      </c>
      <c r="G27" s="164">
        <v>0.25</v>
      </c>
      <c r="H27" s="164">
        <v>0.25</v>
      </c>
      <c r="I27" s="164">
        <v>0.25</v>
      </c>
      <c r="J27" s="100">
        <f aca="true" t="shared" si="2" ref="J27:J35">C18*F18/1000</f>
        <v>0</v>
      </c>
      <c r="K27" s="100">
        <f aca="true" t="shared" si="3" ref="K27:K38">E18*F18</f>
        <v>0</v>
      </c>
      <c r="L27" s="100">
        <f aca="true" t="shared" si="4" ref="L27:L38">$C18*G18/1000</f>
        <v>0</v>
      </c>
      <c r="M27" s="100">
        <f aca="true" t="shared" si="5" ref="M27:M38">$E18*G18</f>
        <v>0</v>
      </c>
      <c r="N27" s="100">
        <f aca="true" t="shared" si="6" ref="N27:N38">$C18*H18/1000</f>
        <v>0</v>
      </c>
      <c r="O27" s="100">
        <f aca="true" t="shared" si="7" ref="O27:O38">$E18*H18</f>
        <v>0</v>
      </c>
      <c r="P27" s="100">
        <f aca="true" t="shared" si="8" ref="P27:P38">$C18*I18/1000</f>
        <v>0</v>
      </c>
      <c r="Q27" s="100">
        <f aca="true" t="shared" si="9" ref="Q27:Q38">$E18*I18</f>
        <v>0</v>
      </c>
      <c r="R27" s="100">
        <f t="shared" si="0"/>
        <v>0</v>
      </c>
      <c r="S27" s="107">
        <f t="shared" si="0"/>
        <v>0</v>
      </c>
    </row>
    <row r="28" spans="2:19" ht="12.75">
      <c r="B28" s="140">
        <v>2000</v>
      </c>
      <c r="C28" s="148">
        <v>7552</v>
      </c>
      <c r="D28" s="142">
        <v>29</v>
      </c>
      <c r="E28" s="100">
        <f t="shared" si="1"/>
        <v>109.504</v>
      </c>
      <c r="F28" s="150">
        <v>0.25</v>
      </c>
      <c r="G28" s="164">
        <v>0.25</v>
      </c>
      <c r="H28" s="164">
        <v>0.25</v>
      </c>
      <c r="I28" s="164">
        <v>0.25</v>
      </c>
      <c r="J28" s="100">
        <f t="shared" si="2"/>
        <v>0</v>
      </c>
      <c r="K28" s="100">
        <f t="shared" si="3"/>
        <v>0</v>
      </c>
      <c r="L28" s="100">
        <f t="shared" si="4"/>
        <v>0</v>
      </c>
      <c r="M28" s="100">
        <f t="shared" si="5"/>
        <v>0</v>
      </c>
      <c r="N28" s="100">
        <f t="shared" si="6"/>
        <v>0</v>
      </c>
      <c r="O28" s="100">
        <f t="shared" si="7"/>
        <v>0</v>
      </c>
      <c r="P28" s="100">
        <f t="shared" si="8"/>
        <v>0</v>
      </c>
      <c r="Q28" s="100">
        <f t="shared" si="9"/>
        <v>0</v>
      </c>
      <c r="R28" s="100">
        <f t="shared" si="0"/>
        <v>0</v>
      </c>
      <c r="S28" s="107">
        <f t="shared" si="0"/>
        <v>0</v>
      </c>
    </row>
    <row r="29" spans="2:19" ht="12.75">
      <c r="B29" s="140">
        <v>2001</v>
      </c>
      <c r="C29" s="148">
        <v>54077</v>
      </c>
      <c r="D29" s="142">
        <v>29</v>
      </c>
      <c r="E29" s="100">
        <f t="shared" si="1"/>
        <v>784.1165</v>
      </c>
      <c r="F29" s="150">
        <v>0.25</v>
      </c>
      <c r="G29" s="164">
        <v>0.25</v>
      </c>
      <c r="H29" s="164">
        <v>0.25</v>
      </c>
      <c r="I29" s="164">
        <v>0.25</v>
      </c>
      <c r="J29" s="100">
        <f t="shared" si="2"/>
        <v>0</v>
      </c>
      <c r="K29" s="100">
        <f t="shared" si="3"/>
        <v>0</v>
      </c>
      <c r="L29" s="100">
        <f t="shared" si="4"/>
        <v>0</v>
      </c>
      <c r="M29" s="100">
        <f t="shared" si="5"/>
        <v>0</v>
      </c>
      <c r="N29" s="100">
        <f t="shared" si="6"/>
        <v>0</v>
      </c>
      <c r="O29" s="100">
        <f t="shared" si="7"/>
        <v>0</v>
      </c>
      <c r="P29" s="100">
        <f t="shared" si="8"/>
        <v>0</v>
      </c>
      <c r="Q29" s="100">
        <f t="shared" si="9"/>
        <v>0</v>
      </c>
      <c r="R29" s="100">
        <f t="shared" si="0"/>
        <v>0</v>
      </c>
      <c r="S29" s="107">
        <f t="shared" si="0"/>
        <v>0</v>
      </c>
    </row>
    <row r="30" spans="2:19" ht="12.75">
      <c r="B30" s="140">
        <v>2002</v>
      </c>
      <c r="C30" s="148">
        <v>191309</v>
      </c>
      <c r="D30" s="142">
        <v>29</v>
      </c>
      <c r="E30" s="100">
        <f t="shared" si="1"/>
        <v>2773.9805</v>
      </c>
      <c r="F30" s="150">
        <v>0.25</v>
      </c>
      <c r="G30" s="164">
        <v>0.25</v>
      </c>
      <c r="H30" s="164">
        <v>0.25</v>
      </c>
      <c r="I30" s="164">
        <v>0.25</v>
      </c>
      <c r="J30" s="100">
        <f t="shared" si="2"/>
        <v>0</v>
      </c>
      <c r="K30" s="100">
        <f t="shared" si="3"/>
        <v>0</v>
      </c>
      <c r="L30" s="100">
        <f t="shared" si="4"/>
        <v>0</v>
      </c>
      <c r="M30" s="100">
        <f t="shared" si="5"/>
        <v>0</v>
      </c>
      <c r="N30" s="100">
        <f t="shared" si="6"/>
        <v>0</v>
      </c>
      <c r="O30" s="100">
        <f t="shared" si="7"/>
        <v>0</v>
      </c>
      <c r="P30" s="100">
        <f t="shared" si="8"/>
        <v>0</v>
      </c>
      <c r="Q30" s="100">
        <f t="shared" si="9"/>
        <v>0</v>
      </c>
      <c r="R30" s="100">
        <f t="shared" si="0"/>
        <v>0</v>
      </c>
      <c r="S30" s="107">
        <f t="shared" si="0"/>
        <v>0</v>
      </c>
    </row>
    <row r="31" spans="2:19" ht="12.75">
      <c r="B31" s="140">
        <v>2003</v>
      </c>
      <c r="C31" s="148">
        <v>955227</v>
      </c>
      <c r="D31" s="142">
        <v>29</v>
      </c>
      <c r="E31" s="100">
        <f t="shared" si="1"/>
        <v>13850.7915</v>
      </c>
      <c r="F31" s="150">
        <v>0.25</v>
      </c>
      <c r="G31" s="164">
        <v>0.25</v>
      </c>
      <c r="H31" s="164">
        <v>0.25</v>
      </c>
      <c r="I31" s="164">
        <v>0.25</v>
      </c>
      <c r="J31" s="100">
        <f t="shared" si="2"/>
        <v>0</v>
      </c>
      <c r="K31" s="100">
        <f t="shared" si="3"/>
        <v>0</v>
      </c>
      <c r="L31" s="100">
        <f t="shared" si="4"/>
        <v>0</v>
      </c>
      <c r="M31" s="100">
        <f t="shared" si="5"/>
        <v>0</v>
      </c>
      <c r="N31" s="100">
        <f t="shared" si="6"/>
        <v>0</v>
      </c>
      <c r="O31" s="100">
        <f t="shared" si="7"/>
        <v>0</v>
      </c>
      <c r="P31" s="100">
        <f t="shared" si="8"/>
        <v>0</v>
      </c>
      <c r="Q31" s="100">
        <f t="shared" si="9"/>
        <v>0</v>
      </c>
      <c r="R31" s="100">
        <f t="shared" si="0"/>
        <v>0</v>
      </c>
      <c r="S31" s="107">
        <f t="shared" si="0"/>
        <v>0</v>
      </c>
    </row>
    <row r="32" spans="2:19" ht="12.75">
      <c r="B32" s="140">
        <v>2004</v>
      </c>
      <c r="C32" s="148">
        <v>2712216</v>
      </c>
      <c r="D32" s="142">
        <v>29</v>
      </c>
      <c r="E32" s="100">
        <f t="shared" si="1"/>
        <v>39327.132</v>
      </c>
      <c r="F32" s="150">
        <v>0.25</v>
      </c>
      <c r="G32" s="164">
        <v>0.25</v>
      </c>
      <c r="H32" s="164">
        <v>0.25</v>
      </c>
      <c r="I32" s="164">
        <v>0.25</v>
      </c>
      <c r="J32" s="100">
        <f t="shared" si="2"/>
        <v>0</v>
      </c>
      <c r="K32" s="100">
        <f t="shared" si="3"/>
        <v>0</v>
      </c>
      <c r="L32" s="100">
        <f t="shared" si="4"/>
        <v>0</v>
      </c>
      <c r="M32" s="100">
        <f t="shared" si="5"/>
        <v>0</v>
      </c>
      <c r="N32" s="100">
        <f t="shared" si="6"/>
        <v>0</v>
      </c>
      <c r="O32" s="100">
        <f t="shared" si="7"/>
        <v>0</v>
      </c>
      <c r="P32" s="100">
        <f t="shared" si="8"/>
        <v>0</v>
      </c>
      <c r="Q32" s="100">
        <f t="shared" si="9"/>
        <v>0</v>
      </c>
      <c r="R32" s="100">
        <f t="shared" si="0"/>
        <v>0</v>
      </c>
      <c r="S32" s="107">
        <f t="shared" si="0"/>
        <v>0</v>
      </c>
    </row>
    <row r="33" spans="2:19" ht="12.75">
      <c r="B33" s="140">
        <v>2005</v>
      </c>
      <c r="C33" s="108">
        <f>4076327+1636843</f>
        <v>5713170</v>
      </c>
      <c r="D33" s="142">
        <v>29</v>
      </c>
      <c r="E33" s="100">
        <f>C33*D33/2000</f>
        <v>82840.965</v>
      </c>
      <c r="F33" s="150">
        <v>0.25</v>
      </c>
      <c r="G33" s="164">
        <v>0.25</v>
      </c>
      <c r="H33" s="164">
        <v>0.25</v>
      </c>
      <c r="I33" s="164">
        <v>0.25</v>
      </c>
      <c r="J33" s="100">
        <f t="shared" si="2"/>
        <v>0</v>
      </c>
      <c r="K33" s="100">
        <f t="shared" si="3"/>
        <v>0</v>
      </c>
      <c r="L33" s="100">
        <f t="shared" si="4"/>
        <v>0</v>
      </c>
      <c r="M33" s="100">
        <f t="shared" si="5"/>
        <v>0</v>
      </c>
      <c r="N33" s="100">
        <f t="shared" si="6"/>
        <v>0</v>
      </c>
      <c r="O33" s="100">
        <f t="shared" si="7"/>
        <v>0</v>
      </c>
      <c r="P33" s="100">
        <f t="shared" si="8"/>
        <v>0</v>
      </c>
      <c r="Q33" s="100">
        <f t="shared" si="9"/>
        <v>0</v>
      </c>
      <c r="R33" s="100">
        <f t="shared" si="0"/>
        <v>0</v>
      </c>
      <c r="S33" s="107">
        <f t="shared" si="0"/>
        <v>0</v>
      </c>
    </row>
    <row r="34" spans="2:19" ht="12.75">
      <c r="B34" s="140">
        <v>2006</v>
      </c>
      <c r="C34" s="108">
        <f>10324000+3027840</f>
        <v>13351840</v>
      </c>
      <c r="D34" s="204">
        <v>29</v>
      </c>
      <c r="E34" s="100">
        <f>C34*D34/2000</f>
        <v>193601.68</v>
      </c>
      <c r="F34" s="150">
        <v>0.25</v>
      </c>
      <c r="G34" s="164">
        <v>0.25</v>
      </c>
      <c r="H34" s="164">
        <v>0.25</v>
      </c>
      <c r="I34" s="164">
        <v>0.25</v>
      </c>
      <c r="J34" s="100">
        <f t="shared" si="2"/>
        <v>0</v>
      </c>
      <c r="K34" s="100">
        <f t="shared" si="3"/>
        <v>0</v>
      </c>
      <c r="L34" s="100">
        <f t="shared" si="4"/>
        <v>0</v>
      </c>
      <c r="M34" s="100">
        <f t="shared" si="5"/>
        <v>0</v>
      </c>
      <c r="N34" s="100">
        <f t="shared" si="6"/>
        <v>0</v>
      </c>
      <c r="O34" s="100">
        <f t="shared" si="7"/>
        <v>0</v>
      </c>
      <c r="P34" s="100">
        <f t="shared" si="8"/>
        <v>0</v>
      </c>
      <c r="Q34" s="100">
        <f t="shared" si="9"/>
        <v>0</v>
      </c>
      <c r="R34" s="100">
        <f t="shared" si="0"/>
        <v>0</v>
      </c>
      <c r="S34" s="107">
        <f t="shared" si="0"/>
        <v>0</v>
      </c>
    </row>
    <row r="35" spans="2:19" ht="12.75">
      <c r="B35" s="140">
        <v>2007</v>
      </c>
      <c r="C35" s="108">
        <f>16778921+3570283</f>
        <v>20349204</v>
      </c>
      <c r="D35" s="204">
        <v>29</v>
      </c>
      <c r="E35" s="100">
        <f>C35*D35/2000</f>
        <v>295063.458</v>
      </c>
      <c r="F35" s="150">
        <v>0.25</v>
      </c>
      <c r="G35" s="164">
        <v>0.25</v>
      </c>
      <c r="H35" s="164">
        <v>0.25</v>
      </c>
      <c r="I35" s="164">
        <v>0.25</v>
      </c>
      <c r="J35" s="100">
        <f t="shared" si="2"/>
        <v>0</v>
      </c>
      <c r="K35" s="100">
        <f t="shared" si="3"/>
        <v>0</v>
      </c>
      <c r="L35" s="100">
        <f t="shared" si="4"/>
        <v>0</v>
      </c>
      <c r="M35" s="100">
        <f t="shared" si="5"/>
        <v>0</v>
      </c>
      <c r="N35" s="100">
        <f t="shared" si="6"/>
        <v>0</v>
      </c>
      <c r="O35" s="100">
        <f t="shared" si="7"/>
        <v>0</v>
      </c>
      <c r="P35" s="100">
        <f t="shared" si="8"/>
        <v>0</v>
      </c>
      <c r="Q35" s="100">
        <f t="shared" si="9"/>
        <v>0</v>
      </c>
      <c r="R35" s="100">
        <f t="shared" si="0"/>
        <v>0</v>
      </c>
      <c r="S35" s="107">
        <f t="shared" si="0"/>
        <v>0</v>
      </c>
    </row>
    <row r="36" spans="2:19" ht="12.75">
      <c r="B36" s="140">
        <v>2008</v>
      </c>
      <c r="C36" s="99"/>
      <c r="D36" s="99"/>
      <c r="E36" s="100"/>
      <c r="F36" s="150"/>
      <c r="G36" s="164"/>
      <c r="H36" s="164"/>
      <c r="I36" s="164"/>
      <c r="J36" s="100">
        <f>C27*F27/1000</f>
        <v>0.40775</v>
      </c>
      <c r="K36" s="100">
        <f t="shared" si="3"/>
        <v>5.912375</v>
      </c>
      <c r="L36" s="100">
        <f t="shared" si="4"/>
        <v>0.40775</v>
      </c>
      <c r="M36" s="100">
        <f t="shared" si="5"/>
        <v>5.912375</v>
      </c>
      <c r="N36" s="100">
        <f t="shared" si="6"/>
        <v>0.40775</v>
      </c>
      <c r="O36" s="100">
        <f t="shared" si="7"/>
        <v>5.912375</v>
      </c>
      <c r="P36" s="100">
        <f t="shared" si="8"/>
        <v>0.40775</v>
      </c>
      <c r="Q36" s="100">
        <f t="shared" si="9"/>
        <v>5.912375</v>
      </c>
      <c r="R36" s="100">
        <f t="shared" si="0"/>
        <v>1.631</v>
      </c>
      <c r="S36" s="107">
        <f t="shared" si="0"/>
        <v>23.6495</v>
      </c>
    </row>
    <row r="37" spans="2:19" ht="12.75">
      <c r="B37" s="140">
        <v>2009</v>
      </c>
      <c r="C37" s="99"/>
      <c r="D37" s="99"/>
      <c r="E37" s="100"/>
      <c r="F37" s="150"/>
      <c r="G37" s="164"/>
      <c r="H37" s="164"/>
      <c r="I37" s="164"/>
      <c r="J37" s="100">
        <f>C28*F28/1000</f>
        <v>1.888</v>
      </c>
      <c r="K37" s="100">
        <f t="shared" si="3"/>
        <v>27.376</v>
      </c>
      <c r="L37" s="100">
        <f t="shared" si="4"/>
        <v>1.888</v>
      </c>
      <c r="M37" s="100">
        <f t="shared" si="5"/>
        <v>27.376</v>
      </c>
      <c r="N37" s="100">
        <f t="shared" si="6"/>
        <v>1.888</v>
      </c>
      <c r="O37" s="100">
        <f t="shared" si="7"/>
        <v>27.376</v>
      </c>
      <c r="P37" s="100">
        <f t="shared" si="8"/>
        <v>1.888</v>
      </c>
      <c r="Q37" s="100">
        <f t="shared" si="9"/>
        <v>27.376</v>
      </c>
      <c r="R37" s="100">
        <f t="shared" si="0"/>
        <v>7.552</v>
      </c>
      <c r="S37" s="107">
        <f t="shared" si="0"/>
        <v>109.504</v>
      </c>
    </row>
    <row r="38" spans="2:19" ht="12.75">
      <c r="B38" s="140">
        <v>2010</v>
      </c>
      <c r="C38" s="99"/>
      <c r="D38" s="99"/>
      <c r="E38" s="100"/>
      <c r="F38" s="150"/>
      <c r="G38" s="164"/>
      <c r="H38" s="164"/>
      <c r="I38" s="164"/>
      <c r="J38" s="100">
        <f>C29*F29/1000</f>
        <v>13.51925</v>
      </c>
      <c r="K38" s="100">
        <f t="shared" si="3"/>
        <v>196.029125</v>
      </c>
      <c r="L38" s="100">
        <f t="shared" si="4"/>
        <v>13.51925</v>
      </c>
      <c r="M38" s="100">
        <f t="shared" si="5"/>
        <v>196.029125</v>
      </c>
      <c r="N38" s="100">
        <f t="shared" si="6"/>
        <v>13.51925</v>
      </c>
      <c r="O38" s="100">
        <f t="shared" si="7"/>
        <v>196.029125</v>
      </c>
      <c r="P38" s="100">
        <f t="shared" si="8"/>
        <v>13.51925</v>
      </c>
      <c r="Q38" s="100">
        <f t="shared" si="9"/>
        <v>196.029125</v>
      </c>
      <c r="R38" s="100">
        <f t="shared" si="0"/>
        <v>54.077</v>
      </c>
      <c r="S38" s="107">
        <f t="shared" si="0"/>
        <v>784.1165</v>
      </c>
    </row>
    <row r="39" spans="2:19" ht="13.5" thickBot="1">
      <c r="B39" s="166"/>
      <c r="C39" s="115" t="s">
        <v>5</v>
      </c>
      <c r="D39" s="115"/>
      <c r="E39" s="119"/>
      <c r="F39" s="157"/>
      <c r="G39" s="165"/>
      <c r="H39" s="165"/>
      <c r="I39" s="165"/>
      <c r="J39" s="119">
        <f aca="true" t="shared" si="10" ref="J39:S39">SUM(J10:J38)</f>
        <v>15.815</v>
      </c>
      <c r="K39" s="119">
        <f t="shared" si="10"/>
        <v>229.3175</v>
      </c>
      <c r="L39" s="119">
        <f t="shared" si="10"/>
        <v>15.815</v>
      </c>
      <c r="M39" s="119">
        <f t="shared" si="10"/>
        <v>229.3175</v>
      </c>
      <c r="N39" s="119">
        <f t="shared" si="10"/>
        <v>15.815</v>
      </c>
      <c r="O39" s="119">
        <f t="shared" si="10"/>
        <v>229.3175</v>
      </c>
      <c r="P39" s="119">
        <f t="shared" si="10"/>
        <v>15.815</v>
      </c>
      <c r="Q39" s="119">
        <f t="shared" si="10"/>
        <v>229.3175</v>
      </c>
      <c r="R39" s="119">
        <f t="shared" si="10"/>
        <v>63.26</v>
      </c>
      <c r="S39" s="116">
        <f t="shared" si="10"/>
        <v>917.27</v>
      </c>
    </row>
    <row r="40" spans="2:19" ht="13.5" hidden="1" thickBot="1">
      <c r="B40" s="93"/>
      <c r="C40" s="84"/>
      <c r="D40" s="84"/>
      <c r="E40" s="82">
        <f>C40*$E$3</f>
        <v>0</v>
      </c>
      <c r="F40" s="83"/>
      <c r="G40" s="94"/>
      <c r="H40" s="94"/>
      <c r="I40" s="94"/>
      <c r="J40" s="95"/>
      <c r="K40" s="95"/>
      <c r="L40" s="95"/>
      <c r="M40" s="95"/>
      <c r="N40" s="84"/>
      <c r="O40" s="84"/>
      <c r="P40" s="82"/>
      <c r="Q40" s="82"/>
      <c r="R40" s="82"/>
      <c r="S40" s="104"/>
    </row>
    <row r="44" spans="2:12" ht="12.75">
      <c r="B44" s="21" t="s">
        <v>224</v>
      </c>
      <c r="J44" s="81"/>
      <c r="K44" s="81"/>
      <c r="L44" s="81"/>
    </row>
    <row r="45" spans="5:12" ht="12.75">
      <c r="E45" s="21" t="s">
        <v>147</v>
      </c>
      <c r="J45" s="81"/>
      <c r="K45" s="81"/>
      <c r="L45" s="81"/>
    </row>
    <row r="46" spans="2:12" ht="12.75">
      <c r="B46" s="21" t="str">
        <f>B6</f>
        <v>Year</v>
      </c>
      <c r="C46" s="21" t="s">
        <v>69</v>
      </c>
      <c r="D46" s="21" t="s">
        <v>69</v>
      </c>
      <c r="E46" s="284" t="s">
        <v>240</v>
      </c>
      <c r="F46" s="284" t="s">
        <v>144</v>
      </c>
      <c r="G46" s="544" t="s">
        <v>110</v>
      </c>
      <c r="H46" s="544"/>
      <c r="I46" s="545" t="s">
        <v>147</v>
      </c>
      <c r="J46" s="545"/>
      <c r="K46" s="545" t="s">
        <v>186</v>
      </c>
      <c r="L46" s="545"/>
    </row>
    <row r="47" spans="3:12" ht="12.75">
      <c r="C47" s="21" t="s">
        <v>142</v>
      </c>
      <c r="D47" s="21" t="s">
        <v>152</v>
      </c>
      <c r="E47" s="21" t="s">
        <v>148</v>
      </c>
      <c r="F47" s="21" t="s">
        <v>148</v>
      </c>
      <c r="G47" s="21" t="s">
        <v>1</v>
      </c>
      <c r="H47" s="21" t="s">
        <v>2</v>
      </c>
      <c r="I47" s="21" t="s">
        <v>1</v>
      </c>
      <c r="J47" s="21" t="s">
        <v>2</v>
      </c>
      <c r="K47" s="21" t="s">
        <v>1</v>
      </c>
      <c r="L47" s="21" t="s">
        <v>2</v>
      </c>
    </row>
    <row r="48" spans="2:12" ht="12.75">
      <c r="B48" s="21">
        <f aca="true" t="shared" si="11" ref="B48:C63">B8</f>
        <v>1980</v>
      </c>
      <c r="C48" s="86">
        <f>C8</f>
        <v>0</v>
      </c>
      <c r="D48" s="86">
        <f>E8</f>
        <v>0</v>
      </c>
      <c r="E48" s="21">
        <v>1</v>
      </c>
      <c r="F48" s="21">
        <v>0</v>
      </c>
      <c r="G48" s="283">
        <f>C48-I48-K48</f>
        <v>0</v>
      </c>
      <c r="H48" s="283">
        <f>D48-J48-L48</f>
        <v>0</v>
      </c>
      <c r="I48" s="21">
        <f>C48*$E48</f>
        <v>0</v>
      </c>
      <c r="J48" s="21">
        <f>D48*$E48</f>
        <v>0</v>
      </c>
      <c r="K48" s="21">
        <f>C48*$F48</f>
        <v>0</v>
      </c>
      <c r="L48" s="21">
        <f>D48*$F48</f>
        <v>0</v>
      </c>
    </row>
    <row r="49" spans="2:12" ht="12.75">
      <c r="B49" s="21">
        <f t="shared" si="11"/>
        <v>1981</v>
      </c>
      <c r="C49" s="86">
        <f t="shared" si="11"/>
        <v>0</v>
      </c>
      <c r="D49" s="86">
        <f aca="true" t="shared" si="12" ref="D49:D72">E9</f>
        <v>0</v>
      </c>
      <c r="E49" s="21">
        <v>1</v>
      </c>
      <c r="F49" s="21">
        <v>0</v>
      </c>
      <c r="G49" s="283">
        <f aca="true" t="shared" si="13" ref="G49:H72">C49-I49-K49</f>
        <v>0</v>
      </c>
      <c r="H49" s="283">
        <f t="shared" si="13"/>
        <v>0</v>
      </c>
      <c r="I49" s="21">
        <f aca="true" t="shared" si="14" ref="I49:J72">C49*$E49</f>
        <v>0</v>
      </c>
      <c r="J49" s="21">
        <f t="shared" si="14"/>
        <v>0</v>
      </c>
      <c r="K49" s="21">
        <f aca="true" t="shared" si="15" ref="K49:L72">C49*$F49</f>
        <v>0</v>
      </c>
      <c r="L49" s="21">
        <f t="shared" si="15"/>
        <v>0</v>
      </c>
    </row>
    <row r="50" spans="2:12" ht="12.75">
      <c r="B50" s="21">
        <f t="shared" si="11"/>
        <v>1982</v>
      </c>
      <c r="C50" s="86">
        <f t="shared" si="11"/>
        <v>0</v>
      </c>
      <c r="D50" s="86">
        <f t="shared" si="12"/>
        <v>0</v>
      </c>
      <c r="E50" s="21">
        <v>1</v>
      </c>
      <c r="F50" s="21">
        <v>0</v>
      </c>
      <c r="G50" s="283">
        <f t="shared" si="13"/>
        <v>0</v>
      </c>
      <c r="H50" s="283">
        <f t="shared" si="13"/>
        <v>0</v>
      </c>
      <c r="I50" s="21">
        <f t="shared" si="14"/>
        <v>0</v>
      </c>
      <c r="J50" s="21">
        <f t="shared" si="14"/>
        <v>0</v>
      </c>
      <c r="K50" s="21">
        <f t="shared" si="15"/>
        <v>0</v>
      </c>
      <c r="L50" s="21">
        <f t="shared" si="15"/>
        <v>0</v>
      </c>
    </row>
    <row r="51" spans="2:12" ht="12.75">
      <c r="B51" s="21">
        <f t="shared" si="11"/>
        <v>1983</v>
      </c>
      <c r="C51" s="86">
        <f t="shared" si="11"/>
        <v>0</v>
      </c>
      <c r="D51" s="86">
        <f t="shared" si="12"/>
        <v>0</v>
      </c>
      <c r="E51" s="21">
        <v>1</v>
      </c>
      <c r="F51" s="21">
        <v>0</v>
      </c>
      <c r="G51" s="283">
        <f t="shared" si="13"/>
        <v>0</v>
      </c>
      <c r="H51" s="283">
        <f t="shared" si="13"/>
        <v>0</v>
      </c>
      <c r="I51" s="21">
        <f t="shared" si="14"/>
        <v>0</v>
      </c>
      <c r="J51" s="21">
        <f t="shared" si="14"/>
        <v>0</v>
      </c>
      <c r="K51" s="21">
        <f t="shared" si="15"/>
        <v>0</v>
      </c>
      <c r="L51" s="21">
        <f t="shared" si="15"/>
        <v>0</v>
      </c>
    </row>
    <row r="52" spans="2:12" ht="12.75">
      <c r="B52" s="21">
        <f t="shared" si="11"/>
        <v>1984</v>
      </c>
      <c r="C52" s="86">
        <f t="shared" si="11"/>
        <v>0</v>
      </c>
      <c r="D52" s="86">
        <f t="shared" si="12"/>
        <v>0</v>
      </c>
      <c r="E52" s="21">
        <v>1</v>
      </c>
      <c r="F52" s="21">
        <v>0</v>
      </c>
      <c r="G52" s="283">
        <f t="shared" si="13"/>
        <v>0</v>
      </c>
      <c r="H52" s="283">
        <f t="shared" si="13"/>
        <v>0</v>
      </c>
      <c r="I52" s="21">
        <f t="shared" si="14"/>
        <v>0</v>
      </c>
      <c r="J52" s="21">
        <f t="shared" si="14"/>
        <v>0</v>
      </c>
      <c r="K52" s="21">
        <f t="shared" si="15"/>
        <v>0</v>
      </c>
      <c r="L52" s="21">
        <f t="shared" si="15"/>
        <v>0</v>
      </c>
    </row>
    <row r="53" spans="2:12" ht="12.75">
      <c r="B53" s="21">
        <f t="shared" si="11"/>
        <v>1985</v>
      </c>
      <c r="C53" s="86">
        <f t="shared" si="11"/>
        <v>0</v>
      </c>
      <c r="D53" s="86">
        <f t="shared" si="12"/>
        <v>0</v>
      </c>
      <c r="E53" s="21">
        <v>1</v>
      </c>
      <c r="F53" s="21">
        <v>0</v>
      </c>
      <c r="G53" s="283">
        <f t="shared" si="13"/>
        <v>0</v>
      </c>
      <c r="H53" s="283">
        <f t="shared" si="13"/>
        <v>0</v>
      </c>
      <c r="I53" s="21">
        <f t="shared" si="14"/>
        <v>0</v>
      </c>
      <c r="J53" s="21">
        <f t="shared" si="14"/>
        <v>0</v>
      </c>
      <c r="K53" s="21">
        <f t="shared" si="15"/>
        <v>0</v>
      </c>
      <c r="L53" s="21">
        <f t="shared" si="15"/>
        <v>0</v>
      </c>
    </row>
    <row r="54" spans="2:12" ht="12.75">
      <c r="B54" s="21">
        <f t="shared" si="11"/>
        <v>1986</v>
      </c>
      <c r="C54" s="86">
        <f t="shared" si="11"/>
        <v>0</v>
      </c>
      <c r="D54" s="86">
        <f t="shared" si="12"/>
        <v>0</v>
      </c>
      <c r="E54" s="21">
        <v>1</v>
      </c>
      <c r="F54" s="21">
        <v>0</v>
      </c>
      <c r="G54" s="283">
        <f t="shared" si="13"/>
        <v>0</v>
      </c>
      <c r="H54" s="283">
        <f t="shared" si="13"/>
        <v>0</v>
      </c>
      <c r="I54" s="21">
        <f t="shared" si="14"/>
        <v>0</v>
      </c>
      <c r="J54" s="21">
        <f t="shared" si="14"/>
        <v>0</v>
      </c>
      <c r="K54" s="21">
        <f t="shared" si="15"/>
        <v>0</v>
      </c>
      <c r="L54" s="21">
        <f t="shared" si="15"/>
        <v>0</v>
      </c>
    </row>
    <row r="55" spans="2:12" ht="12.75">
      <c r="B55" s="21">
        <f t="shared" si="11"/>
        <v>1987</v>
      </c>
      <c r="C55" s="86">
        <f t="shared" si="11"/>
        <v>0</v>
      </c>
      <c r="D55" s="86">
        <f t="shared" si="12"/>
        <v>0</v>
      </c>
      <c r="E55" s="21">
        <v>1</v>
      </c>
      <c r="F55" s="21">
        <v>0</v>
      </c>
      <c r="G55" s="283">
        <f t="shared" si="13"/>
        <v>0</v>
      </c>
      <c r="H55" s="283">
        <f t="shared" si="13"/>
        <v>0</v>
      </c>
      <c r="I55" s="21">
        <f t="shared" si="14"/>
        <v>0</v>
      </c>
      <c r="J55" s="21">
        <f t="shared" si="14"/>
        <v>0</v>
      </c>
      <c r="K55" s="21">
        <f t="shared" si="15"/>
        <v>0</v>
      </c>
      <c r="L55" s="21">
        <f t="shared" si="15"/>
        <v>0</v>
      </c>
    </row>
    <row r="56" spans="2:12" ht="12.75">
      <c r="B56" s="21">
        <f t="shared" si="11"/>
        <v>1988</v>
      </c>
      <c r="C56" s="86">
        <f t="shared" si="11"/>
        <v>0</v>
      </c>
      <c r="D56" s="86">
        <f t="shared" si="12"/>
        <v>0</v>
      </c>
      <c r="E56" s="21">
        <v>1</v>
      </c>
      <c r="F56" s="21">
        <v>0</v>
      </c>
      <c r="G56" s="283">
        <f t="shared" si="13"/>
        <v>0</v>
      </c>
      <c r="H56" s="283">
        <f t="shared" si="13"/>
        <v>0</v>
      </c>
      <c r="I56" s="21">
        <f t="shared" si="14"/>
        <v>0</v>
      </c>
      <c r="J56" s="21">
        <f t="shared" si="14"/>
        <v>0</v>
      </c>
      <c r="K56" s="21">
        <f t="shared" si="15"/>
        <v>0</v>
      </c>
      <c r="L56" s="21">
        <f t="shared" si="15"/>
        <v>0</v>
      </c>
    </row>
    <row r="57" spans="2:12" ht="12.75">
      <c r="B57" s="21">
        <f t="shared" si="11"/>
        <v>1989</v>
      </c>
      <c r="C57" s="86">
        <f t="shared" si="11"/>
        <v>0</v>
      </c>
      <c r="D57" s="86">
        <f t="shared" si="12"/>
        <v>0</v>
      </c>
      <c r="E57" s="21">
        <v>1</v>
      </c>
      <c r="F57" s="21">
        <v>0</v>
      </c>
      <c r="G57" s="283">
        <f t="shared" si="13"/>
        <v>0</v>
      </c>
      <c r="H57" s="283">
        <f t="shared" si="13"/>
        <v>0</v>
      </c>
      <c r="I57" s="21">
        <f t="shared" si="14"/>
        <v>0</v>
      </c>
      <c r="J57" s="21">
        <f t="shared" si="14"/>
        <v>0</v>
      </c>
      <c r="K57" s="21">
        <f t="shared" si="15"/>
        <v>0</v>
      </c>
      <c r="L57" s="21">
        <f t="shared" si="15"/>
        <v>0</v>
      </c>
    </row>
    <row r="58" spans="2:12" ht="12.75">
      <c r="B58" s="21">
        <f t="shared" si="11"/>
        <v>1990</v>
      </c>
      <c r="C58" s="86">
        <f t="shared" si="11"/>
        <v>0</v>
      </c>
      <c r="D58" s="86">
        <f t="shared" si="12"/>
        <v>0</v>
      </c>
      <c r="E58" s="21">
        <v>1</v>
      </c>
      <c r="F58" s="21">
        <v>0</v>
      </c>
      <c r="G58" s="283">
        <f t="shared" si="13"/>
        <v>0</v>
      </c>
      <c r="H58" s="283">
        <f t="shared" si="13"/>
        <v>0</v>
      </c>
      <c r="I58" s="21">
        <f t="shared" si="14"/>
        <v>0</v>
      </c>
      <c r="J58" s="21">
        <f t="shared" si="14"/>
        <v>0</v>
      </c>
      <c r="K58" s="21">
        <f t="shared" si="15"/>
        <v>0</v>
      </c>
      <c r="L58" s="21">
        <f t="shared" si="15"/>
        <v>0</v>
      </c>
    </row>
    <row r="59" spans="2:12" ht="12.75">
      <c r="B59" s="21">
        <f t="shared" si="11"/>
        <v>1991</v>
      </c>
      <c r="C59" s="86">
        <f t="shared" si="11"/>
        <v>0</v>
      </c>
      <c r="D59" s="86">
        <f t="shared" si="12"/>
        <v>0</v>
      </c>
      <c r="E59" s="21">
        <v>1</v>
      </c>
      <c r="F59" s="21">
        <v>0</v>
      </c>
      <c r="G59" s="283">
        <f t="shared" si="13"/>
        <v>0</v>
      </c>
      <c r="H59" s="283">
        <f t="shared" si="13"/>
        <v>0</v>
      </c>
      <c r="I59" s="21">
        <f t="shared" si="14"/>
        <v>0</v>
      </c>
      <c r="J59" s="21">
        <f t="shared" si="14"/>
        <v>0</v>
      </c>
      <c r="K59" s="21">
        <f t="shared" si="15"/>
        <v>0</v>
      </c>
      <c r="L59" s="21">
        <f t="shared" si="15"/>
        <v>0</v>
      </c>
    </row>
    <row r="60" spans="2:12" ht="12.75">
      <c r="B60" s="21">
        <f t="shared" si="11"/>
        <v>1992</v>
      </c>
      <c r="C60" s="86">
        <f t="shared" si="11"/>
        <v>0</v>
      </c>
      <c r="D60" s="86">
        <f t="shared" si="12"/>
        <v>0</v>
      </c>
      <c r="E60" s="21">
        <v>1</v>
      </c>
      <c r="F60" s="21">
        <v>0</v>
      </c>
      <c r="G60" s="283">
        <f t="shared" si="13"/>
        <v>0</v>
      </c>
      <c r="H60" s="283">
        <f t="shared" si="13"/>
        <v>0</v>
      </c>
      <c r="I60" s="21">
        <f t="shared" si="14"/>
        <v>0</v>
      </c>
      <c r="J60" s="21">
        <f t="shared" si="14"/>
        <v>0</v>
      </c>
      <c r="K60" s="21">
        <f t="shared" si="15"/>
        <v>0</v>
      </c>
      <c r="L60" s="21">
        <f t="shared" si="15"/>
        <v>0</v>
      </c>
    </row>
    <row r="61" spans="2:12" ht="12.75">
      <c r="B61" s="21">
        <f t="shared" si="11"/>
        <v>1993</v>
      </c>
      <c r="C61" s="86">
        <f t="shared" si="11"/>
        <v>0</v>
      </c>
      <c r="D61" s="86">
        <f t="shared" si="12"/>
        <v>0</v>
      </c>
      <c r="E61" s="21">
        <v>1</v>
      </c>
      <c r="F61" s="21">
        <v>0</v>
      </c>
      <c r="G61" s="283">
        <f t="shared" si="13"/>
        <v>0</v>
      </c>
      <c r="H61" s="283">
        <f t="shared" si="13"/>
        <v>0</v>
      </c>
      <c r="I61" s="21">
        <f t="shared" si="14"/>
        <v>0</v>
      </c>
      <c r="J61" s="21">
        <f t="shared" si="14"/>
        <v>0</v>
      </c>
      <c r="K61" s="21">
        <f t="shared" si="15"/>
        <v>0</v>
      </c>
      <c r="L61" s="21">
        <f t="shared" si="15"/>
        <v>0</v>
      </c>
    </row>
    <row r="62" spans="2:12" ht="12.75">
      <c r="B62" s="21">
        <f t="shared" si="11"/>
        <v>1994</v>
      </c>
      <c r="C62" s="86">
        <f t="shared" si="11"/>
        <v>0</v>
      </c>
      <c r="D62" s="86">
        <f t="shared" si="12"/>
        <v>0</v>
      </c>
      <c r="E62" s="21">
        <v>1</v>
      </c>
      <c r="F62" s="21">
        <v>0</v>
      </c>
      <c r="G62" s="283">
        <f t="shared" si="13"/>
        <v>0</v>
      </c>
      <c r="H62" s="283">
        <f t="shared" si="13"/>
        <v>0</v>
      </c>
      <c r="I62" s="21">
        <f t="shared" si="14"/>
        <v>0</v>
      </c>
      <c r="J62" s="21">
        <f t="shared" si="14"/>
        <v>0</v>
      </c>
      <c r="K62" s="21">
        <f t="shared" si="15"/>
        <v>0</v>
      </c>
      <c r="L62" s="21">
        <f t="shared" si="15"/>
        <v>0</v>
      </c>
    </row>
    <row r="63" spans="2:12" ht="12.75">
      <c r="B63" s="21">
        <f t="shared" si="11"/>
        <v>1995</v>
      </c>
      <c r="C63" s="86">
        <f t="shared" si="11"/>
        <v>0</v>
      </c>
      <c r="D63" s="86">
        <f t="shared" si="12"/>
        <v>0</v>
      </c>
      <c r="E63" s="21">
        <v>1</v>
      </c>
      <c r="F63" s="21">
        <v>0</v>
      </c>
      <c r="G63" s="283">
        <f t="shared" si="13"/>
        <v>0</v>
      </c>
      <c r="H63" s="283">
        <f t="shared" si="13"/>
        <v>0</v>
      </c>
      <c r="I63" s="21">
        <f t="shared" si="14"/>
        <v>0</v>
      </c>
      <c r="J63" s="21">
        <f t="shared" si="14"/>
        <v>0</v>
      </c>
      <c r="K63" s="21">
        <f t="shared" si="15"/>
        <v>0</v>
      </c>
      <c r="L63" s="21">
        <f t="shared" si="15"/>
        <v>0</v>
      </c>
    </row>
    <row r="64" spans="2:12" ht="12.75">
      <c r="B64" s="21">
        <f aca="true" t="shared" si="16" ref="B64:C72">B24</f>
        <v>1996</v>
      </c>
      <c r="C64" s="86">
        <f t="shared" si="16"/>
        <v>0</v>
      </c>
      <c r="D64" s="86">
        <f t="shared" si="12"/>
        <v>0</v>
      </c>
      <c r="E64" s="21">
        <v>1</v>
      </c>
      <c r="F64" s="21">
        <v>0</v>
      </c>
      <c r="G64" s="283">
        <f t="shared" si="13"/>
        <v>0</v>
      </c>
      <c r="H64" s="283">
        <f t="shared" si="13"/>
        <v>0</v>
      </c>
      <c r="I64" s="21">
        <f t="shared" si="14"/>
        <v>0</v>
      </c>
      <c r="J64" s="21">
        <f t="shared" si="14"/>
        <v>0</v>
      </c>
      <c r="K64" s="21">
        <f t="shared" si="15"/>
        <v>0</v>
      </c>
      <c r="L64" s="21">
        <f t="shared" si="15"/>
        <v>0</v>
      </c>
    </row>
    <row r="65" spans="2:12" ht="12.75">
      <c r="B65" s="21">
        <f t="shared" si="16"/>
        <v>1997</v>
      </c>
      <c r="C65" s="86">
        <f t="shared" si="16"/>
        <v>0</v>
      </c>
      <c r="D65" s="86">
        <f t="shared" si="12"/>
        <v>0</v>
      </c>
      <c r="E65" s="21">
        <v>1</v>
      </c>
      <c r="F65" s="21">
        <v>0</v>
      </c>
      <c r="G65" s="283">
        <f t="shared" si="13"/>
        <v>0</v>
      </c>
      <c r="H65" s="283">
        <f t="shared" si="13"/>
        <v>0</v>
      </c>
      <c r="I65" s="21">
        <f t="shared" si="14"/>
        <v>0</v>
      </c>
      <c r="J65" s="21">
        <f t="shared" si="14"/>
        <v>0</v>
      </c>
      <c r="K65" s="21">
        <f t="shared" si="15"/>
        <v>0</v>
      </c>
      <c r="L65" s="21">
        <f t="shared" si="15"/>
        <v>0</v>
      </c>
    </row>
    <row r="66" spans="2:12" ht="12.75">
      <c r="B66" s="21">
        <f t="shared" si="16"/>
        <v>1998</v>
      </c>
      <c r="C66" s="86">
        <f t="shared" si="16"/>
        <v>0</v>
      </c>
      <c r="D66" s="86">
        <f t="shared" si="12"/>
        <v>0</v>
      </c>
      <c r="E66" s="21">
        <v>0</v>
      </c>
      <c r="F66" s="21">
        <v>1</v>
      </c>
      <c r="G66" s="283">
        <f t="shared" si="13"/>
        <v>0</v>
      </c>
      <c r="H66" s="283">
        <f t="shared" si="13"/>
        <v>0</v>
      </c>
      <c r="I66" s="21">
        <f t="shared" si="14"/>
        <v>0</v>
      </c>
      <c r="J66" s="21">
        <f t="shared" si="14"/>
        <v>0</v>
      </c>
      <c r="K66" s="21">
        <f t="shared" si="15"/>
        <v>0</v>
      </c>
      <c r="L66" s="21">
        <f t="shared" si="15"/>
        <v>0</v>
      </c>
    </row>
    <row r="67" spans="2:12" ht="12.75">
      <c r="B67" s="21">
        <f t="shared" si="16"/>
        <v>1999</v>
      </c>
      <c r="C67" s="86">
        <f t="shared" si="16"/>
        <v>1631</v>
      </c>
      <c r="D67" s="86">
        <f t="shared" si="12"/>
        <v>23.6495</v>
      </c>
      <c r="E67" s="21">
        <v>0</v>
      </c>
      <c r="F67" s="21">
        <v>1</v>
      </c>
      <c r="G67" s="283">
        <f t="shared" si="13"/>
        <v>0</v>
      </c>
      <c r="H67" s="283">
        <f t="shared" si="13"/>
        <v>0</v>
      </c>
      <c r="I67" s="21">
        <f t="shared" si="14"/>
        <v>0</v>
      </c>
      <c r="J67" s="21">
        <f t="shared" si="14"/>
        <v>0</v>
      </c>
      <c r="K67" s="21">
        <f t="shared" si="15"/>
        <v>1631</v>
      </c>
      <c r="L67" s="21">
        <f t="shared" si="15"/>
        <v>23.6495</v>
      </c>
    </row>
    <row r="68" spans="2:12" ht="12.75">
      <c r="B68" s="21">
        <f t="shared" si="16"/>
        <v>2000</v>
      </c>
      <c r="C68" s="86">
        <f t="shared" si="16"/>
        <v>7552</v>
      </c>
      <c r="D68" s="86">
        <f t="shared" si="12"/>
        <v>109.504</v>
      </c>
      <c r="E68" s="21">
        <v>0</v>
      </c>
      <c r="F68" s="21">
        <v>1</v>
      </c>
      <c r="G68" s="283">
        <f t="shared" si="13"/>
        <v>0</v>
      </c>
      <c r="H68" s="283">
        <f t="shared" si="13"/>
        <v>0</v>
      </c>
      <c r="I68" s="21">
        <f t="shared" si="14"/>
        <v>0</v>
      </c>
      <c r="J68" s="21">
        <f t="shared" si="14"/>
        <v>0</v>
      </c>
      <c r="K68" s="21">
        <f t="shared" si="15"/>
        <v>7552</v>
      </c>
      <c r="L68" s="21">
        <f t="shared" si="15"/>
        <v>109.504</v>
      </c>
    </row>
    <row r="69" spans="2:12" ht="12.75">
      <c r="B69" s="21">
        <f t="shared" si="16"/>
        <v>2001</v>
      </c>
      <c r="C69" s="86">
        <f t="shared" si="16"/>
        <v>54077</v>
      </c>
      <c r="D69" s="86">
        <f t="shared" si="12"/>
        <v>784.1165</v>
      </c>
      <c r="E69" s="21">
        <v>0</v>
      </c>
      <c r="F69" s="21">
        <v>1</v>
      </c>
      <c r="G69" s="283">
        <f t="shared" si="13"/>
        <v>0</v>
      </c>
      <c r="H69" s="283">
        <f t="shared" si="13"/>
        <v>0</v>
      </c>
      <c r="I69" s="21">
        <f t="shared" si="14"/>
        <v>0</v>
      </c>
      <c r="J69" s="21">
        <f t="shared" si="14"/>
        <v>0</v>
      </c>
      <c r="K69" s="21">
        <f t="shared" si="15"/>
        <v>54077</v>
      </c>
      <c r="L69" s="21">
        <f t="shared" si="15"/>
        <v>784.1165</v>
      </c>
    </row>
    <row r="70" spans="2:12" ht="12.75">
      <c r="B70" s="21">
        <f t="shared" si="16"/>
        <v>2002</v>
      </c>
      <c r="C70" s="86">
        <f t="shared" si="16"/>
        <v>191309</v>
      </c>
      <c r="D70" s="86">
        <f t="shared" si="12"/>
        <v>2773.9805</v>
      </c>
      <c r="E70" s="21">
        <v>0</v>
      </c>
      <c r="F70" s="21">
        <v>1</v>
      </c>
      <c r="G70" s="283">
        <f t="shared" si="13"/>
        <v>0</v>
      </c>
      <c r="H70" s="283">
        <f t="shared" si="13"/>
        <v>0</v>
      </c>
      <c r="I70" s="21">
        <f t="shared" si="14"/>
        <v>0</v>
      </c>
      <c r="J70" s="21">
        <f t="shared" si="14"/>
        <v>0</v>
      </c>
      <c r="K70" s="21">
        <f t="shared" si="15"/>
        <v>191309</v>
      </c>
      <c r="L70" s="21">
        <f t="shared" si="15"/>
        <v>2773.9805</v>
      </c>
    </row>
    <row r="71" spans="2:12" ht="12.75">
      <c r="B71" s="21">
        <f t="shared" si="16"/>
        <v>2003</v>
      </c>
      <c r="C71" s="86">
        <f t="shared" si="16"/>
        <v>955227</v>
      </c>
      <c r="D71" s="86">
        <f t="shared" si="12"/>
        <v>13850.7915</v>
      </c>
      <c r="E71" s="21">
        <v>0</v>
      </c>
      <c r="F71" s="21">
        <v>1</v>
      </c>
      <c r="G71" s="283">
        <f t="shared" si="13"/>
        <v>0</v>
      </c>
      <c r="H71" s="283">
        <f t="shared" si="13"/>
        <v>0</v>
      </c>
      <c r="I71" s="21">
        <f t="shared" si="14"/>
        <v>0</v>
      </c>
      <c r="J71" s="21">
        <f t="shared" si="14"/>
        <v>0</v>
      </c>
      <c r="K71" s="21">
        <f t="shared" si="15"/>
        <v>955227</v>
      </c>
      <c r="L71" s="21">
        <f t="shared" si="15"/>
        <v>13850.7915</v>
      </c>
    </row>
    <row r="72" spans="2:12" ht="12.75">
      <c r="B72" s="21">
        <f t="shared" si="16"/>
        <v>2004</v>
      </c>
      <c r="C72" s="86">
        <f t="shared" si="16"/>
        <v>2712216</v>
      </c>
      <c r="D72" s="86">
        <f t="shared" si="12"/>
        <v>39327.132</v>
      </c>
      <c r="E72" s="21">
        <v>0</v>
      </c>
      <c r="F72" s="21">
        <v>1</v>
      </c>
      <c r="G72" s="283">
        <f t="shared" si="13"/>
        <v>0</v>
      </c>
      <c r="H72" s="283">
        <f t="shared" si="13"/>
        <v>0</v>
      </c>
      <c r="I72" s="21">
        <f t="shared" si="14"/>
        <v>0</v>
      </c>
      <c r="J72" s="21">
        <f t="shared" si="14"/>
        <v>0</v>
      </c>
      <c r="K72" s="21">
        <f t="shared" si="15"/>
        <v>2712216</v>
      </c>
      <c r="L72" s="21">
        <f t="shared" si="15"/>
        <v>39327.132</v>
      </c>
    </row>
    <row r="73" spans="2:12" ht="12.75">
      <c r="B73" s="21">
        <f>B33</f>
        <v>2005</v>
      </c>
      <c r="C73" s="86">
        <f>C33</f>
        <v>5713170</v>
      </c>
      <c r="D73" s="86">
        <f>E33</f>
        <v>82840.965</v>
      </c>
      <c r="E73" s="21">
        <v>0</v>
      </c>
      <c r="F73" s="21">
        <v>1</v>
      </c>
      <c r="G73" s="283">
        <f aca="true" t="shared" si="17" ref="G73:H75">C73-I73-K73</f>
        <v>0</v>
      </c>
      <c r="H73" s="283">
        <f t="shared" si="17"/>
        <v>0</v>
      </c>
      <c r="I73" s="21">
        <f aca="true" t="shared" si="18" ref="I73:J75">C73*$E73</f>
        <v>0</v>
      </c>
      <c r="J73" s="21">
        <f t="shared" si="18"/>
        <v>0</v>
      </c>
      <c r="K73" s="21">
        <f aca="true" t="shared" si="19" ref="K73:L75">C73*$F73</f>
        <v>5713170</v>
      </c>
      <c r="L73" s="21">
        <f t="shared" si="19"/>
        <v>82840.965</v>
      </c>
    </row>
    <row r="74" spans="2:12" ht="12.75">
      <c r="B74" s="21">
        <f>B34</f>
        <v>2006</v>
      </c>
      <c r="C74" s="86">
        <f>C34</f>
        <v>13351840</v>
      </c>
      <c r="D74" s="86">
        <f>E34</f>
        <v>193601.68</v>
      </c>
      <c r="E74" s="21">
        <v>0</v>
      </c>
      <c r="F74" s="21">
        <v>1</v>
      </c>
      <c r="G74" s="283">
        <f t="shared" si="17"/>
        <v>0</v>
      </c>
      <c r="H74" s="283">
        <f t="shared" si="17"/>
        <v>0</v>
      </c>
      <c r="I74" s="21">
        <f t="shared" si="18"/>
        <v>0</v>
      </c>
      <c r="J74" s="21">
        <f t="shared" si="18"/>
        <v>0</v>
      </c>
      <c r="K74" s="21">
        <f t="shared" si="19"/>
        <v>13351840</v>
      </c>
      <c r="L74" s="21">
        <f t="shared" si="19"/>
        <v>193601.68</v>
      </c>
    </row>
    <row r="75" spans="2:12" ht="12.75">
      <c r="B75" s="21">
        <v>2007</v>
      </c>
      <c r="C75" s="86">
        <f>C35</f>
        <v>20349204</v>
      </c>
      <c r="D75" s="86">
        <f>E35</f>
        <v>295063.458</v>
      </c>
      <c r="E75" s="21">
        <v>0</v>
      </c>
      <c r="F75" s="21">
        <v>1</v>
      </c>
      <c r="G75" s="283">
        <f t="shared" si="17"/>
        <v>0</v>
      </c>
      <c r="H75" s="283">
        <f t="shared" si="17"/>
        <v>0</v>
      </c>
      <c r="I75" s="21">
        <f t="shared" si="18"/>
        <v>0</v>
      </c>
      <c r="J75" s="21">
        <f t="shared" si="18"/>
        <v>0</v>
      </c>
      <c r="K75" s="21">
        <f t="shared" si="19"/>
        <v>20349204</v>
      </c>
      <c r="L75" s="21">
        <f t="shared" si="19"/>
        <v>295063.458</v>
      </c>
    </row>
    <row r="76" spans="2:12" ht="12.75">
      <c r="B76" s="21" t="s">
        <v>22</v>
      </c>
      <c r="C76" s="86">
        <f>SUM(C48:C75)</f>
        <v>43336226</v>
      </c>
      <c r="D76" s="86">
        <f>SUM(D48:D75)</f>
        <v>628375.277</v>
      </c>
      <c r="G76" s="283">
        <f aca="true" t="shared" si="20" ref="G76:L76">SUM(G48:G75)</f>
        <v>0</v>
      </c>
      <c r="H76" s="283">
        <f t="shared" si="20"/>
        <v>0</v>
      </c>
      <c r="I76" s="283">
        <f t="shared" si="20"/>
        <v>0</v>
      </c>
      <c r="J76" s="283">
        <f t="shared" si="20"/>
        <v>0</v>
      </c>
      <c r="K76" s="283">
        <f t="shared" si="20"/>
        <v>43336226</v>
      </c>
      <c r="L76" s="283">
        <f t="shared" si="20"/>
        <v>628375.277</v>
      </c>
    </row>
  </sheetData>
  <mergeCells count="12">
    <mergeCell ref="I46:J46"/>
    <mergeCell ref="K46:L46"/>
    <mergeCell ref="G46:H46"/>
    <mergeCell ref="B2:S2"/>
    <mergeCell ref="F5:I5"/>
    <mergeCell ref="J5:S5"/>
    <mergeCell ref="P6:Q6"/>
    <mergeCell ref="R6:S6"/>
    <mergeCell ref="F6:I6"/>
    <mergeCell ref="J6:K6"/>
    <mergeCell ref="L6:M6"/>
    <mergeCell ref="N6:O6"/>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3:S90"/>
  <sheetViews>
    <sheetView workbookViewId="0" topLeftCell="A3">
      <selection activeCell="A76" sqref="A76:IV76"/>
    </sheetView>
  </sheetViews>
  <sheetFormatPr defaultColWidth="9.140625" defaultRowHeight="12.75"/>
  <sheetData>
    <row r="3" spans="1:19" ht="12.75">
      <c r="A3" s="21"/>
      <c r="B3" s="456" t="s">
        <v>111</v>
      </c>
      <c r="C3" s="456"/>
      <c r="D3" s="456"/>
      <c r="E3" s="456"/>
      <c r="F3" s="456"/>
      <c r="G3" s="456"/>
      <c r="H3" s="456"/>
      <c r="I3" s="456"/>
      <c r="J3" s="456"/>
      <c r="K3" s="456"/>
      <c r="L3" s="456"/>
      <c r="M3" s="456"/>
      <c r="N3" s="456"/>
      <c r="O3" s="456"/>
      <c r="P3" s="456"/>
      <c r="Q3" s="456"/>
      <c r="R3" s="456"/>
      <c r="S3" s="456"/>
    </row>
    <row r="4" spans="1:19" ht="13.5" thickBot="1">
      <c r="A4" s="21"/>
      <c r="B4" s="129"/>
      <c r="C4" s="129"/>
      <c r="D4" s="129"/>
      <c r="E4" s="129"/>
      <c r="F4" s="129"/>
      <c r="G4" s="132"/>
      <c r="H4" s="132"/>
      <c r="I4" s="129"/>
      <c r="J4" s="129"/>
      <c r="K4" s="129"/>
      <c r="L4" s="129"/>
      <c r="M4" s="129"/>
      <c r="N4" s="129"/>
      <c r="O4" s="129"/>
      <c r="P4" s="129"/>
      <c r="Q4" s="129"/>
      <c r="R4" s="129"/>
      <c r="S4" s="129"/>
    </row>
    <row r="5" spans="1:19" ht="12.75">
      <c r="A5" s="21"/>
      <c r="B5" s="457" t="s">
        <v>6</v>
      </c>
      <c r="C5" s="458"/>
      <c r="D5" s="458"/>
      <c r="E5" s="459"/>
      <c r="F5" s="460" t="s">
        <v>14</v>
      </c>
      <c r="G5" s="445"/>
      <c r="H5" s="445"/>
      <c r="I5" s="445"/>
      <c r="J5" s="457" t="s">
        <v>48</v>
      </c>
      <c r="K5" s="458"/>
      <c r="L5" s="458"/>
      <c r="M5" s="458"/>
      <c r="N5" s="458"/>
      <c r="O5" s="458"/>
      <c r="P5" s="458"/>
      <c r="Q5" s="458"/>
      <c r="R5" s="458"/>
      <c r="S5" s="459"/>
    </row>
    <row r="6" spans="1:19" ht="12.75">
      <c r="A6" s="21"/>
      <c r="B6" s="120" t="s">
        <v>0</v>
      </c>
      <c r="C6" s="121" t="s">
        <v>1</v>
      </c>
      <c r="D6" s="121" t="s">
        <v>3</v>
      </c>
      <c r="E6" s="122" t="s">
        <v>2</v>
      </c>
      <c r="F6" s="546" t="s">
        <v>15</v>
      </c>
      <c r="G6" s="547"/>
      <c r="H6" s="547"/>
      <c r="I6" s="547"/>
      <c r="J6" s="546" t="s">
        <v>18</v>
      </c>
      <c r="K6" s="541"/>
      <c r="L6" s="540" t="s">
        <v>53</v>
      </c>
      <c r="M6" s="541"/>
      <c r="N6" s="540" t="s">
        <v>96</v>
      </c>
      <c r="O6" s="541"/>
      <c r="P6" s="540" t="s">
        <v>97</v>
      </c>
      <c r="Q6" s="541"/>
      <c r="R6" s="542" t="s">
        <v>16</v>
      </c>
      <c r="S6" s="563"/>
    </row>
    <row r="7" spans="1:19" ht="12.75">
      <c r="A7" s="21"/>
      <c r="B7" s="123"/>
      <c r="C7" s="124"/>
      <c r="D7" s="124" t="s">
        <v>4</v>
      </c>
      <c r="E7" s="125"/>
      <c r="F7" s="17">
        <v>8</v>
      </c>
      <c r="G7" s="207">
        <v>13</v>
      </c>
      <c r="H7" s="207">
        <v>17</v>
      </c>
      <c r="I7" s="17">
        <v>23</v>
      </c>
      <c r="J7" s="140" t="s">
        <v>46</v>
      </c>
      <c r="K7" s="131" t="s">
        <v>2</v>
      </c>
      <c r="L7" s="131" t="s">
        <v>46</v>
      </c>
      <c r="M7" s="131" t="s">
        <v>2</v>
      </c>
      <c r="N7" s="131" t="s">
        <v>46</v>
      </c>
      <c r="O7" s="131" t="s">
        <v>2</v>
      </c>
      <c r="P7" s="131" t="s">
        <v>46</v>
      </c>
      <c r="Q7" s="131" t="s">
        <v>2</v>
      </c>
      <c r="R7" s="131" t="s">
        <v>46</v>
      </c>
      <c r="S7" s="141" t="s">
        <v>2</v>
      </c>
    </row>
    <row r="8" spans="1:19" s="380" customFormat="1" ht="12.75">
      <c r="A8" s="21"/>
      <c r="B8" s="102">
        <v>1980</v>
      </c>
      <c r="C8" s="108">
        <v>6684000</v>
      </c>
      <c r="D8" s="258">
        <v>42</v>
      </c>
      <c r="E8" s="107">
        <f>C8*D8/2000</f>
        <v>140364</v>
      </c>
      <c r="F8" s="106">
        <v>0.25</v>
      </c>
      <c r="G8" s="134">
        <v>0.25</v>
      </c>
      <c r="H8" s="134">
        <v>0.25</v>
      </c>
      <c r="I8" s="101">
        <v>0.25</v>
      </c>
      <c r="J8" s="102"/>
      <c r="K8" s="98"/>
      <c r="L8" s="98"/>
      <c r="M8" s="98"/>
      <c r="N8" s="98"/>
      <c r="O8" s="98"/>
      <c r="P8" s="98"/>
      <c r="Q8" s="98"/>
      <c r="R8" s="98"/>
      <c r="S8" s="103"/>
    </row>
    <row r="9" spans="1:19" s="380" customFormat="1" ht="12.75">
      <c r="A9" s="21"/>
      <c r="B9" s="102">
        <v>1981</v>
      </c>
      <c r="C9" s="108">
        <v>5654000</v>
      </c>
      <c r="D9" s="258">
        <v>42</v>
      </c>
      <c r="E9" s="107">
        <f>C9*D9/2000</f>
        <v>118734</v>
      </c>
      <c r="F9" s="106">
        <v>0.25</v>
      </c>
      <c r="G9" s="134">
        <v>0.25</v>
      </c>
      <c r="H9" s="134">
        <v>0.25</v>
      </c>
      <c r="I9" s="101">
        <v>0.25</v>
      </c>
      <c r="J9" s="102"/>
      <c r="K9" s="98"/>
      <c r="L9" s="98"/>
      <c r="M9" s="98"/>
      <c r="N9" s="98"/>
      <c r="O9" s="98"/>
      <c r="P9" s="98"/>
      <c r="Q9" s="98"/>
      <c r="R9" s="98"/>
      <c r="S9" s="103"/>
    </row>
    <row r="10" spans="1:19" s="380" customFormat="1" ht="12.75">
      <c r="A10" s="21"/>
      <c r="B10" s="102">
        <v>1982</v>
      </c>
      <c r="C10" s="108">
        <v>5692000</v>
      </c>
      <c r="D10" s="258">
        <v>42</v>
      </c>
      <c r="E10" s="107">
        <f>C10*D10/2000</f>
        <v>119532</v>
      </c>
      <c r="F10" s="106">
        <v>0.25</v>
      </c>
      <c r="G10" s="134">
        <v>0.25</v>
      </c>
      <c r="H10" s="134">
        <v>0.25</v>
      </c>
      <c r="I10" s="101">
        <v>0.25</v>
      </c>
      <c r="J10" s="109"/>
      <c r="K10" s="100"/>
      <c r="L10" s="100"/>
      <c r="M10" s="100"/>
      <c r="N10" s="100"/>
      <c r="O10" s="100"/>
      <c r="P10" s="100"/>
      <c r="Q10" s="100"/>
      <c r="R10" s="100">
        <f>J10+L10+N10+P10</f>
        <v>0</v>
      </c>
      <c r="S10" s="107">
        <f>K10+M10+O10+Q10</f>
        <v>0</v>
      </c>
    </row>
    <row r="11" spans="1:19" s="380" customFormat="1" ht="12.75">
      <c r="A11" s="21"/>
      <c r="B11" s="102">
        <v>1983</v>
      </c>
      <c r="C11" s="108">
        <v>5735000</v>
      </c>
      <c r="D11" s="258">
        <v>42</v>
      </c>
      <c r="E11" s="107">
        <f>C11*D11/2000</f>
        <v>120435</v>
      </c>
      <c r="F11" s="106">
        <v>0.25</v>
      </c>
      <c r="G11" s="134">
        <v>0.25</v>
      </c>
      <c r="H11" s="134">
        <v>0.25</v>
      </c>
      <c r="I11" s="101">
        <v>0.25</v>
      </c>
      <c r="J11" s="109"/>
      <c r="K11" s="100"/>
      <c r="L11" s="100"/>
      <c r="M11" s="100"/>
      <c r="N11" s="100"/>
      <c r="O11" s="100"/>
      <c r="P11" s="100"/>
      <c r="Q11" s="100"/>
      <c r="R11" s="100">
        <f aca="true" t="shared" si="0" ref="R11:S38">J11+L11+N11+P11</f>
        <v>0</v>
      </c>
      <c r="S11" s="107">
        <f t="shared" si="0"/>
        <v>0</v>
      </c>
    </row>
    <row r="12" spans="1:19" s="380" customFormat="1" ht="12.75">
      <c r="A12" s="21"/>
      <c r="B12" s="102">
        <v>1984</v>
      </c>
      <c r="C12" s="108">
        <v>5050000</v>
      </c>
      <c r="D12" s="436">
        <v>41.97849462365591</v>
      </c>
      <c r="E12" s="107">
        <f>C12*D12/2000</f>
        <v>105995.69892473119</v>
      </c>
      <c r="F12" s="106">
        <v>0.25</v>
      </c>
      <c r="G12" s="134">
        <v>0.25</v>
      </c>
      <c r="H12" s="134">
        <v>0.25</v>
      </c>
      <c r="I12" s="101">
        <v>0.25</v>
      </c>
      <c r="J12" s="109"/>
      <c r="K12" s="100"/>
      <c r="L12" s="100"/>
      <c r="M12" s="100"/>
      <c r="N12" s="100"/>
      <c r="O12" s="100"/>
      <c r="P12" s="100"/>
      <c r="Q12" s="100"/>
      <c r="R12" s="100">
        <f t="shared" si="0"/>
        <v>0</v>
      </c>
      <c r="S12" s="107">
        <f t="shared" si="0"/>
        <v>0</v>
      </c>
    </row>
    <row r="13" spans="1:19" s="380" customFormat="1" ht="12.75">
      <c r="A13" s="21"/>
      <c r="B13" s="102">
        <v>1985</v>
      </c>
      <c r="C13" s="108">
        <v>3684000</v>
      </c>
      <c r="D13" s="436">
        <v>40.61904761904762</v>
      </c>
      <c r="E13" s="107">
        <f aca="true" t="shared" si="1" ref="E13:E32">C13*D13/2000</f>
        <v>74820.28571428571</v>
      </c>
      <c r="F13" s="106">
        <v>0.25</v>
      </c>
      <c r="G13" s="134">
        <v>0.25</v>
      </c>
      <c r="H13" s="134">
        <v>0.25</v>
      </c>
      <c r="I13" s="101">
        <v>0.25</v>
      </c>
      <c r="J13" s="109"/>
      <c r="K13" s="100"/>
      <c r="L13" s="100"/>
      <c r="M13" s="100"/>
      <c r="N13" s="100"/>
      <c r="O13" s="100"/>
      <c r="P13" s="100"/>
      <c r="Q13" s="100"/>
      <c r="R13" s="100">
        <f t="shared" si="0"/>
        <v>0</v>
      </c>
      <c r="S13" s="107">
        <f t="shared" si="0"/>
        <v>0</v>
      </c>
    </row>
    <row r="14" spans="1:19" s="380" customFormat="1" ht="12.75">
      <c r="A14" s="21"/>
      <c r="B14" s="102">
        <v>1986</v>
      </c>
      <c r="C14" s="108">
        <v>3953000</v>
      </c>
      <c r="D14" s="436">
        <v>41.13461538461539</v>
      </c>
      <c r="E14" s="107">
        <f t="shared" si="1"/>
        <v>81302.56730769231</v>
      </c>
      <c r="F14" s="106">
        <v>0.25</v>
      </c>
      <c r="G14" s="134">
        <v>0.25</v>
      </c>
      <c r="H14" s="134">
        <v>0.25</v>
      </c>
      <c r="I14" s="101">
        <v>0.25</v>
      </c>
      <c r="J14" s="109"/>
      <c r="K14" s="100"/>
      <c r="L14" s="100"/>
      <c r="M14" s="100"/>
      <c r="N14" s="100"/>
      <c r="O14" s="100"/>
      <c r="P14" s="100"/>
      <c r="Q14" s="100"/>
      <c r="R14" s="100">
        <f t="shared" si="0"/>
        <v>0</v>
      </c>
      <c r="S14" s="107">
        <f t="shared" si="0"/>
        <v>0</v>
      </c>
    </row>
    <row r="15" spans="1:19" s="380" customFormat="1" ht="12.75">
      <c r="A15" s="21"/>
      <c r="B15" s="102">
        <v>1987</v>
      </c>
      <c r="C15" s="108">
        <v>3547000</v>
      </c>
      <c r="D15" s="436">
        <v>40.8</v>
      </c>
      <c r="E15" s="107">
        <f t="shared" si="1"/>
        <v>72358.8</v>
      </c>
      <c r="F15" s="106">
        <v>0.25</v>
      </c>
      <c r="G15" s="134">
        <v>0.25</v>
      </c>
      <c r="H15" s="134">
        <v>0.25</v>
      </c>
      <c r="I15" s="101">
        <v>0.25</v>
      </c>
      <c r="J15" s="109"/>
      <c r="K15" s="100"/>
      <c r="L15" s="100"/>
      <c r="M15" s="100"/>
      <c r="N15" s="100"/>
      <c r="O15" s="100"/>
      <c r="P15" s="100"/>
      <c r="Q15" s="100"/>
      <c r="R15" s="100">
        <f t="shared" si="0"/>
        <v>0</v>
      </c>
      <c r="S15" s="107">
        <f t="shared" si="0"/>
        <v>0</v>
      </c>
    </row>
    <row r="16" spans="1:19" s="380" customFormat="1" ht="12.75">
      <c r="A16" s="21"/>
      <c r="B16" s="102">
        <v>1988</v>
      </c>
      <c r="C16" s="108">
        <v>2574000</v>
      </c>
      <c r="D16" s="436">
        <v>41.16129032258065</v>
      </c>
      <c r="E16" s="107">
        <f t="shared" si="1"/>
        <v>52974.580645161295</v>
      </c>
      <c r="F16" s="106">
        <v>0.25</v>
      </c>
      <c r="G16" s="134">
        <v>0.25</v>
      </c>
      <c r="H16" s="134">
        <v>0.25</v>
      </c>
      <c r="I16" s="101">
        <v>0.25</v>
      </c>
      <c r="J16" s="109">
        <f>C8*F8/1000</f>
        <v>1671</v>
      </c>
      <c r="K16" s="100">
        <f>E8*F8</f>
        <v>35091</v>
      </c>
      <c r="L16" s="100"/>
      <c r="M16" s="100"/>
      <c r="N16" s="100"/>
      <c r="O16" s="100"/>
      <c r="P16" s="100"/>
      <c r="Q16" s="100"/>
      <c r="R16" s="100">
        <f t="shared" si="0"/>
        <v>1671</v>
      </c>
      <c r="S16" s="107">
        <f t="shared" si="0"/>
        <v>35091</v>
      </c>
    </row>
    <row r="17" spans="1:19" s="380" customFormat="1" ht="12.75">
      <c r="A17" s="21"/>
      <c r="B17" s="102">
        <v>1989</v>
      </c>
      <c r="C17" s="108">
        <v>1656000</v>
      </c>
      <c r="D17" s="436">
        <v>41.013422818791945</v>
      </c>
      <c r="E17" s="107">
        <f t="shared" si="1"/>
        <v>33959.11409395973</v>
      </c>
      <c r="F17" s="106">
        <v>0.25</v>
      </c>
      <c r="G17" s="134">
        <v>0.25</v>
      </c>
      <c r="H17" s="134">
        <v>0.25</v>
      </c>
      <c r="I17" s="101">
        <v>0.25</v>
      </c>
      <c r="J17" s="109">
        <f aca="true" t="shared" si="2" ref="J17:J38">C9*F9/1000</f>
        <v>1413.5</v>
      </c>
      <c r="K17" s="100">
        <f aca="true" t="shared" si="3" ref="K17:K38">E9*F9</f>
        <v>29683.5</v>
      </c>
      <c r="L17" s="100"/>
      <c r="M17" s="100"/>
      <c r="N17" s="100"/>
      <c r="O17" s="100"/>
      <c r="P17" s="100"/>
      <c r="Q17" s="100"/>
      <c r="R17" s="100">
        <f t="shared" si="0"/>
        <v>1413.5</v>
      </c>
      <c r="S17" s="107">
        <f t="shared" si="0"/>
        <v>29683.5</v>
      </c>
    </row>
    <row r="18" spans="1:19" s="380" customFormat="1" ht="12.75">
      <c r="A18" s="21"/>
      <c r="B18" s="102">
        <v>1990</v>
      </c>
      <c r="C18" s="108">
        <v>1411000</v>
      </c>
      <c r="D18" s="436">
        <v>40.53947368421053</v>
      </c>
      <c r="E18" s="107">
        <f t="shared" si="1"/>
        <v>28600.598684210527</v>
      </c>
      <c r="F18" s="106">
        <v>0.25</v>
      </c>
      <c r="G18" s="134">
        <v>0.25</v>
      </c>
      <c r="H18" s="134">
        <v>0.25</v>
      </c>
      <c r="I18" s="101">
        <v>0.25</v>
      </c>
      <c r="J18" s="109">
        <f t="shared" si="2"/>
        <v>1423</v>
      </c>
      <c r="K18" s="100">
        <f t="shared" si="3"/>
        <v>29883</v>
      </c>
      <c r="L18" s="100"/>
      <c r="M18" s="100"/>
      <c r="N18" s="100"/>
      <c r="O18" s="100"/>
      <c r="P18" s="100"/>
      <c r="Q18" s="100"/>
      <c r="R18" s="100">
        <f t="shared" si="0"/>
        <v>1423</v>
      </c>
      <c r="S18" s="107">
        <f t="shared" si="0"/>
        <v>29883</v>
      </c>
    </row>
    <row r="19" spans="1:19" s="380" customFormat="1" ht="12.75">
      <c r="A19" s="21"/>
      <c r="B19" s="102">
        <v>1991</v>
      </c>
      <c r="C19" s="108">
        <v>784000</v>
      </c>
      <c r="D19" s="436">
        <v>41.06923076923077</v>
      </c>
      <c r="E19" s="107">
        <f t="shared" si="1"/>
        <v>16099.138461538461</v>
      </c>
      <c r="F19" s="106">
        <v>0.25</v>
      </c>
      <c r="G19" s="134">
        <v>0.25</v>
      </c>
      <c r="H19" s="134">
        <v>0.25</v>
      </c>
      <c r="I19" s="101">
        <v>0.25</v>
      </c>
      <c r="J19" s="109">
        <f t="shared" si="2"/>
        <v>1433.75</v>
      </c>
      <c r="K19" s="100">
        <f t="shared" si="3"/>
        <v>30108.75</v>
      </c>
      <c r="L19" s="100"/>
      <c r="M19" s="100"/>
      <c r="N19" s="100"/>
      <c r="O19" s="100"/>
      <c r="P19" s="100"/>
      <c r="Q19" s="100"/>
      <c r="R19" s="100">
        <f t="shared" si="0"/>
        <v>1433.75</v>
      </c>
      <c r="S19" s="107">
        <f t="shared" si="0"/>
        <v>30108.75</v>
      </c>
    </row>
    <row r="20" spans="1:19" s="380" customFormat="1" ht="12.75">
      <c r="A20" s="21"/>
      <c r="B20" s="102">
        <v>1992</v>
      </c>
      <c r="C20" s="108">
        <v>633000</v>
      </c>
      <c r="D20" s="436">
        <v>40.93333333333333</v>
      </c>
      <c r="E20" s="107">
        <f t="shared" si="1"/>
        <v>12955.399999999998</v>
      </c>
      <c r="F20" s="106">
        <v>0.25</v>
      </c>
      <c r="G20" s="134">
        <v>0.25</v>
      </c>
      <c r="H20" s="134">
        <v>0.25</v>
      </c>
      <c r="I20" s="101">
        <v>0.25</v>
      </c>
      <c r="J20" s="109">
        <f>C12*F12/1000</f>
        <v>1262.5</v>
      </c>
      <c r="K20" s="100">
        <f t="shared" si="3"/>
        <v>26498.924731182797</v>
      </c>
      <c r="L20" s="100"/>
      <c r="M20" s="100"/>
      <c r="N20" s="100"/>
      <c r="O20" s="100"/>
      <c r="P20" s="100"/>
      <c r="Q20" s="100"/>
      <c r="R20" s="100">
        <f t="shared" si="0"/>
        <v>1262.5</v>
      </c>
      <c r="S20" s="107">
        <f t="shared" si="0"/>
        <v>26498.924731182797</v>
      </c>
    </row>
    <row r="21" spans="1:19" s="380" customFormat="1" ht="12.75">
      <c r="A21" s="21"/>
      <c r="B21" s="102">
        <v>1993</v>
      </c>
      <c r="C21" s="108">
        <v>550000</v>
      </c>
      <c r="D21" s="436">
        <v>40.74233128834356</v>
      </c>
      <c r="E21" s="107">
        <f t="shared" si="1"/>
        <v>11204.141104294478</v>
      </c>
      <c r="F21" s="106">
        <v>0.25</v>
      </c>
      <c r="G21" s="134">
        <v>0.25</v>
      </c>
      <c r="H21" s="134">
        <v>0.25</v>
      </c>
      <c r="I21" s="101">
        <v>0.25</v>
      </c>
      <c r="J21" s="109">
        <f>C13*F13/1000</f>
        <v>921</v>
      </c>
      <c r="K21" s="100">
        <f t="shared" si="3"/>
        <v>18705.071428571428</v>
      </c>
      <c r="L21" s="100">
        <f>C8*G8/1000</f>
        <v>1671</v>
      </c>
      <c r="M21" s="100">
        <f>E8*G8</f>
        <v>35091</v>
      </c>
      <c r="N21" s="100"/>
      <c r="O21" s="100"/>
      <c r="P21" s="100"/>
      <c r="Q21" s="100"/>
      <c r="R21" s="100">
        <f t="shared" si="0"/>
        <v>2592</v>
      </c>
      <c r="S21" s="107">
        <f t="shared" si="0"/>
        <v>53796.07142857143</v>
      </c>
    </row>
    <row r="22" spans="1:19" s="380" customFormat="1" ht="12.75">
      <c r="A22" s="21"/>
      <c r="B22" s="102">
        <v>1994</v>
      </c>
      <c r="C22" s="108">
        <v>540000</v>
      </c>
      <c r="D22" s="436">
        <v>41.120879120879124</v>
      </c>
      <c r="E22" s="107">
        <f t="shared" si="1"/>
        <v>11102.637362637364</v>
      </c>
      <c r="F22" s="106">
        <v>0.25</v>
      </c>
      <c r="G22" s="134">
        <v>0.25</v>
      </c>
      <c r="H22" s="134">
        <v>0.25</v>
      </c>
      <c r="I22" s="101">
        <v>0.25</v>
      </c>
      <c r="J22" s="109">
        <f t="shared" si="2"/>
        <v>988.25</v>
      </c>
      <c r="K22" s="100">
        <f t="shared" si="3"/>
        <v>20325.641826923078</v>
      </c>
      <c r="L22" s="100">
        <f aca="true" t="shared" si="4" ref="L22:L38">C9*G9/1000</f>
        <v>1413.5</v>
      </c>
      <c r="M22" s="100">
        <f aca="true" t="shared" si="5" ref="M22:M38">E9*G9</f>
        <v>29683.5</v>
      </c>
      <c r="N22" s="100"/>
      <c r="O22" s="100"/>
      <c r="P22" s="100"/>
      <c r="Q22" s="100"/>
      <c r="R22" s="100">
        <f t="shared" si="0"/>
        <v>2401.75</v>
      </c>
      <c r="S22" s="107">
        <f t="shared" si="0"/>
        <v>50009.14182692308</v>
      </c>
    </row>
    <row r="23" spans="1:19" s="380" customFormat="1" ht="12.75">
      <c r="A23" s="21"/>
      <c r="B23" s="102">
        <v>1995</v>
      </c>
      <c r="C23" s="108">
        <v>480000</v>
      </c>
      <c r="D23" s="436">
        <v>40.93617021276596</v>
      </c>
      <c r="E23" s="107">
        <f t="shared" si="1"/>
        <v>9824.680851063831</v>
      </c>
      <c r="F23" s="106">
        <v>0.25</v>
      </c>
      <c r="G23" s="134">
        <v>0.25</v>
      </c>
      <c r="H23" s="134">
        <v>0.25</v>
      </c>
      <c r="I23" s="101">
        <v>0.25</v>
      </c>
      <c r="J23" s="109">
        <f t="shared" si="2"/>
        <v>886.75</v>
      </c>
      <c r="K23" s="100">
        <f t="shared" si="3"/>
        <v>18089.7</v>
      </c>
      <c r="L23" s="100">
        <f t="shared" si="4"/>
        <v>1423</v>
      </c>
      <c r="M23" s="100">
        <f t="shared" si="5"/>
        <v>29883</v>
      </c>
      <c r="N23" s="100"/>
      <c r="O23" s="100"/>
      <c r="P23" s="100"/>
      <c r="Q23" s="100"/>
      <c r="R23" s="100">
        <f t="shared" si="0"/>
        <v>2309.75</v>
      </c>
      <c r="S23" s="107">
        <f t="shared" si="0"/>
        <v>47972.7</v>
      </c>
    </row>
    <row r="24" spans="1:19" s="380" customFormat="1" ht="12.75">
      <c r="A24" s="21"/>
      <c r="B24" s="102">
        <v>1996</v>
      </c>
      <c r="C24" s="108">
        <v>425000</v>
      </c>
      <c r="D24" s="436">
        <v>41.26315789473684</v>
      </c>
      <c r="E24" s="107">
        <f t="shared" si="1"/>
        <v>8768.42105263158</v>
      </c>
      <c r="F24" s="106">
        <v>0.25</v>
      </c>
      <c r="G24" s="134">
        <v>0.25</v>
      </c>
      <c r="H24" s="134">
        <v>0.25</v>
      </c>
      <c r="I24" s="101">
        <v>0.25</v>
      </c>
      <c r="J24" s="109">
        <f t="shared" si="2"/>
        <v>643.5</v>
      </c>
      <c r="K24" s="100">
        <f t="shared" si="3"/>
        <v>13243.645161290324</v>
      </c>
      <c r="L24" s="100">
        <f t="shared" si="4"/>
        <v>1433.75</v>
      </c>
      <c r="M24" s="100">
        <f t="shared" si="5"/>
        <v>30108.75</v>
      </c>
      <c r="N24" s="100"/>
      <c r="O24" s="100"/>
      <c r="P24" s="100"/>
      <c r="Q24" s="100"/>
      <c r="R24" s="100">
        <f t="shared" si="0"/>
        <v>2077.25</v>
      </c>
      <c r="S24" s="107">
        <f t="shared" si="0"/>
        <v>43352.395161290326</v>
      </c>
    </row>
    <row r="25" spans="1:19" s="380" customFormat="1" ht="12.75">
      <c r="A25" s="21"/>
      <c r="B25" s="102">
        <v>1997</v>
      </c>
      <c r="C25" s="108">
        <v>400000</v>
      </c>
      <c r="D25" s="436">
        <v>40.666666666666664</v>
      </c>
      <c r="E25" s="107">
        <f t="shared" si="1"/>
        <v>8133.333333333333</v>
      </c>
      <c r="F25" s="106">
        <v>0.25</v>
      </c>
      <c r="G25" s="134">
        <v>0.25</v>
      </c>
      <c r="H25" s="134">
        <v>0.25</v>
      </c>
      <c r="I25" s="101">
        <v>0.25</v>
      </c>
      <c r="J25" s="109">
        <f t="shared" si="2"/>
        <v>414</v>
      </c>
      <c r="K25" s="100">
        <f t="shared" si="3"/>
        <v>8489.778523489933</v>
      </c>
      <c r="L25" s="100">
        <f t="shared" si="4"/>
        <v>1262.5</v>
      </c>
      <c r="M25" s="100">
        <f t="shared" si="5"/>
        <v>26498.924731182797</v>
      </c>
      <c r="N25" s="100">
        <f>C8*H8/1000</f>
        <v>1671</v>
      </c>
      <c r="O25" s="100">
        <f>E8*H8</f>
        <v>35091</v>
      </c>
      <c r="P25" s="100"/>
      <c r="Q25" s="100"/>
      <c r="R25" s="100">
        <f t="shared" si="0"/>
        <v>3347.5</v>
      </c>
      <c r="S25" s="107">
        <f t="shared" si="0"/>
        <v>70079.70325467273</v>
      </c>
    </row>
    <row r="26" spans="1:19" s="380" customFormat="1" ht="12.75">
      <c r="A26" s="21"/>
      <c r="B26" s="102">
        <v>1998</v>
      </c>
      <c r="C26" s="108">
        <v>347000</v>
      </c>
      <c r="D26" s="436">
        <v>41.55555555555556</v>
      </c>
      <c r="E26" s="107">
        <f t="shared" si="1"/>
        <v>7209.888888888889</v>
      </c>
      <c r="F26" s="106">
        <v>0.25</v>
      </c>
      <c r="G26" s="134">
        <v>0.25</v>
      </c>
      <c r="H26" s="134">
        <v>0.25</v>
      </c>
      <c r="I26" s="101">
        <v>0.25</v>
      </c>
      <c r="J26" s="109">
        <f>C18*F18/1000</f>
        <v>352.75</v>
      </c>
      <c r="K26" s="100">
        <f t="shared" si="3"/>
        <v>7150.149671052632</v>
      </c>
      <c r="L26" s="100">
        <f t="shared" si="4"/>
        <v>921</v>
      </c>
      <c r="M26" s="100">
        <f t="shared" si="5"/>
        <v>18705.071428571428</v>
      </c>
      <c r="N26" s="100">
        <f aca="true" t="shared" si="6" ref="N26:N38">C9*H9/1000</f>
        <v>1413.5</v>
      </c>
      <c r="O26" s="100">
        <f aca="true" t="shared" si="7" ref="O26:O38">E9*H9</f>
        <v>29683.5</v>
      </c>
      <c r="P26" s="100"/>
      <c r="Q26" s="100"/>
      <c r="R26" s="100">
        <f t="shared" si="0"/>
        <v>2687.25</v>
      </c>
      <c r="S26" s="107">
        <f t="shared" si="0"/>
        <v>55538.72109962406</v>
      </c>
    </row>
    <row r="27" spans="1:19" s="380" customFormat="1" ht="12.75">
      <c r="A27" s="21"/>
      <c r="B27" s="102">
        <v>1999</v>
      </c>
      <c r="C27" s="108">
        <v>320000</v>
      </c>
      <c r="D27" s="436">
        <v>41.22727272727273</v>
      </c>
      <c r="E27" s="107">
        <f t="shared" si="1"/>
        <v>6596.363636363637</v>
      </c>
      <c r="F27" s="106">
        <v>0.25</v>
      </c>
      <c r="G27" s="134">
        <v>0.25</v>
      </c>
      <c r="H27" s="134">
        <v>0.25</v>
      </c>
      <c r="I27" s="101">
        <v>0.25</v>
      </c>
      <c r="J27" s="109">
        <f>C19*F19/1000</f>
        <v>196</v>
      </c>
      <c r="K27" s="100">
        <f t="shared" si="3"/>
        <v>4024.7846153846153</v>
      </c>
      <c r="L27" s="100">
        <f t="shared" si="4"/>
        <v>988.25</v>
      </c>
      <c r="M27" s="100">
        <f t="shared" si="5"/>
        <v>20325.641826923078</v>
      </c>
      <c r="N27" s="100">
        <f t="shared" si="6"/>
        <v>1423</v>
      </c>
      <c r="O27" s="100">
        <f t="shared" si="7"/>
        <v>29883</v>
      </c>
      <c r="P27" s="100"/>
      <c r="Q27" s="100"/>
      <c r="R27" s="100">
        <f t="shared" si="0"/>
        <v>2607.25</v>
      </c>
      <c r="S27" s="107">
        <f t="shared" si="0"/>
        <v>54233.4264423077</v>
      </c>
    </row>
    <row r="28" spans="1:19" s="380" customFormat="1" ht="12.75">
      <c r="A28" s="21"/>
      <c r="B28" s="102">
        <v>2000</v>
      </c>
      <c r="C28" s="108">
        <v>265000</v>
      </c>
      <c r="D28" s="436">
        <v>39.810810810810814</v>
      </c>
      <c r="E28" s="107">
        <f t="shared" si="1"/>
        <v>5274.9324324324325</v>
      </c>
      <c r="F28" s="106">
        <v>0.25</v>
      </c>
      <c r="G28" s="134">
        <v>0.25</v>
      </c>
      <c r="H28" s="134">
        <v>0.25</v>
      </c>
      <c r="I28" s="101">
        <v>0.25</v>
      </c>
      <c r="J28" s="109">
        <f t="shared" si="2"/>
        <v>158.25</v>
      </c>
      <c r="K28" s="100">
        <f t="shared" si="3"/>
        <v>3238.8499999999995</v>
      </c>
      <c r="L28" s="100">
        <f t="shared" si="4"/>
        <v>886.75</v>
      </c>
      <c r="M28" s="100">
        <f t="shared" si="5"/>
        <v>18089.7</v>
      </c>
      <c r="N28" s="100">
        <f t="shared" si="6"/>
        <v>1433.75</v>
      </c>
      <c r="O28" s="100">
        <f t="shared" si="7"/>
        <v>30108.75</v>
      </c>
      <c r="P28" s="100"/>
      <c r="Q28" s="100"/>
      <c r="R28" s="100">
        <f t="shared" si="0"/>
        <v>2478.75</v>
      </c>
      <c r="S28" s="107">
        <f t="shared" si="0"/>
        <v>51437.3</v>
      </c>
    </row>
    <row r="29" spans="1:19" s="380" customFormat="1" ht="12.75">
      <c r="A29" s="21"/>
      <c r="B29" s="102">
        <v>2001</v>
      </c>
      <c r="C29" s="108">
        <v>250000</v>
      </c>
      <c r="D29" s="436">
        <v>41.074074074074076</v>
      </c>
      <c r="E29" s="107">
        <f t="shared" si="1"/>
        <v>5134.259259259259</v>
      </c>
      <c r="F29" s="106">
        <v>0.25</v>
      </c>
      <c r="G29" s="134">
        <v>0.25</v>
      </c>
      <c r="H29" s="134">
        <v>0.25</v>
      </c>
      <c r="I29" s="101">
        <v>0.25</v>
      </c>
      <c r="J29" s="109">
        <f t="shared" si="2"/>
        <v>137.5</v>
      </c>
      <c r="K29" s="100">
        <f t="shared" si="3"/>
        <v>2801.0352760736196</v>
      </c>
      <c r="L29" s="100">
        <f t="shared" si="4"/>
        <v>643.5</v>
      </c>
      <c r="M29" s="100">
        <f t="shared" si="5"/>
        <v>13243.645161290324</v>
      </c>
      <c r="N29" s="100">
        <f t="shared" si="6"/>
        <v>1262.5</v>
      </c>
      <c r="O29" s="100">
        <f t="shared" si="7"/>
        <v>26498.924731182797</v>
      </c>
      <c r="P29" s="100"/>
      <c r="Q29" s="100"/>
      <c r="R29" s="100">
        <f t="shared" si="0"/>
        <v>2043.5</v>
      </c>
      <c r="S29" s="107">
        <f t="shared" si="0"/>
        <v>42543.60516854674</v>
      </c>
    </row>
    <row r="30" spans="1:19" s="380" customFormat="1" ht="12.75">
      <c r="A30" s="21"/>
      <c r="B30" s="102">
        <v>2002</v>
      </c>
      <c r="C30" s="108">
        <v>225000</v>
      </c>
      <c r="D30" s="436">
        <v>40.416666666666664</v>
      </c>
      <c r="E30" s="107">
        <f t="shared" si="1"/>
        <v>4546.875</v>
      </c>
      <c r="F30" s="106">
        <v>0.25</v>
      </c>
      <c r="G30" s="134">
        <v>0.25</v>
      </c>
      <c r="H30" s="134">
        <v>0.25</v>
      </c>
      <c r="I30" s="101">
        <v>0.25</v>
      </c>
      <c r="J30" s="109">
        <f>C22*F22/1000</f>
        <v>135</v>
      </c>
      <c r="K30" s="100">
        <f t="shared" si="3"/>
        <v>2775.659340659341</v>
      </c>
      <c r="L30" s="100">
        <f t="shared" si="4"/>
        <v>414</v>
      </c>
      <c r="M30" s="100">
        <f t="shared" si="5"/>
        <v>8489.778523489933</v>
      </c>
      <c r="N30" s="100">
        <f t="shared" si="6"/>
        <v>921</v>
      </c>
      <c r="O30" s="100">
        <f t="shared" si="7"/>
        <v>18705.071428571428</v>
      </c>
      <c r="P30" s="100"/>
      <c r="Q30" s="100"/>
      <c r="R30" s="100">
        <f t="shared" si="0"/>
        <v>1470</v>
      </c>
      <c r="S30" s="107">
        <f t="shared" si="0"/>
        <v>29970.5092927207</v>
      </c>
    </row>
    <row r="31" spans="1:19" s="380" customFormat="1" ht="12.75">
      <c r="A31" s="21"/>
      <c r="B31" s="102">
        <v>2003</v>
      </c>
      <c r="C31" s="108">
        <v>200000</v>
      </c>
      <c r="D31" s="436">
        <v>41</v>
      </c>
      <c r="E31" s="107">
        <f t="shared" si="1"/>
        <v>4100</v>
      </c>
      <c r="F31" s="106">
        <v>0.25</v>
      </c>
      <c r="G31" s="134">
        <v>0.25</v>
      </c>
      <c r="H31" s="134">
        <v>0.25</v>
      </c>
      <c r="I31" s="101">
        <v>0.25</v>
      </c>
      <c r="J31" s="109">
        <f t="shared" si="2"/>
        <v>120</v>
      </c>
      <c r="K31" s="100">
        <f t="shared" si="3"/>
        <v>2456.170212765958</v>
      </c>
      <c r="L31" s="100">
        <f t="shared" si="4"/>
        <v>352.75</v>
      </c>
      <c r="M31" s="100">
        <f t="shared" si="5"/>
        <v>7150.149671052632</v>
      </c>
      <c r="N31" s="100">
        <f t="shared" si="6"/>
        <v>988.25</v>
      </c>
      <c r="O31" s="100">
        <f t="shared" si="7"/>
        <v>20325.641826923078</v>
      </c>
      <c r="P31" s="100">
        <f>C8*I8/1000</f>
        <v>1671</v>
      </c>
      <c r="Q31" s="100">
        <f>E8*I8</f>
        <v>35091</v>
      </c>
      <c r="R31" s="100">
        <f t="shared" si="0"/>
        <v>3132</v>
      </c>
      <c r="S31" s="107">
        <f t="shared" si="0"/>
        <v>65022.96171074167</v>
      </c>
    </row>
    <row r="32" spans="1:19" s="380" customFormat="1" ht="12.75">
      <c r="A32" s="21"/>
      <c r="B32" s="102">
        <v>2004</v>
      </c>
      <c r="C32" s="108">
        <v>150000</v>
      </c>
      <c r="D32" s="436">
        <v>41</v>
      </c>
      <c r="E32" s="107">
        <f t="shared" si="1"/>
        <v>3075</v>
      </c>
      <c r="F32" s="106">
        <v>0.25</v>
      </c>
      <c r="G32" s="134">
        <v>0.25</v>
      </c>
      <c r="H32" s="134">
        <v>0.25</v>
      </c>
      <c r="I32" s="101">
        <v>0.25</v>
      </c>
      <c r="J32" s="109">
        <f>C24*F24/1000</f>
        <v>106.25</v>
      </c>
      <c r="K32" s="100">
        <f t="shared" si="3"/>
        <v>2192.105263157895</v>
      </c>
      <c r="L32" s="100">
        <f t="shared" si="4"/>
        <v>196</v>
      </c>
      <c r="M32" s="100">
        <f t="shared" si="5"/>
        <v>4024.7846153846153</v>
      </c>
      <c r="N32" s="100">
        <f t="shared" si="6"/>
        <v>886.75</v>
      </c>
      <c r="O32" s="100">
        <f t="shared" si="7"/>
        <v>18089.7</v>
      </c>
      <c r="P32" s="100">
        <f aca="true" t="shared" si="8" ref="P32:P38">C9*I9/1000</f>
        <v>1413.5</v>
      </c>
      <c r="Q32" s="100">
        <f aca="true" t="shared" si="9" ref="Q32:Q38">E9*I9</f>
        <v>29683.5</v>
      </c>
      <c r="R32" s="100">
        <f t="shared" si="0"/>
        <v>2602.5</v>
      </c>
      <c r="S32" s="107">
        <f t="shared" si="0"/>
        <v>53990.08987854251</v>
      </c>
    </row>
    <row r="33" spans="1:19" s="380" customFormat="1" ht="12.75">
      <c r="A33" s="21"/>
      <c r="B33" s="102">
        <v>2005</v>
      </c>
      <c r="C33" s="108">
        <v>125000</v>
      </c>
      <c r="D33" s="436">
        <v>41</v>
      </c>
      <c r="E33" s="107">
        <f>C33*D33/2000</f>
        <v>2562.5</v>
      </c>
      <c r="F33" s="106">
        <v>0.25</v>
      </c>
      <c r="G33" s="134">
        <v>0.25</v>
      </c>
      <c r="H33" s="134">
        <v>0.25</v>
      </c>
      <c r="I33" s="101">
        <v>0.25</v>
      </c>
      <c r="J33" s="109">
        <f t="shared" si="2"/>
        <v>100</v>
      </c>
      <c r="K33" s="100">
        <f t="shared" si="3"/>
        <v>2033.3333333333333</v>
      </c>
      <c r="L33" s="100">
        <f t="shared" si="4"/>
        <v>158.25</v>
      </c>
      <c r="M33" s="100">
        <f t="shared" si="5"/>
        <v>3238.8499999999995</v>
      </c>
      <c r="N33" s="100">
        <f t="shared" si="6"/>
        <v>643.5</v>
      </c>
      <c r="O33" s="100">
        <f t="shared" si="7"/>
        <v>13243.645161290324</v>
      </c>
      <c r="P33" s="100">
        <f t="shared" si="8"/>
        <v>1423</v>
      </c>
      <c r="Q33" s="100">
        <f t="shared" si="9"/>
        <v>29883</v>
      </c>
      <c r="R33" s="100">
        <f t="shared" si="0"/>
        <v>2324.75</v>
      </c>
      <c r="S33" s="107">
        <f t="shared" si="0"/>
        <v>48398.82849462365</v>
      </c>
    </row>
    <row r="34" spans="1:19" s="380" customFormat="1" ht="12.75">
      <c r="A34" s="21"/>
      <c r="B34" s="102">
        <v>2006</v>
      </c>
      <c r="C34" s="108">
        <v>98000</v>
      </c>
      <c r="D34" s="436">
        <v>41</v>
      </c>
      <c r="E34" s="107">
        <f>C34*D34/2000</f>
        <v>2009</v>
      </c>
      <c r="F34" s="106">
        <v>0.25</v>
      </c>
      <c r="G34" s="134">
        <v>0.25</v>
      </c>
      <c r="H34" s="134">
        <v>0.25</v>
      </c>
      <c r="I34" s="101">
        <v>0.25</v>
      </c>
      <c r="J34" s="109">
        <f>C26*F26/1000</f>
        <v>86.75</v>
      </c>
      <c r="K34" s="100">
        <f t="shared" si="3"/>
        <v>1802.4722222222222</v>
      </c>
      <c r="L34" s="100">
        <f t="shared" si="4"/>
        <v>137.5</v>
      </c>
      <c r="M34" s="100">
        <f t="shared" si="5"/>
        <v>2801.0352760736196</v>
      </c>
      <c r="N34" s="100">
        <f t="shared" si="6"/>
        <v>414</v>
      </c>
      <c r="O34" s="100">
        <f t="shared" si="7"/>
        <v>8489.778523489933</v>
      </c>
      <c r="P34" s="100">
        <f t="shared" si="8"/>
        <v>1433.75</v>
      </c>
      <c r="Q34" s="100">
        <f t="shared" si="9"/>
        <v>30108.75</v>
      </c>
      <c r="R34" s="100">
        <f t="shared" si="0"/>
        <v>2072</v>
      </c>
      <c r="S34" s="107">
        <f t="shared" si="0"/>
        <v>43202.036021785774</v>
      </c>
    </row>
    <row r="35" spans="1:19" s="380" customFormat="1" ht="13.5" thickBot="1">
      <c r="A35" s="21"/>
      <c r="B35" s="114">
        <v>2007</v>
      </c>
      <c r="C35" s="115">
        <v>0</v>
      </c>
      <c r="D35" s="416">
        <f>D34</f>
        <v>41</v>
      </c>
      <c r="E35" s="116">
        <f>C35*D35/2000</f>
        <v>0</v>
      </c>
      <c r="F35" s="117">
        <v>0.25</v>
      </c>
      <c r="G35" s="135">
        <v>0.25</v>
      </c>
      <c r="H35" s="135">
        <v>0.25</v>
      </c>
      <c r="I35" s="417">
        <v>0.25</v>
      </c>
      <c r="J35" s="118">
        <f>C27*F27/1000</f>
        <v>80</v>
      </c>
      <c r="K35" s="119">
        <f t="shared" si="3"/>
        <v>1649.0909090909092</v>
      </c>
      <c r="L35" s="119">
        <f t="shared" si="4"/>
        <v>135</v>
      </c>
      <c r="M35" s="119">
        <f t="shared" si="5"/>
        <v>2775.659340659341</v>
      </c>
      <c r="N35" s="119">
        <f t="shared" si="6"/>
        <v>352.75</v>
      </c>
      <c r="O35" s="119">
        <f t="shared" si="7"/>
        <v>7150.149671052632</v>
      </c>
      <c r="P35" s="119">
        <f t="shared" si="8"/>
        <v>1262.5</v>
      </c>
      <c r="Q35" s="119">
        <f t="shared" si="9"/>
        <v>26498.924731182797</v>
      </c>
      <c r="R35" s="119">
        <f t="shared" si="0"/>
        <v>1830.25</v>
      </c>
      <c r="S35" s="116">
        <f t="shared" si="0"/>
        <v>38073.82465198568</v>
      </c>
    </row>
    <row r="36" spans="1:19" s="380" customFormat="1" ht="12.75">
      <c r="A36" s="21"/>
      <c r="B36" s="253">
        <v>2008</v>
      </c>
      <c r="C36" s="381"/>
      <c r="D36" s="415"/>
      <c r="E36" s="382"/>
      <c r="F36" s="383"/>
      <c r="G36" s="384"/>
      <c r="H36" s="384"/>
      <c r="I36" s="385"/>
      <c r="J36" s="386">
        <f t="shared" si="2"/>
        <v>66.25</v>
      </c>
      <c r="K36" s="387">
        <f t="shared" si="3"/>
        <v>1318.7331081081081</v>
      </c>
      <c r="L36" s="387">
        <f t="shared" si="4"/>
        <v>120</v>
      </c>
      <c r="M36" s="387">
        <f t="shared" si="5"/>
        <v>2456.170212765958</v>
      </c>
      <c r="N36" s="387">
        <f t="shared" si="6"/>
        <v>196</v>
      </c>
      <c r="O36" s="387">
        <f t="shared" si="7"/>
        <v>4024.7846153846153</v>
      </c>
      <c r="P36" s="387">
        <f t="shared" si="8"/>
        <v>921</v>
      </c>
      <c r="Q36" s="387">
        <f t="shared" si="9"/>
        <v>18705.071428571428</v>
      </c>
      <c r="R36" s="387">
        <f t="shared" si="0"/>
        <v>1303.25</v>
      </c>
      <c r="S36" s="382">
        <f t="shared" si="0"/>
        <v>26504.759364830108</v>
      </c>
    </row>
    <row r="37" spans="1:19" s="380" customFormat="1" ht="12.75">
      <c r="A37" s="21"/>
      <c r="B37" s="102">
        <v>2009</v>
      </c>
      <c r="C37" s="99"/>
      <c r="D37" s="99"/>
      <c r="E37" s="107"/>
      <c r="F37" s="106"/>
      <c r="G37" s="134"/>
      <c r="H37" s="134"/>
      <c r="I37" s="101"/>
      <c r="J37" s="109">
        <f t="shared" si="2"/>
        <v>62.5</v>
      </c>
      <c r="K37" s="100">
        <f t="shared" si="3"/>
        <v>1283.5648148148148</v>
      </c>
      <c r="L37" s="100">
        <f t="shared" si="4"/>
        <v>106.25</v>
      </c>
      <c r="M37" s="100">
        <f t="shared" si="5"/>
        <v>2192.105263157895</v>
      </c>
      <c r="N37" s="100">
        <f t="shared" si="6"/>
        <v>158.25</v>
      </c>
      <c r="O37" s="100">
        <f t="shared" si="7"/>
        <v>3238.8499999999995</v>
      </c>
      <c r="P37" s="100">
        <f t="shared" si="8"/>
        <v>988.25</v>
      </c>
      <c r="Q37" s="100">
        <f t="shared" si="9"/>
        <v>20325.641826923078</v>
      </c>
      <c r="R37" s="100">
        <f t="shared" si="0"/>
        <v>1315.25</v>
      </c>
      <c r="S37" s="107">
        <f t="shared" si="0"/>
        <v>27040.161904895787</v>
      </c>
    </row>
    <row r="38" spans="1:19" s="380" customFormat="1" ht="12.75">
      <c r="A38" s="21"/>
      <c r="B38" s="102">
        <v>2010</v>
      </c>
      <c r="C38" s="99"/>
      <c r="D38" s="99"/>
      <c r="E38" s="107"/>
      <c r="F38" s="106"/>
      <c r="G38" s="134"/>
      <c r="H38" s="134"/>
      <c r="I38" s="101"/>
      <c r="J38" s="109">
        <f t="shared" si="2"/>
        <v>56.25</v>
      </c>
      <c r="K38" s="100">
        <f t="shared" si="3"/>
        <v>1136.71875</v>
      </c>
      <c r="L38" s="100">
        <f t="shared" si="4"/>
        <v>100</v>
      </c>
      <c r="M38" s="100">
        <f t="shared" si="5"/>
        <v>2033.3333333333333</v>
      </c>
      <c r="N38" s="100">
        <f t="shared" si="6"/>
        <v>137.5</v>
      </c>
      <c r="O38" s="100">
        <f t="shared" si="7"/>
        <v>2801.0352760736196</v>
      </c>
      <c r="P38" s="100">
        <f t="shared" si="8"/>
        <v>886.75</v>
      </c>
      <c r="Q38" s="100">
        <f t="shared" si="9"/>
        <v>18089.7</v>
      </c>
      <c r="R38" s="100">
        <f t="shared" si="0"/>
        <v>1180.5</v>
      </c>
      <c r="S38" s="107">
        <f t="shared" si="0"/>
        <v>24060.787359406953</v>
      </c>
    </row>
    <row r="39" spans="1:19" s="380" customFormat="1" ht="13.5" thickBot="1">
      <c r="A39" s="21"/>
      <c r="B39" s="114"/>
      <c r="C39" s="115" t="s">
        <v>5</v>
      </c>
      <c r="D39" s="115"/>
      <c r="E39" s="116"/>
      <c r="F39" s="117"/>
      <c r="G39" s="135"/>
      <c r="H39" s="135"/>
      <c r="I39" s="139"/>
      <c r="J39" s="118">
        <f aca="true" t="shared" si="10" ref="J39:Q39">SUM(J8:J38)</f>
        <v>12714.75</v>
      </c>
      <c r="K39" s="118">
        <f t="shared" si="10"/>
        <v>263981.679188121</v>
      </c>
      <c r="L39" s="118">
        <f t="shared" si="10"/>
        <v>12363</v>
      </c>
      <c r="M39" s="118">
        <f t="shared" si="10"/>
        <v>256791.09938388495</v>
      </c>
      <c r="N39" s="118">
        <f t="shared" si="10"/>
        <v>11901.75</v>
      </c>
      <c r="O39" s="118">
        <f t="shared" si="10"/>
        <v>247333.83123396843</v>
      </c>
      <c r="P39" s="118">
        <f t="shared" si="10"/>
        <v>9999.75</v>
      </c>
      <c r="Q39" s="118">
        <f t="shared" si="10"/>
        <v>208385.5879866773</v>
      </c>
      <c r="R39" s="118">
        <f>SUM(R8:R38)</f>
        <v>46979.25</v>
      </c>
      <c r="S39" s="118">
        <f>SUM(S8:S38)</f>
        <v>976492.1977926516</v>
      </c>
    </row>
    <row r="40" spans="1:19" s="380" customFormat="1" ht="13.5" thickBot="1">
      <c r="A40" s="21"/>
      <c r="B40" s="93"/>
      <c r="C40" s="84"/>
      <c r="D40" s="84"/>
      <c r="E40" s="104"/>
      <c r="F40" s="83"/>
      <c r="G40" s="136"/>
      <c r="H40" s="136"/>
      <c r="I40" s="105"/>
      <c r="J40" s="93"/>
      <c r="K40" s="95"/>
      <c r="L40" s="95"/>
      <c r="M40" s="95"/>
      <c r="N40" s="84"/>
      <c r="O40" s="84"/>
      <c r="P40" s="82"/>
      <c r="Q40" s="82"/>
      <c r="R40" s="82"/>
      <c r="S40" s="104"/>
    </row>
    <row r="41" spans="1:19" s="380" customFormat="1" ht="12.75">
      <c r="A41" s="21"/>
      <c r="B41" s="17"/>
      <c r="C41" s="18"/>
      <c r="D41" s="18"/>
      <c r="E41" s="81"/>
      <c r="F41" s="80"/>
      <c r="G41" s="137"/>
      <c r="H41" s="137"/>
      <c r="I41" s="33"/>
      <c r="J41" s="81"/>
      <c r="K41" s="81"/>
      <c r="L41" s="110"/>
      <c r="M41" s="81"/>
      <c r="N41" s="18"/>
      <c r="O41" s="18"/>
      <c r="P41" s="81"/>
      <c r="Q41" s="81"/>
      <c r="R41" s="81"/>
      <c r="S41" s="81"/>
    </row>
    <row r="42" spans="1:19" s="380" customFormat="1" ht="12.75">
      <c r="A42" s="21"/>
      <c r="B42" s="21"/>
      <c r="C42" s="96"/>
      <c r="D42" s="96"/>
      <c r="E42" s="21"/>
      <c r="F42" s="21"/>
      <c r="G42" s="26"/>
      <c r="H42" s="26"/>
      <c r="I42" s="21"/>
      <c r="J42" s="21"/>
      <c r="K42" s="21"/>
      <c r="L42" s="81"/>
      <c r="M42" s="81"/>
      <c r="N42" s="21"/>
      <c r="O42" s="21"/>
      <c r="P42" s="21"/>
      <c r="Q42" s="21"/>
      <c r="R42" s="21"/>
      <c r="S42" s="21"/>
    </row>
    <row r="43" spans="1:19" s="380" customFormat="1" ht="12.75">
      <c r="A43" s="21"/>
      <c r="B43" s="21"/>
      <c r="C43" s="21"/>
      <c r="D43" s="21"/>
      <c r="E43" s="21"/>
      <c r="F43" s="97"/>
      <c r="G43" s="26"/>
      <c r="H43" s="26"/>
      <c r="I43" s="21"/>
      <c r="J43" s="81"/>
      <c r="K43" s="81"/>
      <c r="L43" s="81"/>
      <c r="M43" s="81"/>
      <c r="N43" s="21"/>
      <c r="O43" s="21"/>
      <c r="P43" s="21"/>
      <c r="Q43" s="21"/>
      <c r="R43" s="21"/>
      <c r="S43" s="21"/>
    </row>
    <row r="44" spans="1:19" s="380" customFormat="1" ht="12.75">
      <c r="A44" s="21"/>
      <c r="B44" s="21" t="s">
        <v>224</v>
      </c>
      <c r="C44" s="21"/>
      <c r="D44" s="21"/>
      <c r="E44" s="21"/>
      <c r="F44" s="21"/>
      <c r="G44" s="21"/>
      <c r="H44" s="21"/>
      <c r="I44" s="21"/>
      <c r="J44" s="81"/>
      <c r="K44" s="81"/>
      <c r="L44" s="81"/>
      <c r="M44" s="81"/>
      <c r="N44" s="21"/>
      <c r="O44" s="21"/>
      <c r="P44" s="21"/>
      <c r="Q44" s="21"/>
      <c r="R44" s="21"/>
      <c r="S44" s="21"/>
    </row>
    <row r="45" spans="1:19" s="380" customFormat="1" ht="12.75">
      <c r="A45" s="21"/>
      <c r="B45" s="21"/>
      <c r="C45" s="21"/>
      <c r="D45" s="21"/>
      <c r="E45" s="21" t="s">
        <v>147</v>
      </c>
      <c r="F45" s="21"/>
      <c r="G45" s="21"/>
      <c r="H45" s="21"/>
      <c r="I45" s="21"/>
      <c r="J45" s="21"/>
      <c r="K45" s="97" t="s">
        <v>153</v>
      </c>
      <c r="L45" s="97"/>
      <c r="M45" s="21"/>
      <c r="N45" s="96"/>
      <c r="O45" s="96"/>
      <c r="P45" s="21"/>
      <c r="Q45" s="21"/>
      <c r="R45" s="21"/>
      <c r="S45" s="21"/>
    </row>
    <row r="46" spans="1:19" s="380" customFormat="1" ht="12.75">
      <c r="A46" s="21"/>
      <c r="B46" s="21" t="str">
        <f>B6</f>
        <v>Year</v>
      </c>
      <c r="C46" s="21" t="s">
        <v>69</v>
      </c>
      <c r="D46" s="21" t="s">
        <v>69</v>
      </c>
      <c r="E46" s="284" t="s">
        <v>146</v>
      </c>
      <c r="F46" s="284" t="s">
        <v>144</v>
      </c>
      <c r="G46" s="544" t="s">
        <v>110</v>
      </c>
      <c r="H46" s="544"/>
      <c r="I46" s="545" t="s">
        <v>147</v>
      </c>
      <c r="J46" s="545"/>
      <c r="K46" s="545" t="s">
        <v>186</v>
      </c>
      <c r="L46" s="545"/>
      <c r="M46" s="21"/>
      <c r="N46" s="96"/>
      <c r="O46" s="96"/>
      <c r="P46" s="21"/>
      <c r="Q46" s="21"/>
      <c r="R46" s="21"/>
      <c r="S46" s="21"/>
    </row>
    <row r="47" spans="2:12" s="380" customFormat="1" ht="12.75">
      <c r="B47" s="21"/>
      <c r="C47" s="21" t="s">
        <v>142</v>
      </c>
      <c r="D47" s="21" t="s">
        <v>152</v>
      </c>
      <c r="E47" s="21" t="s">
        <v>148</v>
      </c>
      <c r="F47" s="21" t="s">
        <v>148</v>
      </c>
      <c r="G47" s="21" t="s">
        <v>1</v>
      </c>
      <c r="H47" s="21" t="s">
        <v>2</v>
      </c>
      <c r="I47" s="21" t="s">
        <v>1</v>
      </c>
      <c r="J47" s="21" t="s">
        <v>2</v>
      </c>
      <c r="K47" s="21" t="s">
        <v>1</v>
      </c>
      <c r="L47" s="21" t="s">
        <v>2</v>
      </c>
    </row>
    <row r="48" spans="2:12" s="380" customFormat="1" ht="12.75">
      <c r="B48" s="21">
        <f aca="true" t="shared" si="11" ref="B48:C63">B8</f>
        <v>1980</v>
      </c>
      <c r="C48" s="86">
        <f>C8</f>
        <v>6684000</v>
      </c>
      <c r="D48" s="86">
        <f>E8</f>
        <v>140364</v>
      </c>
      <c r="E48" s="21">
        <v>1</v>
      </c>
      <c r="F48" s="21">
        <v>0</v>
      </c>
      <c r="G48" s="283">
        <f>C48-I48-K48</f>
        <v>0</v>
      </c>
      <c r="H48" s="283">
        <f>D48-J48-L48</f>
        <v>0</v>
      </c>
      <c r="I48" s="21">
        <f>C48*$E48</f>
        <v>6684000</v>
      </c>
      <c r="J48" s="21">
        <f>D48*$E48</f>
        <v>140364</v>
      </c>
      <c r="K48" s="21">
        <f>C48*$F48</f>
        <v>0</v>
      </c>
      <c r="L48" s="21">
        <f>D48*$F48</f>
        <v>0</v>
      </c>
    </row>
    <row r="49" spans="2:12" s="380" customFormat="1" ht="12.75">
      <c r="B49" s="21">
        <f t="shared" si="11"/>
        <v>1981</v>
      </c>
      <c r="C49" s="86">
        <f t="shared" si="11"/>
        <v>5654000</v>
      </c>
      <c r="D49" s="86">
        <f aca="true" t="shared" si="12" ref="D49:D72">E9</f>
        <v>118734</v>
      </c>
      <c r="E49" s="21">
        <v>1</v>
      </c>
      <c r="F49" s="21">
        <v>0</v>
      </c>
      <c r="G49" s="283">
        <f aca="true" t="shared" si="13" ref="G49:H72">C49-I49-K49</f>
        <v>0</v>
      </c>
      <c r="H49" s="283">
        <f t="shared" si="13"/>
        <v>0</v>
      </c>
      <c r="I49" s="21">
        <f aca="true" t="shared" si="14" ref="I49:J72">C49*$E49</f>
        <v>5654000</v>
      </c>
      <c r="J49" s="21">
        <f t="shared" si="14"/>
        <v>118734</v>
      </c>
      <c r="K49" s="21">
        <f aca="true" t="shared" si="15" ref="K49:L72">C49*$F49</f>
        <v>0</v>
      </c>
      <c r="L49" s="21">
        <f t="shared" si="15"/>
        <v>0</v>
      </c>
    </row>
    <row r="50" spans="2:12" s="380" customFormat="1" ht="12.75">
      <c r="B50" s="21">
        <f t="shared" si="11"/>
        <v>1982</v>
      </c>
      <c r="C50" s="86">
        <f t="shared" si="11"/>
        <v>5692000</v>
      </c>
      <c r="D50" s="86">
        <f t="shared" si="12"/>
        <v>119532</v>
      </c>
      <c r="E50" s="21">
        <v>1</v>
      </c>
      <c r="F50" s="21">
        <v>0</v>
      </c>
      <c r="G50" s="283">
        <f t="shared" si="13"/>
        <v>0</v>
      </c>
      <c r="H50" s="283">
        <f t="shared" si="13"/>
        <v>0</v>
      </c>
      <c r="I50" s="21">
        <f t="shared" si="14"/>
        <v>5692000</v>
      </c>
      <c r="J50" s="21">
        <f t="shared" si="14"/>
        <v>119532</v>
      </c>
      <c r="K50" s="21">
        <f t="shared" si="15"/>
        <v>0</v>
      </c>
      <c r="L50" s="21">
        <f t="shared" si="15"/>
        <v>0</v>
      </c>
    </row>
    <row r="51" spans="2:12" s="380" customFormat="1" ht="12.75">
      <c r="B51" s="21">
        <f t="shared" si="11"/>
        <v>1983</v>
      </c>
      <c r="C51" s="86">
        <f t="shared" si="11"/>
        <v>5735000</v>
      </c>
      <c r="D51" s="86">
        <f t="shared" si="12"/>
        <v>120435</v>
      </c>
      <c r="E51" s="21">
        <v>1</v>
      </c>
      <c r="F51" s="21">
        <v>0</v>
      </c>
      <c r="G51" s="283">
        <f t="shared" si="13"/>
        <v>0</v>
      </c>
      <c r="H51" s="283">
        <f t="shared" si="13"/>
        <v>0</v>
      </c>
      <c r="I51" s="21">
        <f t="shared" si="14"/>
        <v>5735000</v>
      </c>
      <c r="J51" s="21">
        <f t="shared" si="14"/>
        <v>120435</v>
      </c>
      <c r="K51" s="21">
        <f t="shared" si="15"/>
        <v>0</v>
      </c>
      <c r="L51" s="21">
        <f t="shared" si="15"/>
        <v>0</v>
      </c>
    </row>
    <row r="52" spans="2:13" s="380" customFormat="1" ht="12.75">
      <c r="B52" s="21">
        <f t="shared" si="11"/>
        <v>1984</v>
      </c>
      <c r="C52" s="86">
        <f t="shared" si="11"/>
        <v>5050000</v>
      </c>
      <c r="D52" s="86">
        <f t="shared" si="12"/>
        <v>105995.69892473119</v>
      </c>
      <c r="E52" s="21">
        <v>1</v>
      </c>
      <c r="F52" s="21">
        <v>0</v>
      </c>
      <c r="G52" s="283">
        <f t="shared" si="13"/>
        <v>0</v>
      </c>
      <c r="H52" s="283">
        <f t="shared" si="13"/>
        <v>0</v>
      </c>
      <c r="I52" s="21">
        <f t="shared" si="14"/>
        <v>5050000</v>
      </c>
      <c r="J52" s="21">
        <f t="shared" si="14"/>
        <v>105995.69892473119</v>
      </c>
      <c r="K52" s="21">
        <f t="shared" si="15"/>
        <v>0</v>
      </c>
      <c r="L52" s="21">
        <f t="shared" si="15"/>
        <v>0</v>
      </c>
      <c r="M52" s="380" t="s">
        <v>249</v>
      </c>
    </row>
    <row r="53" spans="2:12" s="380" customFormat="1" ht="12.75">
      <c r="B53" s="21">
        <f t="shared" si="11"/>
        <v>1985</v>
      </c>
      <c r="C53" s="86">
        <f t="shared" si="11"/>
        <v>3684000</v>
      </c>
      <c r="D53" s="86">
        <f t="shared" si="12"/>
        <v>74820.28571428571</v>
      </c>
      <c r="E53" s="21">
        <v>0.75</v>
      </c>
      <c r="F53" s="21">
        <v>0</v>
      </c>
      <c r="G53" s="283">
        <f t="shared" si="13"/>
        <v>921000</v>
      </c>
      <c r="H53" s="283">
        <f t="shared" si="13"/>
        <v>18705.071428571428</v>
      </c>
      <c r="I53" s="21">
        <f t="shared" si="14"/>
        <v>2763000</v>
      </c>
      <c r="J53" s="21">
        <f t="shared" si="14"/>
        <v>56115.21428571428</v>
      </c>
      <c r="K53" s="21">
        <f t="shared" si="15"/>
        <v>0</v>
      </c>
      <c r="L53" s="21">
        <f t="shared" si="15"/>
        <v>0</v>
      </c>
    </row>
    <row r="54" spans="2:12" s="380" customFormat="1" ht="12.75">
      <c r="B54" s="21">
        <f t="shared" si="11"/>
        <v>1986</v>
      </c>
      <c r="C54" s="86">
        <f t="shared" si="11"/>
        <v>3953000</v>
      </c>
      <c r="D54" s="86">
        <f t="shared" si="12"/>
        <v>81302.56730769231</v>
      </c>
      <c r="E54" s="21">
        <v>0.75</v>
      </c>
      <c r="F54" s="21">
        <v>0</v>
      </c>
      <c r="G54" s="283">
        <f t="shared" si="13"/>
        <v>988250</v>
      </c>
      <c r="H54" s="283">
        <f t="shared" si="13"/>
        <v>20325.641826923078</v>
      </c>
      <c r="I54" s="21">
        <f t="shared" si="14"/>
        <v>2964750</v>
      </c>
      <c r="J54" s="21">
        <f t="shared" si="14"/>
        <v>60976.925480769234</v>
      </c>
      <c r="K54" s="21">
        <f t="shared" si="15"/>
        <v>0</v>
      </c>
      <c r="L54" s="21">
        <f t="shared" si="15"/>
        <v>0</v>
      </c>
    </row>
    <row r="55" spans="2:12" s="380" customFormat="1" ht="12.75">
      <c r="B55" s="21">
        <f t="shared" si="11"/>
        <v>1987</v>
      </c>
      <c r="C55" s="86">
        <f t="shared" si="11"/>
        <v>3547000</v>
      </c>
      <c r="D55" s="86">
        <f t="shared" si="12"/>
        <v>72358.8</v>
      </c>
      <c r="E55" s="21">
        <v>0.75</v>
      </c>
      <c r="F55" s="21">
        <v>0</v>
      </c>
      <c r="G55" s="283">
        <f t="shared" si="13"/>
        <v>886750</v>
      </c>
      <c r="H55" s="283">
        <f t="shared" si="13"/>
        <v>18089.699999999997</v>
      </c>
      <c r="I55" s="21">
        <f t="shared" si="14"/>
        <v>2660250</v>
      </c>
      <c r="J55" s="21">
        <f t="shared" si="14"/>
        <v>54269.100000000006</v>
      </c>
      <c r="K55" s="21">
        <f t="shared" si="15"/>
        <v>0</v>
      </c>
      <c r="L55" s="21">
        <f t="shared" si="15"/>
        <v>0</v>
      </c>
    </row>
    <row r="56" spans="2:12" s="380" customFormat="1" ht="12.75">
      <c r="B56" s="21">
        <f t="shared" si="11"/>
        <v>1988</v>
      </c>
      <c r="C56" s="86">
        <f t="shared" si="11"/>
        <v>2574000</v>
      </c>
      <c r="D56" s="86">
        <f t="shared" si="12"/>
        <v>52974.580645161295</v>
      </c>
      <c r="E56" s="21">
        <v>0.75</v>
      </c>
      <c r="F56" s="21">
        <v>0</v>
      </c>
      <c r="G56" s="283">
        <f t="shared" si="13"/>
        <v>643500</v>
      </c>
      <c r="H56" s="283">
        <f t="shared" si="13"/>
        <v>13243.645161290326</v>
      </c>
      <c r="I56" s="21">
        <f t="shared" si="14"/>
        <v>1930500</v>
      </c>
      <c r="J56" s="21">
        <f t="shared" si="14"/>
        <v>39730.93548387097</v>
      </c>
      <c r="K56" s="21">
        <f t="shared" si="15"/>
        <v>0</v>
      </c>
      <c r="L56" s="21">
        <f t="shared" si="15"/>
        <v>0</v>
      </c>
    </row>
    <row r="57" spans="2:12" s="380" customFormat="1" ht="12.75">
      <c r="B57" s="21">
        <f t="shared" si="11"/>
        <v>1989</v>
      </c>
      <c r="C57" s="86">
        <f t="shared" si="11"/>
        <v>1656000</v>
      </c>
      <c r="D57" s="86">
        <f t="shared" si="12"/>
        <v>33959.11409395973</v>
      </c>
      <c r="E57" s="21">
        <v>0.75</v>
      </c>
      <c r="F57" s="21">
        <v>0</v>
      </c>
      <c r="G57" s="283">
        <f t="shared" si="13"/>
        <v>414000</v>
      </c>
      <c r="H57" s="283">
        <f t="shared" si="13"/>
        <v>8489.778523489935</v>
      </c>
      <c r="I57" s="21">
        <f t="shared" si="14"/>
        <v>1242000</v>
      </c>
      <c r="J57" s="21">
        <f t="shared" si="14"/>
        <v>25469.335570469797</v>
      </c>
      <c r="K57" s="21">
        <f t="shared" si="15"/>
        <v>0</v>
      </c>
      <c r="L57" s="21">
        <f t="shared" si="15"/>
        <v>0</v>
      </c>
    </row>
    <row r="58" spans="2:13" s="380" customFormat="1" ht="12.75">
      <c r="B58" s="21">
        <f t="shared" si="11"/>
        <v>1990</v>
      </c>
      <c r="C58" s="86">
        <f t="shared" si="11"/>
        <v>1411000</v>
      </c>
      <c r="D58" s="86">
        <f t="shared" si="12"/>
        <v>28600.598684210527</v>
      </c>
      <c r="E58" s="21">
        <v>0.75</v>
      </c>
      <c r="F58" s="21">
        <v>0</v>
      </c>
      <c r="G58" s="283">
        <f t="shared" si="13"/>
        <v>352750</v>
      </c>
      <c r="H58" s="283">
        <f t="shared" si="13"/>
        <v>7150.1496710526335</v>
      </c>
      <c r="I58" s="21">
        <f t="shared" si="14"/>
        <v>1058250</v>
      </c>
      <c r="J58" s="21">
        <f t="shared" si="14"/>
        <v>21450.449013157893</v>
      </c>
      <c r="K58" s="21">
        <f t="shared" si="15"/>
        <v>0</v>
      </c>
      <c r="L58" s="21">
        <f t="shared" si="15"/>
        <v>0</v>
      </c>
      <c r="M58" s="380" t="s">
        <v>248</v>
      </c>
    </row>
    <row r="59" spans="2:12" s="380" customFormat="1" ht="12.75">
      <c r="B59" s="21">
        <f t="shared" si="11"/>
        <v>1991</v>
      </c>
      <c r="C59" s="86">
        <f t="shared" si="11"/>
        <v>784000</v>
      </c>
      <c r="D59" s="86">
        <f t="shared" si="12"/>
        <v>16099.138461538461</v>
      </c>
      <c r="E59" s="21">
        <v>0.55</v>
      </c>
      <c r="F59" s="21">
        <v>0</v>
      </c>
      <c r="G59" s="283">
        <f t="shared" si="13"/>
        <v>352799.99999999994</v>
      </c>
      <c r="H59" s="283">
        <f t="shared" si="13"/>
        <v>7244.612307692307</v>
      </c>
      <c r="I59" s="21">
        <f t="shared" si="14"/>
        <v>431200.00000000006</v>
      </c>
      <c r="J59" s="21">
        <f t="shared" si="14"/>
        <v>8854.526153846155</v>
      </c>
      <c r="K59" s="21">
        <f t="shared" si="15"/>
        <v>0</v>
      </c>
      <c r="L59" s="21">
        <f t="shared" si="15"/>
        <v>0</v>
      </c>
    </row>
    <row r="60" spans="2:12" s="380" customFormat="1" ht="12.75">
      <c r="B60" s="21">
        <f t="shared" si="11"/>
        <v>1992</v>
      </c>
      <c r="C60" s="86">
        <f t="shared" si="11"/>
        <v>633000</v>
      </c>
      <c r="D60" s="86">
        <f t="shared" si="12"/>
        <v>12955.399999999998</v>
      </c>
      <c r="E60" s="21">
        <v>0.55</v>
      </c>
      <c r="F60" s="21">
        <v>0</v>
      </c>
      <c r="G60" s="283">
        <f t="shared" si="13"/>
        <v>284850</v>
      </c>
      <c r="H60" s="283">
        <f t="shared" si="13"/>
        <v>5829.9299999999985</v>
      </c>
      <c r="I60" s="21">
        <f t="shared" si="14"/>
        <v>348150</v>
      </c>
      <c r="J60" s="21">
        <f t="shared" si="14"/>
        <v>7125.469999999999</v>
      </c>
      <c r="K60" s="21">
        <f t="shared" si="15"/>
        <v>0</v>
      </c>
      <c r="L60" s="21">
        <f t="shared" si="15"/>
        <v>0</v>
      </c>
    </row>
    <row r="61" spans="2:12" s="380" customFormat="1" ht="12.75">
      <c r="B61" s="21">
        <f t="shared" si="11"/>
        <v>1993</v>
      </c>
      <c r="C61" s="86">
        <f t="shared" si="11"/>
        <v>550000</v>
      </c>
      <c r="D61" s="86">
        <f t="shared" si="12"/>
        <v>11204.141104294478</v>
      </c>
      <c r="E61" s="21">
        <v>0.55</v>
      </c>
      <c r="F61" s="21">
        <v>0</v>
      </c>
      <c r="G61" s="283">
        <f t="shared" si="13"/>
        <v>247500</v>
      </c>
      <c r="H61" s="283">
        <f t="shared" si="13"/>
        <v>5041.863496932515</v>
      </c>
      <c r="I61" s="21">
        <f t="shared" si="14"/>
        <v>302500</v>
      </c>
      <c r="J61" s="21">
        <f t="shared" si="14"/>
        <v>6162.277607361963</v>
      </c>
      <c r="K61" s="21">
        <f>C61*$F61</f>
        <v>0</v>
      </c>
      <c r="L61" s="21">
        <f t="shared" si="15"/>
        <v>0</v>
      </c>
    </row>
    <row r="62" spans="2:13" s="380" customFormat="1" ht="12.75">
      <c r="B62" s="21">
        <f t="shared" si="11"/>
        <v>1994</v>
      </c>
      <c r="C62" s="86">
        <f t="shared" si="11"/>
        <v>540000</v>
      </c>
      <c r="D62" s="86">
        <f t="shared" si="12"/>
        <v>11102.637362637364</v>
      </c>
      <c r="E62" s="21">
        <v>0.55</v>
      </c>
      <c r="F62" s="21">
        <v>0</v>
      </c>
      <c r="G62" s="283">
        <f t="shared" si="13"/>
        <v>243000</v>
      </c>
      <c r="H62" s="283">
        <f t="shared" si="13"/>
        <v>4996.186813186813</v>
      </c>
      <c r="I62" s="21">
        <f t="shared" si="14"/>
        <v>297000</v>
      </c>
      <c r="J62" s="21">
        <f t="shared" si="14"/>
        <v>6106.450549450551</v>
      </c>
      <c r="K62" s="21">
        <f>C62*$F62</f>
        <v>0</v>
      </c>
      <c r="L62" s="21">
        <f>D62*$F62</f>
        <v>0</v>
      </c>
      <c r="M62" s="380" t="s">
        <v>247</v>
      </c>
    </row>
    <row r="63" spans="2:14" s="380" customFormat="1" ht="12.75">
      <c r="B63" s="21">
        <f t="shared" si="11"/>
        <v>1995</v>
      </c>
      <c r="C63" s="86">
        <f t="shared" si="11"/>
        <v>480000</v>
      </c>
      <c r="D63" s="86">
        <f t="shared" si="12"/>
        <v>9824.680851063831</v>
      </c>
      <c r="E63" s="21">
        <v>0.25</v>
      </c>
      <c r="F63" s="21">
        <v>0</v>
      </c>
      <c r="G63" s="283">
        <f t="shared" si="13"/>
        <v>360000</v>
      </c>
      <c r="H63" s="283">
        <f t="shared" si="13"/>
        <v>7368.510638297874</v>
      </c>
      <c r="I63" s="21">
        <f t="shared" si="14"/>
        <v>120000</v>
      </c>
      <c r="J63" s="21">
        <f t="shared" si="14"/>
        <v>2456.170212765958</v>
      </c>
      <c r="K63" s="17">
        <f>C63*$F63</f>
        <v>0</v>
      </c>
      <c r="L63" s="17">
        <f>D63*$F63</f>
        <v>0</v>
      </c>
      <c r="M63" s="437"/>
      <c r="N63" s="437"/>
    </row>
    <row r="64" spans="2:15" s="380" customFormat="1" ht="13.5" thickBot="1">
      <c r="B64" s="21">
        <f aca="true" t="shared" si="16" ref="B64:C72">B24</f>
        <v>1996</v>
      </c>
      <c r="C64" s="86">
        <f t="shared" si="16"/>
        <v>425000</v>
      </c>
      <c r="D64" s="86">
        <f t="shared" si="12"/>
        <v>8768.42105263158</v>
      </c>
      <c r="E64" s="21">
        <v>0.25</v>
      </c>
      <c r="F64" s="21">
        <v>0</v>
      </c>
      <c r="G64" s="283">
        <f t="shared" si="13"/>
        <v>318750</v>
      </c>
      <c r="H64" s="283">
        <f t="shared" si="13"/>
        <v>6576.315789473685</v>
      </c>
      <c r="I64" s="21">
        <f t="shared" si="14"/>
        <v>106250</v>
      </c>
      <c r="J64" s="21">
        <f t="shared" si="14"/>
        <v>2192.105263157895</v>
      </c>
      <c r="K64" s="95">
        <f t="shared" si="15"/>
        <v>0</v>
      </c>
      <c r="L64" s="95">
        <f t="shared" si="15"/>
        <v>0</v>
      </c>
      <c r="M64" s="438"/>
      <c r="N64" s="438"/>
      <c r="O64" s="380" t="s">
        <v>223</v>
      </c>
    </row>
    <row r="65" spans="2:12" s="380" customFormat="1" ht="12.75">
      <c r="B65" s="21">
        <f t="shared" si="16"/>
        <v>1997</v>
      </c>
      <c r="C65" s="86">
        <f t="shared" si="16"/>
        <v>400000</v>
      </c>
      <c r="D65" s="86">
        <f t="shared" si="12"/>
        <v>8133.333333333333</v>
      </c>
      <c r="E65" s="21">
        <v>0.25</v>
      </c>
      <c r="F65" s="21">
        <v>0.75</v>
      </c>
      <c r="G65" s="283">
        <f t="shared" si="13"/>
        <v>0</v>
      </c>
      <c r="H65" s="283">
        <f t="shared" si="13"/>
        <v>0</v>
      </c>
      <c r="I65" s="21">
        <f t="shared" si="14"/>
        <v>100000</v>
      </c>
      <c r="J65" s="21">
        <f t="shared" si="14"/>
        <v>2033.3333333333333</v>
      </c>
      <c r="K65" s="21">
        <f t="shared" si="15"/>
        <v>300000</v>
      </c>
      <c r="L65" s="21">
        <f t="shared" si="15"/>
        <v>6100</v>
      </c>
    </row>
    <row r="66" spans="2:12" s="380" customFormat="1" ht="12.75">
      <c r="B66" s="21">
        <f t="shared" si="16"/>
        <v>1998</v>
      </c>
      <c r="C66" s="86">
        <f t="shared" si="16"/>
        <v>347000</v>
      </c>
      <c r="D66" s="86">
        <f t="shared" si="12"/>
        <v>7209.888888888889</v>
      </c>
      <c r="E66" s="21">
        <v>0.25</v>
      </c>
      <c r="F66" s="21">
        <v>0.75</v>
      </c>
      <c r="G66" s="283">
        <f t="shared" si="13"/>
        <v>0</v>
      </c>
      <c r="H66" s="283">
        <f t="shared" si="13"/>
        <v>0</v>
      </c>
      <c r="I66" s="21">
        <f t="shared" si="14"/>
        <v>86750</v>
      </c>
      <c r="J66" s="21">
        <f t="shared" si="14"/>
        <v>1802.4722222222222</v>
      </c>
      <c r="K66" s="21">
        <f t="shared" si="15"/>
        <v>260250</v>
      </c>
      <c r="L66" s="21">
        <f t="shared" si="15"/>
        <v>5407.416666666666</v>
      </c>
    </row>
    <row r="67" spans="2:13" s="380" customFormat="1" ht="12.75">
      <c r="B67" s="21">
        <f t="shared" si="16"/>
        <v>1999</v>
      </c>
      <c r="C67" s="86">
        <f t="shared" si="16"/>
        <v>320000</v>
      </c>
      <c r="D67" s="86">
        <f t="shared" si="12"/>
        <v>6596.363636363637</v>
      </c>
      <c r="E67" s="21">
        <v>0.25</v>
      </c>
      <c r="F67" s="21">
        <v>0.75</v>
      </c>
      <c r="G67" s="283">
        <f t="shared" si="13"/>
        <v>0</v>
      </c>
      <c r="H67" s="283">
        <f t="shared" si="13"/>
        <v>0</v>
      </c>
      <c r="I67" s="21">
        <f t="shared" si="14"/>
        <v>80000</v>
      </c>
      <c r="J67" s="21">
        <f t="shared" si="14"/>
        <v>1649.0909090909092</v>
      </c>
      <c r="K67" s="21">
        <f t="shared" si="15"/>
        <v>240000</v>
      </c>
      <c r="L67" s="21">
        <f t="shared" si="15"/>
        <v>4947.272727272728</v>
      </c>
      <c r="M67" s="380" t="s">
        <v>246</v>
      </c>
    </row>
    <row r="68" spans="2:12" s="380" customFormat="1" ht="12.75">
      <c r="B68" s="21">
        <f t="shared" si="16"/>
        <v>2000</v>
      </c>
      <c r="C68" s="86">
        <f t="shared" si="16"/>
        <v>265000</v>
      </c>
      <c r="D68" s="86">
        <f t="shared" si="12"/>
        <v>5274.9324324324325</v>
      </c>
      <c r="E68" s="21">
        <v>0</v>
      </c>
      <c r="F68" s="21">
        <v>1</v>
      </c>
      <c r="G68" s="283">
        <f t="shared" si="13"/>
        <v>0</v>
      </c>
      <c r="H68" s="283">
        <f t="shared" si="13"/>
        <v>0</v>
      </c>
      <c r="I68" s="21">
        <f t="shared" si="14"/>
        <v>0</v>
      </c>
      <c r="J68" s="21">
        <f t="shared" si="14"/>
        <v>0</v>
      </c>
      <c r="K68" s="21">
        <f t="shared" si="15"/>
        <v>265000</v>
      </c>
      <c r="L68" s="21">
        <f t="shared" si="15"/>
        <v>5274.9324324324325</v>
      </c>
    </row>
    <row r="69" spans="2:12" s="380" customFormat="1" ht="12.75">
      <c r="B69" s="21">
        <f t="shared" si="16"/>
        <v>2001</v>
      </c>
      <c r="C69" s="86">
        <f t="shared" si="16"/>
        <v>250000</v>
      </c>
      <c r="D69" s="86">
        <f t="shared" si="12"/>
        <v>5134.259259259259</v>
      </c>
      <c r="E69" s="21">
        <v>0</v>
      </c>
      <c r="F69" s="21">
        <v>1</v>
      </c>
      <c r="G69" s="283">
        <f t="shared" si="13"/>
        <v>0</v>
      </c>
      <c r="H69" s="283">
        <f t="shared" si="13"/>
        <v>0</v>
      </c>
      <c r="I69" s="21">
        <f t="shared" si="14"/>
        <v>0</v>
      </c>
      <c r="J69" s="21">
        <f t="shared" si="14"/>
        <v>0</v>
      </c>
      <c r="K69" s="21">
        <f t="shared" si="15"/>
        <v>250000</v>
      </c>
      <c r="L69" s="21">
        <f t="shared" si="15"/>
        <v>5134.259259259259</v>
      </c>
    </row>
    <row r="70" spans="2:12" s="380" customFormat="1" ht="12.75">
      <c r="B70" s="21">
        <f t="shared" si="16"/>
        <v>2002</v>
      </c>
      <c r="C70" s="86">
        <f t="shared" si="16"/>
        <v>225000</v>
      </c>
      <c r="D70" s="86">
        <f t="shared" si="12"/>
        <v>4546.875</v>
      </c>
      <c r="E70" s="21">
        <v>0</v>
      </c>
      <c r="F70" s="21">
        <v>1</v>
      </c>
      <c r="G70" s="283">
        <f t="shared" si="13"/>
        <v>0</v>
      </c>
      <c r="H70" s="283">
        <f t="shared" si="13"/>
        <v>0</v>
      </c>
      <c r="I70" s="21">
        <f t="shared" si="14"/>
        <v>0</v>
      </c>
      <c r="J70" s="21">
        <f t="shared" si="14"/>
        <v>0</v>
      </c>
      <c r="K70" s="21">
        <f t="shared" si="15"/>
        <v>225000</v>
      </c>
      <c r="L70" s="21">
        <f t="shared" si="15"/>
        <v>4546.875</v>
      </c>
    </row>
    <row r="71" spans="2:12" s="380" customFormat="1" ht="12.75">
      <c r="B71" s="21">
        <f t="shared" si="16"/>
        <v>2003</v>
      </c>
      <c r="C71" s="86">
        <f t="shared" si="16"/>
        <v>200000</v>
      </c>
      <c r="D71" s="86">
        <f t="shared" si="12"/>
        <v>4100</v>
      </c>
      <c r="E71" s="21">
        <v>0</v>
      </c>
      <c r="F71" s="21">
        <v>1</v>
      </c>
      <c r="G71" s="283">
        <f t="shared" si="13"/>
        <v>0</v>
      </c>
      <c r="H71" s="283">
        <f t="shared" si="13"/>
        <v>0</v>
      </c>
      <c r="I71" s="21">
        <f t="shared" si="14"/>
        <v>0</v>
      </c>
      <c r="J71" s="21">
        <f t="shared" si="14"/>
        <v>0</v>
      </c>
      <c r="K71" s="21">
        <f t="shared" si="15"/>
        <v>200000</v>
      </c>
      <c r="L71" s="21">
        <f t="shared" si="15"/>
        <v>4100</v>
      </c>
    </row>
    <row r="72" spans="2:12" s="380" customFormat="1" ht="12.75">
      <c r="B72" s="21">
        <f t="shared" si="16"/>
        <v>2004</v>
      </c>
      <c r="C72" s="86">
        <f t="shared" si="16"/>
        <v>150000</v>
      </c>
      <c r="D72" s="86">
        <f t="shared" si="12"/>
        <v>3075</v>
      </c>
      <c r="E72" s="21">
        <v>0</v>
      </c>
      <c r="F72" s="21">
        <v>1</v>
      </c>
      <c r="G72" s="283">
        <f t="shared" si="13"/>
        <v>0</v>
      </c>
      <c r="H72" s="283">
        <f t="shared" si="13"/>
        <v>0</v>
      </c>
      <c r="I72" s="21">
        <f t="shared" si="14"/>
        <v>0</v>
      </c>
      <c r="J72" s="21">
        <f t="shared" si="14"/>
        <v>0</v>
      </c>
      <c r="K72" s="21">
        <f t="shared" si="15"/>
        <v>150000</v>
      </c>
      <c r="L72" s="21">
        <f t="shared" si="15"/>
        <v>3075</v>
      </c>
    </row>
    <row r="73" spans="2:12" s="380" customFormat="1" ht="12.75">
      <c r="B73" s="21">
        <f>B33</f>
        <v>2005</v>
      </c>
      <c r="C73" s="86">
        <f>C33</f>
        <v>125000</v>
      </c>
      <c r="D73" s="86">
        <f>E33</f>
        <v>2562.5</v>
      </c>
      <c r="E73" s="21">
        <v>0</v>
      </c>
      <c r="F73" s="21">
        <v>1</v>
      </c>
      <c r="G73" s="283">
        <f aca="true" t="shared" si="17" ref="G73:H75">C73-I73-K73</f>
        <v>0</v>
      </c>
      <c r="H73" s="283">
        <f t="shared" si="17"/>
        <v>0</v>
      </c>
      <c r="I73" s="21">
        <f aca="true" t="shared" si="18" ref="I73:J75">C73*$E73</f>
        <v>0</v>
      </c>
      <c r="J73" s="21">
        <f t="shared" si="18"/>
        <v>0</v>
      </c>
      <c r="K73" s="21">
        <f aca="true" t="shared" si="19" ref="K73:L75">C73*$F73</f>
        <v>125000</v>
      </c>
      <c r="L73" s="21">
        <f t="shared" si="19"/>
        <v>2562.5</v>
      </c>
    </row>
    <row r="74" spans="2:12" s="380" customFormat="1" ht="12.75">
      <c r="B74" s="21">
        <f>B34</f>
        <v>2006</v>
      </c>
      <c r="C74" s="86">
        <f>C34</f>
        <v>98000</v>
      </c>
      <c r="D74" s="86">
        <f>E34</f>
        <v>2009</v>
      </c>
      <c r="E74" s="21">
        <v>0</v>
      </c>
      <c r="F74" s="21">
        <v>1</v>
      </c>
      <c r="G74" s="283">
        <f t="shared" si="17"/>
        <v>0</v>
      </c>
      <c r="H74" s="283">
        <f t="shared" si="17"/>
        <v>0</v>
      </c>
      <c r="I74" s="21">
        <f t="shared" si="18"/>
        <v>0</v>
      </c>
      <c r="J74" s="21">
        <f t="shared" si="18"/>
        <v>0</v>
      </c>
      <c r="K74" s="21">
        <f t="shared" si="19"/>
        <v>98000</v>
      </c>
      <c r="L74" s="21">
        <f t="shared" si="19"/>
        <v>2009</v>
      </c>
    </row>
    <row r="75" spans="2:12" s="380" customFormat="1" ht="12.75">
      <c r="B75" s="21">
        <v>2007</v>
      </c>
      <c r="C75" s="86">
        <f>C35</f>
        <v>0</v>
      </c>
      <c r="D75" s="86">
        <f>E35</f>
        <v>0</v>
      </c>
      <c r="E75" s="21">
        <v>0</v>
      </c>
      <c r="F75" s="21">
        <v>1</v>
      </c>
      <c r="G75" s="283">
        <f t="shared" si="17"/>
        <v>0</v>
      </c>
      <c r="H75" s="283">
        <f t="shared" si="17"/>
        <v>0</v>
      </c>
      <c r="I75" s="21">
        <f t="shared" si="18"/>
        <v>0</v>
      </c>
      <c r="J75" s="21">
        <f t="shared" si="18"/>
        <v>0</v>
      </c>
      <c r="K75" s="21">
        <f t="shared" si="19"/>
        <v>0</v>
      </c>
      <c r="L75" s="21">
        <f t="shared" si="19"/>
        <v>0</v>
      </c>
    </row>
    <row r="76" spans="2:12" s="380" customFormat="1" ht="12.75">
      <c r="B76" s="21" t="s">
        <v>22</v>
      </c>
      <c r="C76" s="283">
        <f>SUM(C48:C75)</f>
        <v>51432000</v>
      </c>
      <c r="D76" s="283">
        <f>SUM(D48:D75)</f>
        <v>1067673.216752484</v>
      </c>
      <c r="E76" s="21"/>
      <c r="F76" s="21"/>
      <c r="G76" s="283">
        <f aca="true" t="shared" si="20" ref="G76:L76">SUM(G48:G75)</f>
        <v>6013150</v>
      </c>
      <c r="H76" s="283">
        <f t="shared" si="20"/>
        <v>123061.40565691057</v>
      </c>
      <c r="I76" s="283">
        <f t="shared" si="20"/>
        <v>43305600</v>
      </c>
      <c r="J76" s="283">
        <f t="shared" si="20"/>
        <v>901454.5550099425</v>
      </c>
      <c r="K76" s="283">
        <f t="shared" si="20"/>
        <v>2113250</v>
      </c>
      <c r="L76" s="283">
        <f t="shared" si="20"/>
        <v>43157.25608563109</v>
      </c>
    </row>
    <row r="77" s="380" customFormat="1" ht="12.75"/>
    <row r="78" spans="2:12" s="380" customFormat="1" ht="12.75">
      <c r="B78" s="562" t="s">
        <v>250</v>
      </c>
      <c r="C78" s="562"/>
      <c r="D78" s="562"/>
      <c r="E78" s="562"/>
      <c r="F78" s="562"/>
      <c r="G78" s="562"/>
      <c r="H78" s="562"/>
      <c r="I78" s="562"/>
      <c r="J78" s="562"/>
      <c r="K78" s="562"/>
      <c r="L78" s="562"/>
    </row>
    <row r="79" spans="2:12" s="380" customFormat="1" ht="24.75" customHeight="1">
      <c r="B79" s="562"/>
      <c r="C79" s="562"/>
      <c r="D79" s="562"/>
      <c r="E79" s="562"/>
      <c r="F79" s="562"/>
      <c r="G79" s="562"/>
      <c r="H79" s="562"/>
      <c r="I79" s="562"/>
      <c r="J79" s="562"/>
      <c r="K79" s="562"/>
      <c r="L79" s="562"/>
    </row>
    <row r="80" spans="2:12" s="380" customFormat="1" ht="12.75">
      <c r="B80" s="439"/>
      <c r="C80" s="439"/>
      <c r="D80" s="439"/>
      <c r="E80" s="439"/>
      <c r="F80" s="439"/>
      <c r="G80" s="439"/>
      <c r="H80" s="439"/>
      <c r="I80" s="439"/>
      <c r="J80" s="439"/>
      <c r="K80" s="439"/>
      <c r="L80" s="439"/>
    </row>
    <row r="81" s="380" customFormat="1" ht="12.75">
      <c r="B81" s="380" t="s">
        <v>251</v>
      </c>
    </row>
    <row r="82" spans="2:9" s="380" customFormat="1" ht="12.75">
      <c r="B82" s="21">
        <v>1991</v>
      </c>
      <c r="E82" s="96">
        <f>(J27+L37+I82)*1000/C19</f>
        <v>0.5730229591836735</v>
      </c>
      <c r="I82" s="396">
        <f>(L32/4)*3</f>
        <v>147</v>
      </c>
    </row>
    <row r="83" spans="2:9" s="380" customFormat="1" ht="12.75">
      <c r="B83" s="21">
        <v>1992</v>
      </c>
      <c r="E83" s="96">
        <f>(J28+L33+I83)*1000/C20</f>
        <v>0.625</v>
      </c>
      <c r="I83" s="396">
        <f>(L33/4)*2</f>
        <v>79.125</v>
      </c>
    </row>
    <row r="84" spans="2:9" s="380" customFormat="1" ht="12.75">
      <c r="B84" s="21">
        <v>1993</v>
      </c>
      <c r="E84" s="96">
        <f>(J29+L34+I84)*1000/C21</f>
        <v>0.5625</v>
      </c>
      <c r="I84" s="396">
        <f>(L34/4)*1</f>
        <v>34.375</v>
      </c>
    </row>
    <row r="85" spans="2:9" s="380" customFormat="1" ht="12.75">
      <c r="B85" s="21">
        <v>1994</v>
      </c>
      <c r="E85" s="96">
        <f>(J30+L35+I85)*1000/C22</f>
        <v>0.5</v>
      </c>
      <c r="I85" s="396">
        <f>(L35/4)*0</f>
        <v>0</v>
      </c>
    </row>
    <row r="86" s="380" customFormat="1" ht="13.5" thickBot="1">
      <c r="I86" s="440">
        <f>SUM(I82:I85)</f>
        <v>260.5</v>
      </c>
    </row>
    <row r="87" spans="2:9" s="380" customFormat="1" ht="13.5" thickTop="1">
      <c r="B87" s="380" t="s">
        <v>225</v>
      </c>
      <c r="E87" s="96">
        <f>(I87*1000)/(C19+C20+C21+C22)</f>
        <v>0.6039090546469884</v>
      </c>
      <c r="I87" s="396">
        <f>J27+J28+J29+J30+L32+L33+L34+L35+I86</f>
        <v>1514</v>
      </c>
    </row>
    <row r="88" spans="2:11" s="380" customFormat="1" ht="12.75">
      <c r="B88" s="380" t="s">
        <v>226</v>
      </c>
      <c r="E88" s="96"/>
      <c r="I88" s="396">
        <f>SUM(I59:I62)/1000</f>
        <v>1378.85</v>
      </c>
      <c r="J88" s="441" t="s">
        <v>227</v>
      </c>
      <c r="K88" s="396">
        <f>I87-I88</f>
        <v>135.1500000000001</v>
      </c>
    </row>
    <row r="89" s="380" customFormat="1" ht="12.75">
      <c r="B89" s="442" t="s">
        <v>228</v>
      </c>
    </row>
    <row r="90" s="380" customFormat="1" ht="12.75">
      <c r="B90" s="442" t="s">
        <v>252</v>
      </c>
    </row>
    <row r="91" s="380" customFormat="1" ht="12.75"/>
    <row r="92" s="380" customFormat="1" ht="12.75"/>
    <row r="93" s="380" customFormat="1" ht="12.75"/>
    <row r="94" s="380" customFormat="1" ht="12.75"/>
    <row r="95" s="380" customFormat="1" ht="12.75"/>
    <row r="96" s="380" customFormat="1" ht="12.75"/>
    <row r="97" s="380" customFormat="1" ht="12.75"/>
    <row r="98" s="380" customFormat="1" ht="12.75"/>
    <row r="99" s="380" customFormat="1" ht="12.75"/>
    <row r="100" s="380" customFormat="1" ht="12.75"/>
    <row r="101" s="380" customFormat="1" ht="12.75"/>
    <row r="102" s="380" customFormat="1" ht="12.75"/>
    <row r="103" s="380" customFormat="1" ht="12.75"/>
    <row r="104" s="380" customFormat="1" ht="12.75"/>
    <row r="105" s="380" customFormat="1" ht="12.75"/>
    <row r="106" s="380" customFormat="1" ht="12.75"/>
    <row r="107" s="380" customFormat="1" ht="12.75"/>
    <row r="108" s="380" customFormat="1" ht="12.75"/>
    <row r="109" s="380" customFormat="1" ht="12.75"/>
    <row r="110" s="380" customFormat="1" ht="12.75"/>
    <row r="111" s="380" customFormat="1" ht="12.75"/>
    <row r="112" s="380" customFormat="1" ht="12.75"/>
    <row r="113" s="380" customFormat="1" ht="12.75"/>
    <row r="114" s="380" customFormat="1" ht="12.75"/>
    <row r="115" s="380" customFormat="1" ht="12.75"/>
    <row r="116" s="380" customFormat="1" ht="12.75"/>
    <row r="117" s="380" customFormat="1" ht="12.75"/>
    <row r="118" s="380" customFormat="1" ht="12.75"/>
    <row r="119" s="380" customFormat="1" ht="12.75"/>
    <row r="120" s="380" customFormat="1" ht="12.75"/>
    <row r="121" s="380" customFormat="1" ht="12.75"/>
    <row r="122" s="380" customFormat="1" ht="12.75"/>
    <row r="123" s="380" customFormat="1" ht="12.75"/>
    <row r="124" s="380" customFormat="1" ht="12.75"/>
    <row r="125" s="380" customFormat="1" ht="12.75"/>
    <row r="126" s="380" customFormat="1" ht="12.75"/>
    <row r="127" s="380" customFormat="1" ht="12.75"/>
    <row r="128" s="380" customFormat="1" ht="12.75"/>
  </sheetData>
  <mergeCells count="14">
    <mergeCell ref="B3:S3"/>
    <mergeCell ref="B5:E5"/>
    <mergeCell ref="F5:I5"/>
    <mergeCell ref="J5:S5"/>
    <mergeCell ref="B78:L79"/>
    <mergeCell ref="G46:H46"/>
    <mergeCell ref="P6:Q6"/>
    <mergeCell ref="R6:S6"/>
    <mergeCell ref="F6:I6"/>
    <mergeCell ref="J6:K6"/>
    <mergeCell ref="L6:M6"/>
    <mergeCell ref="N6:O6"/>
    <mergeCell ref="I46:J46"/>
    <mergeCell ref="K46:L46"/>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3:S76"/>
  <sheetViews>
    <sheetView workbookViewId="0" topLeftCell="A1">
      <selection activeCell="M44" sqref="M44"/>
    </sheetView>
  </sheetViews>
  <sheetFormatPr defaultColWidth="9.140625" defaultRowHeight="12.75"/>
  <cols>
    <col min="1" max="2" width="9.140625" style="380" customWidth="1"/>
    <col min="3" max="3" width="10.00390625" style="380" bestFit="1" customWidth="1"/>
    <col min="4" max="13" width="9.140625" style="380" customWidth="1"/>
    <col min="14" max="14" width="11.7109375" style="380" customWidth="1"/>
    <col min="15" max="16384" width="9.140625" style="380" customWidth="1"/>
  </cols>
  <sheetData>
    <row r="3" spans="1:19" ht="12.75">
      <c r="A3" s="21"/>
      <c r="B3" s="456" t="s">
        <v>112</v>
      </c>
      <c r="C3" s="456"/>
      <c r="D3" s="456"/>
      <c r="E3" s="456"/>
      <c r="F3" s="456"/>
      <c r="G3" s="456"/>
      <c r="H3" s="456"/>
      <c r="I3" s="456"/>
      <c r="J3" s="456"/>
      <c r="K3" s="456"/>
      <c r="L3" s="456"/>
      <c r="M3" s="456"/>
      <c r="N3" s="456"/>
      <c r="O3" s="456"/>
      <c r="P3" s="456"/>
      <c r="Q3" s="456"/>
      <c r="R3" s="456"/>
      <c r="S3" s="456"/>
    </row>
    <row r="4" spans="1:19" ht="13.5" thickBot="1">
      <c r="A4" s="21"/>
      <c r="B4" s="129"/>
      <c r="C4" s="129"/>
      <c r="D4" s="129"/>
      <c r="E4" s="129"/>
      <c r="F4" s="129"/>
      <c r="G4" s="132"/>
      <c r="H4" s="132"/>
      <c r="I4" s="129"/>
      <c r="J4" s="129"/>
      <c r="K4" s="129"/>
      <c r="L4" s="129"/>
      <c r="M4" s="129"/>
      <c r="N4" s="129"/>
      <c r="O4" s="129"/>
      <c r="P4" s="129"/>
      <c r="Q4" s="129"/>
      <c r="R4" s="129"/>
      <c r="S4" s="129"/>
    </row>
    <row r="5" spans="1:19" ht="12.75">
      <c r="A5" s="21"/>
      <c r="B5" s="457" t="s">
        <v>6</v>
      </c>
      <c r="C5" s="458"/>
      <c r="D5" s="458"/>
      <c r="E5" s="459"/>
      <c r="F5" s="460" t="s">
        <v>14</v>
      </c>
      <c r="G5" s="445"/>
      <c r="H5" s="445"/>
      <c r="I5" s="445"/>
      <c r="J5" s="457" t="s">
        <v>48</v>
      </c>
      <c r="K5" s="458"/>
      <c r="L5" s="458"/>
      <c r="M5" s="458"/>
      <c r="N5" s="458"/>
      <c r="O5" s="458"/>
      <c r="P5" s="458"/>
      <c r="Q5" s="458"/>
      <c r="R5" s="458"/>
      <c r="S5" s="459"/>
    </row>
    <row r="6" spans="1:19" ht="12.75">
      <c r="A6" s="21"/>
      <c r="B6" s="120" t="s">
        <v>0</v>
      </c>
      <c r="C6" s="121" t="s">
        <v>1</v>
      </c>
      <c r="D6" s="121" t="s">
        <v>3</v>
      </c>
      <c r="E6" s="122" t="s">
        <v>2</v>
      </c>
      <c r="F6" s="546" t="s">
        <v>15</v>
      </c>
      <c r="G6" s="547"/>
      <c r="H6" s="547"/>
      <c r="I6" s="547"/>
      <c r="J6" s="546" t="s">
        <v>18</v>
      </c>
      <c r="K6" s="541"/>
      <c r="L6" s="540" t="s">
        <v>53</v>
      </c>
      <c r="M6" s="541"/>
      <c r="N6" s="540" t="s">
        <v>96</v>
      </c>
      <c r="O6" s="541"/>
      <c r="P6" s="540" t="s">
        <v>97</v>
      </c>
      <c r="Q6" s="541"/>
      <c r="R6" s="542" t="s">
        <v>16</v>
      </c>
      <c r="S6" s="564"/>
    </row>
    <row r="7" spans="1:19" ht="12.75">
      <c r="A7" s="21"/>
      <c r="B7" s="123"/>
      <c r="C7" s="124"/>
      <c r="D7" s="124" t="s">
        <v>4</v>
      </c>
      <c r="E7" s="125"/>
      <c r="F7" s="17">
        <v>8</v>
      </c>
      <c r="G7" s="207">
        <v>13</v>
      </c>
      <c r="H7" s="207">
        <v>17</v>
      </c>
      <c r="I7" s="17">
        <v>23</v>
      </c>
      <c r="J7" s="140" t="s">
        <v>46</v>
      </c>
      <c r="K7" s="131" t="s">
        <v>2</v>
      </c>
      <c r="L7" s="131" t="s">
        <v>46</v>
      </c>
      <c r="M7" s="131" t="s">
        <v>2</v>
      </c>
      <c r="N7" s="131" t="s">
        <v>46</v>
      </c>
      <c r="O7" s="131" t="s">
        <v>2</v>
      </c>
      <c r="P7" s="131" t="s">
        <v>46</v>
      </c>
      <c r="Q7" s="131" t="s">
        <v>2</v>
      </c>
      <c r="R7" s="131" t="s">
        <v>46</v>
      </c>
      <c r="S7" s="141" t="s">
        <v>2</v>
      </c>
    </row>
    <row r="8" spans="1:19" ht="12.75">
      <c r="A8" s="21"/>
      <c r="B8" s="102">
        <v>1980</v>
      </c>
      <c r="C8" s="108">
        <v>5448500</v>
      </c>
      <c r="D8" s="258">
        <v>42</v>
      </c>
      <c r="E8" s="107">
        <f>C8*D8/2000</f>
        <v>114418.5</v>
      </c>
      <c r="F8" s="106">
        <v>0.25</v>
      </c>
      <c r="G8" s="134">
        <v>0.25</v>
      </c>
      <c r="H8" s="134">
        <v>0.25</v>
      </c>
      <c r="I8" s="101">
        <v>0.25</v>
      </c>
      <c r="J8" s="102"/>
      <c r="K8" s="98"/>
      <c r="L8" s="98"/>
      <c r="M8" s="98"/>
      <c r="N8" s="98"/>
      <c r="O8" s="98"/>
      <c r="P8" s="98"/>
      <c r="Q8" s="98"/>
      <c r="R8" s="98"/>
      <c r="S8" s="103"/>
    </row>
    <row r="9" spans="1:19" ht="12.75">
      <c r="A9" s="21"/>
      <c r="B9" s="102">
        <v>1981</v>
      </c>
      <c r="C9" s="108">
        <v>5578500</v>
      </c>
      <c r="D9" s="258">
        <v>42</v>
      </c>
      <c r="E9" s="107">
        <f>C9*D9/2000</f>
        <v>117148.5</v>
      </c>
      <c r="F9" s="106">
        <v>0.25</v>
      </c>
      <c r="G9" s="134">
        <v>0.25</v>
      </c>
      <c r="H9" s="134">
        <v>0.25</v>
      </c>
      <c r="I9" s="101">
        <v>0.25</v>
      </c>
      <c r="J9" s="102"/>
      <c r="K9" s="98"/>
      <c r="L9" s="98"/>
      <c r="M9" s="98"/>
      <c r="N9" s="98"/>
      <c r="O9" s="98"/>
      <c r="P9" s="98"/>
      <c r="Q9" s="98"/>
      <c r="R9" s="98"/>
      <c r="S9" s="103"/>
    </row>
    <row r="10" spans="1:19" ht="12.75">
      <c r="A10" s="21"/>
      <c r="B10" s="102">
        <v>1982</v>
      </c>
      <c r="C10" s="108">
        <v>5683000</v>
      </c>
      <c r="D10" s="258">
        <v>42</v>
      </c>
      <c r="E10" s="107">
        <f>C10*D10/2000</f>
        <v>119343</v>
      </c>
      <c r="F10" s="106">
        <v>0.25</v>
      </c>
      <c r="G10" s="134">
        <v>0.25</v>
      </c>
      <c r="H10" s="134">
        <v>0.25</v>
      </c>
      <c r="I10" s="101">
        <v>0.25</v>
      </c>
      <c r="J10" s="109"/>
      <c r="K10" s="100"/>
      <c r="L10" s="100"/>
      <c r="M10" s="100"/>
      <c r="N10" s="100"/>
      <c r="O10" s="100"/>
      <c r="P10" s="100"/>
      <c r="Q10" s="100"/>
      <c r="R10" s="100">
        <f>J10+L10+N10+P10</f>
        <v>0</v>
      </c>
      <c r="S10" s="107">
        <f>K10+M10+O10+Q10</f>
        <v>0</v>
      </c>
    </row>
    <row r="11" spans="1:19" ht="12.75">
      <c r="A11" s="21"/>
      <c r="B11" s="102">
        <v>1983</v>
      </c>
      <c r="C11" s="108">
        <v>6993000</v>
      </c>
      <c r="D11" s="258">
        <v>42</v>
      </c>
      <c r="E11" s="107">
        <f>C11*D11/2000</f>
        <v>146853</v>
      </c>
      <c r="F11" s="106">
        <v>0.25</v>
      </c>
      <c r="G11" s="134">
        <v>0.25</v>
      </c>
      <c r="H11" s="134">
        <v>0.25</v>
      </c>
      <c r="I11" s="101">
        <v>0.25</v>
      </c>
      <c r="J11" s="109"/>
      <c r="K11" s="100"/>
      <c r="L11" s="100"/>
      <c r="M11" s="100"/>
      <c r="N11" s="100"/>
      <c r="O11" s="100"/>
      <c r="P11" s="100"/>
      <c r="Q11" s="100"/>
      <c r="R11" s="100">
        <f aca="true" t="shared" si="0" ref="R11:S38">J11+L11+N11+P11</f>
        <v>0</v>
      </c>
      <c r="S11" s="107">
        <f t="shared" si="0"/>
        <v>0</v>
      </c>
    </row>
    <row r="12" spans="1:19" ht="12.75">
      <c r="A12" s="21"/>
      <c r="B12" s="102">
        <v>1984</v>
      </c>
      <c r="C12" s="108">
        <v>8041500</v>
      </c>
      <c r="D12" s="436">
        <v>41.97849462365591</v>
      </c>
      <c r="E12" s="107">
        <f>C12*D12/2000</f>
        <v>168785.03225806452</v>
      </c>
      <c r="F12" s="106">
        <v>0.25</v>
      </c>
      <c r="G12" s="134">
        <v>0.25</v>
      </c>
      <c r="H12" s="134">
        <v>0.25</v>
      </c>
      <c r="I12" s="101">
        <v>0.25</v>
      </c>
      <c r="J12" s="109"/>
      <c r="K12" s="100"/>
      <c r="L12" s="100"/>
      <c r="M12" s="100"/>
      <c r="N12" s="100"/>
      <c r="O12" s="100"/>
      <c r="P12" s="100"/>
      <c r="Q12" s="100"/>
      <c r="R12" s="100">
        <f t="shared" si="0"/>
        <v>0</v>
      </c>
      <c r="S12" s="107">
        <f t="shared" si="0"/>
        <v>0</v>
      </c>
    </row>
    <row r="13" spans="1:19" ht="12.75">
      <c r="A13" s="21"/>
      <c r="B13" s="102">
        <v>1985</v>
      </c>
      <c r="C13" s="108">
        <v>8414500</v>
      </c>
      <c r="D13" s="436">
        <v>40.61904761904762</v>
      </c>
      <c r="E13" s="107">
        <f aca="true" t="shared" si="1" ref="E13:E33">C13*D13/2000</f>
        <v>170894.48809523808</v>
      </c>
      <c r="F13" s="106">
        <v>0.25</v>
      </c>
      <c r="G13" s="134">
        <v>0.25</v>
      </c>
      <c r="H13" s="134">
        <v>0.25</v>
      </c>
      <c r="I13" s="101">
        <v>0.25</v>
      </c>
      <c r="J13" s="109"/>
      <c r="K13" s="100"/>
      <c r="L13" s="100"/>
      <c r="M13" s="100"/>
      <c r="N13" s="100"/>
      <c r="O13" s="100"/>
      <c r="P13" s="100"/>
      <c r="Q13" s="100"/>
      <c r="R13" s="100">
        <f t="shared" si="0"/>
        <v>0</v>
      </c>
      <c r="S13" s="107">
        <f t="shared" si="0"/>
        <v>0</v>
      </c>
    </row>
    <row r="14" spans="1:19" ht="12.75">
      <c r="A14" s="21"/>
      <c r="B14" s="102">
        <v>1986</v>
      </c>
      <c r="C14" s="108">
        <v>9102000</v>
      </c>
      <c r="D14" s="436">
        <v>41.13461538461539</v>
      </c>
      <c r="E14" s="107">
        <f t="shared" si="1"/>
        <v>187203.63461538462</v>
      </c>
      <c r="F14" s="106">
        <v>0.25</v>
      </c>
      <c r="G14" s="134">
        <v>0.25</v>
      </c>
      <c r="H14" s="134">
        <v>0.25</v>
      </c>
      <c r="I14" s="101">
        <v>0.25</v>
      </c>
      <c r="J14" s="109"/>
      <c r="K14" s="100"/>
      <c r="L14" s="100"/>
      <c r="M14" s="100"/>
      <c r="N14" s="100"/>
      <c r="O14" s="100"/>
      <c r="P14" s="100"/>
      <c r="Q14" s="100"/>
      <c r="R14" s="100">
        <f t="shared" si="0"/>
        <v>0</v>
      </c>
      <c r="S14" s="107">
        <f t="shared" si="0"/>
        <v>0</v>
      </c>
    </row>
    <row r="15" spans="1:19" ht="12.75">
      <c r="A15" s="21"/>
      <c r="B15" s="102">
        <v>1987</v>
      </c>
      <c r="C15" s="108">
        <v>9665000</v>
      </c>
      <c r="D15" s="436">
        <v>40.8</v>
      </c>
      <c r="E15" s="107">
        <f t="shared" si="1"/>
        <v>197166</v>
      </c>
      <c r="F15" s="106">
        <v>0.25</v>
      </c>
      <c r="G15" s="134">
        <v>0.25</v>
      </c>
      <c r="H15" s="134">
        <v>0.25</v>
      </c>
      <c r="I15" s="101">
        <v>0.25</v>
      </c>
      <c r="J15" s="109"/>
      <c r="K15" s="100"/>
      <c r="L15" s="100"/>
      <c r="M15" s="100"/>
      <c r="N15" s="100"/>
      <c r="O15" s="100"/>
      <c r="P15" s="100"/>
      <c r="Q15" s="100"/>
      <c r="R15" s="100">
        <f t="shared" si="0"/>
        <v>0</v>
      </c>
      <c r="S15" s="107">
        <f t="shared" si="0"/>
        <v>0</v>
      </c>
    </row>
    <row r="16" spans="1:19" ht="12.75">
      <c r="A16" s="21"/>
      <c r="B16" s="102">
        <v>1988</v>
      </c>
      <c r="C16" s="108">
        <v>10108000</v>
      </c>
      <c r="D16" s="436">
        <v>41.16129032258065</v>
      </c>
      <c r="E16" s="107">
        <f t="shared" si="1"/>
        <v>208029.1612903226</v>
      </c>
      <c r="F16" s="106">
        <v>0.25</v>
      </c>
      <c r="G16" s="134">
        <v>0.25</v>
      </c>
      <c r="H16" s="134">
        <v>0.25</v>
      </c>
      <c r="I16" s="101">
        <v>0.25</v>
      </c>
      <c r="J16" s="109">
        <f>C8*F8/1000</f>
        <v>1362.125</v>
      </c>
      <c r="K16" s="100">
        <f>E8*F8</f>
        <v>28604.625</v>
      </c>
      <c r="L16" s="100"/>
      <c r="M16" s="100"/>
      <c r="N16" s="100"/>
      <c r="O16" s="100"/>
      <c r="P16" s="100"/>
      <c r="Q16" s="100"/>
      <c r="R16" s="100">
        <f t="shared" si="0"/>
        <v>1362.125</v>
      </c>
      <c r="S16" s="107">
        <f t="shared" si="0"/>
        <v>28604.625</v>
      </c>
    </row>
    <row r="17" spans="1:19" ht="12.75">
      <c r="A17" s="21"/>
      <c r="B17" s="102">
        <v>1989</v>
      </c>
      <c r="C17" s="108">
        <v>10853000</v>
      </c>
      <c r="D17" s="436">
        <v>41.013422818791945</v>
      </c>
      <c r="E17" s="107">
        <f t="shared" si="1"/>
        <v>222559.3389261745</v>
      </c>
      <c r="F17" s="106">
        <v>0.25</v>
      </c>
      <c r="G17" s="134">
        <v>0.25</v>
      </c>
      <c r="H17" s="134">
        <v>0.25</v>
      </c>
      <c r="I17" s="101">
        <v>0.25</v>
      </c>
      <c r="J17" s="109">
        <f aca="true" t="shared" si="2" ref="J17:J37">C9*F9/1000</f>
        <v>1394.625</v>
      </c>
      <c r="K17" s="100">
        <f aca="true" t="shared" si="3" ref="K17:K38">E9*F9</f>
        <v>29287.125</v>
      </c>
      <c r="L17" s="100"/>
      <c r="M17" s="100"/>
      <c r="N17" s="100"/>
      <c r="O17" s="100"/>
      <c r="P17" s="100"/>
      <c r="Q17" s="100"/>
      <c r="R17" s="100">
        <f t="shared" si="0"/>
        <v>1394.625</v>
      </c>
      <c r="S17" s="107">
        <f t="shared" si="0"/>
        <v>29287.125</v>
      </c>
    </row>
    <row r="18" spans="1:19" ht="12.75">
      <c r="A18" s="21"/>
      <c r="B18" s="102">
        <v>1990</v>
      </c>
      <c r="C18" s="108">
        <v>10404000</v>
      </c>
      <c r="D18" s="436">
        <v>40.53947368421053</v>
      </c>
      <c r="E18" s="107">
        <f t="shared" si="1"/>
        <v>210886.34210526317</v>
      </c>
      <c r="F18" s="106">
        <v>0.25</v>
      </c>
      <c r="G18" s="134">
        <v>0.25</v>
      </c>
      <c r="H18" s="134">
        <v>0.25</v>
      </c>
      <c r="I18" s="101">
        <v>0.25</v>
      </c>
      <c r="J18" s="109">
        <f t="shared" si="2"/>
        <v>1420.75</v>
      </c>
      <c r="K18" s="100">
        <f t="shared" si="3"/>
        <v>29835.75</v>
      </c>
      <c r="L18" s="100"/>
      <c r="M18" s="100"/>
      <c r="N18" s="100"/>
      <c r="O18" s="100"/>
      <c r="P18" s="100"/>
      <c r="Q18" s="100"/>
      <c r="R18" s="100">
        <f t="shared" si="0"/>
        <v>1420.75</v>
      </c>
      <c r="S18" s="107">
        <f t="shared" si="0"/>
        <v>29835.75</v>
      </c>
    </row>
    <row r="19" spans="1:19" ht="12.75">
      <c r="A19" s="21"/>
      <c r="B19" s="102">
        <v>1991</v>
      </c>
      <c r="C19" s="108">
        <v>9418483.516626345</v>
      </c>
      <c r="D19" s="436">
        <v>41.06923076923077</v>
      </c>
      <c r="E19" s="107">
        <f t="shared" si="1"/>
        <v>193404.93652026178</v>
      </c>
      <c r="F19" s="106">
        <v>0.25</v>
      </c>
      <c r="G19" s="134">
        <v>0.25</v>
      </c>
      <c r="H19" s="134">
        <v>0.25</v>
      </c>
      <c r="I19" s="101">
        <v>0.25</v>
      </c>
      <c r="J19" s="109">
        <f t="shared" si="2"/>
        <v>1748.25</v>
      </c>
      <c r="K19" s="100">
        <f t="shared" si="3"/>
        <v>36713.25</v>
      </c>
      <c r="L19" s="100"/>
      <c r="M19" s="100"/>
      <c r="N19" s="100"/>
      <c r="O19" s="100"/>
      <c r="P19" s="100"/>
      <c r="Q19" s="100"/>
      <c r="R19" s="100">
        <f t="shared" si="0"/>
        <v>1748.25</v>
      </c>
      <c r="S19" s="107">
        <f t="shared" si="0"/>
        <v>36713.25</v>
      </c>
    </row>
    <row r="20" spans="1:19" ht="12.75">
      <c r="A20" s="21"/>
      <c r="B20" s="102">
        <v>1992</v>
      </c>
      <c r="C20" s="108">
        <v>9734400.667070683</v>
      </c>
      <c r="D20" s="436">
        <v>40.93333333333333</v>
      </c>
      <c r="E20" s="107">
        <f t="shared" si="1"/>
        <v>199230.7336527133</v>
      </c>
      <c r="F20" s="106">
        <v>0.25</v>
      </c>
      <c r="G20" s="134">
        <v>0.25</v>
      </c>
      <c r="H20" s="134">
        <v>0.25</v>
      </c>
      <c r="I20" s="101">
        <v>0.25</v>
      </c>
      <c r="J20" s="109">
        <f>C12*F12/1000</f>
        <v>2010.375</v>
      </c>
      <c r="K20" s="100">
        <f t="shared" si="3"/>
        <v>42196.25806451613</v>
      </c>
      <c r="L20" s="100"/>
      <c r="M20" s="100"/>
      <c r="N20" s="100"/>
      <c r="O20" s="100"/>
      <c r="P20" s="100"/>
      <c r="Q20" s="100"/>
      <c r="R20" s="100">
        <f t="shared" si="0"/>
        <v>2010.375</v>
      </c>
      <c r="S20" s="107">
        <f t="shared" si="0"/>
        <v>42196.25806451613</v>
      </c>
    </row>
    <row r="21" spans="1:19" ht="12.75">
      <c r="A21" s="21"/>
      <c r="B21" s="102">
        <v>1993</v>
      </c>
      <c r="C21" s="108">
        <v>10621222.216448326</v>
      </c>
      <c r="D21" s="436">
        <v>40.74233128834356</v>
      </c>
      <c r="E21" s="107">
        <f t="shared" si="1"/>
        <v>216366.67711482616</v>
      </c>
      <c r="F21" s="106">
        <v>0.25</v>
      </c>
      <c r="G21" s="134">
        <v>0.25</v>
      </c>
      <c r="H21" s="134">
        <v>0.25</v>
      </c>
      <c r="I21" s="101">
        <v>0.25</v>
      </c>
      <c r="J21" s="109">
        <f t="shared" si="2"/>
        <v>2103.625</v>
      </c>
      <c r="K21" s="100">
        <f t="shared" si="3"/>
        <v>42723.62202380952</v>
      </c>
      <c r="L21" s="100">
        <f>C8*G8/1000</f>
        <v>1362.125</v>
      </c>
      <c r="M21" s="100">
        <f>E8*G8</f>
        <v>28604.625</v>
      </c>
      <c r="N21" s="100"/>
      <c r="O21" s="100"/>
      <c r="P21" s="100"/>
      <c r="Q21" s="100"/>
      <c r="R21" s="100">
        <f t="shared" si="0"/>
        <v>3465.75</v>
      </c>
      <c r="S21" s="107">
        <f t="shared" si="0"/>
        <v>71328.24702380953</v>
      </c>
    </row>
    <row r="22" spans="1:19" ht="12.75">
      <c r="A22" s="21"/>
      <c r="B22" s="102">
        <v>1994</v>
      </c>
      <c r="C22" s="108">
        <v>11684130.139444422</v>
      </c>
      <c r="D22" s="436">
        <v>41.120879120879124</v>
      </c>
      <c r="E22" s="107">
        <f t="shared" si="1"/>
        <v>240230.8515483573</v>
      </c>
      <c r="F22" s="106">
        <v>0.25</v>
      </c>
      <c r="G22" s="134">
        <v>0.25</v>
      </c>
      <c r="H22" s="134">
        <v>0.25</v>
      </c>
      <c r="I22" s="101">
        <v>0.25</v>
      </c>
      <c r="J22" s="109">
        <f t="shared" si="2"/>
        <v>2275.5</v>
      </c>
      <c r="K22" s="100">
        <f t="shared" si="3"/>
        <v>46800.908653846156</v>
      </c>
      <c r="L22" s="100">
        <f aca="true" t="shared" si="4" ref="L22:L38">C9*G9/1000</f>
        <v>1394.625</v>
      </c>
      <c r="M22" s="100">
        <f aca="true" t="shared" si="5" ref="M22:M38">E9*G9</f>
        <v>29287.125</v>
      </c>
      <c r="N22" s="100"/>
      <c r="O22" s="100"/>
      <c r="P22" s="100"/>
      <c r="Q22" s="100"/>
      <c r="R22" s="100">
        <f t="shared" si="0"/>
        <v>3670.125</v>
      </c>
      <c r="S22" s="107">
        <f t="shared" si="0"/>
        <v>76088.03365384616</v>
      </c>
    </row>
    <row r="23" spans="1:19" ht="12.75">
      <c r="A23" s="21"/>
      <c r="B23" s="102">
        <v>1995</v>
      </c>
      <c r="C23" s="108">
        <v>10847194.238451853</v>
      </c>
      <c r="D23" s="436">
        <v>40.93617021276596</v>
      </c>
      <c r="E23" s="107">
        <f t="shared" si="1"/>
        <v>222021.29483809962</v>
      </c>
      <c r="F23" s="106">
        <v>0.25</v>
      </c>
      <c r="G23" s="134">
        <v>0.25</v>
      </c>
      <c r="H23" s="134">
        <v>0.25</v>
      </c>
      <c r="I23" s="101">
        <v>0.25</v>
      </c>
      <c r="J23" s="109">
        <f t="shared" si="2"/>
        <v>2416.25</v>
      </c>
      <c r="K23" s="100">
        <f t="shared" si="3"/>
        <v>49291.5</v>
      </c>
      <c r="L23" s="100">
        <f t="shared" si="4"/>
        <v>1420.75</v>
      </c>
      <c r="M23" s="100">
        <f t="shared" si="5"/>
        <v>29835.75</v>
      </c>
      <c r="N23" s="100"/>
      <c r="O23" s="100"/>
      <c r="P23" s="100"/>
      <c r="Q23" s="100"/>
      <c r="R23" s="100">
        <f t="shared" si="0"/>
        <v>3837</v>
      </c>
      <c r="S23" s="107">
        <f t="shared" si="0"/>
        <v>79127.25</v>
      </c>
    </row>
    <row r="24" spans="1:19" ht="12.75">
      <c r="A24" s="21"/>
      <c r="B24" s="102">
        <v>1996</v>
      </c>
      <c r="C24" s="108">
        <v>10110336.541316375</v>
      </c>
      <c r="D24" s="436">
        <v>41.26315789473684</v>
      </c>
      <c r="E24" s="107">
        <f t="shared" si="1"/>
        <v>208592.20653663258</v>
      </c>
      <c r="F24" s="106">
        <v>0.25</v>
      </c>
      <c r="G24" s="134">
        <v>0.25</v>
      </c>
      <c r="H24" s="134">
        <v>0.25</v>
      </c>
      <c r="I24" s="101">
        <v>0.25</v>
      </c>
      <c r="J24" s="109">
        <f t="shared" si="2"/>
        <v>2527</v>
      </c>
      <c r="K24" s="100">
        <f t="shared" si="3"/>
        <v>52007.29032258065</v>
      </c>
      <c r="L24" s="100">
        <f t="shared" si="4"/>
        <v>1748.25</v>
      </c>
      <c r="M24" s="100">
        <f t="shared" si="5"/>
        <v>36713.25</v>
      </c>
      <c r="N24" s="100"/>
      <c r="O24" s="100"/>
      <c r="P24" s="100"/>
      <c r="Q24" s="100"/>
      <c r="R24" s="100">
        <f t="shared" si="0"/>
        <v>4275.25</v>
      </c>
      <c r="S24" s="107">
        <f t="shared" si="0"/>
        <v>88720.54032258065</v>
      </c>
    </row>
    <row r="25" spans="1:19" ht="12.75">
      <c r="A25" s="21"/>
      <c r="B25" s="102">
        <v>1997</v>
      </c>
      <c r="C25" s="108">
        <v>9572294.726244828</v>
      </c>
      <c r="D25" s="436">
        <v>40.666666666666664</v>
      </c>
      <c r="E25" s="107">
        <f t="shared" si="1"/>
        <v>194636.65943364482</v>
      </c>
      <c r="F25" s="106">
        <v>0.25</v>
      </c>
      <c r="G25" s="134">
        <v>0.25</v>
      </c>
      <c r="H25" s="134">
        <v>0.25</v>
      </c>
      <c r="I25" s="101">
        <v>0.25</v>
      </c>
      <c r="J25" s="109">
        <f t="shared" si="2"/>
        <v>2713.25</v>
      </c>
      <c r="K25" s="100">
        <f t="shared" si="3"/>
        <v>55639.834731543626</v>
      </c>
      <c r="L25" s="100">
        <f t="shared" si="4"/>
        <v>2010.375</v>
      </c>
      <c r="M25" s="100">
        <f t="shared" si="5"/>
        <v>42196.25806451613</v>
      </c>
      <c r="N25" s="100">
        <f>C8*H8/1000</f>
        <v>1362.125</v>
      </c>
      <c r="O25" s="100">
        <f>E8*H8</f>
        <v>28604.625</v>
      </c>
      <c r="P25" s="100"/>
      <c r="Q25" s="100"/>
      <c r="R25" s="100">
        <f t="shared" si="0"/>
        <v>6085.75</v>
      </c>
      <c r="S25" s="107">
        <f t="shared" si="0"/>
        <v>126440.71779605976</v>
      </c>
    </row>
    <row r="26" spans="1:19" ht="12.75">
      <c r="A26" s="21"/>
      <c r="B26" s="102">
        <v>1998</v>
      </c>
      <c r="C26" s="108">
        <v>10300595.525284039</v>
      </c>
      <c r="D26" s="436">
        <v>41.55555555555556</v>
      </c>
      <c r="E26" s="107">
        <f t="shared" si="1"/>
        <v>214023.48480312392</v>
      </c>
      <c r="F26" s="106">
        <v>0.25</v>
      </c>
      <c r="G26" s="134">
        <v>0.25</v>
      </c>
      <c r="H26" s="134">
        <v>0.25</v>
      </c>
      <c r="I26" s="101">
        <v>0.25</v>
      </c>
      <c r="J26" s="109">
        <f>C18*F18/1000</f>
        <v>2601</v>
      </c>
      <c r="K26" s="100">
        <f t="shared" si="3"/>
        <v>52721.585526315794</v>
      </c>
      <c r="L26" s="100">
        <f t="shared" si="4"/>
        <v>2103.625</v>
      </c>
      <c r="M26" s="100">
        <f t="shared" si="5"/>
        <v>42723.62202380952</v>
      </c>
      <c r="N26" s="100">
        <f aca="true" t="shared" si="6" ref="N26:N38">C9*H9/1000</f>
        <v>1394.625</v>
      </c>
      <c r="O26" s="100">
        <f aca="true" t="shared" si="7" ref="O26:O38">E9*H9</f>
        <v>29287.125</v>
      </c>
      <c r="P26" s="100"/>
      <c r="Q26" s="100"/>
      <c r="R26" s="100">
        <f t="shared" si="0"/>
        <v>6099.25</v>
      </c>
      <c r="S26" s="107">
        <f t="shared" si="0"/>
        <v>124732.33255012531</v>
      </c>
    </row>
    <row r="27" spans="1:19" ht="12.75">
      <c r="A27" s="21"/>
      <c r="B27" s="102">
        <v>1999</v>
      </c>
      <c r="C27" s="108">
        <v>11224554.568238838</v>
      </c>
      <c r="D27" s="436">
        <v>41.22727272727273</v>
      </c>
      <c r="E27" s="107">
        <f t="shared" si="1"/>
        <v>231378.88621346877</v>
      </c>
      <c r="F27" s="106">
        <v>0.25</v>
      </c>
      <c r="G27" s="134">
        <v>0.25</v>
      </c>
      <c r="H27" s="134">
        <v>0.25</v>
      </c>
      <c r="I27" s="101">
        <v>0.25</v>
      </c>
      <c r="J27" s="109">
        <f t="shared" si="2"/>
        <v>2354.6208791565864</v>
      </c>
      <c r="K27" s="100">
        <f t="shared" si="3"/>
        <v>48351.234130065444</v>
      </c>
      <c r="L27" s="100">
        <f t="shared" si="4"/>
        <v>2275.5</v>
      </c>
      <c r="M27" s="100">
        <f t="shared" si="5"/>
        <v>46800.908653846156</v>
      </c>
      <c r="N27" s="100">
        <f t="shared" si="6"/>
        <v>1420.75</v>
      </c>
      <c r="O27" s="100">
        <f t="shared" si="7"/>
        <v>29835.75</v>
      </c>
      <c r="P27" s="100"/>
      <c r="Q27" s="100"/>
      <c r="R27" s="100">
        <f t="shared" si="0"/>
        <v>6050.870879156586</v>
      </c>
      <c r="S27" s="107">
        <f t="shared" si="0"/>
        <v>124987.89278391161</v>
      </c>
    </row>
    <row r="28" spans="1:19" ht="12.75">
      <c r="A28" s="21"/>
      <c r="B28" s="102">
        <v>2000</v>
      </c>
      <c r="C28" s="108">
        <v>12226855.356540365</v>
      </c>
      <c r="D28" s="436">
        <v>39.810810810810814</v>
      </c>
      <c r="E28" s="107">
        <f t="shared" si="1"/>
        <v>243380.51270518862</v>
      </c>
      <c r="F28" s="106">
        <v>0.25</v>
      </c>
      <c r="G28" s="134">
        <v>0.25</v>
      </c>
      <c r="H28" s="134">
        <v>0.25</v>
      </c>
      <c r="I28" s="101">
        <v>0.25</v>
      </c>
      <c r="J28" s="109">
        <f t="shared" si="2"/>
        <v>2433.600166767671</v>
      </c>
      <c r="K28" s="100">
        <f t="shared" si="3"/>
        <v>49807.683413178325</v>
      </c>
      <c r="L28" s="100">
        <f t="shared" si="4"/>
        <v>2416.25</v>
      </c>
      <c r="M28" s="100">
        <f t="shared" si="5"/>
        <v>49291.5</v>
      </c>
      <c r="N28" s="100">
        <f t="shared" si="6"/>
        <v>1748.25</v>
      </c>
      <c r="O28" s="100">
        <f t="shared" si="7"/>
        <v>36713.25</v>
      </c>
      <c r="P28" s="100"/>
      <c r="Q28" s="100"/>
      <c r="R28" s="100">
        <f t="shared" si="0"/>
        <v>6598.100166767671</v>
      </c>
      <c r="S28" s="107">
        <f t="shared" si="0"/>
        <v>135812.4334131783</v>
      </c>
    </row>
    <row r="29" spans="1:19" ht="12.75">
      <c r="A29" s="21"/>
      <c r="B29" s="102">
        <v>2001</v>
      </c>
      <c r="C29" s="108">
        <v>9772622.28942429</v>
      </c>
      <c r="D29" s="436">
        <v>41.074074074074076</v>
      </c>
      <c r="E29" s="107">
        <f t="shared" si="1"/>
        <v>200700.70590688035</v>
      </c>
      <c r="F29" s="106">
        <v>0.25</v>
      </c>
      <c r="G29" s="134">
        <v>0.25</v>
      </c>
      <c r="H29" s="134">
        <v>0.25</v>
      </c>
      <c r="I29" s="101">
        <v>0.25</v>
      </c>
      <c r="J29" s="109">
        <f>C21*F21/1000</f>
        <v>2655.3055541120816</v>
      </c>
      <c r="K29" s="100">
        <f t="shared" si="3"/>
        <v>54091.66927870654</v>
      </c>
      <c r="L29" s="100">
        <f t="shared" si="4"/>
        <v>2527</v>
      </c>
      <c r="M29" s="100">
        <f t="shared" si="5"/>
        <v>52007.29032258065</v>
      </c>
      <c r="N29" s="100">
        <f t="shared" si="6"/>
        <v>2010.375</v>
      </c>
      <c r="O29" s="100">
        <f t="shared" si="7"/>
        <v>42196.25806451613</v>
      </c>
      <c r="P29" s="100"/>
      <c r="Q29" s="100"/>
      <c r="R29" s="100">
        <f t="shared" si="0"/>
        <v>7192.680554112081</v>
      </c>
      <c r="S29" s="107">
        <f t="shared" si="0"/>
        <v>148295.21766580333</v>
      </c>
    </row>
    <row r="30" spans="1:19" ht="12.75">
      <c r="A30" s="21"/>
      <c r="B30" s="102">
        <v>2002</v>
      </c>
      <c r="C30" s="108">
        <v>11677414.977153193</v>
      </c>
      <c r="D30" s="436">
        <v>40.416666666666664</v>
      </c>
      <c r="E30" s="107">
        <f t="shared" si="1"/>
        <v>235981.09432997077</v>
      </c>
      <c r="F30" s="106">
        <v>0.25</v>
      </c>
      <c r="G30" s="134">
        <v>0.25</v>
      </c>
      <c r="H30" s="134">
        <v>0.25</v>
      </c>
      <c r="I30" s="101">
        <v>0.25</v>
      </c>
      <c r="J30" s="109">
        <f>C22*F22/1000</f>
        <v>2921.0325348611054</v>
      </c>
      <c r="K30" s="100">
        <f t="shared" si="3"/>
        <v>60057.71288708933</v>
      </c>
      <c r="L30" s="100">
        <f t="shared" si="4"/>
        <v>2713.25</v>
      </c>
      <c r="M30" s="100">
        <f t="shared" si="5"/>
        <v>55639.834731543626</v>
      </c>
      <c r="N30" s="100">
        <f t="shared" si="6"/>
        <v>2103.625</v>
      </c>
      <c r="O30" s="100">
        <f t="shared" si="7"/>
        <v>42723.62202380952</v>
      </c>
      <c r="P30" s="100"/>
      <c r="Q30" s="100"/>
      <c r="R30" s="100">
        <f t="shared" si="0"/>
        <v>7737.907534861106</v>
      </c>
      <c r="S30" s="107">
        <f t="shared" si="0"/>
        <v>158421.1696424425</v>
      </c>
    </row>
    <row r="31" spans="1:19" ht="12.75">
      <c r="A31" s="21"/>
      <c r="B31" s="102">
        <v>2003</v>
      </c>
      <c r="C31" s="108">
        <v>8303543.391955924</v>
      </c>
      <c r="D31" s="436">
        <v>41</v>
      </c>
      <c r="E31" s="107">
        <f t="shared" si="1"/>
        <v>170222.63953509644</v>
      </c>
      <c r="F31" s="106">
        <v>0.25</v>
      </c>
      <c r="G31" s="134">
        <v>0.25</v>
      </c>
      <c r="H31" s="134">
        <v>0.25</v>
      </c>
      <c r="I31" s="101">
        <v>0.25</v>
      </c>
      <c r="J31" s="109">
        <f>C23*F23/1000</f>
        <v>2711.7985596129633</v>
      </c>
      <c r="K31" s="100">
        <f t="shared" si="3"/>
        <v>55505.323709524906</v>
      </c>
      <c r="L31" s="100">
        <f t="shared" si="4"/>
        <v>2601</v>
      </c>
      <c r="M31" s="100">
        <f t="shared" si="5"/>
        <v>52721.585526315794</v>
      </c>
      <c r="N31" s="100">
        <f t="shared" si="6"/>
        <v>2275.5</v>
      </c>
      <c r="O31" s="100">
        <f t="shared" si="7"/>
        <v>46800.908653846156</v>
      </c>
      <c r="P31" s="100">
        <f>C8*I8/1000</f>
        <v>1362.125</v>
      </c>
      <c r="Q31" s="100">
        <f>E8*I8</f>
        <v>28604.625</v>
      </c>
      <c r="R31" s="100">
        <f t="shared" si="0"/>
        <v>8950.423559612964</v>
      </c>
      <c r="S31" s="107">
        <f t="shared" si="0"/>
        <v>183632.44288968685</v>
      </c>
    </row>
    <row r="32" spans="1:19" ht="12.75">
      <c r="A32" s="21"/>
      <c r="B32" s="102">
        <v>2004</v>
      </c>
      <c r="C32" s="108">
        <v>6938127.77433303</v>
      </c>
      <c r="D32" s="436">
        <v>41</v>
      </c>
      <c r="E32" s="107">
        <f t="shared" si="1"/>
        <v>142231.6193738271</v>
      </c>
      <c r="F32" s="106">
        <v>0.25</v>
      </c>
      <c r="G32" s="134">
        <v>0.25</v>
      </c>
      <c r="H32" s="134">
        <v>0.25</v>
      </c>
      <c r="I32" s="101">
        <v>0.25</v>
      </c>
      <c r="J32" s="109">
        <f t="shared" si="2"/>
        <v>2527.584135329094</v>
      </c>
      <c r="K32" s="100">
        <f t="shared" si="3"/>
        <v>52148.051634158146</v>
      </c>
      <c r="L32" s="100">
        <f t="shared" si="4"/>
        <v>2354.6208791565864</v>
      </c>
      <c r="M32" s="100">
        <f t="shared" si="5"/>
        <v>48351.234130065444</v>
      </c>
      <c r="N32" s="100">
        <f t="shared" si="6"/>
        <v>2416.25</v>
      </c>
      <c r="O32" s="100">
        <f t="shared" si="7"/>
        <v>49291.5</v>
      </c>
      <c r="P32" s="100">
        <f aca="true" t="shared" si="8" ref="P32:P38">C9*I9/1000</f>
        <v>1394.625</v>
      </c>
      <c r="Q32" s="100">
        <f aca="true" t="shared" si="9" ref="Q32:Q38">E9*I9</f>
        <v>29287.125</v>
      </c>
      <c r="R32" s="100">
        <f t="shared" si="0"/>
        <v>8693.08001448568</v>
      </c>
      <c r="S32" s="107">
        <f t="shared" si="0"/>
        <v>179077.9107642236</v>
      </c>
    </row>
    <row r="33" spans="1:19" ht="12.75">
      <c r="A33" s="21"/>
      <c r="B33" s="102">
        <v>2005</v>
      </c>
      <c r="C33" s="108">
        <f>4791028+650000</f>
        <v>5441028</v>
      </c>
      <c r="D33" s="436">
        <v>41</v>
      </c>
      <c r="E33" s="107">
        <f t="shared" si="1"/>
        <v>111541.074</v>
      </c>
      <c r="F33" s="106">
        <v>0.25</v>
      </c>
      <c r="G33" s="134">
        <v>0.25</v>
      </c>
      <c r="H33" s="134">
        <v>0.25</v>
      </c>
      <c r="I33" s="101">
        <v>0.25</v>
      </c>
      <c r="J33" s="109">
        <f t="shared" si="2"/>
        <v>2393.0736815612067</v>
      </c>
      <c r="K33" s="100">
        <f t="shared" si="3"/>
        <v>48659.164858411204</v>
      </c>
      <c r="L33" s="100">
        <f t="shared" si="4"/>
        <v>2433.600166767671</v>
      </c>
      <c r="M33" s="100">
        <f t="shared" si="5"/>
        <v>49807.683413178325</v>
      </c>
      <c r="N33" s="100">
        <f t="shared" si="6"/>
        <v>2527</v>
      </c>
      <c r="O33" s="100">
        <f t="shared" si="7"/>
        <v>52007.29032258065</v>
      </c>
      <c r="P33" s="100">
        <f t="shared" si="8"/>
        <v>1420.75</v>
      </c>
      <c r="Q33" s="100">
        <f t="shared" si="9"/>
        <v>29835.75</v>
      </c>
      <c r="R33" s="100">
        <f t="shared" si="0"/>
        <v>8774.423848328877</v>
      </c>
      <c r="S33" s="107">
        <f t="shared" si="0"/>
        <v>180309.88859417016</v>
      </c>
    </row>
    <row r="34" spans="1:19" ht="12.75">
      <c r="A34" s="21"/>
      <c r="B34" s="102">
        <v>2006</v>
      </c>
      <c r="C34" s="108">
        <f>2288864+1138000</f>
        <v>3426864</v>
      </c>
      <c r="D34" s="436">
        <v>41</v>
      </c>
      <c r="E34" s="107">
        <f>C34*D34/2000</f>
        <v>70250.712</v>
      </c>
      <c r="F34" s="106">
        <v>0.25</v>
      </c>
      <c r="G34" s="134">
        <v>0.25</v>
      </c>
      <c r="H34" s="134">
        <v>0.25</v>
      </c>
      <c r="I34" s="101">
        <v>0.25</v>
      </c>
      <c r="J34" s="109">
        <f t="shared" si="2"/>
        <v>2575.14888132101</v>
      </c>
      <c r="K34" s="100">
        <f t="shared" si="3"/>
        <v>53505.87120078098</v>
      </c>
      <c r="L34" s="100">
        <f>C21*G21/1000</f>
        <v>2655.3055541120816</v>
      </c>
      <c r="M34" s="100">
        <f t="shared" si="5"/>
        <v>54091.66927870654</v>
      </c>
      <c r="N34" s="100">
        <f t="shared" si="6"/>
        <v>2713.25</v>
      </c>
      <c r="O34" s="100">
        <f t="shared" si="7"/>
        <v>55639.834731543626</v>
      </c>
      <c r="P34" s="100">
        <f>C11*I11/1000</f>
        <v>1748.25</v>
      </c>
      <c r="Q34" s="100">
        <f t="shared" si="9"/>
        <v>36713.25</v>
      </c>
      <c r="R34" s="100">
        <f t="shared" si="0"/>
        <v>9691.954435433092</v>
      </c>
      <c r="S34" s="107">
        <f t="shared" si="0"/>
        <v>199950.62521103115</v>
      </c>
    </row>
    <row r="35" spans="1:19" ht="13.5" thickBot="1">
      <c r="A35" s="21"/>
      <c r="B35" s="114">
        <v>2007</v>
      </c>
      <c r="C35" s="388">
        <f>649578+1443000</f>
        <v>2092578</v>
      </c>
      <c r="D35" s="392">
        <v>41</v>
      </c>
      <c r="E35" s="116">
        <f>C35*D35/2000</f>
        <v>42897.849</v>
      </c>
      <c r="F35" s="418">
        <v>0.25</v>
      </c>
      <c r="G35" s="135">
        <v>0.25</v>
      </c>
      <c r="H35" s="135">
        <v>0.25</v>
      </c>
      <c r="I35" s="417">
        <v>0.25</v>
      </c>
      <c r="J35" s="118">
        <f>C27*F27/1000</f>
        <v>2806.1386420597096</v>
      </c>
      <c r="K35" s="119">
        <f t="shared" si="3"/>
        <v>57844.72155336719</v>
      </c>
      <c r="L35" s="119">
        <f t="shared" si="4"/>
        <v>2921.0325348611054</v>
      </c>
      <c r="M35" s="119">
        <f t="shared" si="5"/>
        <v>60057.71288708933</v>
      </c>
      <c r="N35" s="119">
        <f t="shared" si="6"/>
        <v>2601</v>
      </c>
      <c r="O35" s="119">
        <f t="shared" si="7"/>
        <v>52721.585526315794</v>
      </c>
      <c r="P35" s="119">
        <f t="shared" si="8"/>
        <v>2010.375</v>
      </c>
      <c r="Q35" s="119">
        <f t="shared" si="9"/>
        <v>42196.25806451613</v>
      </c>
      <c r="R35" s="119">
        <f t="shared" si="0"/>
        <v>10338.546176920816</v>
      </c>
      <c r="S35" s="116">
        <f t="shared" si="0"/>
        <v>212820.27803128844</v>
      </c>
    </row>
    <row r="36" spans="1:19" ht="12.75">
      <c r="A36" s="21"/>
      <c r="B36" s="253">
        <v>2008</v>
      </c>
      <c r="C36" s="381"/>
      <c r="D36" s="415"/>
      <c r="E36" s="382"/>
      <c r="F36" s="383"/>
      <c r="G36" s="384"/>
      <c r="H36" s="384"/>
      <c r="I36" s="385"/>
      <c r="J36" s="386">
        <f t="shared" si="2"/>
        <v>3056.7138391350913</v>
      </c>
      <c r="K36" s="387">
        <f t="shared" si="3"/>
        <v>60845.128176297156</v>
      </c>
      <c r="L36" s="387">
        <f t="shared" si="4"/>
        <v>2711.7985596129633</v>
      </c>
      <c r="M36" s="387">
        <f t="shared" si="5"/>
        <v>55505.323709524906</v>
      </c>
      <c r="N36" s="387">
        <f t="shared" si="6"/>
        <v>2354.6208791565864</v>
      </c>
      <c r="O36" s="387">
        <f t="shared" si="7"/>
        <v>48351.234130065444</v>
      </c>
      <c r="P36" s="387">
        <f t="shared" si="8"/>
        <v>2103.625</v>
      </c>
      <c r="Q36" s="387">
        <f t="shared" si="9"/>
        <v>42723.62202380952</v>
      </c>
      <c r="R36" s="387">
        <f t="shared" si="0"/>
        <v>10226.75827790464</v>
      </c>
      <c r="S36" s="382">
        <f t="shared" si="0"/>
        <v>207425.30803969703</v>
      </c>
    </row>
    <row r="37" spans="1:19" ht="12.75">
      <c r="A37" s="21"/>
      <c r="B37" s="102">
        <v>2009</v>
      </c>
      <c r="C37" s="99"/>
      <c r="D37" s="99"/>
      <c r="E37" s="107"/>
      <c r="F37" s="106"/>
      <c r="G37" s="134"/>
      <c r="H37" s="134"/>
      <c r="I37" s="101"/>
      <c r="J37" s="109">
        <f t="shared" si="2"/>
        <v>2443.1555723560728</v>
      </c>
      <c r="K37" s="100">
        <f t="shared" si="3"/>
        <v>50175.17647672009</v>
      </c>
      <c r="L37" s="100">
        <f t="shared" si="4"/>
        <v>2527.584135329094</v>
      </c>
      <c r="M37" s="100">
        <f t="shared" si="5"/>
        <v>52148.051634158146</v>
      </c>
      <c r="N37" s="100">
        <f t="shared" si="6"/>
        <v>2433.600166767671</v>
      </c>
      <c r="O37" s="100">
        <f t="shared" si="7"/>
        <v>49807.683413178325</v>
      </c>
      <c r="P37" s="100">
        <f t="shared" si="8"/>
        <v>2275.5</v>
      </c>
      <c r="Q37" s="100">
        <f t="shared" si="9"/>
        <v>46800.908653846156</v>
      </c>
      <c r="R37" s="100">
        <f t="shared" si="0"/>
        <v>9679.839874452839</v>
      </c>
      <c r="S37" s="107">
        <f t="shared" si="0"/>
        <v>198931.82017790273</v>
      </c>
    </row>
    <row r="38" spans="1:19" ht="12.75">
      <c r="A38" s="21"/>
      <c r="B38" s="102">
        <v>2010</v>
      </c>
      <c r="C38" s="99"/>
      <c r="D38" s="99"/>
      <c r="E38" s="107"/>
      <c r="F38" s="106"/>
      <c r="G38" s="134"/>
      <c r="H38" s="134"/>
      <c r="I38" s="101"/>
      <c r="J38" s="109">
        <f>C30*F30/1000</f>
        <v>2919.3537442882985</v>
      </c>
      <c r="K38" s="100">
        <f t="shared" si="3"/>
        <v>58995.27358249269</v>
      </c>
      <c r="L38" s="100">
        <f t="shared" si="4"/>
        <v>2393.0736815612067</v>
      </c>
      <c r="M38" s="100">
        <f t="shared" si="5"/>
        <v>48659.164858411204</v>
      </c>
      <c r="N38" s="100">
        <f t="shared" si="6"/>
        <v>2655.3055541120816</v>
      </c>
      <c r="O38" s="100">
        <f t="shared" si="7"/>
        <v>54091.66927870654</v>
      </c>
      <c r="P38" s="100">
        <f t="shared" si="8"/>
        <v>2416.25</v>
      </c>
      <c r="Q38" s="100">
        <f t="shared" si="9"/>
        <v>49291.5</v>
      </c>
      <c r="R38" s="100">
        <f t="shared" si="0"/>
        <v>10383.982979961587</v>
      </c>
      <c r="S38" s="107">
        <f t="shared" si="0"/>
        <v>211037.60771961045</v>
      </c>
    </row>
    <row r="39" spans="1:19" ht="13.5" thickBot="1">
      <c r="A39" s="21"/>
      <c r="B39" s="114"/>
      <c r="C39" s="115" t="s">
        <v>5</v>
      </c>
      <c r="D39" s="115"/>
      <c r="E39" s="116"/>
      <c r="F39" s="117"/>
      <c r="G39" s="135"/>
      <c r="H39" s="135"/>
      <c r="I39" s="139"/>
      <c r="J39" s="118">
        <f aca="true" t="shared" si="10" ref="J39:Q39">SUM(J8:J38)</f>
        <v>54370.27619056089</v>
      </c>
      <c r="K39" s="118">
        <f t="shared" si="10"/>
        <v>1115808.760223404</v>
      </c>
      <c r="L39" s="118">
        <f t="shared" si="10"/>
        <v>40569.765511400714</v>
      </c>
      <c r="M39" s="118">
        <f t="shared" si="10"/>
        <v>834442.5892337458</v>
      </c>
      <c r="N39" s="118">
        <f t="shared" si="10"/>
        <v>30016.27660003634</v>
      </c>
      <c r="O39" s="118">
        <f t="shared" si="10"/>
        <v>618072.3361445622</v>
      </c>
      <c r="P39" s="118">
        <f t="shared" si="10"/>
        <v>14731.5</v>
      </c>
      <c r="Q39" s="118">
        <f t="shared" si="10"/>
        <v>305453.03874217183</v>
      </c>
      <c r="R39" s="118">
        <f>SUM(R8:R38)</f>
        <v>139687.81830199793</v>
      </c>
      <c r="S39" s="118">
        <f>SUM(S8:S38)</f>
        <v>2873776.724343884</v>
      </c>
    </row>
    <row r="40" spans="1:19" ht="13.5" thickBot="1">
      <c r="A40" s="21"/>
      <c r="B40" s="93"/>
      <c r="C40" s="84"/>
      <c r="D40" s="84"/>
      <c r="E40" s="104"/>
      <c r="F40" s="83"/>
      <c r="G40" s="136"/>
      <c r="H40" s="136"/>
      <c r="I40" s="105"/>
      <c r="J40" s="93"/>
      <c r="K40" s="95"/>
      <c r="L40" s="95"/>
      <c r="M40" s="95"/>
      <c r="N40" s="84"/>
      <c r="O40" s="84"/>
      <c r="P40" s="82"/>
      <c r="Q40" s="82"/>
      <c r="R40" s="82"/>
      <c r="S40" s="104"/>
    </row>
    <row r="41" spans="1:19" ht="12.75">
      <c r="A41" s="21"/>
      <c r="B41" s="17"/>
      <c r="C41" s="18"/>
      <c r="D41" s="18"/>
      <c r="E41" s="81"/>
      <c r="F41" s="80"/>
      <c r="G41" s="137"/>
      <c r="H41" s="137"/>
      <c r="I41" s="33"/>
      <c r="J41" s="81"/>
      <c r="K41" s="81"/>
      <c r="L41" s="110"/>
      <c r="M41" s="81"/>
      <c r="N41" s="18"/>
      <c r="O41" s="18"/>
      <c r="P41" s="81"/>
      <c r="Q41" s="81"/>
      <c r="R41" s="81"/>
      <c r="S41" s="81"/>
    </row>
    <row r="42" spans="1:19" ht="12.75">
      <c r="A42" s="21"/>
      <c r="B42" s="21"/>
      <c r="C42" s="96"/>
      <c r="D42" s="96"/>
      <c r="E42" s="21"/>
      <c r="F42" s="21"/>
      <c r="G42" s="26"/>
      <c r="H42" s="26"/>
      <c r="I42" s="21"/>
      <c r="J42" s="21"/>
      <c r="K42" s="21"/>
      <c r="L42" s="81"/>
      <c r="M42" s="81"/>
      <c r="N42" s="21"/>
      <c r="O42" s="21"/>
      <c r="P42" s="21"/>
      <c r="Q42" s="21"/>
      <c r="R42" s="21"/>
      <c r="S42" s="21"/>
    </row>
    <row r="43" spans="1:19" ht="12.75">
      <c r="A43" s="21"/>
      <c r="B43" s="21"/>
      <c r="C43" s="21"/>
      <c r="D43" s="21"/>
      <c r="E43" s="21"/>
      <c r="F43" s="97"/>
      <c r="G43" s="26"/>
      <c r="H43" s="26"/>
      <c r="I43" s="21"/>
      <c r="J43" s="81"/>
      <c r="K43" s="81"/>
      <c r="L43" s="81"/>
      <c r="M43" s="81"/>
      <c r="O43" s="21"/>
      <c r="P43" s="21"/>
      <c r="Q43" s="21"/>
      <c r="R43" s="21"/>
      <c r="S43" s="21"/>
    </row>
    <row r="44" spans="1:19" ht="12.75">
      <c r="A44" s="21"/>
      <c r="B44" s="21" t="s">
        <v>224</v>
      </c>
      <c r="C44" s="21"/>
      <c r="D44" s="21"/>
      <c r="E44" s="21"/>
      <c r="F44" s="21"/>
      <c r="G44" s="21"/>
      <c r="H44" s="21"/>
      <c r="I44" s="21"/>
      <c r="J44" s="81"/>
      <c r="K44" s="81"/>
      <c r="L44" s="81"/>
      <c r="M44" s="81"/>
      <c r="N44" s="21"/>
      <c r="O44" s="391"/>
      <c r="P44" s="21"/>
      <c r="Q44" s="21"/>
      <c r="R44" s="21"/>
      <c r="S44" s="21"/>
    </row>
    <row r="45" spans="1:19" ht="12.75">
      <c r="A45" s="21"/>
      <c r="B45" s="21"/>
      <c r="C45" s="21"/>
      <c r="D45" s="21"/>
      <c r="E45" s="21" t="s">
        <v>147</v>
      </c>
      <c r="F45" s="21"/>
      <c r="G45" s="21"/>
      <c r="H45" s="21"/>
      <c r="I45" s="21"/>
      <c r="J45" s="21"/>
      <c r="K45" s="97"/>
      <c r="L45" s="97"/>
      <c r="M45" s="21"/>
      <c r="O45" s="96"/>
      <c r="P45" s="21"/>
      <c r="Q45" s="21"/>
      <c r="R45" s="21"/>
      <c r="S45" s="21"/>
    </row>
    <row r="46" spans="1:19" ht="12.75">
      <c r="A46" s="21"/>
      <c r="B46" s="21" t="str">
        <f>B6</f>
        <v>Year</v>
      </c>
      <c r="C46" s="21" t="s">
        <v>69</v>
      </c>
      <c r="D46" s="21" t="s">
        <v>69</v>
      </c>
      <c r="E46" s="284" t="s">
        <v>240</v>
      </c>
      <c r="F46" s="284" t="s">
        <v>144</v>
      </c>
      <c r="G46" s="544" t="s">
        <v>110</v>
      </c>
      <c r="H46" s="544"/>
      <c r="I46" s="545" t="s">
        <v>147</v>
      </c>
      <c r="J46" s="545"/>
      <c r="K46" s="545" t="s">
        <v>186</v>
      </c>
      <c r="L46" s="545"/>
      <c r="M46" s="21"/>
      <c r="O46" s="96"/>
      <c r="P46" s="21"/>
      <c r="Q46" s="21"/>
      <c r="R46" s="21"/>
      <c r="S46" s="21"/>
    </row>
    <row r="47" spans="2:13" ht="12.75">
      <c r="B47" s="21"/>
      <c r="C47" s="21" t="s">
        <v>142</v>
      </c>
      <c r="D47" s="21" t="s">
        <v>152</v>
      </c>
      <c r="E47" s="21" t="s">
        <v>148</v>
      </c>
      <c r="F47" s="21" t="s">
        <v>148</v>
      </c>
      <c r="G47" s="21" t="s">
        <v>1</v>
      </c>
      <c r="H47" s="21" t="s">
        <v>2</v>
      </c>
      <c r="I47" s="21" t="s">
        <v>1</v>
      </c>
      <c r="J47" s="21" t="s">
        <v>2</v>
      </c>
      <c r="K47" s="21" t="s">
        <v>1</v>
      </c>
      <c r="L47" s="21" t="s">
        <v>2</v>
      </c>
      <c r="M47" s="21"/>
    </row>
    <row r="48" spans="2:12" ht="12.75">
      <c r="B48" s="21">
        <f aca="true" t="shared" si="11" ref="B48:C63">B8</f>
        <v>1980</v>
      </c>
      <c r="C48" s="86">
        <f>C8</f>
        <v>5448500</v>
      </c>
      <c r="D48" s="86">
        <f>E8</f>
        <v>114418.5</v>
      </c>
      <c r="E48" s="21">
        <v>1</v>
      </c>
      <c r="F48" s="21">
        <v>0</v>
      </c>
      <c r="G48" s="283">
        <f>C48-I48-K48</f>
        <v>0</v>
      </c>
      <c r="H48" s="283">
        <f>D48-J48-L48</f>
        <v>0</v>
      </c>
      <c r="I48" s="21">
        <f>C48*$E48</f>
        <v>5448500</v>
      </c>
      <c r="J48" s="21">
        <f>D48*$E48</f>
        <v>114418.5</v>
      </c>
      <c r="K48" s="21">
        <f>C48*$F48</f>
        <v>0</v>
      </c>
      <c r="L48" s="21">
        <f>D48*$F48</f>
        <v>0</v>
      </c>
    </row>
    <row r="49" spans="2:12" ht="12.75">
      <c r="B49" s="21">
        <f t="shared" si="11"/>
        <v>1981</v>
      </c>
      <c r="C49" s="86">
        <f t="shared" si="11"/>
        <v>5578500</v>
      </c>
      <c r="D49" s="86">
        <f aca="true" t="shared" si="12" ref="D49:D72">E9</f>
        <v>117148.5</v>
      </c>
      <c r="E49" s="21">
        <v>1</v>
      </c>
      <c r="F49" s="21">
        <v>0</v>
      </c>
      <c r="G49" s="283">
        <f aca="true" t="shared" si="13" ref="G49:H72">C49-I49-K49</f>
        <v>0</v>
      </c>
      <c r="H49" s="283">
        <f t="shared" si="13"/>
        <v>0</v>
      </c>
      <c r="I49" s="21">
        <f aca="true" t="shared" si="14" ref="I49:J72">C49*$E49</f>
        <v>5578500</v>
      </c>
      <c r="J49" s="21">
        <f t="shared" si="14"/>
        <v>117148.5</v>
      </c>
      <c r="K49" s="21">
        <f aca="true" t="shared" si="15" ref="K49:L72">C49*$F49</f>
        <v>0</v>
      </c>
      <c r="L49" s="21">
        <f t="shared" si="15"/>
        <v>0</v>
      </c>
    </row>
    <row r="50" spans="2:12" ht="12.75">
      <c r="B50" s="21">
        <f t="shared" si="11"/>
        <v>1982</v>
      </c>
      <c r="C50" s="86">
        <f t="shared" si="11"/>
        <v>5683000</v>
      </c>
      <c r="D50" s="86">
        <f t="shared" si="12"/>
        <v>119343</v>
      </c>
      <c r="E50" s="21">
        <v>1</v>
      </c>
      <c r="F50" s="21">
        <v>0</v>
      </c>
      <c r="G50" s="283">
        <f t="shared" si="13"/>
        <v>0</v>
      </c>
      <c r="H50" s="283">
        <f t="shared" si="13"/>
        <v>0</v>
      </c>
      <c r="I50" s="21">
        <f t="shared" si="14"/>
        <v>5683000</v>
      </c>
      <c r="J50" s="21">
        <f t="shared" si="14"/>
        <v>119343</v>
      </c>
      <c r="K50" s="21">
        <f t="shared" si="15"/>
        <v>0</v>
      </c>
      <c r="L50" s="21">
        <f t="shared" si="15"/>
        <v>0</v>
      </c>
    </row>
    <row r="51" spans="2:12" ht="12.75">
      <c r="B51" s="21">
        <f t="shared" si="11"/>
        <v>1983</v>
      </c>
      <c r="C51" s="86">
        <f t="shared" si="11"/>
        <v>6993000</v>
      </c>
      <c r="D51" s="86">
        <f t="shared" si="12"/>
        <v>146853</v>
      </c>
      <c r="E51" s="21">
        <v>1</v>
      </c>
      <c r="F51" s="21">
        <v>0</v>
      </c>
      <c r="G51" s="283">
        <f t="shared" si="13"/>
        <v>0</v>
      </c>
      <c r="H51" s="283">
        <f t="shared" si="13"/>
        <v>0</v>
      </c>
      <c r="I51" s="21">
        <f t="shared" si="14"/>
        <v>6993000</v>
      </c>
      <c r="J51" s="21">
        <f t="shared" si="14"/>
        <v>146853</v>
      </c>
      <c r="K51" s="21">
        <f t="shared" si="15"/>
        <v>0</v>
      </c>
      <c r="L51" s="21">
        <f t="shared" si="15"/>
        <v>0</v>
      </c>
    </row>
    <row r="52" spans="2:13" ht="12.75">
      <c r="B52" s="21">
        <f t="shared" si="11"/>
        <v>1984</v>
      </c>
      <c r="C52" s="86">
        <f t="shared" si="11"/>
        <v>8041500</v>
      </c>
      <c r="D52" s="86">
        <f t="shared" si="12"/>
        <v>168785.03225806452</v>
      </c>
      <c r="E52" s="21">
        <v>1</v>
      </c>
      <c r="F52" s="21">
        <v>0</v>
      </c>
      <c r="G52" s="283">
        <f t="shared" si="13"/>
        <v>0</v>
      </c>
      <c r="H52" s="283">
        <f t="shared" si="13"/>
        <v>0</v>
      </c>
      <c r="I52" s="21">
        <f t="shared" si="14"/>
        <v>8041500</v>
      </c>
      <c r="J52" s="21">
        <f t="shared" si="14"/>
        <v>168785.03225806452</v>
      </c>
      <c r="K52" s="21">
        <f t="shared" si="15"/>
        <v>0</v>
      </c>
      <c r="L52" s="21">
        <f t="shared" si="15"/>
        <v>0</v>
      </c>
      <c r="M52" s="380" t="s">
        <v>249</v>
      </c>
    </row>
    <row r="53" spans="2:12" ht="12.75">
      <c r="B53" s="21">
        <f t="shared" si="11"/>
        <v>1985</v>
      </c>
      <c r="C53" s="86">
        <f t="shared" si="11"/>
        <v>8414500</v>
      </c>
      <c r="D53" s="86">
        <f t="shared" si="12"/>
        <v>170894.48809523808</v>
      </c>
      <c r="E53" s="21">
        <v>0.75</v>
      </c>
      <c r="F53" s="21">
        <v>0</v>
      </c>
      <c r="G53" s="283">
        <f t="shared" si="13"/>
        <v>2103625</v>
      </c>
      <c r="H53" s="283">
        <f t="shared" si="13"/>
        <v>42723.62202380953</v>
      </c>
      <c r="I53" s="21">
        <f t="shared" si="14"/>
        <v>6310875</v>
      </c>
      <c r="J53" s="21">
        <f t="shared" si="14"/>
        <v>128170.86607142855</v>
      </c>
      <c r="K53" s="21">
        <f t="shared" si="15"/>
        <v>0</v>
      </c>
      <c r="L53" s="21">
        <f t="shared" si="15"/>
        <v>0</v>
      </c>
    </row>
    <row r="54" spans="2:12" ht="12.75">
      <c r="B54" s="21">
        <f t="shared" si="11"/>
        <v>1986</v>
      </c>
      <c r="C54" s="86">
        <f t="shared" si="11"/>
        <v>9102000</v>
      </c>
      <c r="D54" s="86">
        <f t="shared" si="12"/>
        <v>187203.63461538462</v>
      </c>
      <c r="E54" s="21">
        <v>0.75</v>
      </c>
      <c r="F54" s="21">
        <v>0</v>
      </c>
      <c r="G54" s="283">
        <f t="shared" si="13"/>
        <v>2275500</v>
      </c>
      <c r="H54" s="283">
        <f t="shared" si="13"/>
        <v>46800.908653846156</v>
      </c>
      <c r="I54" s="21">
        <f t="shared" si="14"/>
        <v>6826500</v>
      </c>
      <c r="J54" s="21">
        <f t="shared" si="14"/>
        <v>140402.72596153847</v>
      </c>
      <c r="K54" s="21">
        <f t="shared" si="15"/>
        <v>0</v>
      </c>
      <c r="L54" s="21">
        <f t="shared" si="15"/>
        <v>0</v>
      </c>
    </row>
    <row r="55" spans="2:12" ht="12.75">
      <c r="B55" s="21">
        <f t="shared" si="11"/>
        <v>1987</v>
      </c>
      <c r="C55" s="86">
        <f t="shared" si="11"/>
        <v>9665000</v>
      </c>
      <c r="D55" s="86">
        <f t="shared" si="12"/>
        <v>197166</v>
      </c>
      <c r="E55" s="21">
        <v>0.75</v>
      </c>
      <c r="F55" s="21">
        <v>0</v>
      </c>
      <c r="G55" s="283">
        <f t="shared" si="13"/>
        <v>2416250</v>
      </c>
      <c r="H55" s="283">
        <f t="shared" si="13"/>
        <v>49291.5</v>
      </c>
      <c r="I55" s="21">
        <f t="shared" si="14"/>
        <v>7248750</v>
      </c>
      <c r="J55" s="21">
        <f t="shared" si="14"/>
        <v>147874.5</v>
      </c>
      <c r="K55" s="21">
        <f t="shared" si="15"/>
        <v>0</v>
      </c>
      <c r="L55" s="21">
        <f t="shared" si="15"/>
        <v>0</v>
      </c>
    </row>
    <row r="56" spans="2:12" ht="12.75">
      <c r="B56" s="21">
        <f t="shared" si="11"/>
        <v>1988</v>
      </c>
      <c r="C56" s="86">
        <f t="shared" si="11"/>
        <v>10108000</v>
      </c>
      <c r="D56" s="86">
        <f t="shared" si="12"/>
        <v>208029.1612903226</v>
      </c>
      <c r="E56" s="21">
        <v>0.75</v>
      </c>
      <c r="F56" s="21">
        <v>0</v>
      </c>
      <c r="G56" s="283">
        <f t="shared" si="13"/>
        <v>2527000</v>
      </c>
      <c r="H56" s="283">
        <f t="shared" si="13"/>
        <v>52007.290322580666</v>
      </c>
      <c r="I56" s="21">
        <f t="shared" si="14"/>
        <v>7581000</v>
      </c>
      <c r="J56" s="21">
        <f t="shared" si="14"/>
        <v>156021.87096774194</v>
      </c>
      <c r="K56" s="21">
        <f t="shared" si="15"/>
        <v>0</v>
      </c>
      <c r="L56" s="21">
        <f t="shared" si="15"/>
        <v>0</v>
      </c>
    </row>
    <row r="57" spans="2:12" ht="12.75">
      <c r="B57" s="21">
        <f t="shared" si="11"/>
        <v>1989</v>
      </c>
      <c r="C57" s="86">
        <f t="shared" si="11"/>
        <v>10853000</v>
      </c>
      <c r="D57" s="86">
        <f t="shared" si="12"/>
        <v>222559.3389261745</v>
      </c>
      <c r="E57" s="21">
        <v>0.75</v>
      </c>
      <c r="F57" s="21">
        <v>0</v>
      </c>
      <c r="G57" s="283">
        <f t="shared" si="13"/>
        <v>2713250</v>
      </c>
      <c r="H57" s="283">
        <f t="shared" si="13"/>
        <v>55639.83473154361</v>
      </c>
      <c r="I57" s="21">
        <f t="shared" si="14"/>
        <v>8139750</v>
      </c>
      <c r="J57" s="21">
        <f t="shared" si="14"/>
        <v>166919.5041946309</v>
      </c>
      <c r="K57" s="21">
        <f t="shared" si="15"/>
        <v>0</v>
      </c>
      <c r="L57" s="21">
        <f t="shared" si="15"/>
        <v>0</v>
      </c>
    </row>
    <row r="58" spans="2:13" ht="12.75">
      <c r="B58" s="21">
        <f t="shared" si="11"/>
        <v>1990</v>
      </c>
      <c r="C58" s="86">
        <f t="shared" si="11"/>
        <v>10404000</v>
      </c>
      <c r="D58" s="86">
        <f t="shared" si="12"/>
        <v>210886.34210526317</v>
      </c>
      <c r="E58" s="21">
        <v>0.75</v>
      </c>
      <c r="F58" s="21">
        <v>0</v>
      </c>
      <c r="G58" s="283">
        <f t="shared" si="13"/>
        <v>2601000</v>
      </c>
      <c r="H58" s="283">
        <f t="shared" si="13"/>
        <v>52721.58552631579</v>
      </c>
      <c r="I58" s="21">
        <f t="shared" si="14"/>
        <v>7803000</v>
      </c>
      <c r="J58" s="21">
        <f t="shared" si="14"/>
        <v>158164.7565789474</v>
      </c>
      <c r="K58" s="21">
        <f t="shared" si="15"/>
        <v>0</v>
      </c>
      <c r="L58" s="21">
        <f t="shared" si="15"/>
        <v>0</v>
      </c>
      <c r="M58" s="380" t="s">
        <v>248</v>
      </c>
    </row>
    <row r="59" spans="2:12" ht="12.75">
      <c r="B59" s="21">
        <f t="shared" si="11"/>
        <v>1991</v>
      </c>
      <c r="C59" s="86">
        <f t="shared" si="11"/>
        <v>9418483.516626345</v>
      </c>
      <c r="D59" s="86">
        <f t="shared" si="12"/>
        <v>193404.93652026178</v>
      </c>
      <c r="E59" s="21">
        <v>0.55</v>
      </c>
      <c r="F59" s="21">
        <v>0</v>
      </c>
      <c r="G59" s="283">
        <f t="shared" si="13"/>
        <v>4238317.582481855</v>
      </c>
      <c r="H59" s="283">
        <f t="shared" si="13"/>
        <v>87032.22143411779</v>
      </c>
      <c r="I59" s="21">
        <f t="shared" si="14"/>
        <v>5180165.93414449</v>
      </c>
      <c r="J59" s="21">
        <f t="shared" si="14"/>
        <v>106372.71508614399</v>
      </c>
      <c r="K59" s="21">
        <f t="shared" si="15"/>
        <v>0</v>
      </c>
      <c r="L59" s="21">
        <f t="shared" si="15"/>
        <v>0</v>
      </c>
    </row>
    <row r="60" spans="2:12" ht="12.75">
      <c r="B60" s="21">
        <f t="shared" si="11"/>
        <v>1992</v>
      </c>
      <c r="C60" s="86">
        <f t="shared" si="11"/>
        <v>9734400.667070683</v>
      </c>
      <c r="D60" s="86">
        <f t="shared" si="12"/>
        <v>199230.7336527133</v>
      </c>
      <c r="E60" s="21">
        <v>0.55</v>
      </c>
      <c r="F60" s="21">
        <v>0</v>
      </c>
      <c r="G60" s="283">
        <f t="shared" si="13"/>
        <v>4380480.300181807</v>
      </c>
      <c r="H60" s="283">
        <f t="shared" si="13"/>
        <v>89653.83014372097</v>
      </c>
      <c r="I60" s="21">
        <f t="shared" si="14"/>
        <v>5353920.366888876</v>
      </c>
      <c r="J60" s="21">
        <f t="shared" si="14"/>
        <v>109576.90350899233</v>
      </c>
      <c r="K60" s="21">
        <f t="shared" si="15"/>
        <v>0</v>
      </c>
      <c r="L60" s="21">
        <f t="shared" si="15"/>
        <v>0</v>
      </c>
    </row>
    <row r="61" spans="2:12" ht="12.75">
      <c r="B61" s="21">
        <f t="shared" si="11"/>
        <v>1993</v>
      </c>
      <c r="C61" s="86">
        <f t="shared" si="11"/>
        <v>10621222.216448326</v>
      </c>
      <c r="D61" s="86">
        <f t="shared" si="12"/>
        <v>216366.67711482616</v>
      </c>
      <c r="E61" s="21">
        <v>0.55</v>
      </c>
      <c r="F61" s="21">
        <v>0</v>
      </c>
      <c r="G61" s="283">
        <f t="shared" si="13"/>
        <v>4779549.997401746</v>
      </c>
      <c r="H61" s="283">
        <f t="shared" si="13"/>
        <v>97365.00470167176</v>
      </c>
      <c r="I61" s="21">
        <f t="shared" si="14"/>
        <v>5841672.21904658</v>
      </c>
      <c r="J61" s="21">
        <f t="shared" si="14"/>
        <v>119001.6724131544</v>
      </c>
      <c r="K61" s="21">
        <f t="shared" si="15"/>
        <v>0</v>
      </c>
      <c r="L61" s="21">
        <f t="shared" si="15"/>
        <v>0</v>
      </c>
    </row>
    <row r="62" spans="2:13" ht="12.75">
      <c r="B62" s="21">
        <f t="shared" si="11"/>
        <v>1994</v>
      </c>
      <c r="C62" s="86">
        <f t="shared" si="11"/>
        <v>11684130.139444422</v>
      </c>
      <c r="D62" s="86">
        <f t="shared" si="12"/>
        <v>240230.8515483573</v>
      </c>
      <c r="E62" s="21">
        <v>0.55</v>
      </c>
      <c r="F62" s="21">
        <v>0</v>
      </c>
      <c r="G62" s="283">
        <f t="shared" si="13"/>
        <v>5257858.562749989</v>
      </c>
      <c r="H62" s="283">
        <f t="shared" si="13"/>
        <v>108103.88319676078</v>
      </c>
      <c r="I62" s="21">
        <f t="shared" si="14"/>
        <v>6426271.576694433</v>
      </c>
      <c r="J62" s="21">
        <f t="shared" si="14"/>
        <v>132126.96835159653</v>
      </c>
      <c r="K62" s="21">
        <f aca="true" t="shared" si="16" ref="K62:L64">C62*$F62</f>
        <v>0</v>
      </c>
      <c r="L62" s="21">
        <f t="shared" si="16"/>
        <v>0</v>
      </c>
      <c r="M62" s="380" t="s">
        <v>247</v>
      </c>
    </row>
    <row r="63" spans="2:12" ht="12.75">
      <c r="B63" s="21">
        <f t="shared" si="11"/>
        <v>1995</v>
      </c>
      <c r="C63" s="86">
        <f t="shared" si="11"/>
        <v>10847194.238451853</v>
      </c>
      <c r="D63" s="86">
        <f t="shared" si="12"/>
        <v>222021.29483809962</v>
      </c>
      <c r="E63" s="21">
        <v>0.25</v>
      </c>
      <c r="F63" s="21">
        <v>0</v>
      </c>
      <c r="G63" s="283">
        <f t="shared" si="13"/>
        <v>8135395.67883889</v>
      </c>
      <c r="H63" s="283">
        <f t="shared" si="13"/>
        <v>166515.97112857472</v>
      </c>
      <c r="I63" s="21">
        <f t="shared" si="14"/>
        <v>2711798.5596129633</v>
      </c>
      <c r="J63" s="21">
        <f t="shared" si="14"/>
        <v>55505.323709524906</v>
      </c>
      <c r="K63" s="17">
        <f t="shared" si="16"/>
        <v>0</v>
      </c>
      <c r="L63" s="17">
        <f t="shared" si="16"/>
        <v>0</v>
      </c>
    </row>
    <row r="64" spans="2:15" ht="13.5" thickBot="1">
      <c r="B64" s="21">
        <f aca="true" t="shared" si="17" ref="B64:C72">B24</f>
        <v>1996</v>
      </c>
      <c r="C64" s="86">
        <f t="shared" si="17"/>
        <v>10110336.541316375</v>
      </c>
      <c r="D64" s="86">
        <f t="shared" si="12"/>
        <v>208592.20653663258</v>
      </c>
      <c r="E64" s="21">
        <v>0.25</v>
      </c>
      <c r="F64" s="21">
        <v>0</v>
      </c>
      <c r="G64" s="283">
        <f t="shared" si="13"/>
        <v>7582752.405987281</v>
      </c>
      <c r="H64" s="283">
        <f t="shared" si="13"/>
        <v>156444.15490247443</v>
      </c>
      <c r="I64" s="21">
        <f t="shared" si="14"/>
        <v>2527584.135329094</v>
      </c>
      <c r="J64" s="21">
        <f t="shared" si="14"/>
        <v>52148.051634158146</v>
      </c>
      <c r="K64" s="95">
        <f t="shared" si="16"/>
        <v>0</v>
      </c>
      <c r="L64" s="95">
        <f t="shared" si="16"/>
        <v>0</v>
      </c>
      <c r="M64" s="438"/>
      <c r="N64" s="438"/>
      <c r="O64" s="380" t="s">
        <v>223</v>
      </c>
    </row>
    <row r="65" spans="2:14" ht="12.75">
      <c r="B65" s="21">
        <f t="shared" si="17"/>
        <v>1997</v>
      </c>
      <c r="C65" s="86">
        <f t="shared" si="17"/>
        <v>9572294.726244828</v>
      </c>
      <c r="D65" s="86">
        <f t="shared" si="12"/>
        <v>194636.65943364482</v>
      </c>
      <c r="E65" s="21">
        <v>0.25</v>
      </c>
      <c r="F65" s="21">
        <v>0.75</v>
      </c>
      <c r="G65" s="283">
        <f t="shared" si="13"/>
        <v>0</v>
      </c>
      <c r="H65" s="283">
        <f t="shared" si="13"/>
        <v>0</v>
      </c>
      <c r="I65" s="21">
        <f t="shared" si="14"/>
        <v>2393073.681561207</v>
      </c>
      <c r="J65" s="21">
        <f t="shared" si="14"/>
        <v>48659.164858411204</v>
      </c>
      <c r="K65" s="21">
        <f t="shared" si="15"/>
        <v>7179221.04468362</v>
      </c>
      <c r="L65" s="21">
        <f t="shared" si="15"/>
        <v>145977.4945752336</v>
      </c>
      <c r="M65" s="437"/>
      <c r="N65" s="437"/>
    </row>
    <row r="66" spans="2:12" ht="12.75">
      <c r="B66" s="21">
        <f t="shared" si="17"/>
        <v>1998</v>
      </c>
      <c r="C66" s="86">
        <f t="shared" si="17"/>
        <v>10300595.525284039</v>
      </c>
      <c r="D66" s="86">
        <f t="shared" si="12"/>
        <v>214023.48480312392</v>
      </c>
      <c r="E66" s="21">
        <v>0.25</v>
      </c>
      <c r="F66" s="21">
        <v>0.75</v>
      </c>
      <c r="G66" s="283">
        <f t="shared" si="13"/>
        <v>0</v>
      </c>
      <c r="H66" s="283">
        <f t="shared" si="13"/>
        <v>0</v>
      </c>
      <c r="I66" s="21">
        <f t="shared" si="14"/>
        <v>2575148.8813210097</v>
      </c>
      <c r="J66" s="21">
        <f t="shared" si="14"/>
        <v>53505.87120078098</v>
      </c>
      <c r="K66" s="21">
        <f t="shared" si="15"/>
        <v>7725446.64396303</v>
      </c>
      <c r="L66" s="21">
        <f t="shared" si="15"/>
        <v>160517.61360234296</v>
      </c>
    </row>
    <row r="67" spans="2:13" ht="12.75">
      <c r="B67" s="21">
        <f t="shared" si="17"/>
        <v>1999</v>
      </c>
      <c r="C67" s="86">
        <f t="shared" si="17"/>
        <v>11224554.568238838</v>
      </c>
      <c r="D67" s="86">
        <f t="shared" si="12"/>
        <v>231378.88621346877</v>
      </c>
      <c r="E67" s="21">
        <v>0.25</v>
      </c>
      <c r="F67" s="21">
        <v>0.75</v>
      </c>
      <c r="G67" s="283">
        <f t="shared" si="13"/>
        <v>0</v>
      </c>
      <c r="H67" s="283">
        <f t="shared" si="13"/>
        <v>0</v>
      </c>
      <c r="I67" s="21">
        <f t="shared" si="14"/>
        <v>2806138.6420597094</v>
      </c>
      <c r="J67" s="21">
        <f t="shared" si="14"/>
        <v>57844.72155336719</v>
      </c>
      <c r="K67" s="21">
        <f t="shared" si="15"/>
        <v>8418415.926179128</v>
      </c>
      <c r="L67" s="21">
        <f t="shared" si="15"/>
        <v>173534.16466010158</v>
      </c>
      <c r="M67" s="380" t="s">
        <v>246</v>
      </c>
    </row>
    <row r="68" spans="2:12" ht="12.75">
      <c r="B68" s="21">
        <f t="shared" si="17"/>
        <v>2000</v>
      </c>
      <c r="C68" s="86">
        <f t="shared" si="17"/>
        <v>12226855.356540365</v>
      </c>
      <c r="D68" s="86">
        <f t="shared" si="12"/>
        <v>243380.51270518862</v>
      </c>
      <c r="E68" s="21">
        <v>0</v>
      </c>
      <c r="F68" s="21">
        <v>1</v>
      </c>
      <c r="G68" s="283">
        <f t="shared" si="13"/>
        <v>0</v>
      </c>
      <c r="H68" s="283">
        <f t="shared" si="13"/>
        <v>0</v>
      </c>
      <c r="I68" s="21">
        <f t="shared" si="14"/>
        <v>0</v>
      </c>
      <c r="J68" s="21">
        <f t="shared" si="14"/>
        <v>0</v>
      </c>
      <c r="K68" s="21">
        <f t="shared" si="15"/>
        <v>12226855.356540365</v>
      </c>
      <c r="L68" s="21">
        <f t="shared" si="15"/>
        <v>243380.51270518862</v>
      </c>
    </row>
    <row r="69" spans="2:12" ht="12.75">
      <c r="B69" s="21">
        <f t="shared" si="17"/>
        <v>2001</v>
      </c>
      <c r="C69" s="86">
        <f t="shared" si="17"/>
        <v>9772622.28942429</v>
      </c>
      <c r="D69" s="86">
        <f t="shared" si="12"/>
        <v>200700.70590688035</v>
      </c>
      <c r="E69" s="21">
        <v>0</v>
      </c>
      <c r="F69" s="21">
        <v>1</v>
      </c>
      <c r="G69" s="283">
        <f t="shared" si="13"/>
        <v>0</v>
      </c>
      <c r="H69" s="283">
        <f t="shared" si="13"/>
        <v>0</v>
      </c>
      <c r="I69" s="21">
        <f t="shared" si="14"/>
        <v>0</v>
      </c>
      <c r="J69" s="21">
        <f t="shared" si="14"/>
        <v>0</v>
      </c>
      <c r="K69" s="21">
        <f t="shared" si="15"/>
        <v>9772622.28942429</v>
      </c>
      <c r="L69" s="21">
        <f t="shared" si="15"/>
        <v>200700.70590688035</v>
      </c>
    </row>
    <row r="70" spans="2:12" ht="12.75">
      <c r="B70" s="21">
        <f t="shared" si="17"/>
        <v>2002</v>
      </c>
      <c r="C70" s="86">
        <f t="shared" si="17"/>
        <v>11677414.977153193</v>
      </c>
      <c r="D70" s="86">
        <f t="shared" si="12"/>
        <v>235981.09432997077</v>
      </c>
      <c r="E70" s="21">
        <v>0</v>
      </c>
      <c r="F70" s="21">
        <v>1</v>
      </c>
      <c r="G70" s="283">
        <f t="shared" si="13"/>
        <v>0</v>
      </c>
      <c r="H70" s="283">
        <f t="shared" si="13"/>
        <v>0</v>
      </c>
      <c r="I70" s="21">
        <f t="shared" si="14"/>
        <v>0</v>
      </c>
      <c r="J70" s="21">
        <f t="shared" si="14"/>
        <v>0</v>
      </c>
      <c r="K70" s="21">
        <f t="shared" si="15"/>
        <v>11677414.977153193</v>
      </c>
      <c r="L70" s="21">
        <f t="shared" si="15"/>
        <v>235981.09432997077</v>
      </c>
    </row>
    <row r="71" spans="2:12" ht="12.75">
      <c r="B71" s="21">
        <f t="shared" si="17"/>
        <v>2003</v>
      </c>
      <c r="C71" s="86">
        <f t="shared" si="17"/>
        <v>8303543.391955924</v>
      </c>
      <c r="D71" s="86">
        <f t="shared" si="12"/>
        <v>170222.63953509644</v>
      </c>
      <c r="E71" s="21">
        <v>0</v>
      </c>
      <c r="F71" s="21">
        <v>1</v>
      </c>
      <c r="G71" s="283">
        <f t="shared" si="13"/>
        <v>0</v>
      </c>
      <c r="H71" s="283">
        <f t="shared" si="13"/>
        <v>0</v>
      </c>
      <c r="I71" s="21">
        <f t="shared" si="14"/>
        <v>0</v>
      </c>
      <c r="J71" s="21">
        <f t="shared" si="14"/>
        <v>0</v>
      </c>
      <c r="K71" s="21">
        <f t="shared" si="15"/>
        <v>8303543.391955924</v>
      </c>
      <c r="L71" s="21">
        <f t="shared" si="15"/>
        <v>170222.63953509644</v>
      </c>
    </row>
    <row r="72" spans="2:12" ht="12.75">
      <c r="B72" s="21">
        <f t="shared" si="17"/>
        <v>2004</v>
      </c>
      <c r="C72" s="86">
        <f t="shared" si="17"/>
        <v>6938127.77433303</v>
      </c>
      <c r="D72" s="86">
        <f t="shared" si="12"/>
        <v>142231.6193738271</v>
      </c>
      <c r="E72" s="21">
        <v>0</v>
      </c>
      <c r="F72" s="21">
        <v>1</v>
      </c>
      <c r="G72" s="283">
        <f t="shared" si="13"/>
        <v>0</v>
      </c>
      <c r="H72" s="283">
        <f t="shared" si="13"/>
        <v>0</v>
      </c>
      <c r="I72" s="21">
        <f t="shared" si="14"/>
        <v>0</v>
      </c>
      <c r="J72" s="21">
        <f t="shared" si="14"/>
        <v>0</v>
      </c>
      <c r="K72" s="21">
        <f t="shared" si="15"/>
        <v>6938127.77433303</v>
      </c>
      <c r="L72" s="21">
        <f t="shared" si="15"/>
        <v>142231.6193738271</v>
      </c>
    </row>
    <row r="73" spans="2:12" ht="12.75">
      <c r="B73" s="21">
        <f aca="true" t="shared" si="18" ref="B73:C75">B33</f>
        <v>2005</v>
      </c>
      <c r="C73" s="86">
        <f t="shared" si="18"/>
        <v>5441028</v>
      </c>
      <c r="D73" s="86">
        <f>E33</f>
        <v>111541.074</v>
      </c>
      <c r="E73" s="21">
        <v>0</v>
      </c>
      <c r="F73" s="21">
        <v>1</v>
      </c>
      <c r="G73" s="283">
        <f aca="true" t="shared" si="19" ref="G73:H75">C73-I73-K73</f>
        <v>0</v>
      </c>
      <c r="H73" s="283">
        <f t="shared" si="19"/>
        <v>0</v>
      </c>
      <c r="I73" s="21">
        <f aca="true" t="shared" si="20" ref="I73:J75">C73*$E73</f>
        <v>0</v>
      </c>
      <c r="J73" s="21">
        <f t="shared" si="20"/>
        <v>0</v>
      </c>
      <c r="K73" s="21">
        <f aca="true" t="shared" si="21" ref="K73:L75">C73*$F73</f>
        <v>5441028</v>
      </c>
      <c r="L73" s="21">
        <f t="shared" si="21"/>
        <v>111541.074</v>
      </c>
    </row>
    <row r="74" spans="2:12" ht="12.75">
      <c r="B74" s="21">
        <f t="shared" si="18"/>
        <v>2006</v>
      </c>
      <c r="C74" s="86">
        <f t="shared" si="18"/>
        <v>3426864</v>
      </c>
      <c r="D74" s="86">
        <f>E34</f>
        <v>70250.712</v>
      </c>
      <c r="E74" s="21">
        <v>0</v>
      </c>
      <c r="F74" s="21">
        <v>1</v>
      </c>
      <c r="G74" s="283">
        <f t="shared" si="19"/>
        <v>0</v>
      </c>
      <c r="H74" s="283">
        <f t="shared" si="19"/>
        <v>0</v>
      </c>
      <c r="I74" s="21">
        <f t="shared" si="20"/>
        <v>0</v>
      </c>
      <c r="J74" s="21">
        <f t="shared" si="20"/>
        <v>0</v>
      </c>
      <c r="K74" s="21">
        <f t="shared" si="21"/>
        <v>3426864</v>
      </c>
      <c r="L74" s="21">
        <f t="shared" si="21"/>
        <v>70250.712</v>
      </c>
    </row>
    <row r="75" spans="2:12" ht="12.75">
      <c r="B75" s="21">
        <f t="shared" si="18"/>
        <v>2007</v>
      </c>
      <c r="C75" s="86">
        <f t="shared" si="18"/>
        <v>2092578</v>
      </c>
      <c r="D75" s="86">
        <f>E35</f>
        <v>42897.849</v>
      </c>
      <c r="E75" s="21">
        <v>0</v>
      </c>
      <c r="F75" s="21">
        <v>1</v>
      </c>
      <c r="G75" s="283">
        <f t="shared" si="19"/>
        <v>0</v>
      </c>
      <c r="H75" s="283">
        <f t="shared" si="19"/>
        <v>0</v>
      </c>
      <c r="I75" s="21">
        <f t="shared" si="20"/>
        <v>0</v>
      </c>
      <c r="J75" s="21">
        <f t="shared" si="20"/>
        <v>0</v>
      </c>
      <c r="K75" s="21">
        <f t="shared" si="21"/>
        <v>2092578</v>
      </c>
      <c r="L75" s="21">
        <f t="shared" si="21"/>
        <v>42897.849</v>
      </c>
    </row>
    <row r="76" spans="2:12" ht="12.75">
      <c r="B76" s="21" t="s">
        <v>22</v>
      </c>
      <c r="C76" s="283">
        <f>SUM(C48:C75)</f>
        <v>243683245.92853248</v>
      </c>
      <c r="D76" s="283">
        <f>SUM(D48:D75)</f>
        <v>5000378.934802541</v>
      </c>
      <c r="E76" s="21"/>
      <c r="F76" s="21"/>
      <c r="G76" s="283">
        <f aca="true" t="shared" si="22" ref="G76:L76">SUM(G48:G75)</f>
        <v>49010979.527641565</v>
      </c>
      <c r="H76" s="283">
        <f t="shared" si="22"/>
        <v>1004299.8067654162</v>
      </c>
      <c r="I76" s="283">
        <f t="shared" si="22"/>
        <v>111470148.99665837</v>
      </c>
      <c r="J76" s="283">
        <f t="shared" si="22"/>
        <v>2298843.6483484814</v>
      </c>
      <c r="K76" s="283">
        <f t="shared" si="22"/>
        <v>83202117.40423259</v>
      </c>
      <c r="L76" s="283">
        <f t="shared" si="22"/>
        <v>1697235.4796886414</v>
      </c>
    </row>
  </sheetData>
  <mergeCells count="13">
    <mergeCell ref="G46:H46"/>
    <mergeCell ref="P6:Q6"/>
    <mergeCell ref="R6:S6"/>
    <mergeCell ref="F6:I6"/>
    <mergeCell ref="J6:K6"/>
    <mergeCell ref="L6:M6"/>
    <mergeCell ref="N6:O6"/>
    <mergeCell ref="I46:J46"/>
    <mergeCell ref="K46:L46"/>
    <mergeCell ref="B3:S3"/>
    <mergeCell ref="B5:E5"/>
    <mergeCell ref="F5:I5"/>
    <mergeCell ref="J5:S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ERG User ECON</dc:creator>
  <cp:keywords/>
  <dc:description/>
  <cp:lastModifiedBy>kbrunesk</cp:lastModifiedBy>
  <cp:lastPrinted>2005-12-12T22:27:50Z</cp:lastPrinted>
  <dcterms:created xsi:type="dcterms:W3CDTF">2002-04-30T19:15:51Z</dcterms:created>
  <dcterms:modified xsi:type="dcterms:W3CDTF">2008-07-22T18:04:23Z</dcterms:modified>
  <cp:category/>
  <cp:version/>
  <cp:contentType/>
  <cp:contentStatus/>
</cp:coreProperties>
</file>