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91" windowWidth="9720" windowHeight="6255" activeTab="0"/>
  </bookViews>
  <sheets>
    <sheet name="approps" sheetId="1" r:id="rId1"/>
    <sheet name="summary" sheetId="2" r:id="rId2"/>
    <sheet name="fy08 warrants" sheetId="3" r:id="rId3"/>
    <sheet name="fy07 warrants" sheetId="4" r:id="rId4"/>
    <sheet name="fy06 warrants" sheetId="5" r:id="rId5"/>
    <sheet name="fy 05 warrants" sheetId="6" r:id="rId6"/>
    <sheet name="fy 04 warrants" sheetId="7" r:id="rId7"/>
    <sheet name="fy 03 warrants" sheetId="8" r:id="rId8"/>
    <sheet name="FY02Warrants" sheetId="9" r:id="rId9"/>
    <sheet name="Details" sheetId="10" r:id="rId10"/>
    <sheet name="GrantsHist" sheetId="11" r:id="rId11"/>
    <sheet name="Grants reqst&amp;approp" sheetId="12" r:id="rId12"/>
  </sheets>
  <definedNames>
    <definedName name="_Regression_Int" localSheetId="0" hidden="1">1</definedName>
    <definedName name="_Regression_Int" localSheetId="9" hidden="1">1</definedName>
    <definedName name="_Regression_Int" localSheetId="8" hidden="1">1</definedName>
    <definedName name="_Regression_Int" localSheetId="11" hidden="1">1</definedName>
    <definedName name="_Regression_Int" localSheetId="10" hidden="1">1</definedName>
    <definedName name="_Regression_Int" localSheetId="1" hidden="1">1</definedName>
    <definedName name="_xlnm.Print_Area" localSheetId="0">'approps'!$A$1:$O$93</definedName>
    <definedName name="_xlnm.Print_Area" localSheetId="9">'Details'!$A$1:$G$81</definedName>
    <definedName name="_xlnm.Print_Area" localSheetId="7">'fy 03 warrants'!$A$1:$I$33</definedName>
    <definedName name="_xlnm.Print_Area" localSheetId="6">'fy 04 warrants'!$A$1:$I$31</definedName>
    <definedName name="_xlnm.Print_Area" localSheetId="5">'fy 05 warrants'!$A$1:$I$33</definedName>
    <definedName name="_xlnm.Print_Area" localSheetId="8">'FY02Warrants'!$A$1:$G$50</definedName>
    <definedName name="_xlnm.Print_Area" localSheetId="4">'fy06 warrants'!$A$1:$K$35</definedName>
    <definedName name="_xlnm.Print_Area" localSheetId="2">'fy08 warrants'!$B$1:$D$14</definedName>
    <definedName name="_xlnm.Print_Area" localSheetId="11">'Grants reqst&amp;approp'!$A$1:$F$35</definedName>
    <definedName name="_xlnm.Print_Area" localSheetId="10">'GrantsHist'!$A$1:$D$46</definedName>
    <definedName name="_xlnm.Print_Area" localSheetId="1">'summary'!$A$1:$I$88</definedName>
    <definedName name="Print_Area_MI" localSheetId="0">'approps'!#REF!</definedName>
    <definedName name="Print_Area_MI" localSheetId="9">'Details'!#REF!</definedName>
    <definedName name="Print_Area_MI" localSheetId="8">'FY02Warrants'!#REF!</definedName>
    <definedName name="Print_Area_MI" localSheetId="11">'Grants reqst&amp;approp'!#REF!</definedName>
    <definedName name="Print_Area_MI" localSheetId="10">'GrantsHist'!#REF!</definedName>
    <definedName name="Print_Area_MI" localSheetId="1">'summary'!$A$2:$I$90</definedName>
    <definedName name="Print_Area_MI">#REF!</definedName>
  </definedNames>
  <calcPr fullCalcOnLoad="1"/>
</workbook>
</file>

<file path=xl/comments6.xml><?xml version="1.0" encoding="utf-8"?>
<comments xmlns="http://schemas.openxmlformats.org/spreadsheetml/2006/main">
  <authors>
    <author>Jan Smith</author>
  </authors>
  <commentList>
    <comment ref="H15" authorId="0">
      <text>
        <r>
          <rPr>
            <b/>
            <sz val="8"/>
            <rFont val="Tahoma"/>
            <family val="0"/>
          </rPr>
          <t>Jan Smith:</t>
        </r>
        <r>
          <rPr>
            <sz val="8"/>
            <rFont val="Tahoma"/>
            <family val="0"/>
          </rPr>
          <t xml:space="preserve">
to ONPS for egldes and to NR&amp;P for civil war site study
</t>
        </r>
      </text>
    </comment>
  </commentList>
</comments>
</file>

<file path=xl/sharedStrings.xml><?xml version="1.0" encoding="utf-8"?>
<sst xmlns="http://schemas.openxmlformats.org/spreadsheetml/2006/main" count="2376" uniqueCount="816">
  <si>
    <t>2004</t>
  </si>
  <si>
    <t>Land Acquisition (or other as noted) by:</t>
  </si>
  <si>
    <t>other noted</t>
  </si>
  <si>
    <t>2002</t>
  </si>
  <si>
    <t>Special "Burton" account (16 U.S.C. 460 l-7) included above</t>
  </si>
  <si>
    <t>Note:  All Title V &amp; VI funds for DOI are to a Departmental account and available to the bureaus as reimbursables.</t>
  </si>
  <si>
    <t>LandAcq.or</t>
  </si>
  <si>
    <t>Critical maintenance needs</t>
  </si>
  <si>
    <t>FY 2000 Title VI:</t>
  </si>
  <si>
    <t>Elwha River ecosystem restoration</t>
  </si>
  <si>
    <t xml:space="preserve">      Total</t>
  </si>
  <si>
    <t>Federal Infrastructure Improvement</t>
  </si>
  <si>
    <t>State and other conservation programs</t>
  </si>
  <si>
    <t>Urban Park and Recreation Fund</t>
  </si>
  <si>
    <t>Historic Preservation Fund</t>
  </si>
  <si>
    <t>State and private forestry</t>
  </si>
  <si>
    <t>Payment in lieu of taxes</t>
  </si>
  <si>
    <t>Landowner Incentive Grants</t>
  </si>
  <si>
    <t>Private Stewardship Grants</t>
  </si>
  <si>
    <t>Fish &amp; WS</t>
  </si>
  <si>
    <t>Funds shown on a line shown as "notLA" by bureau are designated for purposes other than Federal land acquisition, as follows:</t>
  </si>
  <si>
    <t>Beartooth Highway rehabilitation &amp; maint.</t>
  </si>
  <si>
    <t>Backlog maintenance</t>
  </si>
  <si>
    <t xml:space="preserve">    Federal Land Acquisition</t>
  </si>
  <si>
    <t>Title I&amp;II of P.L. 105-83: Land Acq. &amp; NPS State grants</t>
  </si>
  <si>
    <r>
      <t>FY 1999:</t>
    </r>
    <r>
      <rPr>
        <sz val="10"/>
        <rFont val="Arial"/>
        <family val="2"/>
      </rPr>
      <t xml:space="preserve">  All Title I&amp;II:</t>
    </r>
  </si>
  <si>
    <t>Title I&amp;II of H.R. 3423, P.L. 106-113</t>
  </si>
  <si>
    <t>Title I&amp;II, P.L. 106-291: Land acq'n &amp; State Assistance</t>
  </si>
  <si>
    <t>Consolidated Appropriations Act, 2001, P.L.106-554</t>
  </si>
  <si>
    <t>FY 2001:</t>
  </si>
  <si>
    <t xml:space="preserve">    State &amp; other conservation programs accounts</t>
  </si>
  <si>
    <t>Title I&amp;II: Land Acquisition and State Assistance</t>
  </si>
  <si>
    <t>FY 2003 request:</t>
  </si>
  <si>
    <t>Other</t>
  </si>
  <si>
    <t xml:space="preserve">                Total, FY 2002</t>
  </si>
  <si>
    <t xml:space="preserve">                Total, FY 2003</t>
  </si>
  <si>
    <t>2/12/2002</t>
  </si>
  <si>
    <t xml:space="preserve">    Departmental Management: Priority Federal Land</t>
  </si>
  <si>
    <t xml:space="preserve">        Acquisitions &amp; Exchanges (settle a tribal claim)</t>
  </si>
  <si>
    <t>DETAILS OF APPROPRIATIONS FROM LAND &amp; WATER CONSERVATION FUND ($000's)</t>
  </si>
  <si>
    <t>DETAILS OF APPROPRIATIONS FROM LAND &amp; WATER CONSERVATION FUND (Cont'd) ($000's)</t>
  </si>
  <si>
    <t>2003</t>
  </si>
  <si>
    <t>USGS/</t>
  </si>
  <si>
    <t>$842,302,172.00 was the total warranted, final FY 2001</t>
  </si>
  <si>
    <t>Dept. of Interior Appropriations Act, P.L. 106-291:</t>
  </si>
  <si>
    <t xml:space="preserve">    Infrastructure Improvement"):</t>
  </si>
  <si>
    <t>Title VIII ("Land Conservation, Preservation and</t>
  </si>
  <si>
    <t xml:space="preserve">        Rescission, 0.22%</t>
  </si>
  <si>
    <t>2/25/2002</t>
  </si>
  <si>
    <t>Bill</t>
  </si>
  <si>
    <t>Language</t>
  </si>
  <si>
    <t>Rescission</t>
  </si>
  <si>
    <t>Net</t>
  </si>
  <si>
    <t>Warrants Reported by Treasury</t>
  </si>
  <si>
    <t xml:space="preserve">        Subtotal</t>
  </si>
  <si>
    <t>Bureau of Land Mgmt. (BLM) Land Acquisition</t>
  </si>
  <si>
    <t>Forest Service (FS) Land Acquisition (Title II)</t>
  </si>
  <si>
    <t>Fish &amp; Wildlife Service (F&amp;WS) Land Acquisit'n</t>
  </si>
  <si>
    <t>N. Park Svc. (NPS) L. Acq'n &amp; State Assistance</t>
  </si>
  <si>
    <t>Warrants shown in Treasury's "Unappropriated Receipt Account Trial Balance" report should agree with appropriations.</t>
  </si>
  <si>
    <t>Forest Legacy program</t>
  </si>
  <si>
    <t>NPS Budget    May 1, 2002</t>
  </si>
  <si>
    <t>GRAND TOTAL for 2001 activity</t>
  </si>
  <si>
    <t>Note: USFS did not warrant FY 2001 Title VIII funds from LWCF ($152m).  Until this is corrected, the balance in Treasuy is ……………………..</t>
  </si>
  <si>
    <t>FY 2002 APPROPRIATIONS AND WARRANTS FROM THE LAND &amp; WATER CONSERVATION FUND</t>
  </si>
  <si>
    <t xml:space="preserve">Less </t>
  </si>
  <si>
    <t>DOI Appropriations Act - Other (P.L. 107-63, 107-26)</t>
  </si>
  <si>
    <t>FWS Landowner Incentive Grants</t>
  </si>
  <si>
    <t>FWS Stewardship Grants</t>
  </si>
  <si>
    <t>November 2001 (FY 2002) USFS and DOI</t>
  </si>
  <si>
    <t>April 2002 (FY 2002) USFS and DOI</t>
  </si>
  <si>
    <t xml:space="preserve">   FWS State Wildlife Grants PL 107-63 rescission</t>
  </si>
  <si>
    <t>DOI Appropriations Act - Land (P.L. 107-63, 107-206)</t>
  </si>
  <si>
    <t>USFS total</t>
  </si>
  <si>
    <t>DOI Total</t>
  </si>
  <si>
    <t xml:space="preserve">  These 2 together total $50m for FWS Landowner </t>
  </si>
  <si>
    <t xml:space="preserve">       Incentive and Stewardship Grants</t>
  </si>
  <si>
    <t>September 2002 (FY 2002) DOI Travel/Admin rescission (PL 107-206)</t>
  </si>
  <si>
    <t>March (FY 2002)  DOI/FWS</t>
  </si>
  <si>
    <t>FWS State Wildlife Grants   1/</t>
  </si>
  <si>
    <t>1/  Congress appropriated $85m and rescinded $25m</t>
  </si>
  <si>
    <t>FY 2002:</t>
  </si>
  <si>
    <t>October 2001 (FY 2002) USFS adjustment for FY 2001 rescission</t>
  </si>
  <si>
    <t>October 2001 (FY 2002) USFS to return Title 8 funds that were rescinded in PL 107-20</t>
  </si>
  <si>
    <t xml:space="preserve">     language or by letters jointly signed by ranking members of the Interior appropriations subcommittees.  Although data above is</t>
  </si>
  <si>
    <t>--  Appropriations realized in FY's 1966-1968 were limited to amounts available from receipts and were less than the amounts in the appropriation acts.</t>
  </si>
  <si>
    <t>2000</t>
  </si>
  <si>
    <t xml:space="preserve">  Gen.Tr.   [9,191]</t>
  </si>
  <si>
    <t xml:space="preserve">  Gen.Tr. [53,000]</t>
  </si>
  <si>
    <t xml:space="preserve">     shown as being warranted in FY 1998 to agree with appropriation data for L&amp;WCF that is shown in a related table.</t>
  </si>
  <si>
    <t>2001</t>
  </si>
  <si>
    <t>--  FY 1998 data are final reported by Treasury, except that $38,250,000 of FY 1998 Title V appropriations that were not warranted until FY 1999 are</t>
  </si>
  <si>
    <t>TitleVI</t>
  </si>
  <si>
    <t xml:space="preserve">     Land Acquisition amounts include related administration (acquisition management) funding.</t>
  </si>
  <si>
    <t xml:space="preserve">     Amounts may not add to totals due to rounding.</t>
  </si>
  <si>
    <t>TitleVIII</t>
  </si>
  <si>
    <t>FY 1998 Title V:</t>
  </si>
  <si>
    <t>FY 2000:</t>
  </si>
  <si>
    <t>TOTAL</t>
  </si>
  <si>
    <t xml:space="preserve">    Rescission, P.L.106-113</t>
  </si>
  <si>
    <t xml:space="preserve">        Rescission</t>
  </si>
  <si>
    <t xml:space="preserve">    Payment in lieu of taxes</t>
  </si>
  <si>
    <t xml:space="preserve">            Subtotal, Title VIII</t>
  </si>
  <si>
    <t xml:space="preserve">                Total, FY 2001</t>
  </si>
  <si>
    <t xml:space="preserve">    Forest Legacy Program</t>
  </si>
  <si>
    <t xml:space="preserve">    Maintenance</t>
  </si>
  <si>
    <t xml:space="preserve">    Fed. land acquisition earmarked in bill</t>
  </si>
  <si>
    <t xml:space="preserve">    Other Federal land acquisition</t>
  </si>
  <si>
    <t xml:space="preserve">        Subtotal, Federal Land Acquisition</t>
  </si>
  <si>
    <t xml:space="preserve">    Elwha River ecosystem restoration</t>
  </si>
  <si>
    <t xml:space="preserve">    Federal Infrastructure Improvement</t>
  </si>
  <si>
    <t xml:space="preserve">    Same for U. S. Geological Survey</t>
  </si>
  <si>
    <t xml:space="preserve">    State and Private Forestry</t>
  </si>
  <si>
    <t xml:space="preserve">             Subtotal, Title VI</t>
  </si>
  <si>
    <t xml:space="preserve">                Total, FY 2000</t>
  </si>
  <si>
    <t>BofLandM</t>
  </si>
  <si>
    <t>N Park S</t>
  </si>
  <si>
    <t>Forest S</t>
  </si>
  <si>
    <t>P.L. 106-246, Title II, Ch. 3: Fed. land acquisition</t>
  </si>
  <si>
    <t xml:space="preserve">    Fed. land acquisition/L. acquis'n admin.</t>
  </si>
  <si>
    <t xml:space="preserve">    State Assistance for outdoor recreation</t>
  </si>
  <si>
    <t xml:space="preserve">    Urban Park and Recreation Fund</t>
  </si>
  <si>
    <t xml:space="preserve">    Rescission, P.L.106-554, 0.22%</t>
  </si>
  <si>
    <t>Fish&amp;WS</t>
  </si>
  <si>
    <t>THIS LINE AND EVERYTHING BELOW IS OUTSIDE OF PRINT RANGE</t>
  </si>
  <si>
    <t xml:space="preserve">Contacts: </t>
  </si>
  <si>
    <t>Treasury: Rose Wood and Pat Wrenn (202)874-9780</t>
  </si>
  <si>
    <t>Forest Service: Bill Helin  (202)205-1112</t>
  </si>
  <si>
    <t>P.L. 106-113, sec. 222 of H.R. 3425: Fed. land acquis'n</t>
  </si>
  <si>
    <t>113 Stat. 1501A-299</t>
  </si>
  <si>
    <t xml:space="preserve">    Historic Preservation Fund grants: States&amp;Tribes</t>
  </si>
  <si>
    <t>?BLM Rhode Island N Wildlife Refuge Complex, to acquire mineral rights within Grand Staircase-Escalante NM</t>
  </si>
  <si>
    <t>?Forest Legacy Program</t>
  </si>
  <si>
    <t xml:space="preserve">            sec. 1403 of Div. A of H.R. 5666: 0.22%</t>
  </si>
  <si>
    <t xml:space="preserve">        Rescission, P.L.106-554 (Consolid. Appropr's),</t>
  </si>
  <si>
    <t xml:space="preserve">     Winay Reynolds 703-235-3363 - # not in service</t>
  </si>
  <si>
    <t>Title VI ("Priority Land Acquisitions and Land Exchanges")</t>
  </si>
  <si>
    <t xml:space="preserve">    of H.R. 3423, P.L. 106-113 (Consolid. Appropr's):</t>
  </si>
  <si>
    <t>FY 1998:</t>
  </si>
  <si>
    <t>Title V ("Priority Land Acquisitions, Land Exchanges,</t>
  </si>
  <si>
    <t>BLM Headwaters Forest acquis'n $250 M; FS New World (Crown Butte) Mine site acquisition to protect Yellowstone NP $65 M; BLM Payment to Humboldt County for part of Headwaters Forest $10 M</t>
  </si>
  <si>
    <t xml:space="preserve">    (available through FY 2001):</t>
  </si>
  <si>
    <t xml:space="preserve">    and Maintenance") of P.L. 105-83 (DOI Appropr's Act)</t>
  </si>
  <si>
    <t xml:space="preserve">             Subtotal, Title V</t>
  </si>
  <si>
    <t xml:space="preserve">    Critical maintenance needs</t>
  </si>
  <si>
    <t xml:space="preserve">    Land acquisition administration</t>
  </si>
  <si>
    <t>Reported by Treasury as reduction to Forest S.</t>
  </si>
  <si>
    <t>2001 to date</t>
  </si>
  <si>
    <t>Grant Admin.</t>
  </si>
  <si>
    <t xml:space="preserve">    Totals</t>
  </si>
  <si>
    <t>NPS Budget  2/6/01</t>
  </si>
  <si>
    <t>Transition Qtr.</t>
  </si>
  <si>
    <t>Fiscal Year</t>
  </si>
  <si>
    <t>Program Total</t>
  </si>
  <si>
    <t>Amounts include decimal places not shown</t>
  </si>
  <si>
    <t>Outside of print range:</t>
  </si>
  <si>
    <t>&lt;rounded to thousands without hidden decimal places</t>
  </si>
  <si>
    <t>FROM THE LAND AND WATER CONSERVATION FUND</t>
  </si>
  <si>
    <t>STATE CONSERVATION GRANT PROGRAM APPROPRIATIONS</t>
  </si>
  <si>
    <t xml:space="preserve">    Other earmarks: Beartooth Hwy rehab &amp; maint.</t>
  </si>
  <si>
    <t>Trnfr to</t>
  </si>
  <si>
    <t>F&amp;WS includes $1,250,000 in sec. 222 of HR 3425 as enacted by P.L. 106-113, FY00 Consolidated Approp's (113 Stat. 1501A-299); BLM includes $2,000,000 in P.L. 106-246 (7/13/00), Title II, Chapter 3; Forest Service amount for FY 2000 is according to old bud</t>
  </si>
  <si>
    <t>notLA</t>
  </si>
  <si>
    <t>TitleV</t>
  </si>
  <si>
    <t>These columns are outside of print range.</t>
  </si>
  <si>
    <t>LAND AND WATER CONSERVATION FUND RECEIPTS, APPROPRIATIONS AND UNAPPROPRIATED BALANCES REPORTED BY TREASURY</t>
  </si>
  <si>
    <t>TrQtr</t>
  </si>
  <si>
    <t>1999</t>
  </si>
  <si>
    <t>DATA BELOW NEEDS UPDATING</t>
  </si>
  <si>
    <t>Notes:</t>
  </si>
  <si>
    <t xml:space="preserve">     Congressionally approved but are not reflected in the amounts shown for State Grants or Grant Administration.</t>
  </si>
  <si>
    <t xml:space="preserve">     Treasury funds [amounts shown in brackets because they are not part of L&amp;WCF receipts or appropriations] without specifying</t>
  </si>
  <si>
    <t xml:space="preserve">     Bureau of Outdoor Recreation (BOR)) before it was merged into NPS May 31, 1981.</t>
  </si>
  <si>
    <t xml:space="preserve">     the part for NPS/BOR Redwood acquisition.</t>
  </si>
  <si>
    <t>--  FY's 1966 - 1968 funds are limited by receipt deficiencies.</t>
  </si>
  <si>
    <t>--  National Park Service (NPS) amounts include appropriations to the Heritage Conservation and Recreation Service (originally</t>
  </si>
  <si>
    <t>--  Land acquisition amounts include related administration (acquisition management) funding.</t>
  </si>
  <si>
    <t>--  Transfers (shown above) from State Grant Contingency Fund carryover amounts to State Grant Administration were</t>
  </si>
  <si>
    <t>--  * General Treasury Funds: Congress funded FY's 1968 and 1969 appropriations for L&amp;WCF purposes partly from General</t>
  </si>
  <si>
    <t>--  Amounts may not add to totals due to rounding.</t>
  </si>
  <si>
    <t>--  The Land and Water Conservation Fund (L&amp;WCF) was managed by the Heritage Conservation and Recreation Service (HCRS) (originally Bureau of</t>
  </si>
  <si>
    <t xml:space="preserve">    The L&amp;WCF Act was amended to deposit amounts of Outer Continental Shelf (OCS) receipts into the L&amp;WCF sufficient to make annual receipts into</t>
  </si>
  <si>
    <t xml:space="preserve">    the Fund total $200 million in FY's 1969 -1970, $300 million in FY's 1971 - 1977 and $900 million beginning in FY 1978.  Receipt totals FY's 1969 -</t>
  </si>
  <si>
    <t xml:space="preserve">    1973 varied from authorized totals only for expired amounts; after that, a reporting lag has caused most or all receipt variances from authorized</t>
  </si>
  <si>
    <t xml:space="preserve">    (legally mandated) amounts.  The amount of OCS receipts credited to the L&amp;WCF toward the end of each fiscal year is determined before the actual</t>
  </si>
  <si>
    <t xml:space="preserve">    amount on non-OCS receipts is known; any variances therefrom in the actual non-OCS receipts finally reported for that fiscal year must be</t>
  </si>
  <si>
    <t xml:space="preserve">    compensated for by an adjustment to OCS receipts after the end of that fiscal year to comply with the Act.</t>
  </si>
  <si>
    <t xml:space="preserve">    was repealed.  Although the funds from General Treasury were appropriated and used for L&amp;WCF purposes, Treasury did not report them as L&amp;WCF</t>
  </si>
  <si>
    <t xml:space="preserve">    receipts or appropriations.</t>
  </si>
  <si>
    <t>Copy provided to: Briefing book; Charlie Towle in Office of Budget</t>
  </si>
  <si>
    <t>--  *  These were originally "advance appropriations" from General Treasury funds authorized by the L&amp;WCF Act; a provision for repayment to Treasury</t>
  </si>
  <si>
    <t>Enacted</t>
  </si>
  <si>
    <t>Request</t>
  </si>
  <si>
    <t xml:space="preserve"> Resc.</t>
  </si>
  <si>
    <t>State Grants</t>
  </si>
  <si>
    <t>to Admin.*</t>
  </si>
  <si>
    <t>Transferred</t>
  </si>
  <si>
    <t>(in thousands of dollars)</t>
  </si>
  <si>
    <t>L&amp;WC FUND STATE GRANTS AND ADMINISTRATION</t>
  </si>
  <si>
    <t>APPROPRIATIONS SINCE FY 1982</t>
  </si>
  <si>
    <t>Resc.</t>
  </si>
  <si>
    <t>Administration*</t>
  </si>
  <si>
    <t>9/15/98</t>
  </si>
  <si>
    <t>--  FY 1998 Title V ("Priority Land Acquisitions….") amounts by bureau are based on Congressional distribution of funds by bill</t>
  </si>
  <si>
    <t xml:space="preserve">     shown as if for Land Acquisition, including administration (acquisition management), parts are for authorized maintenance.</t>
  </si>
  <si>
    <t xml:space="preserve">     is within the amount of increased NPS/BOR land acquisition funding over FY 1967 and that the $53,000,000 for FY 1969 equals</t>
  </si>
  <si>
    <t xml:space="preserve">     their use within the appropriations, so a presumption is used based on committee reports showing that $9,191,000 for FY 1968</t>
  </si>
  <si>
    <t>--  FY 1996 appropriations reflect inter-bureau redistribution of Land Acquisition funds by transfer approved by ranking members of</t>
  </si>
  <si>
    <t xml:space="preserve">     the Interior appropriations subcommittee.</t>
  </si>
  <si>
    <t>"[3,092,944,177.16]</t>
  </si>
  <si>
    <t>"[36,011,376.17]</t>
  </si>
  <si>
    <t xml:space="preserve">  Adjusted Balance End of FY 1984</t>
  </si>
  <si>
    <t>FY 1985</t>
  </si>
  <si>
    <t xml:space="preserve">  Correct FY 1984: Return $2,632,144.46</t>
  </si>
  <si>
    <t xml:space="preserve">    Excess Receipts, not $23,265,448.30</t>
  </si>
  <si>
    <t>"[784,279,198.13]</t>
  </si>
  <si>
    <t>"[787,348,811.34]</t>
  </si>
  <si>
    <t xml:space="preserve">  Treasury Balance End of FY 1985</t>
  </si>
  <si>
    <t>"[3,657,540,514.23]</t>
  </si>
  <si>
    <t>"[220,820,917.83]</t>
  </si>
  <si>
    <t xml:space="preserve">  Adjusted Balance End of FY 1985</t>
  </si>
  <si>
    <t>FY 1986</t>
  </si>
  <si>
    <t xml:space="preserve">  Return Excess FY 1985 Receipts</t>
  </si>
  <si>
    <t>"[755,223,819.02]</t>
  </si>
  <si>
    <t>"[872,640,244.35]</t>
  </si>
  <si>
    <t xml:space="preserve">  Treasury Balance End of FY 1986</t>
  </si>
  <si>
    <t>"[4,469,198,396.11]</t>
  </si>
  <si>
    <t>"[89,630,688.22]</t>
  </si>
  <si>
    <t xml:space="preserve">  Adjusted Balance End of FY 1986</t>
  </si>
  <si>
    <t>FY 1987</t>
  </si>
  <si>
    <t xml:space="preserve">  Return Excess FY 1986 Receipts</t>
  </si>
  <si>
    <t>"[823,575,610.02]</t>
  </si>
  <si>
    <t>"[989,664,722.59]</t>
  </si>
  <si>
    <t xml:space="preserve">  Treasury Balance End of FY 1987</t>
  </si>
  <si>
    <t>"[5,179,473,017.90]</t>
  </si>
  <si>
    <t>"[40,213,700.76]</t>
  </si>
  <si>
    <t xml:space="preserve">  Adjusted Balance End of FY 1987</t>
  </si>
  <si>
    <t>FY 1988</t>
  </si>
  <si>
    <t xml:space="preserve">  Return Excess FY 1987 Receipts</t>
  </si>
  <si>
    <t>"[859,761,232.46]</t>
  </si>
  <si>
    <t>"[897,333,979.36]</t>
  </si>
  <si>
    <t xml:space="preserve">  Treasury Balance End of FY 1988</t>
  </si>
  <si>
    <t>"[5,912,148,087.99]</t>
  </si>
  <si>
    <t>"[35,995,923.36]</t>
  </si>
  <si>
    <t xml:space="preserve">  Adjusted Balance End of FY 1988</t>
  </si>
  <si>
    <t>FY 1989</t>
  </si>
  <si>
    <t xml:space="preserve">  Return Excess FY 1988 Receipts</t>
  </si>
  <si>
    <t>"[862,760,617.38]</t>
  </si>
  <si>
    <t>"[899,254,656.97]</t>
  </si>
  <si>
    <t xml:space="preserve">  Treasury Balance End of FY 1989</t>
  </si>
  <si>
    <t>"[6,605,406,952.03]</t>
  </si>
  <si>
    <t>"[54,673,916.30]</t>
  </si>
  <si>
    <t xml:space="preserve">  Adjusted Balance End of FY 1989</t>
  </si>
  <si>
    <t>FY 1990</t>
  </si>
  <si>
    <t xml:space="preserve">  Return Excess FY 1989 Receipts</t>
  </si>
  <si>
    <t>"[843,765,172.64]</t>
  </si>
  <si>
    <t>"[898,429,069.21]</t>
  </si>
  <si>
    <t xml:space="preserve">  Treasury Balance End of FY 1990</t>
  </si>
  <si>
    <t>"[6,991,923,078.71]</t>
  </si>
  <si>
    <t>"[297,013,732.98]</t>
  </si>
  <si>
    <t xml:space="preserve">  Adjusted Balance End of FY 1990</t>
  </si>
  <si>
    <t xml:space="preserve">  Return Excess FY 1990 Receipts</t>
  </si>
  <si>
    <t xml:space="preserve">  Treasury Balance End of FY 1991</t>
  </si>
  <si>
    <t>"[6,955,166,581.35]</t>
  </si>
  <si>
    <t>"[889,173,881.44]</t>
  </si>
  <si>
    <t xml:space="preserve">  Adjusted Balance End of FY 1991</t>
  </si>
  <si>
    <t>FY 1992</t>
  </si>
  <si>
    <t xml:space="preserve">  Return Excess FY 1991 Receipts</t>
  </si>
  <si>
    <t xml:space="preserve">  Treasury Balance End of FY 1992</t>
  </si>
  <si>
    <t>"[8,414,874,142.59]</t>
  </si>
  <si>
    <t>"[28,773,882.91]</t>
  </si>
  <si>
    <t xml:space="preserve">  Less: Excess OCS Receipts to Be Returned</t>
  </si>
  <si>
    <t xml:space="preserve">  Adjusted Balance End of FY 1992</t>
  </si>
  <si>
    <t>FY 1993</t>
  </si>
  <si>
    <t xml:space="preserve">  Excess FY 1992 Receipts-Not Returned</t>
  </si>
  <si>
    <t xml:space="preserve">      Until FY 1994</t>
  </si>
  <si>
    <t xml:space="preserve">  Treasury Balance End of FY 1993</t>
  </si>
  <si>
    <t>"[9,060,995,854.50]</t>
  </si>
  <si>
    <t>"[5,008,200.00]</t>
  </si>
  <si>
    <t xml:space="preserve">  Adjusted Balance End of FY 1993</t>
  </si>
  <si>
    <t>FY 1994</t>
  </si>
  <si>
    <t xml:space="preserve">  Return Excess FY 1992 OCS Receipts</t>
  </si>
  <si>
    <t xml:space="preserve">  Return Excess FY 1993 OCS Receipts</t>
  </si>
  <si>
    <t xml:space="preserve">  Less: Non-OCS Receipts Credited:</t>
  </si>
  <si>
    <t>"[-3,009,589.00]</t>
  </si>
  <si>
    <t xml:space="preserve">      Motorboat fuel tax through August 31</t>
  </si>
  <si>
    <t xml:space="preserve">      NPS Surplus property sales thru 8/31</t>
  </si>
  <si>
    <t xml:space="preserve">      GSA Surplus property sales thru 9/30</t>
  </si>
  <si>
    <t>"[862,208,213.19]</t>
  </si>
  <si>
    <t>"[896,990,411.00]</t>
  </si>
  <si>
    <t xml:space="preserve">  Treasury Balance End of FY 1994</t>
  </si>
  <si>
    <t>"[9,673,662,467.69]</t>
  </si>
  <si>
    <t>"[2,010,553.00]</t>
  </si>
  <si>
    <t xml:space="preserve">  Adjusted Balance End of FY 1994</t>
  </si>
  <si>
    <t>FY 1995</t>
  </si>
  <si>
    <t xml:space="preserve">  Excess FY 1994 Receipts-Not Returned</t>
  </si>
  <si>
    <t xml:space="preserve">      Until FY 1996</t>
  </si>
  <si>
    <t xml:space="preserve">  Unappropr. bal.of non-OCS receipts 7/31</t>
  </si>
  <si>
    <t>"[896,987,237.00]</t>
  </si>
  <si>
    <t xml:space="preserve">  Treasury Balance End of FY 1995</t>
  </si>
  <si>
    <t>"[10,356,386,864.69]</t>
  </si>
  <si>
    <t>"[2,489,439.01]</t>
  </si>
  <si>
    <t xml:space="preserve">  OCS Receipts Shortage to Be Restored</t>
  </si>
  <si>
    <t xml:space="preserve">  Adjusted Balance End of FY 1995</t>
  </si>
  <si>
    <t>FY 1996</t>
  </si>
  <si>
    <t xml:space="preserve">  Return Excess FY 1994 OCS Receipts</t>
  </si>
  <si>
    <t xml:space="preserve">  Restore Shortage of FY1995 OCS Receipts</t>
  </si>
  <si>
    <t xml:space="preserve">      Part done in FY 1996</t>
  </si>
  <si>
    <t xml:space="preserve">      Remainder to be done in FY 1997</t>
  </si>
  <si>
    <t>"[0.99]</t>
  </si>
  <si>
    <t xml:space="preserve">  Unappropr. bal.of non-OCS receipts 8/31</t>
  </si>
  <si>
    <t>"[896,905,734.00]</t>
  </si>
  <si>
    <t>"[896,906,249.00]</t>
  </si>
  <si>
    <t xml:space="preserve">  Treasury Balance End of FY 1996</t>
  </si>
  <si>
    <t>"[11,118,798,988.70]</t>
  </si>
  <si>
    <t>"[10,009,748.18]</t>
  </si>
  <si>
    <t xml:space="preserve">  OCS Receipts Excess to Be Returned</t>
  </si>
  <si>
    <t xml:space="preserve">  Adjusted Balance End of FY 1996</t>
  </si>
  <si>
    <t>FY 1997: to be done after FY 1996 data becomes final</t>
  </si>
  <si>
    <t xml:space="preserve">  Restore Remaining Shortage of FY1995</t>
  </si>
  <si>
    <t xml:space="preserve">      OCS Receipts</t>
  </si>
  <si>
    <t xml:space="preserve">  Return Excess FY 1996 OCS Receipts</t>
  </si>
  <si>
    <t>*  Used to determine the amount of OCS receipts under $900,000,000 to be deposited</t>
  </si>
  <si>
    <t xml:space="preserve">    into the Land &amp; Water Conservation Fund, aside from adjusting for prior year(s).</t>
  </si>
  <si>
    <t xml:space="preserve">    </t>
  </si>
  <si>
    <t>11/12/96</t>
  </si>
  <si>
    <t xml:space="preserve">    (Limited by receipts deficiency)</t>
  </si>
  <si>
    <t xml:space="preserve">  Treasury Balance End of FY 1966</t>
  </si>
  <si>
    <t>FY 1967</t>
  </si>
  <si>
    <t xml:space="preserve">  Treasury Balance End of FY 1967</t>
  </si>
  <si>
    <t>FY 1968</t>
  </si>
  <si>
    <t xml:space="preserve">  Addit. Appropr. from General Treasury</t>
  </si>
  <si>
    <t>"[9,191,000.00]</t>
  </si>
  <si>
    <t xml:space="preserve">  Treasury Balance End of FY 1968</t>
  </si>
  <si>
    <t>FY 1969</t>
  </si>
  <si>
    <t xml:space="preserve">  Reduce Receipts: Lose PY Amt. Expired</t>
  </si>
  <si>
    <t xml:space="preserve">  Credit Authorized Total Receipts</t>
  </si>
  <si>
    <t>Non-OCS Receipts Included Above</t>
  </si>
  <si>
    <t>"[73,040,777.90]</t>
  </si>
  <si>
    <t>"[53,000,000.00]</t>
  </si>
  <si>
    <t xml:space="preserve">  Treasury Balance End of FY 1969</t>
  </si>
  <si>
    <t>Outer Continental Shelf Receipts</t>
  </si>
  <si>
    <t>"[88,500,000.00]</t>
  </si>
  <si>
    <t>Non-OCS Receipts</t>
  </si>
  <si>
    <t>"[19,726.60]</t>
  </si>
  <si>
    <t>FY 1970</t>
  </si>
  <si>
    <t>"[92,098,068.95]</t>
  </si>
  <si>
    <t xml:space="preserve">  Treasury Balance End of FY 1970</t>
  </si>
  <si>
    <t>"[157,400,000.00]</t>
  </si>
  <si>
    <t>"[40,369.93]</t>
  </si>
  <si>
    <t>FY 1971</t>
  </si>
  <si>
    <t>"[89,867,539.16]</t>
  </si>
  <si>
    <t xml:space="preserve">  Treasury Balance End of FY 1971</t>
  </si>
  <si>
    <t>"[100,000,000.00]</t>
  </si>
  <si>
    <t>"[827,748.96]</t>
  </si>
  <si>
    <t>FY 1972</t>
  </si>
  <si>
    <t>"[75,495,182.75]</t>
  </si>
  <si>
    <t xml:space="preserve">  Treasury Balance End of FY 1972</t>
  </si>
  <si>
    <t>"[38,500,000.00]</t>
  </si>
  <si>
    <t>"[7,413.18]</t>
  </si>
  <si>
    <t>FY 1973</t>
  </si>
  <si>
    <t>"[76,009,460.90]</t>
  </si>
  <si>
    <t xml:space="preserve">  Treasury Balance End of FY 1973</t>
  </si>
  <si>
    <t>"[24,932.82]</t>
  </si>
  <si>
    <t>FY 1974</t>
  </si>
  <si>
    <t xml:space="preserve">  Variance from Ttl Authorized Receipts</t>
  </si>
  <si>
    <t xml:space="preserve"> Record of NPS</t>
  </si>
  <si>
    <t>"[62,065,954.15]</t>
  </si>
  <si>
    <t xml:space="preserve"> adjustments has</t>
  </si>
  <si>
    <t xml:space="preserve"> not been found</t>
  </si>
  <si>
    <t xml:space="preserve">  Treasury Balance End of FY 1974</t>
  </si>
  <si>
    <t>"[262,277,000.00]</t>
  </si>
  <si>
    <t>"[6,017,916.00]</t>
  </si>
  <si>
    <t>FY 1975</t>
  </si>
  <si>
    <t>"[46,657,132.22]</t>
  </si>
  <si>
    <t xml:space="preserve">  Treasury Balance End of FY 1975</t>
  </si>
  <si>
    <t>"[254,785,000.00]</t>
  </si>
  <si>
    <t>"[95,262.03]</t>
  </si>
  <si>
    <t>FY 1976</t>
  </si>
  <si>
    <t>"[27,551,628.55]</t>
  </si>
  <si>
    <t xml:space="preserve">  Warrant Appropriations (-0- Expired)</t>
  </si>
  <si>
    <t xml:space="preserve">  Treasury Balance End of FY 1976</t>
  </si>
  <si>
    <t>"[237,799,000.00]</t>
  </si>
  <si>
    <t>"[4,288,206.65]</t>
  </si>
  <si>
    <t>TRANSITION QUARTER (7/1-9/30/76)</t>
  </si>
  <si>
    <t>"[49,907,370.17]</t>
  </si>
  <si>
    <t xml:space="preserve">  Treasury Balance End of Trans. Quarter</t>
  </si>
  <si>
    <t>"[20,224,298.80]</t>
  </si>
  <si>
    <t>FY 1977</t>
  </si>
  <si>
    <t>"[62,728,913.36]</t>
  </si>
  <si>
    <t xml:space="preserve">  Treasury Balance End of FY 1977</t>
  </si>
  <si>
    <t>"[0.00]</t>
  </si>
  <si>
    <t>"[15,344,878.49]</t>
  </si>
  <si>
    <t>FY 1978</t>
  </si>
  <si>
    <t xml:space="preserve">  Credit Authorized Total Receipts:</t>
  </si>
  <si>
    <t xml:space="preserve">    Regular Account</t>
  </si>
  <si>
    <t xml:space="preserve">    Special "Burton" Account (PL 95-42)</t>
  </si>
  <si>
    <t>"[59,533,262.63]</t>
  </si>
  <si>
    <t xml:space="preserve">  Warrant Appropriations:</t>
  </si>
  <si>
    <t xml:space="preserve">  Treasury Balance End of FY 1978</t>
  </si>
  <si>
    <t>"[102,308,515.24]</t>
  </si>
  <si>
    <t>"[1,045,198.55]</t>
  </si>
  <si>
    <t>"[8,353,713.79]</t>
  </si>
  <si>
    <t>"[95,000,000.00]</t>
  </si>
  <si>
    <t>FY 1979</t>
  </si>
  <si>
    <t xml:space="preserve">  Credit Authorized Total of Receipts:</t>
  </si>
  <si>
    <t xml:space="preserve">  Error (corrected FY 1980)</t>
  </si>
  <si>
    <t xml:space="preserve">  Treasury Balance End of FY 1979</t>
  </si>
  <si>
    <t>"[161,976,827.99]</t>
  </si>
  <si>
    <t>"[3,851,652.11]</t>
  </si>
  <si>
    <t>"[23,207,480.10]</t>
  </si>
  <si>
    <t xml:space="preserve">      (No change after FY 1979 to date)</t>
  </si>
  <si>
    <t>"[142,621,000.00]</t>
  </si>
  <si>
    <t>FY 1980</t>
  </si>
  <si>
    <t xml:space="preserve">  Credit Authorized Total of Receipts</t>
  </si>
  <si>
    <t xml:space="preserve">  Correction of error made in FY 1979</t>
  </si>
  <si>
    <t xml:space="preserve">  Treasury Balance End of FY 1980</t>
  </si>
  <si>
    <t>"[651,239,691.12]</t>
  </si>
  <si>
    <t>"[-665,296.07]</t>
  </si>
  <si>
    <t xml:space="preserve">  Receipts Shortage to Be Restored</t>
  </si>
  <si>
    <t xml:space="preserve">  Adjusted Balance End of FY 1980</t>
  </si>
  <si>
    <t xml:space="preserve">  Restore Shortage of FY 1980 Receipts</t>
  </si>
  <si>
    <t xml:space="preserve">  Less: Non-OCS Receipts Credited</t>
  </si>
  <si>
    <t xml:space="preserve">    through August</t>
  </si>
  <si>
    <t>*</t>
  </si>
  <si>
    <t xml:space="preserve">  Subtotal, OCS Receipts Credited</t>
  </si>
  <si>
    <t>"[867,123,127.83]</t>
  </si>
  <si>
    <t>"[866,457,831.76]</t>
  </si>
  <si>
    <t xml:space="preserve">  Credit Actual Non-OCS Receipts</t>
  </si>
  <si>
    <t xml:space="preserve">  Treasury Balance End of FY 1981</t>
  </si>
  <si>
    <t>"[1,262,646,691.12]</t>
  </si>
  <si>
    <t>"[28,719,669.42]</t>
  </si>
  <si>
    <t xml:space="preserve">  Less: Excess Receipts to Be Returned</t>
  </si>
  <si>
    <t xml:space="preserve">  Adjusted Balance End of FY 1981</t>
  </si>
  <si>
    <t>FY 1982</t>
  </si>
  <si>
    <t xml:space="preserve">  Return Excess FY 1981 Receipts</t>
  </si>
  <si>
    <t>"[825,959,540.09]</t>
  </si>
  <si>
    <t>"[854,679,209.51]</t>
  </si>
  <si>
    <t xml:space="preserve">  Treasury Balance End of FY 1982</t>
  </si>
  <si>
    <t>"[1,937,398,900.63]</t>
  </si>
  <si>
    <t>"[80,086,734.72]</t>
  </si>
  <si>
    <t xml:space="preserve">  Adjusted Balance End of FY 1982</t>
  </si>
  <si>
    <t>FY 1983</t>
  </si>
  <si>
    <t xml:space="preserve">  Return Excess FY 1982 Receipts</t>
  </si>
  <si>
    <t>"[814,693,040.16]</t>
  </si>
  <si>
    <t>"[849,458,984.39]</t>
  </si>
  <si>
    <t xml:space="preserve">  Treasury Balance End of FY 1983</t>
  </si>
  <si>
    <t>"[2,526,993,387.28]</t>
  </si>
  <si>
    <t>"[23,265,448.30]</t>
  </si>
  <si>
    <t xml:space="preserve">    (Erroneous; should be -$2,632,144.46;</t>
  </si>
  <si>
    <t xml:space="preserve">    corrected in FY 1985)</t>
  </si>
  <si>
    <t xml:space="preserve">  Adjusted Balance End of FY 1983</t>
  </si>
  <si>
    <t>FY 1984</t>
  </si>
  <si>
    <t xml:space="preserve">  Return Excess FY 1984 Receipts</t>
  </si>
  <si>
    <t>"[789,421,287.55]</t>
  </si>
  <si>
    <t>"[812,686,735.85]</t>
  </si>
  <si>
    <t xml:space="preserve">  Treasury Balance End of FY 1984</t>
  </si>
  <si>
    <t>FY 1981</t>
  </si>
  <si>
    <t>1983</t>
  </si>
  <si>
    <t>merged</t>
  </si>
  <si>
    <t>to date</t>
  </si>
  <si>
    <t>1984</t>
  </si>
  <si>
    <t>into</t>
  </si>
  <si>
    <t>1985</t>
  </si>
  <si>
    <t>NPS)</t>
  </si>
  <si>
    <t>1986</t>
  </si>
  <si>
    <t>1987</t>
  </si>
  <si>
    <t>1988</t>
  </si>
  <si>
    <t>1989</t>
  </si>
  <si>
    <t>1990</t>
  </si>
  <si>
    <t>1991</t>
  </si>
  <si>
    <t>1992</t>
  </si>
  <si>
    <t>FY 1991</t>
  </si>
  <si>
    <t>1993</t>
  </si>
  <si>
    <t>"[-28,773,882.81]</t>
  </si>
  <si>
    <t>1994</t>
  </si>
  <si>
    <t>1995</t>
  </si>
  <si>
    <t>"[-2,164.00]</t>
  </si>
  <si>
    <t>1996</t>
  </si>
  <si>
    <t>1997</t>
  </si>
  <si>
    <t>Subt'l</t>
  </si>
  <si>
    <t>Estimated:</t>
  </si>
  <si>
    <t>1998</t>
  </si>
  <si>
    <t>FY 1968 &amp;1969 amounts do not include bracketed amounts appropriated from the General Treasury for L&amp;WCF purposes but not counted by Treasury as L&amp;WCF receipts or appropriations.</t>
  </si>
  <si>
    <t>Beginning in FY 1969 OCS receipts are to be credited to the L&amp;WC Fund each FY in an amount to make the total receipts each FY equal to the amount authorized in the L&amp;WC Fund Act.</t>
  </si>
  <si>
    <t>The authorized amount for the Transition Quarter between fiscal years 1976 and 1977 was set by the appropriation language.</t>
  </si>
  <si>
    <t>|This report is a draft for internal use only at this time.  Most amounts were compiled several years ago from old records, but a recent and incomplete search of records has not confirmed</t>
  </si>
  <si>
    <t>the error/correction in FY 1979/1980 and the reversal in FY 1981 of the $665,296.07 shortage.  The actual totals for each year, however, are correct in that they agree with Treasury reports.</t>
  </si>
  <si>
    <t>No further receipts or appropriations after FY 1979 to date; unappropriated receipts balance remains available indefinitely for appropriation.</t>
  </si>
  <si>
    <t>Only appropriations to date.</t>
  </si>
  <si>
    <t>Excess OCS receipts from previous years need to be returned in FY 1994 as follows: from FY 1992, $28,773,882.81; and from FY 1993, $6,008,315.00.</t>
  </si>
  <si>
    <t>///////////////</t>
  </si>
  <si>
    <t>////////////////////////////////</t>
  </si>
  <si>
    <t>EXPLANATION OF COMPENSATING ADJUSTMENTS TO BE MADE TO OUTER CONTINENTAL SHELF RECEIPTS</t>
  </si>
  <si>
    <t>|The estimated FY 1997 Outer Continental Shelf receipts do not include estimated compensating adjustments of +$0.99</t>
  </si>
  <si>
    <t/>
  </si>
  <si>
    <t>|and -$8,005,948.18 for differences in FY 1995 and FY 1996 respectively from the legally mandated totals of $900 million</t>
  </si>
  <si>
    <t>|for each fiscal year that occurred because of a lag in reporting.   The adjustment for FY 1995 was not made in FY 1996</t>
  </si>
  <si>
    <t>|because of an oversight, so it is expected to be made in FY 1997 along with the adjustment for FY 1996.  The adjustments</t>
  </si>
  <si>
    <t>|to be made for FY 1995 and FY 1996 are explained below.</t>
  </si>
  <si>
    <t>Unappropriated receipts balance, end of FY 1996 reported by Treasury</t>
  </si>
  <si>
    <t>Compensating adjustment for FY 1995 to be made FY 1997:</t>
  </si>
  <si>
    <t xml:space="preserve">    Adjustment to be made to restore shortage of FY 1995 OCS receipts (+)</t>
  </si>
  <si>
    <t xml:space="preserve">    Less: Part of adjustment made in FY 1996</t>
  </si>
  <si>
    <t xml:space="preserve">        Remaining part of adjustment to be made in FY 1997 (+)</t>
  </si>
  <si>
    <t>Compensating adjustment for FY 1996 to be made FY 1997:</t>
  </si>
  <si>
    <t xml:space="preserve">    Reduction (below $900,000,000) to OCS receipts during FY 1996 equal to</t>
  </si>
  <si>
    <t xml:space="preserve">        unappropriated balance of non-OCS receipts reported to NPS Accounting</t>
  </si>
  <si>
    <t xml:space="preserve">        Operations as of 8/31/96</t>
  </si>
  <si>
    <t xml:space="preserve">    Actual non-OCS receipts credited during FY</t>
  </si>
  <si>
    <t xml:space="preserve">                        </t>
  </si>
  <si>
    <t xml:space="preserve">    Excess (+) of OCS receipts in FY 1996/ Compensating adjustment to be made</t>
  </si>
  <si>
    <t xml:space="preserve">        to OCS receipts in FY 1997 (-) after FY 1996 data is final</t>
  </si>
  <si>
    <t>Adjusted unappropriated receipts balance, end of FY 1996</t>
  </si>
  <si>
    <t>NPS Budget Team   November 12, 1996</t>
  </si>
  <si>
    <t>/</t>
  </si>
  <si>
    <t>ONE TABLE IS BELOW THIS LINE, AND SEVERAL TABLES ABOVE IT.</t>
  </si>
  <si>
    <t>Send copies of updated tables to Howard Miller (Land Acquisition), Mike Rogers (Recreation Grants) and Ray Hoy (Accounting Operations Div.)</t>
  </si>
  <si>
    <t>LAND &amp; WATER CONSERVATION FUND RECEIPTS, APPROPRIATIONS AND BALANCES</t>
  </si>
  <si>
    <t>Treasury Report</t>
  </si>
  <si>
    <t>Adjusted by NPS</t>
  </si>
  <si>
    <t>FY 1965 (Beginning of L&amp;WC Fund)</t>
  </si>
  <si>
    <t xml:space="preserve">  Credit Total Receipts--All Non-OCS</t>
  </si>
  <si>
    <t xml:space="preserve"> No adjustments</t>
  </si>
  <si>
    <t xml:space="preserve">  Warrant Appropriations</t>
  </si>
  <si>
    <t xml:space="preserve">     by NPS</t>
  </si>
  <si>
    <t xml:space="preserve">  Reduce Warrant: Return Amount Expired</t>
  </si>
  <si>
    <t xml:space="preserve"> before FY 1974</t>
  </si>
  <si>
    <t xml:space="preserve">  Treasury Balance End of FY 1965</t>
  </si>
  <si>
    <t>FY 1966</t>
  </si>
  <si>
    <t>--  FY 2001 data are final reported by Treasury, except that $157,438,549 of FY 2001 appropriations that were not warranted until FY 2002 are shown</t>
  </si>
  <si>
    <t xml:space="preserve">     as being warranted in FY 2001 to agree with appropriation data for L&amp;WCF that is shown in a related table.</t>
  </si>
  <si>
    <t>FY 2001 Title VIII:</t>
  </si>
  <si>
    <t>FY 2002 Enacted to date:</t>
  </si>
  <si>
    <t>State Wildlife Grants</t>
  </si>
  <si>
    <t>Rescission of FY 2001 State Wildlife Grants</t>
  </si>
  <si>
    <t>Cooperative Endangered Species Conservation Fund</t>
  </si>
  <si>
    <t>North American Wetlands Conservation Fund</t>
  </si>
  <si>
    <t>State and Private Forestry</t>
  </si>
  <si>
    <t>Total Warranted During FY 2001</t>
  </si>
  <si>
    <t>GRAND TOTAL WARRANTED</t>
  </si>
  <si>
    <t>APPROPRIATIONS AND RELATED WARRANTS</t>
  </si>
  <si>
    <t>TREASURY WARRANTS REPORTED BY MONTH</t>
  </si>
  <si>
    <t>|</t>
  </si>
  <si>
    <t>APPROPRIATIONS FROM THE LAND &amp; WATER CONSERVATION FUND (in thousands of dollars)</t>
  </si>
  <si>
    <t>LAND AND WATER CONSERVATION FUND AUTHORIZED AND ACTUAL RECEIPTS TOTALS</t>
  </si>
  <si>
    <t>DRAFT FOR INTERNAL USE ONLY</t>
  </si>
  <si>
    <t>Surplus</t>
  </si>
  <si>
    <t>Motorboat</t>
  </si>
  <si>
    <t>Recreation</t>
  </si>
  <si>
    <t>Outer Continental</t>
  </si>
  <si>
    <t>Less: Appropriation Warrants</t>
  </si>
  <si>
    <t>Unappropriated</t>
  </si>
  <si>
    <t>Total</t>
  </si>
  <si>
    <t>N a t i o n a l   P a r k   S e r v i c e</t>
  </si>
  <si>
    <t>Grants</t>
  </si>
  <si>
    <t>Incl. in NPS Land Acquis.</t>
  </si>
  <si>
    <t>Credit OCS</t>
  </si>
  <si>
    <t>ReturnedOCS</t>
  </si>
  <si>
    <t>Returned Excess</t>
  </si>
  <si>
    <t>E x c e s s   O C S   R e c e i p t s   C r e d i t e d</t>
  </si>
  <si>
    <t>Variance</t>
  </si>
  <si>
    <t>Total Variance</t>
  </si>
  <si>
    <t>Total Actual</t>
  </si>
  <si>
    <t>Fiscal</t>
  </si>
  <si>
    <t>Property Sales</t>
  </si>
  <si>
    <t>Fuels Tax</t>
  </si>
  <si>
    <t>Fees</t>
  </si>
  <si>
    <t>Shelf Receipts</t>
  </si>
  <si>
    <t>Total Receipts</t>
  </si>
  <si>
    <t>Appropriations</t>
  </si>
  <si>
    <t>Expired, Re-</t>
  </si>
  <si>
    <t>Receipts Balance,</t>
  </si>
  <si>
    <t>to All</t>
  </si>
  <si>
    <t>Forest</t>
  </si>
  <si>
    <t>Fish and</t>
  </si>
  <si>
    <t>Bur of</t>
  </si>
  <si>
    <t>State</t>
  </si>
  <si>
    <t>Grant</t>
  </si>
  <si>
    <t>NPS</t>
  </si>
  <si>
    <t>HCRS</t>
  </si>
  <si>
    <t>Receipts Equal to</t>
  </si>
  <si>
    <t>Receipts = to</t>
  </si>
  <si>
    <t>OCS Receipts</t>
  </si>
  <si>
    <t>Reduced OCS Re-</t>
  </si>
  <si>
    <t>Non-OCS</t>
  </si>
  <si>
    <t>Net Amount to</t>
  </si>
  <si>
    <t>Unexplained</t>
  </si>
  <si>
    <t>from Amount</t>
  </si>
  <si>
    <t>Receipts</t>
  </si>
  <si>
    <t>Year</t>
  </si>
  <si>
    <t>(Acct. #5005.2)</t>
  </si>
  <si>
    <t>(Acct. #5005.3)</t>
  </si>
  <si>
    <t>(# 5005.4 (&amp;.1))</t>
  </si>
  <si>
    <t>into the Fund</t>
  </si>
  <si>
    <t>from the Fund</t>
  </si>
  <si>
    <t>turned to Fund</t>
  </si>
  <si>
    <t>End of Fiscal Year</t>
  </si>
  <si>
    <t>Bureaus</t>
  </si>
  <si>
    <t>Service</t>
  </si>
  <si>
    <t>WildlifeSvc</t>
  </si>
  <si>
    <t>Land Mgt</t>
  </si>
  <si>
    <t>Admin.</t>
  </si>
  <si>
    <t>Total Authorized</t>
  </si>
  <si>
    <t>FundsExpired</t>
  </si>
  <si>
    <t>Credited in</t>
  </si>
  <si>
    <t>ceipts = to Non-</t>
  </si>
  <si>
    <t>Receipts in</t>
  </si>
  <si>
    <t>Be Returned</t>
  </si>
  <si>
    <t>Errors and</t>
  </si>
  <si>
    <t>Due to Lack</t>
  </si>
  <si>
    <t>Authorized in</t>
  </si>
  <si>
    <t>Reported by</t>
  </si>
  <si>
    <t>by L&amp;WCF Act</t>
  </si>
  <si>
    <t>Previous FY</t>
  </si>
  <si>
    <t>OCS thru August</t>
  </si>
  <si>
    <t>Entire Fiscal Yr.</t>
  </si>
  <si>
    <t>Next Fiscal Year</t>
  </si>
  <si>
    <t>Corrections</t>
  </si>
  <si>
    <t>of Records</t>
  </si>
  <si>
    <t>L&amp;WCF Act</t>
  </si>
  <si>
    <t>Treasury Dept.</t>
  </si>
  <si>
    <t>Total L&amp;WCF</t>
  </si>
  <si>
    <t>1965</t>
  </si>
  <si>
    <t>)  No OCS receipts were authorized or credited.</t>
  </si>
  <si>
    <t xml:space="preserve">- </t>
  </si>
  <si>
    <t>1966</t>
  </si>
  <si>
    <t>)  Amounts shown are total receipts from certain</t>
  </si>
  <si>
    <t>1967</t>
  </si>
  <si>
    <t>)  non-OCS sources, which were credited as</t>
  </si>
  <si>
    <t>1968</t>
  </si>
  <si>
    <t>)  authorized by the L&amp;WC Fund Act.</t>
  </si>
  <si>
    <t xml:space="preserve">    From General Treasury *</t>
  </si>
  <si>
    <t xml:space="preserve">      [9,191,000.00]</t>
  </si>
  <si>
    <t>[9,191]</t>
  </si>
  <si>
    <t xml:space="preserve">  Gen.Tr.   [9,191,000.00]</t>
  </si>
  <si>
    <t>1969</t>
  </si>
  <si>
    <t>OCS receipts were reduced</t>
  </si>
  <si>
    <t>[53,000,000.00]</t>
  </si>
  <si>
    <t>[53,000]</t>
  </si>
  <si>
    <t xml:space="preserve">  Gen.Tr. [53,000,000.00]</t>
  </si>
  <si>
    <t>from the authorized amount</t>
  </si>
  <si>
    <t xml:space="preserve">    [53,000,000.00]</t>
  </si>
  <si>
    <t>1970</t>
  </si>
  <si>
    <t>in each of FY's 1969 through</t>
  </si>
  <si>
    <t>1971</t>
  </si>
  <si>
    <t>1973 by an amount equal</t>
  </si>
  <si>
    <t>1972</t>
  </si>
  <si>
    <t>to non-OCS receipts in</t>
  </si>
  <si>
    <t>1973</t>
  </si>
  <si>
    <t xml:space="preserve"> (Funding for</t>
  </si>
  <si>
    <t>each respective fiscal year.</t>
  </si>
  <si>
    <t>1974</t>
  </si>
  <si>
    <t xml:space="preserve"> NPS Land</t>
  </si>
  <si>
    <t>1975</t>
  </si>
  <si>
    <t xml:space="preserve"> Acquisition</t>
  </si>
  <si>
    <t>1976</t>
  </si>
  <si>
    <t xml:space="preserve"> Administration</t>
  </si>
  <si>
    <t>No records for fiscal years 1974 through 1980 have been found sufficient to explain the variances.</t>
  </si>
  <si>
    <t>Tr Qtr</t>
  </si>
  <si>
    <t xml:space="preserve"> (Acquisition</t>
  </si>
  <si>
    <t>1977</t>
  </si>
  <si>
    <t xml:space="preserve"> Management)</t>
  </si>
  <si>
    <t>1978</t>
  </si>
  <si>
    <t xml:space="preserve"> was not</t>
  </si>
  <si>
    <t>1979</t>
  </si>
  <si>
    <t xml:space="preserve"> separately</t>
  </si>
  <si>
    <t>1980</t>
  </si>
  <si>
    <t xml:space="preserve"> identified</t>
  </si>
  <si>
    <t>1981</t>
  </si>
  <si>
    <t xml:space="preserve"> before FY 1982)</t>
  </si>
  <si>
    <t>Not done</t>
  </si>
  <si>
    <t>1982</t>
  </si>
  <si>
    <t>(HCRS</t>
  </si>
  <si>
    <t>2005</t>
  </si>
  <si>
    <t>BLM Land Acquisition</t>
  </si>
  <si>
    <t>WT100118</t>
  </si>
  <si>
    <t>WT100196</t>
  </si>
  <si>
    <t>WT101079</t>
  </si>
  <si>
    <t>FWS Land Acquisition</t>
  </si>
  <si>
    <t>14X5033</t>
  </si>
  <si>
    <t>14X5020</t>
  </si>
  <si>
    <t>WT100117</t>
  </si>
  <si>
    <t>WT100194</t>
  </si>
  <si>
    <t>WT100274</t>
  </si>
  <si>
    <t>WT101082</t>
  </si>
  <si>
    <t>NPS Land Acquisition</t>
  </si>
  <si>
    <t>14X5035</t>
  </si>
  <si>
    <t>WT100116</t>
  </si>
  <si>
    <t>WT100195</t>
  </si>
  <si>
    <t>WT100273</t>
  </si>
  <si>
    <t>WT101113</t>
  </si>
  <si>
    <t>WT100050</t>
  </si>
  <si>
    <t>WT101850</t>
  </si>
  <si>
    <t>WT101851</t>
  </si>
  <si>
    <t>WT100275</t>
  </si>
  <si>
    <t>WT101136</t>
  </si>
  <si>
    <t>WT100741</t>
  </si>
  <si>
    <t>14X5496</t>
  </si>
  <si>
    <t>FWS Landowner Incentive</t>
  </si>
  <si>
    <t>FWS Private Stewardship</t>
  </si>
  <si>
    <t>FWS State &amp; Tribal Wildlife</t>
  </si>
  <si>
    <t>14X5495</t>
  </si>
  <si>
    <t>14X5474</t>
  </si>
  <si>
    <t>FWS Coop. Endangered Species</t>
  </si>
  <si>
    <t>14X5479</t>
  </si>
  <si>
    <t>USFS Land Acqusition *</t>
  </si>
  <si>
    <t>USFS Forest Legacy *</t>
  </si>
  <si>
    <t>*  No access to spending account warrants.  These are withdrawals from LWCF</t>
  </si>
  <si>
    <t>Transfers</t>
  </si>
  <si>
    <t>BLM total</t>
  </si>
  <si>
    <t>FWS total</t>
  </si>
  <si>
    <t>NPS total</t>
  </si>
  <si>
    <r>
      <t xml:space="preserve">Appropriation </t>
    </r>
    <r>
      <rPr>
        <vertAlign val="superscript"/>
        <sz val="8"/>
        <rFont val="Helv"/>
        <family val="0"/>
      </rPr>
      <t>1/</t>
    </r>
  </si>
  <si>
    <r>
      <t xml:space="preserve">Reduction </t>
    </r>
    <r>
      <rPr>
        <vertAlign val="superscript"/>
        <sz val="8"/>
        <rFont val="Helv"/>
        <family val="0"/>
      </rPr>
      <t>1/</t>
    </r>
  </si>
  <si>
    <t>1/  Interior and Related Agencies Appropriations, PL 108-108.  Included an across the board reduction of .646%</t>
  </si>
  <si>
    <t>2/  The Consolidated Appropriations, PL 108-199 included a further across the board reduction of .59%</t>
  </si>
  <si>
    <t>By Bureau</t>
  </si>
  <si>
    <t>Net Warrants</t>
  </si>
  <si>
    <t>to FWS Res. Mgt for Loxahatchee</t>
  </si>
  <si>
    <t>to BIA for Quinnault settlement</t>
  </si>
  <si>
    <r>
      <t>Reduction 2</t>
    </r>
    <r>
      <rPr>
        <vertAlign val="superscript"/>
        <sz val="8"/>
        <rFont val="Helv"/>
        <family val="0"/>
      </rPr>
      <t>/</t>
    </r>
  </si>
  <si>
    <r>
      <t>Adjmt 3</t>
    </r>
    <r>
      <rPr>
        <vertAlign val="superscript"/>
        <sz val="8"/>
        <rFont val="Helv"/>
        <family val="0"/>
      </rPr>
      <t>/</t>
    </r>
  </si>
  <si>
    <t>3/  OMB changed their interpretation of reduction language - it did not apply to balance transfers.</t>
  </si>
  <si>
    <t>FY 2004 warrants</t>
  </si>
  <si>
    <t>14X5367</t>
  </si>
  <si>
    <t>14X5004</t>
  </si>
  <si>
    <t>FY 2003 Enacted:</t>
  </si>
  <si>
    <t>FY 2004 Enacted:</t>
  </si>
  <si>
    <t>Transfer to FWS Res Mgt (frm NPS land)</t>
  </si>
  <si>
    <t>Transfer to BIA Settlements (frm FWS land)</t>
  </si>
  <si>
    <t xml:space="preserve">    Outdoor Recreation) until HCRS was abolished and merged into the National Park Service (NPS) May 31, 1981.  NPS then became manager of the LWCF.</t>
  </si>
  <si>
    <t>FY 2005 warrants</t>
  </si>
  <si>
    <t>2006</t>
  </si>
  <si>
    <t>WT104172</t>
  </si>
  <si>
    <t>WT104173</t>
  </si>
  <si>
    <t>WT104508</t>
  </si>
  <si>
    <t>WT104512</t>
  </si>
  <si>
    <t>WT104513</t>
  </si>
  <si>
    <t>WT103547</t>
  </si>
  <si>
    <t>WT104197</t>
  </si>
  <si>
    <t>WT104283</t>
  </si>
  <si>
    <t>WT103545</t>
  </si>
  <si>
    <t>WT104203</t>
  </si>
  <si>
    <t>WT104270</t>
  </si>
  <si>
    <t>WT103571</t>
  </si>
  <si>
    <t>WT104204</t>
  </si>
  <si>
    <t>WT104271</t>
  </si>
  <si>
    <t>Yes.  Many of the WTs are the same.</t>
  </si>
  <si>
    <t>land</t>
  </si>
  <si>
    <t>all other</t>
  </si>
  <si>
    <t>FY 2006 warrants</t>
  </si>
  <si>
    <t>DM Appraisal Service</t>
  </si>
  <si>
    <t>14X5771</t>
  </si>
  <si>
    <t>DM total</t>
  </si>
  <si>
    <t xml:space="preserve">    *Reflects technical fix in 109-97 </t>
  </si>
  <si>
    <t>NPS Land Acquisition*</t>
  </si>
  <si>
    <t>WT 78014-56-3</t>
  </si>
  <si>
    <t>WT 688-14-40-3</t>
  </si>
  <si>
    <t>WT 728-14-58-3</t>
  </si>
  <si>
    <t>WT 689-14-40-3</t>
  </si>
  <si>
    <t>WT 687-14-39-3</t>
  </si>
  <si>
    <t>WT 680-14-42-3</t>
  </si>
  <si>
    <t>WT 783-14-59-3</t>
  </si>
  <si>
    <t>BIA</t>
  </si>
  <si>
    <t>14X5505</t>
  </si>
  <si>
    <t>WT 784-14-60-3</t>
  </si>
  <si>
    <t>WT693-14-45-3</t>
  </si>
  <si>
    <t xml:space="preserve">Appropriation </t>
  </si>
  <si>
    <t xml:space="preserve">Reduction </t>
  </si>
  <si>
    <t>Adjmt</t>
  </si>
  <si>
    <t>WT098883</t>
  </si>
  <si>
    <t>Adjust</t>
  </si>
  <si>
    <t>Gov't wide</t>
  </si>
  <si>
    <t>1/  Technical Fix language for $17m required an adjustment of DOI reduction</t>
  </si>
  <si>
    <t>Line item</t>
  </si>
  <si>
    <t>rescission</t>
  </si>
  <si>
    <t>Note: FY06 NPS land amount does not include -17m transfer to Construction since this does not impact LWCF balance</t>
  </si>
  <si>
    <t>Statutory</t>
  </si>
  <si>
    <t>non-Statutory</t>
  </si>
  <si>
    <t>to FWS Res Mgt</t>
  </si>
  <si>
    <t>to ONPS for So Fl</t>
  </si>
  <si>
    <t>to NPS Construction</t>
  </si>
  <si>
    <t>[4968000]</t>
  </si>
  <si>
    <t>Cross check with</t>
  </si>
  <si>
    <t>hard copy STAR-Treasury Unappropriated Receipt Account Trial balance</t>
  </si>
  <si>
    <t xml:space="preserve">USFS Land Acqusition </t>
  </si>
  <si>
    <t xml:space="preserve">USFS Forest Legacy </t>
  </si>
  <si>
    <t>Earlier 1/ 2/</t>
  </si>
  <si>
    <t>2/ The USFS chg was 9-29 to 98/01 TFAS.  It had an old py approp cite of 111 STAT 1610.</t>
  </si>
  <si>
    <t>2008 est</t>
  </si>
  <si>
    <t>FY 2007 warrants</t>
  </si>
  <si>
    <t>1/</t>
  </si>
  <si>
    <t>1/  Enacted 2007 was 2006 actual, less line item rescission, certain statutory adjustments specific to accounts, plus pay.</t>
  </si>
  <si>
    <t>LWCF funding</t>
  </si>
  <si>
    <t xml:space="preserve">  BLM Land Acquisition</t>
  </si>
  <si>
    <t xml:space="preserve">  FWS Land Acquisition</t>
  </si>
  <si>
    <t>FWS Coop. Endangered Species - LWCF</t>
  </si>
  <si>
    <t>USFS Land Acquisition</t>
  </si>
  <si>
    <t>USFS Urban and Community Forestry</t>
  </si>
  <si>
    <t>2007</t>
  </si>
  <si>
    <t>Amounts included in the 2008 budget</t>
  </si>
  <si>
    <t>Dollars in Millions</t>
  </si>
  <si>
    <t>2008 Enacted</t>
  </si>
  <si>
    <t>Across-the-Board</t>
  </si>
  <si>
    <t>14X5003</t>
  </si>
  <si>
    <t xml:space="preserve">  NPS Land Acquisition  </t>
  </si>
  <si>
    <t>ATB</t>
  </si>
  <si>
    <t>Net in 000s</t>
  </si>
  <si>
    <t>NPS Stateside Grants</t>
  </si>
  <si>
    <t>2009</t>
  </si>
  <si>
    <t>2009 est</t>
  </si>
  <si>
    <t>um   No pennies on 6655</t>
  </si>
  <si>
    <t>(# 5005.7&amp;.8 (&amp;.5)) and Stateside GOMESA receipts</t>
  </si>
  <si>
    <t>&lt;----remember GOMESA receipts and GOMESA spending!</t>
  </si>
  <si>
    <t>GOMESA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</si>
</sst>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0.00000\)"/>
    <numFmt numFmtId="165" formatCode="#,##0.000_);\(#,##0.000\)"/>
    <numFmt numFmtId="166" formatCode="#,##0.0_);\(#,##0.0\)"/>
    <numFmt numFmtId="167" formatCode="_(* #,##0_);_(* \(#,##0\);_(* &quot;-&quot;??_);_(@_)"/>
    <numFmt numFmtId="168" formatCode="_(* #,##0.0_);_(* \(#,##0.0\);_(* &quot;-&quot;??_);_(@_)"/>
    <numFmt numFmtId="169" formatCode="#,##0.0000_);\(#,##0.0000\)"/>
  </numFmts>
  <fonts count="23">
    <font>
      <sz val="10"/>
      <name val="Helv"/>
      <family val="0"/>
    </font>
    <font>
      <b/>
      <sz val="9"/>
      <name val="Arial"/>
      <family val="0"/>
    </font>
    <font>
      <i/>
      <sz val="9"/>
      <name val="Arial"/>
      <family val="0"/>
    </font>
    <font>
      <b/>
      <i/>
      <sz val="9"/>
      <name val="Arial"/>
      <family val="0"/>
    </font>
    <font>
      <sz val="9"/>
      <name val="Arial"/>
      <family val="0"/>
    </font>
    <font>
      <u val="single"/>
      <sz val="10"/>
      <name val="Helv"/>
      <family val="0"/>
    </font>
    <font>
      <sz val="10"/>
      <name val="Arial"/>
      <family val="2"/>
    </font>
    <font>
      <u val="single"/>
      <sz val="10"/>
      <name val="Arial"/>
      <family val="2"/>
    </font>
    <font>
      <sz val="13"/>
      <name val="Arial"/>
      <family val="2"/>
    </font>
    <font>
      <sz val="9"/>
      <name val="Helv"/>
      <family val="0"/>
    </font>
    <font>
      <sz val="10"/>
      <color indexed="10"/>
      <name val="Helv"/>
      <family val="0"/>
    </font>
    <font>
      <sz val="8"/>
      <name val="Helv"/>
      <family val="0"/>
    </font>
    <font>
      <b/>
      <sz val="10"/>
      <name val="Arial"/>
      <family val="2"/>
    </font>
    <font>
      <b/>
      <sz val="10"/>
      <name val="Helv"/>
      <family val="0"/>
    </font>
    <font>
      <vertAlign val="superscript"/>
      <sz val="8"/>
      <name val="Helv"/>
      <family val="0"/>
    </font>
    <font>
      <i/>
      <sz val="8"/>
      <name val="Helv"/>
      <family val="0"/>
    </font>
    <font>
      <i/>
      <sz val="10"/>
      <name val="Helv"/>
      <family val="0"/>
    </font>
    <font>
      <sz val="8"/>
      <name val="Tahoma"/>
      <family val="0"/>
    </font>
    <font>
      <b/>
      <sz val="8"/>
      <name val="Tahoma"/>
      <family val="0"/>
    </font>
    <font>
      <u val="single"/>
      <sz val="10"/>
      <color indexed="12"/>
      <name val="Helv"/>
      <family val="0"/>
    </font>
    <font>
      <u val="single"/>
      <sz val="10"/>
      <color indexed="36"/>
      <name val="Helv"/>
      <family val="0"/>
    </font>
    <font>
      <i/>
      <sz val="10"/>
      <name val="Arial"/>
      <family val="2"/>
    </font>
    <font>
      <b/>
      <sz val="8"/>
      <name val="Helv"/>
      <family val="2"/>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42">
    <border>
      <left/>
      <right/>
      <top/>
      <bottom/>
      <diagonal/>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style="thin">
        <color indexed="8"/>
      </right>
      <top style="thin"/>
      <bottom>
        <color indexed="63"/>
      </bottom>
    </border>
    <border>
      <left>
        <color indexed="63"/>
      </left>
      <right style="double">
        <color indexed="8"/>
      </right>
      <top style="thin"/>
      <bottom>
        <color indexed="63"/>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color indexed="63"/>
      </top>
      <bottom style="double">
        <color indexed="8"/>
      </bottom>
    </border>
  </borders>
  <cellStyleXfs count="22">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4" fillId="0" borderId="0" applyFont="0" applyFill="0" applyBorder="0" applyAlignment="0" applyProtection="0"/>
  </cellStyleXfs>
  <cellXfs count="263">
    <xf numFmtId="39" fontId="0" fillId="0" borderId="0" xfId="0" applyAlignment="1">
      <alignment/>
    </xf>
    <xf numFmtId="39" fontId="0" fillId="0" borderId="0" xfId="0" applyAlignment="1" applyProtection="1">
      <alignment horizontal="left"/>
      <protection/>
    </xf>
    <xf numFmtId="39" fontId="0" fillId="0" borderId="0" xfId="0" applyAlignment="1" applyProtection="1" quotePrefix="1">
      <alignment horizontal="center"/>
      <protection/>
    </xf>
    <xf numFmtId="39" fontId="0" fillId="0" borderId="0" xfId="0" applyAlignment="1" applyProtection="1">
      <alignment/>
      <protection/>
    </xf>
    <xf numFmtId="39" fontId="0" fillId="0" borderId="0" xfId="0" applyAlignment="1" applyProtection="1">
      <alignment horizontal="right"/>
      <protection/>
    </xf>
    <xf numFmtId="39" fontId="0" fillId="0" borderId="0" xfId="0" applyAlignment="1" applyProtection="1" quotePrefix="1">
      <alignment horizontal="left"/>
      <protection/>
    </xf>
    <xf numFmtId="39" fontId="0" fillId="0" borderId="0" xfId="0" applyAlignment="1" applyProtection="1">
      <alignment horizontal="fill"/>
      <protection/>
    </xf>
    <xf numFmtId="39" fontId="0" fillId="0" borderId="1" xfId="0" applyBorder="1" applyAlignment="1">
      <alignment/>
    </xf>
    <xf numFmtId="39" fontId="0" fillId="0" borderId="2" xfId="0" applyBorder="1" applyAlignment="1">
      <alignment/>
    </xf>
    <xf numFmtId="39" fontId="0" fillId="0" borderId="3" xfId="0" applyBorder="1" applyAlignment="1">
      <alignment/>
    </xf>
    <xf numFmtId="39" fontId="0" fillId="0" borderId="4" xfId="0" applyBorder="1" applyAlignment="1">
      <alignment/>
    </xf>
    <xf numFmtId="39" fontId="0" fillId="0" borderId="0" xfId="0" applyAlignment="1">
      <alignment horizontal="centerContinuous"/>
    </xf>
    <xf numFmtId="39" fontId="0" fillId="0" borderId="5" xfId="0" applyBorder="1" applyAlignment="1">
      <alignment/>
    </xf>
    <xf numFmtId="39" fontId="0" fillId="0" borderId="6" xfId="0" applyBorder="1" applyAlignment="1">
      <alignment/>
    </xf>
    <xf numFmtId="39" fontId="0" fillId="0" borderId="1" xfId="0" applyBorder="1" applyAlignment="1">
      <alignment horizontal="centerContinuous"/>
    </xf>
    <xf numFmtId="39" fontId="0" fillId="0" borderId="7" xfId="0" applyBorder="1" applyAlignment="1">
      <alignment horizontal="centerContinuous"/>
    </xf>
    <xf numFmtId="39" fontId="0" fillId="0" borderId="8" xfId="0" applyBorder="1" applyAlignment="1">
      <alignment horizontal="centerContinuous"/>
    </xf>
    <xf numFmtId="39" fontId="0" fillId="0" borderId="0" xfId="0" applyAlignment="1" applyProtection="1">
      <alignment horizontal="centerContinuous"/>
      <protection/>
    </xf>
    <xf numFmtId="39" fontId="0" fillId="0" borderId="2" xfId="0" applyBorder="1" applyAlignment="1" applyProtection="1">
      <alignment horizontal="center"/>
      <protection/>
    </xf>
    <xf numFmtId="39" fontId="0" fillId="0" borderId="8" xfId="0" applyBorder="1" applyAlignment="1" applyProtection="1">
      <alignment horizontal="centerContinuous"/>
      <protection/>
    </xf>
    <xf numFmtId="39" fontId="0" fillId="0" borderId="4" xfId="0" applyBorder="1" applyAlignment="1" applyProtection="1">
      <alignment horizontal="center"/>
      <protection/>
    </xf>
    <xf numFmtId="39" fontId="0" fillId="0" borderId="1" xfId="0" applyBorder="1" applyAlignment="1" applyProtection="1">
      <alignment horizontal="center"/>
      <protection/>
    </xf>
    <xf numFmtId="39" fontId="0" fillId="0" borderId="1" xfId="0" applyBorder="1" applyAlignment="1" applyProtection="1">
      <alignment horizontal="left"/>
      <protection/>
    </xf>
    <xf numFmtId="39" fontId="0" fillId="0" borderId="9" xfId="0" applyBorder="1" applyAlignment="1" applyProtection="1">
      <alignment horizontal="center"/>
      <protection/>
    </xf>
    <xf numFmtId="39" fontId="0" fillId="0" borderId="10" xfId="0" applyBorder="1" applyAlignment="1" applyProtection="1">
      <alignment horizontal="center"/>
      <protection/>
    </xf>
    <xf numFmtId="37" fontId="0" fillId="0" borderId="4" xfId="0" applyNumberFormat="1" applyBorder="1" applyAlignment="1" applyProtection="1">
      <alignment/>
      <protection/>
    </xf>
    <xf numFmtId="39" fontId="0" fillId="0" borderId="4" xfId="0" applyBorder="1" applyAlignment="1" applyProtection="1">
      <alignment horizontal="left"/>
      <protection/>
    </xf>
    <xf numFmtId="37" fontId="0" fillId="0" borderId="4" xfId="0" applyNumberFormat="1" applyBorder="1" applyAlignment="1" applyProtection="1">
      <alignment horizontal="left"/>
      <protection/>
    </xf>
    <xf numFmtId="39" fontId="0" fillId="0" borderId="1" xfId="0" applyBorder="1" applyAlignment="1" applyProtection="1">
      <alignment/>
      <protection/>
    </xf>
    <xf numFmtId="39" fontId="0" fillId="0" borderId="1" xfId="0" applyBorder="1" applyAlignment="1" applyProtection="1">
      <alignment horizontal="right"/>
      <protection/>
    </xf>
    <xf numFmtId="37" fontId="0" fillId="0" borderId="11" xfId="0" applyNumberFormat="1" applyBorder="1" applyAlignment="1" applyProtection="1">
      <alignment horizontal="left"/>
      <protection/>
    </xf>
    <xf numFmtId="37" fontId="0" fillId="0" borderId="1" xfId="0" applyNumberFormat="1" applyBorder="1" applyAlignment="1" applyProtection="1">
      <alignment horizontal="left"/>
      <protection/>
    </xf>
    <xf numFmtId="39" fontId="5" fillId="0" borderId="0" xfId="0" applyFont="1" applyAlignment="1" applyProtection="1">
      <alignment horizontal="left"/>
      <protection/>
    </xf>
    <xf numFmtId="39" fontId="0" fillId="0" borderId="12" xfId="0" applyBorder="1" applyAlignment="1" applyProtection="1">
      <alignment/>
      <protection/>
    </xf>
    <xf numFmtId="39" fontId="5" fillId="0" borderId="0" xfId="0" applyFont="1" applyAlignment="1" applyProtection="1">
      <alignment horizontal="center"/>
      <protection/>
    </xf>
    <xf numFmtId="4" fontId="6" fillId="0" borderId="0" xfId="0" applyNumberFormat="1" applyFont="1" applyAlignment="1">
      <alignment/>
    </xf>
    <xf numFmtId="4" fontId="6" fillId="0" borderId="0" xfId="0" applyNumberFormat="1" applyFont="1" applyAlignment="1">
      <alignment horizontal="centerContinuous"/>
    </xf>
    <xf numFmtId="4" fontId="6" fillId="0" borderId="2" xfId="0" applyNumberFormat="1" applyFont="1" applyBorder="1" applyAlignment="1">
      <alignment horizontal="centerContinuous"/>
    </xf>
    <xf numFmtId="4" fontId="6" fillId="0" borderId="2" xfId="0" applyNumberFormat="1" applyFont="1" applyBorder="1" applyAlignment="1" applyProtection="1">
      <alignment horizontal="center"/>
      <protection/>
    </xf>
    <xf numFmtId="4" fontId="6" fillId="0" borderId="10" xfId="0" applyNumberFormat="1" applyFont="1" applyBorder="1" applyAlignment="1" applyProtection="1">
      <alignment horizontal="center"/>
      <protection/>
    </xf>
    <xf numFmtId="4" fontId="6" fillId="0" borderId="1" xfId="0" applyNumberFormat="1" applyFont="1" applyBorder="1" applyAlignment="1">
      <alignment/>
    </xf>
    <xf numFmtId="4" fontId="6" fillId="0" borderId="1" xfId="0" applyNumberFormat="1" applyFont="1" applyBorder="1" applyAlignment="1" applyProtection="1">
      <alignment/>
      <protection/>
    </xf>
    <xf numFmtId="4" fontId="6" fillId="0" borderId="2" xfId="0" applyNumberFormat="1" applyFont="1" applyBorder="1" applyAlignment="1">
      <alignment/>
    </xf>
    <xf numFmtId="4" fontId="6" fillId="0" borderId="2" xfId="0" applyNumberFormat="1" applyFont="1" applyBorder="1" applyAlignment="1" applyProtection="1">
      <alignment/>
      <protection/>
    </xf>
    <xf numFmtId="4" fontId="6" fillId="0" borderId="6" xfId="0" applyNumberFormat="1" applyFont="1" applyBorder="1" applyAlignment="1">
      <alignment/>
    </xf>
    <xf numFmtId="4" fontId="6" fillId="0" borderId="10" xfId="0" applyNumberFormat="1" applyFont="1" applyBorder="1" applyAlignment="1">
      <alignment/>
    </xf>
    <xf numFmtId="4" fontId="6" fillId="0" borderId="0" xfId="0" applyNumberFormat="1" applyFont="1" applyAlignment="1" applyProtection="1">
      <alignment horizontal="left"/>
      <protection/>
    </xf>
    <xf numFmtId="4" fontId="7" fillId="0" borderId="0" xfId="0" applyNumberFormat="1" applyFont="1" applyAlignment="1">
      <alignment/>
    </xf>
    <xf numFmtId="4" fontId="6" fillId="0" borderId="0" xfId="0" applyNumberFormat="1" applyFont="1" applyAlignment="1" applyProtection="1">
      <alignment horizontal="fill"/>
      <protection/>
    </xf>
    <xf numFmtId="4" fontId="6" fillId="0" borderId="12" xfId="0" applyNumberFormat="1" applyFont="1" applyBorder="1" applyAlignment="1" applyProtection="1">
      <alignment horizontal="centerContinuous"/>
      <protection/>
    </xf>
    <xf numFmtId="4" fontId="6" fillId="0" borderId="0" xfId="0" applyNumberFormat="1" applyFont="1" applyAlignment="1" applyProtection="1">
      <alignment horizontal="right"/>
      <protection/>
    </xf>
    <xf numFmtId="4" fontId="6" fillId="0" borderId="0" xfId="0" applyNumberFormat="1" applyFont="1" applyAlignment="1" applyProtection="1">
      <alignment/>
      <protection/>
    </xf>
    <xf numFmtId="4" fontId="6" fillId="0" borderId="12" xfId="0" applyNumberFormat="1" applyFont="1" applyBorder="1" applyAlignment="1" applyProtection="1">
      <alignment/>
      <protection/>
    </xf>
    <xf numFmtId="4" fontId="6" fillId="0" borderId="1" xfId="0" applyNumberFormat="1" applyFont="1" applyBorder="1" applyAlignment="1" applyProtection="1" quotePrefix="1">
      <alignment horizontal="right"/>
      <protection/>
    </xf>
    <xf numFmtId="4" fontId="6" fillId="0" borderId="1" xfId="0" applyNumberFormat="1" applyFont="1" applyBorder="1" applyAlignment="1" applyProtection="1">
      <alignment horizontal="right"/>
      <protection/>
    </xf>
    <xf numFmtId="4" fontId="6" fillId="0" borderId="1" xfId="0" applyNumberFormat="1" applyFont="1" applyBorder="1" applyAlignment="1" applyProtection="1">
      <alignment horizontal="center"/>
      <protection/>
    </xf>
    <xf numFmtId="4" fontId="7" fillId="0" borderId="0" xfId="0" applyNumberFormat="1" applyFont="1" applyAlignment="1" applyProtection="1">
      <alignment horizontal="right"/>
      <protection/>
    </xf>
    <xf numFmtId="1" fontId="6" fillId="0" borderId="0" xfId="0" applyNumberFormat="1" applyFont="1" applyAlignment="1" applyProtection="1">
      <alignment horizontal="left"/>
      <protection/>
    </xf>
    <xf numFmtId="1" fontId="6" fillId="0" borderId="0" xfId="0" applyNumberFormat="1" applyFont="1" applyAlignment="1" applyProtection="1">
      <alignment horizontal="centerContinuous"/>
      <protection/>
    </xf>
    <xf numFmtId="1" fontId="6" fillId="0" borderId="0" xfId="0" applyNumberFormat="1" applyFont="1" applyAlignment="1">
      <alignment/>
    </xf>
    <xf numFmtId="1" fontId="6" fillId="0" borderId="3" xfId="0" applyNumberFormat="1" applyFont="1" applyBorder="1" applyAlignment="1">
      <alignment/>
    </xf>
    <xf numFmtId="1" fontId="6" fillId="0" borderId="4" xfId="0" applyNumberFormat="1" applyFont="1" applyBorder="1" applyAlignment="1" applyProtection="1">
      <alignment horizontal="center"/>
      <protection/>
    </xf>
    <xf numFmtId="1" fontId="6" fillId="0" borderId="9" xfId="0" applyNumberFormat="1" applyFont="1" applyBorder="1" applyAlignment="1" applyProtection="1">
      <alignment horizontal="center"/>
      <protection/>
    </xf>
    <xf numFmtId="1" fontId="6" fillId="0" borderId="4" xfId="0" applyNumberFormat="1" applyFont="1" applyBorder="1" applyAlignment="1">
      <alignment/>
    </xf>
    <xf numFmtId="1" fontId="7" fillId="0" borderId="11" xfId="0" applyNumberFormat="1" applyFont="1" applyBorder="1" applyAlignment="1" applyProtection="1">
      <alignment horizontal="left"/>
      <protection/>
    </xf>
    <xf numFmtId="1" fontId="6" fillId="0" borderId="4" xfId="0" applyNumberFormat="1" applyFont="1" applyBorder="1" applyAlignment="1" applyProtection="1">
      <alignment horizontal="left"/>
      <protection/>
    </xf>
    <xf numFmtId="1" fontId="6" fillId="0" borderId="11" xfId="0" applyNumberFormat="1" applyFont="1" applyBorder="1" applyAlignment="1" applyProtection="1">
      <alignment horizontal="left"/>
      <protection/>
    </xf>
    <xf numFmtId="1" fontId="6" fillId="0" borderId="5" xfId="0" applyNumberFormat="1" applyFont="1" applyBorder="1" applyAlignment="1">
      <alignment/>
    </xf>
    <xf numFmtId="1" fontId="6" fillId="0" borderId="9" xfId="0" applyNumberFormat="1" applyFont="1" applyBorder="1" applyAlignment="1">
      <alignment/>
    </xf>
    <xf numFmtId="1" fontId="6" fillId="0" borderId="0" xfId="0" applyNumberFormat="1" applyFont="1" applyAlignment="1" applyProtection="1" quotePrefix="1">
      <alignment horizontal="left"/>
      <protection/>
    </xf>
    <xf numFmtId="1" fontId="6" fillId="0" borderId="0" xfId="0" applyNumberFormat="1" applyFont="1" applyAlignment="1">
      <alignment horizontal="centerContinuous"/>
    </xf>
    <xf numFmtId="1" fontId="7" fillId="0" borderId="0" xfId="0" applyNumberFormat="1" applyFont="1" applyAlignment="1" applyProtection="1">
      <alignment horizontal="left"/>
      <protection/>
    </xf>
    <xf numFmtId="1" fontId="6" fillId="0" borderId="0" xfId="0" applyNumberFormat="1" applyFont="1" applyAlignment="1" applyProtection="1">
      <alignment horizontal="fill"/>
      <protection/>
    </xf>
    <xf numFmtId="4" fontId="6" fillId="0" borderId="10" xfId="0" applyNumberFormat="1" applyFont="1" applyBorder="1" applyAlignment="1" applyProtection="1" quotePrefix="1">
      <alignment horizontal="center"/>
      <protection/>
    </xf>
    <xf numFmtId="3" fontId="6" fillId="0" borderId="0" xfId="0" applyNumberFormat="1" applyFont="1" applyAlignment="1">
      <alignment/>
    </xf>
    <xf numFmtId="3" fontId="6" fillId="0" borderId="0" xfId="0" applyNumberFormat="1" applyFont="1" applyAlignment="1" applyProtection="1" quotePrefix="1">
      <alignment horizontal="center"/>
      <protection/>
    </xf>
    <xf numFmtId="3" fontId="6" fillId="0" borderId="0" xfId="0" applyNumberFormat="1" applyFont="1" applyAlignment="1" applyProtection="1">
      <alignment/>
      <protection/>
    </xf>
    <xf numFmtId="3" fontId="6" fillId="0" borderId="3" xfId="0" applyNumberFormat="1" applyFont="1" applyBorder="1" applyAlignment="1" applyProtection="1">
      <alignment/>
      <protection/>
    </xf>
    <xf numFmtId="3" fontId="6" fillId="0" borderId="2" xfId="0" applyNumberFormat="1" applyFont="1" applyBorder="1" applyAlignment="1" applyProtection="1">
      <alignment horizontal="center"/>
      <protection/>
    </xf>
    <xf numFmtId="3" fontId="6" fillId="0" borderId="12" xfId="0" applyNumberFormat="1" applyFont="1" applyBorder="1" applyAlignment="1" applyProtection="1">
      <alignment horizontal="centerContinuous"/>
      <protection/>
    </xf>
    <xf numFmtId="3" fontId="6" fillId="0" borderId="2" xfId="0" applyNumberFormat="1" applyFont="1" applyBorder="1" applyAlignment="1" applyProtection="1">
      <alignment/>
      <protection/>
    </xf>
    <xf numFmtId="3" fontId="6" fillId="0" borderId="13" xfId="0" applyNumberFormat="1" applyFont="1" applyBorder="1" applyAlignment="1" applyProtection="1">
      <alignment/>
      <protection/>
    </xf>
    <xf numFmtId="3" fontId="6" fillId="0" borderId="13" xfId="0" applyNumberFormat="1" applyFont="1" applyBorder="1" applyAlignment="1" applyProtection="1">
      <alignment horizontal="centerContinuous"/>
      <protection/>
    </xf>
    <xf numFmtId="3" fontId="6" fillId="0" borderId="4" xfId="0" applyNumberFormat="1" applyFont="1" applyBorder="1" applyAlignment="1" applyProtection="1">
      <alignment horizontal="center"/>
      <protection/>
    </xf>
    <xf numFmtId="3" fontId="6" fillId="0" borderId="1" xfId="0" applyNumberFormat="1" applyFont="1" applyBorder="1" applyAlignment="1" applyProtection="1">
      <alignment horizontal="center"/>
      <protection/>
    </xf>
    <xf numFmtId="3" fontId="6" fillId="0" borderId="13" xfId="0" applyNumberFormat="1" applyFont="1" applyBorder="1" applyAlignment="1" applyProtection="1">
      <alignment horizontal="center"/>
      <protection/>
    </xf>
    <xf numFmtId="3" fontId="6" fillId="0" borderId="2" xfId="0" applyNumberFormat="1" applyFont="1" applyBorder="1" applyAlignment="1" applyProtection="1">
      <alignment horizontal="centerContinuous"/>
      <protection/>
    </xf>
    <xf numFmtId="3" fontId="6" fillId="0" borderId="9" xfId="0" applyNumberFormat="1" applyFont="1" applyBorder="1" applyAlignment="1" applyProtection="1">
      <alignment horizontal="center"/>
      <protection/>
    </xf>
    <xf numFmtId="3" fontId="6" fillId="0" borderId="10" xfId="0" applyNumberFormat="1" applyFont="1" applyBorder="1" applyAlignment="1" applyProtection="1">
      <alignment horizontal="center"/>
      <protection/>
    </xf>
    <xf numFmtId="3" fontId="6" fillId="0" borderId="14" xfId="0" applyNumberFormat="1" applyFont="1" applyBorder="1" applyAlignment="1" applyProtection="1">
      <alignment horizontal="center"/>
      <protection/>
    </xf>
    <xf numFmtId="3" fontId="6" fillId="0" borderId="4" xfId="0" applyNumberFormat="1" applyFont="1" applyBorder="1" applyAlignment="1" applyProtection="1">
      <alignment/>
      <protection/>
    </xf>
    <xf numFmtId="3" fontId="6" fillId="0" borderId="1" xfId="0" applyNumberFormat="1" applyFont="1" applyBorder="1" applyAlignment="1" applyProtection="1">
      <alignment/>
      <protection/>
    </xf>
    <xf numFmtId="3" fontId="6" fillId="0" borderId="15" xfId="0" applyNumberFormat="1" applyFont="1" applyBorder="1" applyAlignment="1" applyProtection="1">
      <alignment/>
      <protection/>
    </xf>
    <xf numFmtId="3" fontId="7" fillId="0" borderId="11" xfId="0" applyNumberFormat="1" applyFont="1" applyBorder="1" applyAlignment="1" applyProtection="1">
      <alignment horizontal="left"/>
      <protection/>
    </xf>
    <xf numFmtId="3" fontId="6" fillId="0" borderId="4" xfId="0" applyNumberFormat="1" applyFont="1" applyBorder="1" applyAlignment="1" applyProtection="1">
      <alignment horizontal="left"/>
      <protection/>
    </xf>
    <xf numFmtId="3" fontId="6" fillId="0" borderId="11" xfId="0" applyNumberFormat="1" applyFont="1" applyBorder="1" applyAlignment="1" applyProtection="1">
      <alignment horizontal="left"/>
      <protection/>
    </xf>
    <xf numFmtId="3" fontId="6" fillId="0" borderId="1" xfId="0" applyNumberFormat="1" applyFont="1" applyBorder="1" applyAlignment="1">
      <alignment/>
    </xf>
    <xf numFmtId="3" fontId="6" fillId="0" borderId="5" xfId="0" applyNumberFormat="1" applyFont="1" applyBorder="1" applyAlignment="1" applyProtection="1">
      <alignment/>
      <protection/>
    </xf>
    <xf numFmtId="3" fontId="6" fillId="0" borderId="6" xfId="0" applyNumberFormat="1" applyFont="1" applyBorder="1" applyAlignment="1" applyProtection="1">
      <alignment/>
      <protection/>
    </xf>
    <xf numFmtId="3" fontId="6" fillId="0" borderId="16" xfId="0" applyNumberFormat="1" applyFont="1" applyBorder="1" applyAlignment="1" applyProtection="1">
      <alignment/>
      <protection/>
    </xf>
    <xf numFmtId="3" fontId="6" fillId="0" borderId="9" xfId="0" applyNumberFormat="1" applyFont="1" applyBorder="1" applyAlignment="1" applyProtection="1">
      <alignment/>
      <protection/>
    </xf>
    <xf numFmtId="3" fontId="6" fillId="0" borderId="10" xfId="0" applyNumberFormat="1" applyFont="1" applyBorder="1" applyAlignment="1" applyProtection="1">
      <alignment/>
      <protection/>
    </xf>
    <xf numFmtId="3" fontId="6" fillId="0" borderId="14" xfId="0" applyNumberFormat="1" applyFont="1" applyBorder="1" applyAlignment="1" applyProtection="1">
      <alignment/>
      <protection/>
    </xf>
    <xf numFmtId="3" fontId="6" fillId="0" borderId="0" xfId="0" applyNumberFormat="1" applyFont="1" applyAlignment="1" applyProtection="1" quotePrefix="1">
      <alignment horizontal="left"/>
      <protection/>
    </xf>
    <xf numFmtId="3" fontId="6" fillId="0" borderId="0" xfId="0" applyNumberFormat="1" applyFont="1" applyAlignment="1" applyProtection="1">
      <alignment horizontal="left"/>
      <protection/>
    </xf>
    <xf numFmtId="3" fontId="6" fillId="0" borderId="0" xfId="0" applyNumberFormat="1" applyFont="1" applyAlignment="1">
      <alignment horizontal="centerContinuous"/>
    </xf>
    <xf numFmtId="3" fontId="6" fillId="0" borderId="0" xfId="0" applyNumberFormat="1" applyFont="1" applyAlignment="1" applyProtection="1">
      <alignment horizontal="fill"/>
      <protection/>
    </xf>
    <xf numFmtId="3" fontId="6" fillId="0" borderId="17" xfId="0" applyNumberFormat="1" applyFont="1" applyBorder="1" applyAlignment="1" applyProtection="1">
      <alignment/>
      <protection/>
    </xf>
    <xf numFmtId="3" fontId="6" fillId="0" borderId="18" xfId="0" applyNumberFormat="1" applyFont="1" applyBorder="1" applyAlignment="1" applyProtection="1">
      <alignment/>
      <protection/>
    </xf>
    <xf numFmtId="3" fontId="6" fillId="0" borderId="10" xfId="0" applyNumberFormat="1" applyFont="1" applyBorder="1" applyAlignment="1" applyProtection="1" quotePrefix="1">
      <alignment horizontal="center"/>
      <protection/>
    </xf>
    <xf numFmtId="3" fontId="6" fillId="0" borderId="2" xfId="0" applyNumberFormat="1" applyFont="1" applyBorder="1" applyAlignment="1" applyProtection="1" quotePrefix="1">
      <alignment horizontal="center"/>
      <protection/>
    </xf>
    <xf numFmtId="3" fontId="6" fillId="0" borderId="1" xfId="0" applyNumberFormat="1" applyFont="1" applyBorder="1" applyAlignment="1" applyProtection="1" quotePrefix="1">
      <alignment horizontal="center"/>
      <protection/>
    </xf>
    <xf numFmtId="3" fontId="6" fillId="0" borderId="1" xfId="0" applyNumberFormat="1" applyFont="1" applyBorder="1" applyAlignment="1" applyProtection="1">
      <alignment horizontal="right"/>
      <protection/>
    </xf>
    <xf numFmtId="3" fontId="6" fillId="0" borderId="11" xfId="0" applyNumberFormat="1" applyFont="1" applyBorder="1" applyAlignment="1" applyProtection="1" quotePrefix="1">
      <alignment horizontal="left"/>
      <protection/>
    </xf>
    <xf numFmtId="3" fontId="6" fillId="0" borderId="0" xfId="0" applyNumberFormat="1" applyFont="1" applyAlignment="1" applyProtection="1" quotePrefix="1">
      <alignment horizontal="right"/>
      <protection/>
    </xf>
    <xf numFmtId="1" fontId="6" fillId="0" borderId="4" xfId="0" applyNumberFormat="1" applyFont="1" applyBorder="1" applyAlignment="1" applyProtection="1" quotePrefix="1">
      <alignment horizontal="left"/>
      <protection/>
    </xf>
    <xf numFmtId="4" fontId="6" fillId="0" borderId="0" xfId="0" applyNumberFormat="1" applyFont="1" applyAlignment="1" applyProtection="1" quotePrefix="1">
      <alignment horizontal="right"/>
      <protection/>
    </xf>
    <xf numFmtId="1" fontId="6" fillId="0" borderId="0" xfId="0" applyNumberFormat="1" applyFont="1" applyBorder="1" applyAlignment="1">
      <alignment/>
    </xf>
    <xf numFmtId="4" fontId="6" fillId="0" borderId="0" xfId="0" applyNumberFormat="1" applyFont="1" applyBorder="1" applyAlignment="1">
      <alignment/>
    </xf>
    <xf numFmtId="3" fontId="6" fillId="0" borderId="0" xfId="0" applyNumberFormat="1" applyFont="1" applyBorder="1" applyAlignment="1" applyProtection="1">
      <alignment/>
      <protection/>
    </xf>
    <xf numFmtId="3" fontId="6" fillId="0" borderId="4" xfId="0" applyNumberFormat="1" applyFont="1" applyBorder="1" applyAlignment="1" applyProtection="1" quotePrefix="1">
      <alignment horizontal="left"/>
      <protection/>
    </xf>
    <xf numFmtId="3" fontId="6" fillId="0" borderId="4" xfId="0" applyNumberFormat="1" applyFont="1" applyBorder="1" applyAlignment="1" applyProtection="1" quotePrefix="1">
      <alignment horizontal="right"/>
      <protection/>
    </xf>
    <xf numFmtId="3" fontId="7" fillId="0" borderId="0" xfId="0" applyNumberFormat="1" applyFont="1" applyBorder="1" applyAlignment="1" applyProtection="1">
      <alignment/>
      <protection/>
    </xf>
    <xf numFmtId="3" fontId="6" fillId="0" borderId="19" xfId="0" applyNumberFormat="1" applyFont="1" applyBorder="1" applyAlignment="1" applyProtection="1">
      <alignment/>
      <protection/>
    </xf>
    <xf numFmtId="3" fontId="6" fillId="0" borderId="0" xfId="0" applyNumberFormat="1" applyFont="1" applyBorder="1" applyAlignment="1" applyProtection="1" quotePrefix="1">
      <alignment/>
      <protection/>
    </xf>
    <xf numFmtId="1" fontId="7" fillId="0" borderId="0" xfId="0" applyNumberFormat="1" applyFont="1" applyBorder="1" applyAlignment="1">
      <alignment/>
    </xf>
    <xf numFmtId="1" fontId="6" fillId="0" borderId="0" xfId="0" applyNumberFormat="1" applyFont="1" applyBorder="1" applyAlignment="1" quotePrefix="1">
      <alignment/>
    </xf>
    <xf numFmtId="3" fontId="6" fillId="0" borderId="1" xfId="0" applyNumberFormat="1" applyFont="1" applyBorder="1" applyAlignment="1" applyProtection="1" quotePrefix="1">
      <alignment horizontal="right"/>
      <protection/>
    </xf>
    <xf numFmtId="3" fontId="6" fillId="0" borderId="0" xfId="0" applyNumberFormat="1" applyFont="1" applyAlignment="1">
      <alignment horizontal="right"/>
    </xf>
    <xf numFmtId="3" fontId="6" fillId="0" borderId="0" xfId="0" applyNumberFormat="1" applyFont="1" applyAlignment="1" applyProtection="1">
      <alignment horizontal="right"/>
      <protection/>
    </xf>
    <xf numFmtId="3" fontId="6" fillId="0" borderId="0" xfId="0" applyNumberFormat="1" applyFont="1" applyBorder="1" applyAlignment="1" applyProtection="1">
      <alignment horizontal="right"/>
      <protection/>
    </xf>
    <xf numFmtId="3" fontId="6" fillId="0" borderId="0" xfId="0" applyNumberFormat="1" applyFont="1" applyBorder="1" applyAlignment="1" applyProtection="1" quotePrefix="1">
      <alignment horizontal="right"/>
      <protection/>
    </xf>
    <xf numFmtId="3" fontId="6" fillId="0" borderId="7" xfId="0" applyNumberFormat="1" applyFont="1" applyBorder="1" applyAlignment="1" applyProtection="1">
      <alignment horizontal="center"/>
      <protection/>
    </xf>
    <xf numFmtId="3" fontId="6" fillId="0" borderId="20" xfId="0" applyNumberFormat="1" applyFont="1" applyBorder="1" applyAlignment="1" applyProtection="1">
      <alignment horizontal="center"/>
      <protection/>
    </xf>
    <xf numFmtId="3" fontId="6" fillId="0" borderId="21" xfId="0" applyNumberFormat="1" applyFont="1" applyBorder="1" applyAlignment="1" applyProtection="1">
      <alignment horizontal="center"/>
      <protection/>
    </xf>
    <xf numFmtId="3" fontId="6" fillId="0" borderId="20" xfId="0" applyNumberFormat="1" applyFont="1" applyBorder="1" applyAlignment="1" applyProtection="1">
      <alignment/>
      <protection/>
    </xf>
    <xf numFmtId="3" fontId="6" fillId="0" borderId="20" xfId="0" applyNumberFormat="1" applyFont="1" applyBorder="1" applyAlignment="1" applyProtection="1">
      <alignment horizontal="left"/>
      <protection/>
    </xf>
    <xf numFmtId="3" fontId="6" fillId="0" borderId="20" xfId="0" applyNumberFormat="1" applyFont="1" applyBorder="1" applyAlignment="1" applyProtection="1" quotePrefix="1">
      <alignment horizontal="left"/>
      <protection/>
    </xf>
    <xf numFmtId="3" fontId="6" fillId="0" borderId="22" xfId="0" applyNumberFormat="1" applyFont="1" applyBorder="1" applyAlignment="1" applyProtection="1">
      <alignment horizontal="center"/>
      <protection/>
    </xf>
    <xf numFmtId="3" fontId="6" fillId="0" borderId="23" xfId="0" applyNumberFormat="1" applyFont="1" applyBorder="1" applyAlignment="1" applyProtection="1">
      <alignment horizontal="right"/>
      <protection/>
    </xf>
    <xf numFmtId="3" fontId="6" fillId="0" borderId="23" xfId="0" applyNumberFormat="1" applyFont="1" applyBorder="1" applyAlignment="1" applyProtection="1">
      <alignment/>
      <protection/>
    </xf>
    <xf numFmtId="3" fontId="6" fillId="0" borderId="24" xfId="0" applyNumberFormat="1" applyFont="1" applyBorder="1" applyAlignment="1" applyProtection="1">
      <alignment horizontal="center"/>
      <protection/>
    </xf>
    <xf numFmtId="3" fontId="6" fillId="0" borderId="25" xfId="0" applyNumberFormat="1" applyFont="1" applyBorder="1" applyAlignment="1" applyProtection="1">
      <alignment/>
      <protection/>
    </xf>
    <xf numFmtId="3" fontId="6" fillId="0" borderId="26" xfId="0" applyNumberFormat="1" applyFont="1" applyBorder="1" applyAlignment="1" applyProtection="1">
      <alignment horizontal="centerContinuous"/>
      <protection/>
    </xf>
    <xf numFmtId="3" fontId="6" fillId="0" borderId="27" xfId="0" applyNumberFormat="1" applyFont="1" applyBorder="1" applyAlignment="1" applyProtection="1">
      <alignment horizontal="center"/>
      <protection/>
    </xf>
    <xf numFmtId="3" fontId="6" fillId="0" borderId="27" xfId="0" applyNumberFormat="1" applyFont="1" applyBorder="1" applyAlignment="1" applyProtection="1">
      <alignment/>
      <protection/>
    </xf>
    <xf numFmtId="3" fontId="6" fillId="0" borderId="28" xfId="0" applyNumberFormat="1" applyFont="1" applyBorder="1" applyAlignment="1" applyProtection="1">
      <alignment horizontal="right"/>
      <protection/>
    </xf>
    <xf numFmtId="3" fontId="6" fillId="0" borderId="29" xfId="0" applyNumberFormat="1" applyFont="1" applyBorder="1" applyAlignment="1" applyProtection="1">
      <alignment/>
      <protection/>
    </xf>
    <xf numFmtId="3" fontId="6" fillId="0" borderId="30" xfId="0" applyNumberFormat="1" applyFont="1" applyBorder="1" applyAlignment="1" applyProtection="1">
      <alignment/>
      <protection/>
    </xf>
    <xf numFmtId="39" fontId="0" fillId="0" borderId="0" xfId="0" applyFont="1" applyAlignment="1">
      <alignment/>
    </xf>
    <xf numFmtId="3" fontId="6" fillId="0" borderId="20" xfId="0" applyNumberFormat="1" applyFont="1" applyBorder="1" applyAlignment="1" applyProtection="1">
      <alignment horizontal="right"/>
      <protection/>
    </xf>
    <xf numFmtId="3" fontId="6" fillId="0" borderId="31" xfId="0" applyNumberFormat="1" applyFont="1" applyBorder="1" applyAlignment="1" applyProtection="1" quotePrefix="1">
      <alignment/>
      <protection/>
    </xf>
    <xf numFmtId="3" fontId="6" fillId="0" borderId="20" xfId="0" applyNumberFormat="1" applyFont="1" applyBorder="1" applyAlignment="1" applyProtection="1" quotePrefix="1">
      <alignment/>
      <protection/>
    </xf>
    <xf numFmtId="3" fontId="6" fillId="0" borderId="4" xfId="0" applyNumberFormat="1" applyFont="1" applyBorder="1" applyAlignment="1" applyProtection="1">
      <alignment horizontal="right"/>
      <protection/>
    </xf>
    <xf numFmtId="3" fontId="7" fillId="0" borderId="0" xfId="0" applyNumberFormat="1" applyFont="1" applyAlignment="1">
      <alignment/>
    </xf>
    <xf numFmtId="3" fontId="6" fillId="0" borderId="32" xfId="0" applyNumberFormat="1" applyFont="1" applyBorder="1" applyAlignment="1">
      <alignment/>
    </xf>
    <xf numFmtId="3" fontId="6" fillId="0" borderId="0" xfId="0" applyNumberFormat="1" applyFont="1" applyAlignment="1" quotePrefix="1">
      <alignment/>
    </xf>
    <xf numFmtId="3" fontId="7" fillId="0" borderId="0" xfId="0" applyNumberFormat="1" applyFont="1" applyAlignment="1">
      <alignment horizontal="right"/>
    </xf>
    <xf numFmtId="3" fontId="6" fillId="0" borderId="0" xfId="0" applyNumberFormat="1" applyFont="1" applyAlignment="1" quotePrefix="1">
      <alignment horizontal="right"/>
    </xf>
    <xf numFmtId="3" fontId="6" fillId="0" borderId="0" xfId="0" applyNumberFormat="1" applyFont="1" applyBorder="1" applyAlignment="1">
      <alignment/>
    </xf>
    <xf numFmtId="3" fontId="7" fillId="0" borderId="0" xfId="0" applyNumberFormat="1" applyFont="1" applyBorder="1" applyAlignment="1">
      <alignment/>
    </xf>
    <xf numFmtId="3" fontId="6" fillId="0" borderId="0" xfId="0" applyNumberFormat="1" applyFont="1" applyAlignment="1" quotePrefix="1">
      <alignment horizontal="left"/>
    </xf>
    <xf numFmtId="3" fontId="7" fillId="0" borderId="0" xfId="0" applyNumberFormat="1" applyFont="1" applyAlignment="1" quotePrefix="1">
      <alignment horizontal="left"/>
    </xf>
    <xf numFmtId="3" fontId="6" fillId="0" borderId="15" xfId="0" applyNumberFormat="1" applyFont="1" applyBorder="1" applyAlignment="1" applyProtection="1" quotePrefix="1">
      <alignment horizontal="center"/>
      <protection/>
    </xf>
    <xf numFmtId="3" fontId="7" fillId="0" borderId="11" xfId="0" applyNumberFormat="1" applyFont="1" applyBorder="1" applyAlignment="1" applyProtection="1" quotePrefix="1">
      <alignment horizontal="left"/>
      <protection/>
    </xf>
    <xf numFmtId="3" fontId="6" fillId="0" borderId="33" xfId="0" applyNumberFormat="1" applyFont="1" applyBorder="1" applyAlignment="1" applyProtection="1">
      <alignment horizontal="centerContinuous"/>
      <protection/>
    </xf>
    <xf numFmtId="3" fontId="6" fillId="0" borderId="0" xfId="0" applyNumberFormat="1" applyFont="1" applyBorder="1" applyAlignment="1" applyProtection="1" quotePrefix="1">
      <alignment horizontal="left"/>
      <protection/>
    </xf>
    <xf numFmtId="3" fontId="6" fillId="0" borderId="32" xfId="0" applyNumberFormat="1" applyFont="1" applyBorder="1" applyAlignment="1" applyProtection="1">
      <alignment/>
      <protection/>
    </xf>
    <xf numFmtId="3" fontId="7" fillId="0" borderId="0" xfId="0" applyNumberFormat="1" applyFont="1" applyBorder="1" applyAlignment="1" applyProtection="1">
      <alignment horizontal="right"/>
      <protection/>
    </xf>
    <xf numFmtId="3" fontId="7" fillId="0" borderId="0" xfId="0" applyNumberFormat="1" applyFont="1" applyBorder="1" applyAlignment="1" applyProtection="1" quotePrefix="1">
      <alignment horizontal="right"/>
      <protection/>
    </xf>
    <xf numFmtId="3" fontId="7" fillId="0" borderId="0" xfId="0" applyNumberFormat="1" applyFont="1" applyBorder="1" applyAlignment="1" applyProtection="1" quotePrefix="1">
      <alignment horizontal="left"/>
      <protection/>
    </xf>
    <xf numFmtId="3" fontId="6" fillId="0" borderId="0" xfId="0" applyNumberFormat="1" applyFont="1" applyBorder="1" applyAlignment="1" applyProtection="1">
      <alignment horizontal="left"/>
      <protection/>
    </xf>
    <xf numFmtId="1" fontId="6" fillId="0" borderId="0" xfId="0" applyNumberFormat="1" applyFont="1" applyBorder="1" applyAlignment="1" quotePrefix="1">
      <alignment horizontal="left"/>
    </xf>
    <xf numFmtId="1" fontId="7" fillId="0" borderId="11" xfId="0" applyNumberFormat="1" applyFont="1" applyBorder="1" applyAlignment="1" applyProtection="1" quotePrefix="1">
      <alignment horizontal="left"/>
      <protection/>
    </xf>
    <xf numFmtId="3" fontId="6" fillId="0" borderId="1" xfId="0" applyNumberFormat="1" applyFont="1" applyBorder="1" applyAlignment="1" applyProtection="1" quotePrefix="1">
      <alignment horizontal="left"/>
      <protection/>
    </xf>
    <xf numFmtId="3" fontId="6" fillId="0" borderId="9" xfId="0" applyNumberFormat="1" applyFont="1" applyBorder="1" applyAlignment="1">
      <alignment/>
    </xf>
    <xf numFmtId="3" fontId="6" fillId="0" borderId="1" xfId="0" applyNumberFormat="1" applyFont="1" applyBorder="1" applyAlignment="1" applyProtection="1">
      <alignment horizontal="left"/>
      <protection/>
    </xf>
    <xf numFmtId="3" fontId="7" fillId="0" borderId="0" xfId="0" applyNumberFormat="1" applyFont="1" applyAlignment="1">
      <alignment horizontal="left"/>
    </xf>
    <xf numFmtId="3" fontId="6" fillId="0" borderId="0" xfId="0" applyNumberFormat="1" applyFont="1" applyAlignment="1">
      <alignment horizontal="left"/>
    </xf>
    <xf numFmtId="3" fontId="7" fillId="0" borderId="0" xfId="0" applyNumberFormat="1" applyFont="1" applyAlignment="1" quotePrefix="1">
      <alignment horizontal="right"/>
    </xf>
    <xf numFmtId="3" fontId="6" fillId="0" borderId="0" xfId="0" applyNumberFormat="1" applyFont="1" applyBorder="1" applyAlignment="1" quotePrefix="1">
      <alignment horizontal="right"/>
    </xf>
    <xf numFmtId="3" fontId="6" fillId="0" borderId="34" xfId="0" applyNumberFormat="1" applyFont="1" applyBorder="1" applyAlignment="1">
      <alignment horizontal="right"/>
    </xf>
    <xf numFmtId="3" fontId="7" fillId="0" borderId="0" xfId="0" applyNumberFormat="1" applyFont="1" applyBorder="1" applyAlignment="1" quotePrefix="1">
      <alignment horizontal="right"/>
    </xf>
    <xf numFmtId="3" fontId="7" fillId="0" borderId="0" xfId="0" applyNumberFormat="1" applyFont="1" applyBorder="1" applyAlignment="1">
      <alignment horizontal="right"/>
    </xf>
    <xf numFmtId="3" fontId="7" fillId="0" borderId="34" xfId="0" applyNumberFormat="1" applyFont="1" applyBorder="1" applyAlignment="1">
      <alignment horizontal="right"/>
    </xf>
    <xf numFmtId="3" fontId="6" fillId="0" borderId="0" xfId="0" applyNumberFormat="1" applyFont="1" applyBorder="1" applyAlignment="1">
      <alignment horizontal="right"/>
    </xf>
    <xf numFmtId="3" fontId="6" fillId="0" borderId="34" xfId="0" applyNumberFormat="1" applyFont="1" applyBorder="1" applyAlignment="1">
      <alignment/>
    </xf>
    <xf numFmtId="3" fontId="6" fillId="0" borderId="35" xfId="0" applyNumberFormat="1" applyFont="1" applyBorder="1" applyAlignment="1">
      <alignment horizontal="right"/>
    </xf>
    <xf numFmtId="3" fontId="6" fillId="0" borderId="36" xfId="0" applyNumberFormat="1" applyFont="1" applyBorder="1" applyAlignment="1">
      <alignment horizontal="right"/>
    </xf>
    <xf numFmtId="3" fontId="6" fillId="0" borderId="32" xfId="0" applyNumberFormat="1" applyFont="1" applyBorder="1" applyAlignment="1">
      <alignment horizontal="right"/>
    </xf>
    <xf numFmtId="3" fontId="6" fillId="0" borderId="37" xfId="0" applyNumberFormat="1" applyFont="1" applyBorder="1" applyAlignment="1">
      <alignment/>
    </xf>
    <xf numFmtId="4" fontId="6" fillId="0" borderId="0" xfId="0" applyNumberFormat="1" applyFont="1" applyBorder="1" applyAlignment="1" applyProtection="1">
      <alignment/>
      <protection/>
    </xf>
    <xf numFmtId="3" fontId="6" fillId="0" borderId="35" xfId="0" applyNumberFormat="1" applyFont="1" applyBorder="1" applyAlignment="1">
      <alignment/>
    </xf>
    <xf numFmtId="3" fontId="6" fillId="0" borderId="37" xfId="0" applyNumberFormat="1" applyFont="1" applyBorder="1" applyAlignment="1">
      <alignment horizontal="right"/>
    </xf>
    <xf numFmtId="39" fontId="10" fillId="0" borderId="0" xfId="0" applyFont="1" applyAlignment="1">
      <alignment/>
    </xf>
    <xf numFmtId="3" fontId="6" fillId="0" borderId="0" xfId="0" applyNumberFormat="1" applyFont="1" applyBorder="1" applyAlignment="1" applyProtection="1">
      <alignment horizontal="center"/>
      <protection/>
    </xf>
    <xf numFmtId="39" fontId="0" fillId="0" borderId="0" xfId="0" applyAlignment="1" quotePrefix="1">
      <alignment/>
    </xf>
    <xf numFmtId="43" fontId="0" fillId="0" borderId="0" xfId="15" applyAlignment="1">
      <alignment/>
    </xf>
    <xf numFmtId="39" fontId="11" fillId="0" borderId="0" xfId="0" applyFont="1" applyAlignment="1">
      <alignment horizontal="right"/>
    </xf>
    <xf numFmtId="39" fontId="13" fillId="0" borderId="0" xfId="0" applyFont="1" applyAlignment="1">
      <alignment/>
    </xf>
    <xf numFmtId="37" fontId="0" fillId="0" borderId="0" xfId="0" applyNumberFormat="1" applyAlignment="1">
      <alignment/>
    </xf>
    <xf numFmtId="37" fontId="11" fillId="0" borderId="0" xfId="0" applyNumberFormat="1" applyFont="1" applyAlignment="1">
      <alignment horizontal="right"/>
    </xf>
    <xf numFmtId="37" fontId="0" fillId="0" borderId="0" xfId="15" applyNumberFormat="1" applyAlignment="1">
      <alignment/>
    </xf>
    <xf numFmtId="37" fontId="12" fillId="0" borderId="0" xfId="15" applyNumberFormat="1" applyFont="1" applyAlignment="1">
      <alignment/>
    </xf>
    <xf numFmtId="37" fontId="0" fillId="0" borderId="0" xfId="0" applyNumberFormat="1" applyFont="1" applyAlignment="1">
      <alignment/>
    </xf>
    <xf numFmtId="39" fontId="13" fillId="0" borderId="0" xfId="0" applyFont="1" applyAlignment="1">
      <alignment horizontal="center"/>
    </xf>
    <xf numFmtId="37" fontId="0" fillId="0" borderId="35" xfId="0" applyNumberFormat="1" applyBorder="1" applyAlignment="1">
      <alignment/>
    </xf>
    <xf numFmtId="37" fontId="0" fillId="0" borderId="0" xfId="0" applyNumberFormat="1" applyBorder="1" applyAlignment="1">
      <alignment/>
    </xf>
    <xf numFmtId="39" fontId="0" fillId="0" borderId="0" xfId="0" applyBorder="1" applyAlignment="1">
      <alignment/>
    </xf>
    <xf numFmtId="3" fontId="7" fillId="0" borderId="0" xfId="0" applyNumberFormat="1" applyFont="1" applyBorder="1" applyAlignment="1" applyProtection="1">
      <alignment horizontal="center"/>
      <protection/>
    </xf>
    <xf numFmtId="3" fontId="6" fillId="0" borderId="35" xfId="0" applyNumberFormat="1" applyFont="1" applyBorder="1" applyAlignment="1" applyProtection="1">
      <alignment/>
      <protection/>
    </xf>
    <xf numFmtId="167" fontId="0" fillId="0" borderId="0" xfId="15" applyNumberFormat="1" applyAlignment="1">
      <alignment horizontal="center"/>
    </xf>
    <xf numFmtId="37" fontId="15" fillId="0" borderId="0" xfId="0" applyNumberFormat="1" applyFont="1" applyAlignment="1">
      <alignment horizontal="right"/>
    </xf>
    <xf numFmtId="39" fontId="16" fillId="0" borderId="0" xfId="0" applyFont="1" applyAlignment="1">
      <alignment/>
    </xf>
    <xf numFmtId="37" fontId="15" fillId="0" borderId="0" xfId="0" applyNumberFormat="1" applyFont="1" applyAlignment="1">
      <alignment horizontal="left"/>
    </xf>
    <xf numFmtId="3" fontId="12" fillId="0" borderId="4" xfId="0" applyNumberFormat="1" applyFont="1" applyBorder="1" applyAlignment="1" applyProtection="1">
      <alignment horizontal="left"/>
      <protection/>
    </xf>
    <xf numFmtId="3" fontId="6" fillId="0" borderId="1" xfId="0" applyNumberFormat="1" applyFont="1" applyFill="1" applyBorder="1" applyAlignment="1" applyProtection="1" quotePrefix="1">
      <alignment horizontal="right"/>
      <protection/>
    </xf>
    <xf numFmtId="37" fontId="0" fillId="0" borderId="0" xfId="0" applyNumberFormat="1" applyBorder="1" applyAlignment="1">
      <alignment horizontal="right"/>
    </xf>
    <xf numFmtId="39" fontId="0" fillId="0" borderId="0" xfId="0" applyAlignment="1">
      <alignment horizontal="center"/>
    </xf>
    <xf numFmtId="167" fontId="0" fillId="0" borderId="0" xfId="15" applyNumberFormat="1" applyAlignment="1">
      <alignment/>
    </xf>
    <xf numFmtId="167" fontId="11" fillId="0" borderId="0" xfId="0" applyNumberFormat="1" applyFont="1" applyAlignment="1">
      <alignment horizontal="right"/>
    </xf>
    <xf numFmtId="167" fontId="6" fillId="0" borderId="4" xfId="15" applyNumberFormat="1" applyFont="1" applyBorder="1" applyAlignment="1" applyProtection="1">
      <alignment horizontal="left"/>
      <protection/>
    </xf>
    <xf numFmtId="3" fontId="21" fillId="0" borderId="1" xfId="0" applyNumberFormat="1" applyFont="1" applyBorder="1" applyAlignment="1" applyProtection="1">
      <alignment/>
      <protection/>
    </xf>
    <xf numFmtId="4" fontId="6" fillId="2" borderId="10" xfId="0" applyNumberFormat="1" applyFont="1" applyFill="1" applyBorder="1" applyAlignment="1" applyProtection="1" quotePrefix="1">
      <alignment horizontal="center" wrapText="1"/>
      <protection/>
    </xf>
    <xf numFmtId="3" fontId="21" fillId="0" borderId="4" xfId="0" applyNumberFormat="1" applyFont="1" applyBorder="1" applyAlignment="1" applyProtection="1">
      <alignment horizontal="left"/>
      <protection/>
    </xf>
    <xf numFmtId="10" fontId="0" fillId="0" borderId="0" xfId="0" applyNumberFormat="1" applyAlignment="1">
      <alignment/>
    </xf>
    <xf numFmtId="4" fontId="6" fillId="2" borderId="1" xfId="0" applyNumberFormat="1" applyFont="1" applyFill="1" applyBorder="1" applyAlignment="1" applyProtection="1">
      <alignment/>
      <protection/>
    </xf>
    <xf numFmtId="3" fontId="8" fillId="0" borderId="0" xfId="0" applyNumberFormat="1" applyFont="1" applyAlignment="1" applyProtection="1">
      <alignment horizontal="center"/>
      <protection/>
    </xf>
    <xf numFmtId="3" fontId="6" fillId="0" borderId="35" xfId="0" applyNumberFormat="1" applyFont="1" applyBorder="1" applyAlignment="1">
      <alignment horizontal="center"/>
    </xf>
    <xf numFmtId="3" fontId="6" fillId="0" borderId="36" xfId="0" applyNumberFormat="1" applyFont="1" applyBorder="1" applyAlignment="1">
      <alignment horizontal="center"/>
    </xf>
    <xf numFmtId="3" fontId="6" fillId="0" borderId="35" xfId="0" applyNumberFormat="1" applyFont="1" applyBorder="1" applyAlignment="1" quotePrefix="1">
      <alignment horizontal="center"/>
    </xf>
    <xf numFmtId="3" fontId="6" fillId="0" borderId="0" xfId="0" applyNumberFormat="1" applyFont="1" applyAlignment="1">
      <alignment horizontal="center"/>
    </xf>
    <xf numFmtId="3" fontId="6" fillId="0" borderId="0" xfId="0" applyNumberFormat="1" applyFont="1" applyAlignment="1" applyProtection="1">
      <alignment horizontal="center"/>
      <protection/>
    </xf>
    <xf numFmtId="3" fontId="6" fillId="0" borderId="0" xfId="0" applyNumberFormat="1" applyFont="1" applyBorder="1" applyAlignment="1" applyProtection="1">
      <alignment horizontal="center"/>
      <protection/>
    </xf>
    <xf numFmtId="3" fontId="6" fillId="0" borderId="38" xfId="0" applyNumberFormat="1" applyFont="1" applyBorder="1" applyAlignment="1" applyProtection="1">
      <alignment horizontal="center"/>
      <protection/>
    </xf>
    <xf numFmtId="3" fontId="6" fillId="0" borderId="39" xfId="0" applyNumberFormat="1" applyFont="1" applyBorder="1" applyAlignment="1" applyProtection="1">
      <alignment horizontal="center"/>
      <protection/>
    </xf>
    <xf numFmtId="3" fontId="6" fillId="0" borderId="24" xfId="0" applyNumberFormat="1" applyFont="1" applyBorder="1" applyAlignment="1" applyProtection="1">
      <alignment horizontal="center"/>
      <protection/>
    </xf>
    <xf numFmtId="3" fontId="6" fillId="0" borderId="40" xfId="0" applyNumberFormat="1" applyFont="1" applyBorder="1" applyAlignment="1" applyProtection="1">
      <alignment horizontal="center"/>
      <protection/>
    </xf>
    <xf numFmtId="3" fontId="6" fillId="0" borderId="26" xfId="0" applyNumberFormat="1" applyFont="1" applyBorder="1" applyAlignment="1" applyProtection="1">
      <alignment horizontal="center"/>
      <protection/>
    </xf>
    <xf numFmtId="3" fontId="6" fillId="3" borderId="4" xfId="0" applyNumberFormat="1" applyFont="1" applyFill="1" applyBorder="1" applyAlignment="1" applyProtection="1" quotePrefix="1">
      <alignment horizontal="left"/>
      <protection/>
    </xf>
    <xf numFmtId="3" fontId="6" fillId="3" borderId="1" xfId="0" applyNumberFormat="1" applyFont="1" applyFill="1" applyBorder="1" applyAlignment="1" applyProtection="1">
      <alignment/>
      <protection/>
    </xf>
    <xf numFmtId="3" fontId="6" fillId="3" borderId="1" xfId="0" applyNumberFormat="1" applyFont="1" applyFill="1" applyBorder="1" applyAlignment="1" applyProtection="1">
      <alignment horizontal="right"/>
      <protection/>
    </xf>
    <xf numFmtId="3" fontId="6" fillId="3" borderId="15" xfId="0" applyNumberFormat="1" applyFont="1" applyFill="1" applyBorder="1" applyAlignment="1" applyProtection="1">
      <alignment/>
      <protection/>
    </xf>
    <xf numFmtId="3" fontId="6" fillId="3" borderId="0" xfId="0" applyNumberFormat="1" applyFont="1" applyFill="1" applyAlignment="1" applyProtection="1" quotePrefix="1">
      <alignment horizontal="center"/>
      <protection/>
    </xf>
    <xf numFmtId="37" fontId="0" fillId="3" borderId="4" xfId="0" applyNumberFormat="1" applyFill="1" applyBorder="1" applyAlignment="1" applyProtection="1">
      <alignment horizontal="left"/>
      <protection/>
    </xf>
    <xf numFmtId="39" fontId="0" fillId="3" borderId="1" xfId="0" applyFill="1" applyBorder="1" applyAlignment="1">
      <alignment/>
    </xf>
    <xf numFmtId="39" fontId="0" fillId="3" borderId="0" xfId="0" applyFill="1" applyAlignment="1" applyProtection="1" quotePrefix="1">
      <alignment horizontal="center"/>
      <protection/>
    </xf>
    <xf numFmtId="39" fontId="0" fillId="3" borderId="0" xfId="0" applyFill="1" applyAlignment="1">
      <alignment/>
    </xf>
    <xf numFmtId="3" fontId="6" fillId="3" borderId="4" xfId="0" applyNumberFormat="1" applyFont="1" applyFill="1" applyBorder="1" applyAlignment="1" applyProtection="1">
      <alignment horizontal="left"/>
      <protection/>
    </xf>
    <xf numFmtId="3" fontId="6" fillId="3" borderId="1" xfId="0" applyNumberFormat="1" applyFont="1" applyFill="1" applyBorder="1" applyAlignment="1">
      <alignment/>
    </xf>
    <xf numFmtId="3" fontId="6" fillId="3" borderId="0" xfId="0" applyNumberFormat="1" applyFont="1" applyFill="1" applyAlignment="1">
      <alignment/>
    </xf>
    <xf numFmtId="39" fontId="0" fillId="3" borderId="4" xfId="0" applyFill="1" applyBorder="1" applyAlignment="1">
      <alignment/>
    </xf>
    <xf numFmtId="1" fontId="6" fillId="0" borderId="4" xfId="0" applyNumberFormat="1" applyFont="1" applyFill="1" applyBorder="1" applyAlignment="1" applyProtection="1">
      <alignment horizontal="left"/>
      <protection/>
    </xf>
    <xf numFmtId="4" fontId="6" fillId="0" borderId="1" xfId="0" applyNumberFormat="1" applyFont="1" applyFill="1" applyBorder="1" applyAlignment="1" applyProtection="1">
      <alignment/>
      <protection/>
    </xf>
    <xf numFmtId="39" fontId="0" fillId="0" borderId="0" xfId="0" applyFill="1" applyAlignment="1">
      <alignment/>
    </xf>
    <xf numFmtId="39" fontId="0" fillId="2" borderId="0" xfId="0" applyFill="1" applyAlignment="1">
      <alignment/>
    </xf>
    <xf numFmtId="3" fontId="6" fillId="0" borderId="12" xfId="0" applyNumberFormat="1" applyFont="1" applyBorder="1" applyAlignment="1" applyProtection="1">
      <alignment horizontal="center"/>
      <protection/>
    </xf>
    <xf numFmtId="3" fontId="6" fillId="2" borderId="19" xfId="0" applyNumberFormat="1" applyFont="1" applyFill="1" applyBorder="1" applyAlignment="1" applyProtection="1">
      <alignment horizontal="center" wrapText="1"/>
      <protection/>
    </xf>
    <xf numFmtId="3" fontId="6" fillId="2" borderId="0" xfId="0" applyNumberFormat="1" applyFont="1" applyFill="1" applyBorder="1" applyAlignment="1" applyProtection="1">
      <alignment/>
      <protection/>
    </xf>
    <xf numFmtId="3" fontId="6" fillId="3" borderId="0" xfId="0" applyNumberFormat="1" applyFont="1" applyFill="1" applyBorder="1" applyAlignment="1" applyProtection="1">
      <alignment horizontal="right"/>
      <protection/>
    </xf>
    <xf numFmtId="3" fontId="6" fillId="0" borderId="12" xfId="0" applyNumberFormat="1" applyFont="1" applyBorder="1" applyAlignment="1" applyProtection="1">
      <alignment/>
      <protection/>
    </xf>
    <xf numFmtId="3" fontId="6" fillId="0" borderId="41" xfId="0" applyNumberFormat="1" applyFont="1" applyBorder="1" applyAlignment="1" applyProtection="1">
      <alignment/>
      <protection/>
    </xf>
    <xf numFmtId="3" fontId="6" fillId="0" borderId="10" xfId="0" applyNumberFormat="1" applyFont="1" applyFill="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177</xdr:row>
      <xdr:rowOff>0</xdr:rowOff>
    </xdr:from>
    <xdr:to>
      <xdr:col>0</xdr:col>
      <xdr:colOff>0</xdr:colOff>
      <xdr:row>177</xdr:row>
      <xdr:rowOff>9525</xdr:rowOff>
    </xdr:to>
    <xdr:sp>
      <xdr:nvSpPr>
        <xdr:cNvPr id="1" name="Text 1"/>
        <xdr:cNvSpPr txBox="1">
          <a:spLocks noChangeArrowheads="1"/>
        </xdr:cNvSpPr>
      </xdr:nvSpPr>
      <xdr:spPr>
        <a:xfrm>
          <a:off x="0" y="23783925"/>
          <a:ext cx="0" cy="9525"/>
        </a:xfrm>
        <a:prstGeom prst="rect">
          <a:avLst/>
        </a:prstGeom>
        <a:solidFill>
          <a:srgbClr val="FFFFFF"/>
        </a:solidFill>
        <a:ln w="1" cmpd="sng">
          <a:noFill/>
        </a:ln>
      </xdr:spPr>
      <xdr:txBody>
        <a:bodyPr vertOverflow="clip" wrap="square"/>
        <a:p>
          <a:pPr algn="just">
            <a:defRPr/>
          </a:pPr>
          <a:r>
            <a:rPr lang="en-US" cap="none" sz="1000" b="0" i="0" u="none" baseline="0"/>
            <a:t>FY 1998 receipts are estimates for the FY 1998 President's Budget.  FY 1998 appropriations are those enacted November 14, 1997 (P.L. 105-83); no line item vetoes affected L&amp;WCF.
The Land and Water Conservation Fund (L&amp;WCF) was managed by the Heritage Conservation and Recreation Service (HCRS) (originally the Bureau of Outdoor Recreation) until HCRS was abolished and merged into the National Park Service (NPS) May 31, 1981.  NPS then became manager of the L&amp;WCF.
Appropriations realized in FY's 1966-1968 were limited to amounts available from receipts and were less than the amounts in the appropriation acts.
The L&amp;WCF Act was amended to deposit amounts of Outer Continental Shelf (OCS) receipts into the L&amp;WCF sufficient to make annual receipts into the Fund total $200,000 million in FY's 1969-1970, $300,000,000 in FY's 1971-1977 and $900 million beginning FY 1978.  Receipt totals FY 's 1969-1973 varied from authorized totals only for expired amounts; after that, a reporting lag has caused most or all receipt variances from authorized (legally mandated) amounts.  The amount of OCS receipts credited to the L&amp;WCF toward the end of each fiscal year is determined before the actual amount of non-OCS receipts is known; any variances therefrom in the actual non-OCS receipts finally reported for that fiscal year must be compensated for by an adjustment to OCS receipts after the end of that fiscal year to comply with the mandate in the L&amp;WCF Act that annual receipts are to total to a certain amount (now $900 million).
*  These were originally "advance appropriations" from General Treasury funds authorized by the L&amp;WCF Act; a provision for repayment to Treasury was repealed.  Although the funds from General Treasury were appropriated and used for L&amp;WCF purposes, Treasury did not report them as L&amp;WCF receipts or appropriations. </a:t>
          </a:r>
        </a:p>
      </xdr:txBody>
    </xdr:sp>
    <xdr:clientData/>
  </xdr:twoCellAnchor>
  <xdr:twoCellAnchor>
    <xdr:from>
      <xdr:col>0</xdr:col>
      <xdr:colOff>0</xdr:colOff>
      <xdr:row>96</xdr:row>
      <xdr:rowOff>0</xdr:rowOff>
    </xdr:from>
    <xdr:to>
      <xdr:col>15</xdr:col>
      <xdr:colOff>0</xdr:colOff>
      <xdr:row>104</xdr:row>
      <xdr:rowOff>0</xdr:rowOff>
    </xdr:to>
    <xdr:sp>
      <xdr:nvSpPr>
        <xdr:cNvPr id="2" name="TextBox 2"/>
        <xdr:cNvSpPr txBox="1">
          <a:spLocks noChangeArrowheads="1"/>
        </xdr:cNvSpPr>
      </xdr:nvSpPr>
      <xdr:spPr>
        <a:xfrm>
          <a:off x="0" y="13039725"/>
          <a:ext cx="8801100" cy="1066800"/>
        </a:xfrm>
        <a:prstGeom prst="rect">
          <a:avLst/>
        </a:prstGeom>
        <a:solidFill>
          <a:srgbClr val="FFFFFF"/>
        </a:solidFill>
        <a:ln w="9525" cmpd="sng">
          <a:noFill/>
        </a:ln>
      </xdr:spPr>
      <xdr:txBody>
        <a:bodyPr vertOverflow="clip" wrap="square"/>
        <a:p>
          <a:pPr algn="just">
            <a:defRPr/>
          </a:pPr>
          <a:r>
            <a:rPr lang="en-US" cap="none" sz="1000" b="0" i="0" u="none" baseline="0">
              <a:latin typeface="Helv"/>
              <a:ea typeface="Helv"/>
              <a:cs typeface="Helv"/>
            </a:rPr>
            <a:t>     FY 1998 Title V ("Priority Land Acquisitions, Land Exchanges, and Maintenance"), FY 2000 Title VI ("Priority Land Acquisitions and Land Exchanges") and FY 2001 Title VIII ("Land Conservation, Preservation and Infrastructure Improvement") amounts by bureau are based on Congressional earmarks of funds by appropriation act language or conference report language or, for funds not so earmarked, the approved distribution of funds by the Appropriations Committees.  FY 1998 Title V and FY 2000 Title VI funds for Interior have been apportioned to a Departmental account and are being accounted as reimbursable funds for the bureaus.  Title V, Title VI and Title VIII shown above by bureau include some amounts for purposes or  other than Federal land acquisition, as shown in the table below.     </a:t>
          </a:r>
        </a:p>
      </xdr:txBody>
    </xdr:sp>
    <xdr:clientData/>
  </xdr:twoCellAnchor>
  <xdr:oneCellAnchor>
    <xdr:from>
      <xdr:col>3</xdr:col>
      <xdr:colOff>523875</xdr:colOff>
      <xdr:row>160</xdr:row>
      <xdr:rowOff>0</xdr:rowOff>
    </xdr:from>
    <xdr:ext cx="95250" cy="200025"/>
    <xdr:sp>
      <xdr:nvSpPr>
        <xdr:cNvPr id="3" name="TextBox 3"/>
        <xdr:cNvSpPr txBox="1">
          <a:spLocks noChangeArrowheads="1"/>
        </xdr:cNvSpPr>
      </xdr:nvSpPr>
      <xdr:spPr>
        <a:xfrm>
          <a:off x="2409825" y="21516975"/>
          <a:ext cx="95250" cy="200025"/>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twoCellAnchor>
    <xdr:from>
      <xdr:col>0</xdr:col>
      <xdr:colOff>0</xdr:colOff>
      <xdr:row>161</xdr:row>
      <xdr:rowOff>0</xdr:rowOff>
    </xdr:from>
    <xdr:to>
      <xdr:col>15</xdr:col>
      <xdr:colOff>0</xdr:colOff>
      <xdr:row>176</xdr:row>
      <xdr:rowOff>0</xdr:rowOff>
    </xdr:to>
    <xdr:sp>
      <xdr:nvSpPr>
        <xdr:cNvPr id="4" name="TextBox 4"/>
        <xdr:cNvSpPr txBox="1">
          <a:spLocks noChangeArrowheads="1"/>
        </xdr:cNvSpPr>
      </xdr:nvSpPr>
      <xdr:spPr>
        <a:xfrm>
          <a:off x="0" y="21650325"/>
          <a:ext cx="8801100" cy="2000250"/>
        </a:xfrm>
        <a:prstGeom prst="rect">
          <a:avLst/>
        </a:prstGeom>
        <a:solidFill>
          <a:srgbClr val="FFFFFF"/>
        </a:solidFill>
        <a:ln w="9525" cmpd="sng">
          <a:noFill/>
        </a:ln>
      </xdr:spPr>
      <xdr:txBody>
        <a:bodyPr vertOverflow="clip" wrap="square"/>
        <a:p>
          <a:pPr algn="just">
            <a:defRPr/>
          </a:pPr>
          <a:r>
            <a:rPr lang="en-US" cap="none" sz="1000" b="0" i="0" u="none" baseline="0"/>
            <a:t>     FY 1996 appropriations reflect inter-bureau redistribution of Land Acquisition funds by transfers approved by ranking members of the Interior appropriations subcommittee, in accordance with section 107 of the Interior appropriations act ($000's): NPS -4,768; F&amp;WS +3,468; BLM +1,300.     
     Transfers (shown above) from State Grant Contingency Fund carryover amounts to State Grant Administration were Congressionally approved but are not reflected in the amounts shown for State Grants or for Grant Administration.     
     National Park Service amounts include appropriations to the Heritage Conservation and Recreation Service (originally Bureau of Outdoor Recreation) (BOR) before it was merged into NPS May 31, 1981.
     General Treasury Funds: FY's 1968 - 1969 appropriations for L&amp;WCF purposes were funded partly from General Treasury funds [amounts shown in brackets because they were not recorded by Treasury as part of L&amp;WCF receipts or appropriations] without specifying the source of funding for each part within the appropriations, so a presumption is used based on committee reports showing that $9,191,000 for FY 1968 is within the amount of increased NPS/BOR land acquisition funding over the FY 1967 amount and that the $53,000,000 for FY 1969 equals the part for NPS/BOR Redwood acquisition.
     FY 1966 - 1968 funds are limited by receipt deficiencies.</a:t>
          </a:r>
        </a:p>
      </xdr:txBody>
    </xdr:sp>
    <xdr:clientData/>
  </xdr:twoCellAnchor>
  <xdr:oneCellAnchor>
    <xdr:from>
      <xdr:col>3</xdr:col>
      <xdr:colOff>523875</xdr:colOff>
      <xdr:row>167</xdr:row>
      <xdr:rowOff>47625</xdr:rowOff>
    </xdr:from>
    <xdr:ext cx="95250" cy="190500"/>
    <xdr:sp>
      <xdr:nvSpPr>
        <xdr:cNvPr id="5" name="TextBox 5"/>
        <xdr:cNvSpPr txBox="1">
          <a:spLocks noChangeArrowheads="1"/>
        </xdr:cNvSpPr>
      </xdr:nvSpPr>
      <xdr:spPr>
        <a:xfrm>
          <a:off x="2409825" y="2249805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twoCellAnchor>
    <xdr:from>
      <xdr:col>0</xdr:col>
      <xdr:colOff>0</xdr:colOff>
      <xdr:row>155</xdr:row>
      <xdr:rowOff>0</xdr:rowOff>
    </xdr:from>
    <xdr:to>
      <xdr:col>15</xdr:col>
      <xdr:colOff>0</xdr:colOff>
      <xdr:row>160</xdr:row>
      <xdr:rowOff>0</xdr:rowOff>
    </xdr:to>
    <xdr:sp>
      <xdr:nvSpPr>
        <xdr:cNvPr id="6" name="TextBox 6"/>
        <xdr:cNvSpPr txBox="1">
          <a:spLocks noChangeArrowheads="1"/>
        </xdr:cNvSpPr>
      </xdr:nvSpPr>
      <xdr:spPr>
        <a:xfrm>
          <a:off x="0" y="20831175"/>
          <a:ext cx="8801100" cy="685800"/>
        </a:xfrm>
        <a:prstGeom prst="rect">
          <a:avLst/>
        </a:prstGeom>
        <a:solidFill>
          <a:srgbClr val="FFFFFF"/>
        </a:solidFill>
        <a:ln w="9525" cmpd="sng">
          <a:noFill/>
        </a:ln>
      </xdr:spPr>
      <xdr:txBody>
        <a:bodyPr vertOverflow="clip" wrap="square"/>
        <a:p>
          <a:pPr algn="just">
            <a:defRPr/>
          </a:pPr>
          <a:r>
            <a:rPr lang="en-US" cap="none" sz="1000" b="0" i="0" u="none" baseline="0"/>
            <a:t>       FY 1996 appropriations reflect inter-bureau redistribution of Land Acquisition funds by transfers approved by ranking members of the Interior appropriations subcommittee.     
     Transfers (shown above) from State Grant Contingency Fund carryover amounts to State Grant Administration were Congressionally approved but are not reflected in the amounts shown for State Grants or for Grant Administration.</a:t>
          </a:r>
        </a:p>
      </xdr:txBody>
    </xdr:sp>
    <xdr:clientData/>
  </xdr:twoCellAnchor>
  <xdr:oneCellAnchor>
    <xdr:from>
      <xdr:col>3</xdr:col>
      <xdr:colOff>523875</xdr:colOff>
      <xdr:row>158</xdr:row>
      <xdr:rowOff>0</xdr:rowOff>
    </xdr:from>
    <xdr:ext cx="95250" cy="200025"/>
    <xdr:sp>
      <xdr:nvSpPr>
        <xdr:cNvPr id="7" name="TextBox 7"/>
        <xdr:cNvSpPr txBox="1">
          <a:spLocks noChangeArrowheads="1"/>
        </xdr:cNvSpPr>
      </xdr:nvSpPr>
      <xdr:spPr>
        <a:xfrm>
          <a:off x="2409825" y="21231225"/>
          <a:ext cx="95250" cy="200025"/>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89</xdr:row>
      <xdr:rowOff>0</xdr:rowOff>
    </xdr:from>
    <xdr:to>
      <xdr:col>9</xdr:col>
      <xdr:colOff>0</xdr:colOff>
      <xdr:row>89</xdr:row>
      <xdr:rowOff>0</xdr:rowOff>
    </xdr:to>
    <xdr:sp>
      <xdr:nvSpPr>
        <xdr:cNvPr id="1" name="Text 2"/>
        <xdr:cNvSpPr txBox="1">
          <a:spLocks noChangeArrowheads="1"/>
        </xdr:cNvSpPr>
      </xdr:nvSpPr>
      <xdr:spPr>
        <a:xfrm>
          <a:off x="8401050" y="12220575"/>
          <a:ext cx="0" cy="0"/>
        </a:xfrm>
        <a:prstGeom prst="rect">
          <a:avLst/>
        </a:prstGeom>
        <a:solidFill>
          <a:srgbClr val="FFFFFF"/>
        </a:solidFill>
        <a:ln w="1" cmpd="sng">
          <a:noFill/>
        </a:ln>
      </xdr:spPr>
      <xdr:txBody>
        <a:bodyPr vertOverflow="clip" wrap="square"/>
        <a:p>
          <a:pPr algn="just">
            <a:defRPr/>
          </a:pPr>
          <a:r>
            <a:rPr lang="en-US" cap="none" sz="1000" b="0" i="0" u="none" baseline="0"/>
            <a:t>FY 1996 appropriations reflect inter-bureau redistribution of Land Acquisition funds by transfer approved by ranking Appropriation Subcommittee members.
FY 1998 appropriations are those enacted to date, including $699 million Title V funds to be allocated to the four bureaus in amounts to be determined (temporarily shown as all NPS).
Amounts may not add to totals due to rounding.  FY's 1966-1968 funds are limited by receipt deficiencies.
National Park Service (NPS) amounts include appropriations to the Heritage Conservation and Recreation Service (originally Bureau of Outdoor Recreation(BOR)) before it was merged into NPS May 31, 1981.
Land Acquisition amounts include related Administration (Acquisition Management).
Transfers (shown above) from State Grant Contingency Fund carryover amounts to State Grant Administration were Congressionally approved but are not reflected in the amounts shown for State Grants or Grant Administration.
* General Treasury Funds: Congress funded FY's 1968 and 1969 appropriations for L&amp;WCF purposes partly from General Treasury funds [amounts shown in brackets; not part of L&amp;WCF receipts or appropriations] without specifying their use within the appropriations, so a presumption is used based on committee reports showing that $9,191,000 for FY 1968 is within the amount of increased NPS/BOR Land Acquisition funding over FY 1967, and that the $53,000,000 for FY 1969 equals the part for NPS/BOR Redwood acquisition.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just">
            <a:defRPr/>
          </a:pPr>
          <a:r>
            <a:rPr lang="en-US" cap="none" sz="1000" b="0" i="0" u="none" baseline="0"/>
            <a:t>FY 1998 receipts are estimates for the FY 1998 President's Budget.  FY 1998 appropriations are those enacted November 14, 1997 (P.L. 105-83); no line item vetoes affected L&amp;WCF.
The Land and Water Conservation Fund (L&amp;WCF) was managed by the Heritage Conservation and Recreation Service (HCRS) (originally the Bureau of Outdoor Recreation) until HCRS was abolished and merged into the National Park Service (NPS) May 31, 1981.  NPS then became manager of the L&amp;WCF.
Appropriations realized in FY's 1966-1968 were limited to amounts available from receipts and were less than the amounts in the appropriation acts.
The L&amp;WCF Act was amended to deposit amounts of Outer Continental Shelf (OCS) receipts into the L&amp;WCF sufficient to make annual receipts into the Fund total $200,000 million in FY's 1969-1970, $300,000,000 in FY's 1971-1977 and $900 million beginning FY 1978.  Receipt totals FY 's 1969-1973 varied from authorized totals only for expired amounts; after that, a reporting lag has caused most or all receipt variances from authorized (legally mandated) amounts.  The amount of OCS receipts credited to the L&amp;WCF toward the end of each fiscal year is determined before the actual amount of non-OCS receipts is known; any variances therefrom in the actual non-OCS receipts finally reported for that fiscal year must be compensated for by an adjustment to OCS receipts after the end of that fiscal year to comply with the mandate in the L&amp;WCF Act that annual receipts are to total to a certain amount (now $900 million).
*  These were originally "advance appropriations" from General Treasury funds authorized by the L&amp;WCF Act; a provision for repayment to Treasury was repealed.  Although the funds from General Treasury were appropriated and used for L&amp;WCF purposes, Treasury did not report them as L&amp;WCF receipts or appropriations. </a:t>
          </a:r>
        </a:p>
      </xdr:txBody>
    </xdr:sp>
    <xdr:clientData/>
  </xdr:twoCellAnchor>
  <xdr:oneCellAnchor>
    <xdr:from>
      <xdr:col>3</xdr:col>
      <xdr:colOff>533400</xdr:colOff>
      <xdr:row>0</xdr:row>
      <xdr:rowOff>0</xdr:rowOff>
    </xdr:from>
    <xdr:ext cx="95250" cy="190500"/>
    <xdr:sp>
      <xdr:nvSpPr>
        <xdr:cNvPr id="2" name="TextBox 2"/>
        <xdr:cNvSpPr txBox="1">
          <a:spLocks noChangeArrowheads="1"/>
        </xdr:cNvSpPr>
      </xdr:nvSpPr>
      <xdr:spPr>
        <a:xfrm>
          <a:off x="4648200"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0</xdr:row>
      <xdr:rowOff>0</xdr:rowOff>
    </xdr:from>
    <xdr:ext cx="95250" cy="190500"/>
    <xdr:sp>
      <xdr:nvSpPr>
        <xdr:cNvPr id="3" name="TextBox 3"/>
        <xdr:cNvSpPr txBox="1">
          <a:spLocks noChangeArrowheads="1"/>
        </xdr:cNvSpPr>
      </xdr:nvSpPr>
      <xdr:spPr>
        <a:xfrm>
          <a:off x="4648200"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0</xdr:row>
      <xdr:rowOff>0</xdr:rowOff>
    </xdr:from>
    <xdr:ext cx="95250" cy="190500"/>
    <xdr:sp>
      <xdr:nvSpPr>
        <xdr:cNvPr id="4" name="TextBox 4"/>
        <xdr:cNvSpPr txBox="1">
          <a:spLocks noChangeArrowheads="1"/>
        </xdr:cNvSpPr>
      </xdr:nvSpPr>
      <xdr:spPr>
        <a:xfrm>
          <a:off x="4648200"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50</xdr:row>
      <xdr:rowOff>0</xdr:rowOff>
    </xdr:from>
    <xdr:ext cx="95250" cy="190500"/>
    <xdr:sp>
      <xdr:nvSpPr>
        <xdr:cNvPr id="5" name="TextBox 5"/>
        <xdr:cNvSpPr txBox="1">
          <a:spLocks noChangeArrowheads="1"/>
        </xdr:cNvSpPr>
      </xdr:nvSpPr>
      <xdr:spPr>
        <a:xfrm>
          <a:off x="4648200" y="714375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50</xdr:row>
      <xdr:rowOff>0</xdr:rowOff>
    </xdr:from>
    <xdr:ext cx="95250" cy="190500"/>
    <xdr:sp>
      <xdr:nvSpPr>
        <xdr:cNvPr id="6" name="TextBox 6"/>
        <xdr:cNvSpPr txBox="1">
          <a:spLocks noChangeArrowheads="1"/>
        </xdr:cNvSpPr>
      </xdr:nvSpPr>
      <xdr:spPr>
        <a:xfrm>
          <a:off x="4648200" y="714375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50</xdr:row>
      <xdr:rowOff>0</xdr:rowOff>
    </xdr:from>
    <xdr:ext cx="95250" cy="190500"/>
    <xdr:sp>
      <xdr:nvSpPr>
        <xdr:cNvPr id="7" name="TextBox 7"/>
        <xdr:cNvSpPr txBox="1">
          <a:spLocks noChangeArrowheads="1"/>
        </xdr:cNvSpPr>
      </xdr:nvSpPr>
      <xdr:spPr>
        <a:xfrm>
          <a:off x="4648200" y="714375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just">
            <a:defRPr/>
          </a:pPr>
          <a:r>
            <a:rPr lang="en-US" cap="none" sz="1000" b="0" i="0" u="none" baseline="0"/>
            <a:t>FY 1998 receipts are estimates for the FY 1998 President's Budget.  FY 1998 appropriations are those enacted November 14, 1997 (P.L. 105-83); no line item vetoes affected L&amp;WCF.
The Land and Water Conservation Fund (L&amp;WCF) was managed by the Heritage Conservation and Recreation Service (HCRS) (originally the Bureau of Outdoor Recreation) until HCRS was abolished and merged into the National Park Service (NPS) May 31, 1981.  NPS then became manager of the L&amp;WCF.
Appropriations realized in FY's 1966-1968 were limited to amounts available from receipts and were less than the amounts in the appropriation acts.
The L&amp;WCF Act was amended to deposit amounts of Outer Continental Shelf (OCS) receipts into the L&amp;WCF sufficient to make annual receipts into the Fund total $200,000 million in FY's 1969-1970, $300,000,000 in FY's 1971-1977 and $900 million beginning FY 1978.  Receipt totals FY 's 1969-1973 varied from authorized totals only for expired amounts; after that, a reporting lag has caused most or all receipt variances from authorized (legally mandated) amounts.  The amount of OCS receipts credited to the L&amp;WCF toward the end of each fiscal year is determined before the actual amount of non-OCS receipts is known; any variances therefrom in the actual non-OCS receipts finally reported for that fiscal year must be compensated for by an adjustment to OCS receipts after the end of that fiscal year to comply with the mandate in the L&amp;WCF Act that annual receipts are to total to a certain amount (now $900 million).
*  These were originally "advance appropriations" from General Treasury funds authorized by the L&amp;WCF Act; a provision for repayment to Treasury was repealed.  Although the funds from General Treasury were appropriated and used for L&amp;WCF purposes, Treasury did not report them as L&amp;WCF receipts or appropriations. </a:t>
          </a:r>
        </a:p>
      </xdr:txBody>
    </xdr:sp>
    <xdr:clientData/>
  </xdr:twoCellAnchor>
  <xdr:oneCellAnchor>
    <xdr:from>
      <xdr:col>3</xdr:col>
      <xdr:colOff>533400</xdr:colOff>
      <xdr:row>0</xdr:row>
      <xdr:rowOff>0</xdr:rowOff>
    </xdr:from>
    <xdr:ext cx="95250" cy="190500"/>
    <xdr:sp>
      <xdr:nvSpPr>
        <xdr:cNvPr id="2" name="TextBox 3"/>
        <xdr:cNvSpPr txBox="1">
          <a:spLocks noChangeArrowheads="1"/>
        </xdr:cNvSpPr>
      </xdr:nvSpPr>
      <xdr:spPr>
        <a:xfrm>
          <a:off x="4276725"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0</xdr:row>
      <xdr:rowOff>0</xdr:rowOff>
    </xdr:from>
    <xdr:ext cx="95250" cy="190500"/>
    <xdr:sp>
      <xdr:nvSpPr>
        <xdr:cNvPr id="3" name="TextBox 5"/>
        <xdr:cNvSpPr txBox="1">
          <a:spLocks noChangeArrowheads="1"/>
        </xdr:cNvSpPr>
      </xdr:nvSpPr>
      <xdr:spPr>
        <a:xfrm>
          <a:off x="4276725"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0</xdr:row>
      <xdr:rowOff>0</xdr:rowOff>
    </xdr:from>
    <xdr:ext cx="95250" cy="190500"/>
    <xdr:sp>
      <xdr:nvSpPr>
        <xdr:cNvPr id="4" name="TextBox 7"/>
        <xdr:cNvSpPr txBox="1">
          <a:spLocks noChangeArrowheads="1"/>
        </xdr:cNvSpPr>
      </xdr:nvSpPr>
      <xdr:spPr>
        <a:xfrm>
          <a:off x="4276725"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65</xdr:row>
      <xdr:rowOff>0</xdr:rowOff>
    </xdr:from>
    <xdr:ext cx="95250" cy="190500"/>
    <xdr:sp>
      <xdr:nvSpPr>
        <xdr:cNvPr id="5" name="TextBox 8"/>
        <xdr:cNvSpPr txBox="1">
          <a:spLocks noChangeArrowheads="1"/>
        </xdr:cNvSpPr>
      </xdr:nvSpPr>
      <xdr:spPr>
        <a:xfrm>
          <a:off x="4276725" y="866775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65</xdr:row>
      <xdr:rowOff>0</xdr:rowOff>
    </xdr:from>
    <xdr:ext cx="95250" cy="190500"/>
    <xdr:sp>
      <xdr:nvSpPr>
        <xdr:cNvPr id="6" name="TextBox 9"/>
        <xdr:cNvSpPr txBox="1">
          <a:spLocks noChangeArrowheads="1"/>
        </xdr:cNvSpPr>
      </xdr:nvSpPr>
      <xdr:spPr>
        <a:xfrm>
          <a:off x="4276725" y="866775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3</xdr:col>
      <xdr:colOff>533400</xdr:colOff>
      <xdr:row>65</xdr:row>
      <xdr:rowOff>0</xdr:rowOff>
    </xdr:from>
    <xdr:ext cx="95250" cy="190500"/>
    <xdr:sp>
      <xdr:nvSpPr>
        <xdr:cNvPr id="7" name="TextBox 10"/>
        <xdr:cNvSpPr txBox="1">
          <a:spLocks noChangeArrowheads="1"/>
        </xdr:cNvSpPr>
      </xdr:nvSpPr>
      <xdr:spPr>
        <a:xfrm>
          <a:off x="4276725" y="866775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just">
            <a:defRPr/>
          </a:pPr>
          <a:r>
            <a:rPr lang="en-US" cap="none" sz="1000" b="0" i="0" u="none" baseline="0"/>
            <a:t>FY 1998 receipts are estimates for the FY 1998 President's Budget.  FY 1998 appropriations are those enacted November 14, 1997 (P.L. 105-83); no line item vetoes affected L&amp;WCF.
The Land and Water Conservation Fund (L&amp;WCF) was managed by the Heritage Conservation and Recreation Service (HCRS) (originally the Bureau of Outdoor Recreation) until HCRS was abolished and merged into the National Park Service (NPS) May 31, 1981.  NPS then became manager of the L&amp;WCF.
Appropriations realized in FY's 1966-1968 were limited to amounts available from receipts and were less than the amounts in the appropriation acts.
The L&amp;WCF Act was amended to deposit amounts of Outer Continental Shelf (OCS) receipts into the L&amp;WCF sufficient to make annual receipts into the Fund total $200,000 million in FY's 1969-1970, $300,000,000 in FY's 1971-1977 and $900 million beginning FY 1978.  Receipt totals FY 's 1969-1973 varied from authorized totals only for expired amounts; after that, a reporting lag has caused most or all receipt variances from authorized (legally mandated) amounts.  The amount of OCS receipts credited to the L&amp;WCF toward the end of each fiscal year is determined before the actual amount of non-OCS receipts is known; any variances therefrom in the actual non-OCS receipts finally reported for that fiscal year must be compensated for by an adjustment to OCS receipts after the end of that fiscal year to comply with the mandate in the L&amp;WCF Act that annual receipts are to total to a certain amount (now $900 million).
*  These were originally "advance appropriations" from General Treasury funds authorized by the L&amp;WCF Act; a provision for repayment to Treasury was repealed.  Although the funds from General Treasury were appropriated and used for L&amp;WCF purposes, Treasury did not report them as L&amp;WCF receipts or appropriations. </a:t>
          </a:r>
        </a:p>
      </xdr:txBody>
    </xdr:sp>
    <xdr:clientData/>
  </xdr:twoCellAnchor>
  <xdr:oneCellAnchor>
    <xdr:from>
      <xdr:col>2</xdr:col>
      <xdr:colOff>533400</xdr:colOff>
      <xdr:row>0</xdr:row>
      <xdr:rowOff>0</xdr:rowOff>
    </xdr:from>
    <xdr:ext cx="95250" cy="190500"/>
    <xdr:sp>
      <xdr:nvSpPr>
        <xdr:cNvPr id="2" name="TextBox 2"/>
        <xdr:cNvSpPr txBox="1">
          <a:spLocks noChangeArrowheads="1"/>
        </xdr:cNvSpPr>
      </xdr:nvSpPr>
      <xdr:spPr>
        <a:xfrm>
          <a:off x="2324100"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2</xdr:col>
      <xdr:colOff>533400</xdr:colOff>
      <xdr:row>0</xdr:row>
      <xdr:rowOff>0</xdr:rowOff>
    </xdr:from>
    <xdr:ext cx="95250" cy="190500"/>
    <xdr:sp>
      <xdr:nvSpPr>
        <xdr:cNvPr id="3" name="TextBox 3"/>
        <xdr:cNvSpPr txBox="1">
          <a:spLocks noChangeArrowheads="1"/>
        </xdr:cNvSpPr>
      </xdr:nvSpPr>
      <xdr:spPr>
        <a:xfrm>
          <a:off x="2324100"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oneCellAnchor>
    <xdr:from>
      <xdr:col>2</xdr:col>
      <xdr:colOff>533400</xdr:colOff>
      <xdr:row>0</xdr:row>
      <xdr:rowOff>0</xdr:rowOff>
    </xdr:from>
    <xdr:ext cx="95250" cy="190500"/>
    <xdr:sp>
      <xdr:nvSpPr>
        <xdr:cNvPr id="4" name="TextBox 4"/>
        <xdr:cNvSpPr txBox="1">
          <a:spLocks noChangeArrowheads="1"/>
        </xdr:cNvSpPr>
      </xdr:nvSpPr>
      <xdr:spPr>
        <a:xfrm>
          <a:off x="2324100" y="0"/>
          <a:ext cx="95250" cy="190500"/>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0</xdr:colOff>
      <xdr:row>35</xdr:row>
      <xdr:rowOff>0</xdr:rowOff>
    </xdr:to>
    <xdr:sp>
      <xdr:nvSpPr>
        <xdr:cNvPr id="1" name="Text 1"/>
        <xdr:cNvSpPr txBox="1">
          <a:spLocks noChangeArrowheads="1"/>
        </xdr:cNvSpPr>
      </xdr:nvSpPr>
      <xdr:spPr>
        <a:xfrm>
          <a:off x="0" y="4962525"/>
          <a:ext cx="0" cy="0"/>
        </a:xfrm>
        <a:prstGeom prst="rect">
          <a:avLst/>
        </a:prstGeom>
        <a:solidFill>
          <a:srgbClr val="FFFFFF"/>
        </a:solidFill>
        <a:ln w="1" cmpd="sng">
          <a:noFill/>
        </a:ln>
      </xdr:spPr>
      <xdr:txBody>
        <a:bodyPr vertOverflow="clip" wrap="square"/>
        <a:p>
          <a:pPr algn="just">
            <a:defRPr/>
          </a:pPr>
          <a:r>
            <a:rPr lang="en-US" cap="none" sz="1000" b="0" i="0" u="none" baseline="0"/>
            <a:t>FY 1998 receipts are estimates for the FY 1998 President's Budget.  FY 1998 appropriations are those enacted November 14, 1997 (P.L. 105-83); no line item vetoes affected L&amp;WCF.
The Land and Water Conservation Fund (L&amp;WCF) was managed by the Heritage Conservation and Recreation Service (HCRS) (originally the Bureau of Outdoor Recreation) until HCRS was abolished and merged into the National Park Service (NPS) May 31, 1981.  NPS then became manager of the L&amp;WCF.
Appropriations realized in FY's 1966-1968 were limited to amounts available from receipts and were less than the amounts in the appropriation acts.
The L&amp;WCF Act was amended to deposit amounts of Outer Continental Shelf (OCS) receipts into the L&amp;WCF sufficient to make annual receipts into the Fund total $200,000 million in FY's 1969-1970, $300,000,000 in FY's 1971-1977 and $900 million beginning FY 1978.  Receipt totals FY 's 1969-1973 varied from authorized totals only for expired amounts; after that, a reporting lag has caused most or all receipt variances from authorized (legally mandated) amounts.  The amount of OCS receipts credited to the L&amp;WCF toward the end of each fiscal year is determined before the actual amount of non-OCS receipts is known; any variances therefrom in the actual non-OCS receipts finally reported for that fiscal year must be compensated for by an adjustment to OCS receipts after the end of that fiscal year to comply with the mandate in the L&amp;WCF Act that annual receipts are to total to a certain amount (now $900 million).
*  These were originally "advance appropriations" from General Treasury funds authorized by the L&amp;WCF Act; a provision for repayment to Treasury was repealed.  Although the funds from General Treasury were appropriated and used for L&amp;WCF purposes, Treasury did not report them as L&amp;WCF receipts or appropriations. </a:t>
          </a:r>
        </a:p>
      </xdr:txBody>
    </xdr:sp>
    <xdr:clientData/>
  </xdr:twoCellAnchor>
  <xdr:twoCellAnchor>
    <xdr:from>
      <xdr:col>0</xdr:col>
      <xdr:colOff>0</xdr:colOff>
      <xdr:row>30</xdr:row>
      <xdr:rowOff>0</xdr:rowOff>
    </xdr:from>
    <xdr:to>
      <xdr:col>6</xdr:col>
      <xdr:colOff>0</xdr:colOff>
      <xdr:row>34</xdr:row>
      <xdr:rowOff>0</xdr:rowOff>
    </xdr:to>
    <xdr:sp>
      <xdr:nvSpPr>
        <xdr:cNvPr id="2" name="TextBox 2"/>
        <xdr:cNvSpPr txBox="1">
          <a:spLocks noChangeArrowheads="1"/>
        </xdr:cNvSpPr>
      </xdr:nvSpPr>
      <xdr:spPr>
        <a:xfrm>
          <a:off x="0" y="4352925"/>
          <a:ext cx="3181350" cy="552450"/>
        </a:xfrm>
        <a:prstGeom prst="rect">
          <a:avLst/>
        </a:prstGeom>
        <a:solidFill>
          <a:srgbClr val="FFFFFF"/>
        </a:solidFill>
        <a:ln w="9525" cmpd="sng">
          <a:noFill/>
        </a:ln>
      </xdr:spPr>
      <xdr:txBody>
        <a:bodyPr vertOverflow="clip" wrap="square"/>
        <a:p>
          <a:pPr algn="just">
            <a:defRPr/>
          </a:pPr>
          <a:r>
            <a:rPr lang="en-US" cap="none" sz="900" b="0" i="0" u="none" baseline="0">
              <a:latin typeface="Helv"/>
              <a:ea typeface="Helv"/>
              <a:cs typeface="Helv"/>
            </a:rPr>
            <a:t>*In addition to appropriations shown, Administration costs in some years were funded or proposed to be funded by balances of prior year appropriations for Administration, or for State Grant contingency funds transferred in amounts shown above.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transitionEntry="1"/>
  <dimension ref="A1:AH593"/>
  <sheetViews>
    <sheetView tabSelected="1" zoomScale="83" zoomScaleNormal="83"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8.7109375" defaultRowHeight="12.75"/>
  <cols>
    <col min="1" max="1" width="7.28125" style="74" customWidth="1"/>
    <col min="2" max="2" width="11.140625" style="74" customWidth="1"/>
    <col min="3" max="3" width="9.8515625" style="74" customWidth="1"/>
    <col min="4" max="4" width="9.7109375" style="74" customWidth="1"/>
    <col min="5" max="6" width="8.8515625" style="74" customWidth="1"/>
    <col min="7" max="7" width="9.8515625" style="74" customWidth="1"/>
    <col min="8" max="8" width="9.421875" style="74" customWidth="1"/>
    <col min="9" max="9" width="10.28125" style="74" customWidth="1"/>
    <col min="10" max="10" width="9.7109375" style="74" customWidth="1"/>
    <col min="11" max="11" width="8.28125" style="74" customWidth="1"/>
    <col min="12" max="12" width="7.28125" style="74" customWidth="1"/>
    <col min="13" max="13" width="8.00390625" style="74" customWidth="1"/>
    <col min="14" max="15" width="6.7109375" style="74" customWidth="1"/>
    <col min="16" max="16" width="1.7109375" style="74" customWidth="1"/>
    <col min="17" max="17" width="4.7109375" style="0" customWidth="1"/>
    <col min="18" max="18" width="16.140625" style="0" customWidth="1"/>
    <col min="19" max="19" width="12.28125" style="0" customWidth="1"/>
    <col min="20" max="21" width="12.7109375" style="0" customWidth="1"/>
    <col min="22" max="23" width="11.7109375" style="0" customWidth="1"/>
    <col min="24" max="24" width="12.7109375" style="0" customWidth="1"/>
    <col min="25" max="25" width="10.7109375" style="0" customWidth="1"/>
    <col min="26" max="27" width="12.7109375" style="0" customWidth="1"/>
    <col min="28" max="28" width="2.7109375" style="0" customWidth="1"/>
    <col min="29" max="29" width="4.7109375" style="0" customWidth="1"/>
    <col min="30" max="30" width="19.7109375" style="0" customWidth="1"/>
    <col min="31" max="31" width="4.7109375" style="0" customWidth="1"/>
    <col min="32" max="33" width="13.7109375" style="0" customWidth="1"/>
    <col min="34" max="34" width="3.7109375" style="0" customWidth="1"/>
    <col min="35" max="16384" width="8.8515625" style="0" customWidth="1"/>
  </cols>
  <sheetData>
    <row r="1" ht="10.5" customHeight="1">
      <c r="P1" t="s">
        <v>164</v>
      </c>
    </row>
    <row r="2" spans="1:28" ht="13.5" customHeight="1">
      <c r="A2" s="227" t="s">
        <v>544</v>
      </c>
      <c r="B2" s="227"/>
      <c r="C2" s="227"/>
      <c r="D2" s="227"/>
      <c r="E2" s="227"/>
      <c r="F2" s="227"/>
      <c r="G2" s="227"/>
      <c r="H2" s="227"/>
      <c r="I2" s="227"/>
      <c r="J2" s="227"/>
      <c r="K2" s="227"/>
      <c r="L2" s="227"/>
      <c r="M2" s="227"/>
      <c r="N2" s="227"/>
      <c r="O2" s="227"/>
      <c r="P2" s="75" t="s">
        <v>543</v>
      </c>
      <c r="Q2" s="17" t="s">
        <v>545</v>
      </c>
      <c r="R2" s="11"/>
      <c r="S2" s="11"/>
      <c r="T2" s="11"/>
      <c r="U2" s="11"/>
      <c r="V2" s="11"/>
      <c r="W2" s="11"/>
      <c r="X2" s="11"/>
      <c r="Y2" s="11"/>
      <c r="Z2" s="11"/>
      <c r="AA2" s="11"/>
      <c r="AB2" s="2" t="s">
        <v>543</v>
      </c>
    </row>
    <row r="3" spans="1:28" ht="9.75" customHeight="1">
      <c r="A3" s="76"/>
      <c r="B3" s="76"/>
      <c r="C3" s="76"/>
      <c r="D3" s="76"/>
      <c r="E3" s="76"/>
      <c r="F3" s="76"/>
      <c r="G3" s="76"/>
      <c r="H3" s="76"/>
      <c r="I3" s="76"/>
      <c r="J3" s="76"/>
      <c r="K3" s="76"/>
      <c r="L3" s="123"/>
      <c r="M3" s="123"/>
      <c r="N3" s="76"/>
      <c r="O3" s="76"/>
      <c r="P3" s="75" t="s">
        <v>543</v>
      </c>
      <c r="Q3" s="1" t="s">
        <v>546</v>
      </c>
      <c r="AB3" s="2" t="s">
        <v>543</v>
      </c>
    </row>
    <row r="4" spans="1:28" ht="12" customHeight="1">
      <c r="A4" s="77"/>
      <c r="B4" s="78" t="s">
        <v>553</v>
      </c>
      <c r="C4" s="79" t="s">
        <v>1</v>
      </c>
      <c r="D4" s="79"/>
      <c r="E4" s="86"/>
      <c r="F4" s="79"/>
      <c r="G4" s="165" t="s">
        <v>554</v>
      </c>
      <c r="H4" s="79"/>
      <c r="I4" s="79"/>
      <c r="J4" s="79"/>
      <c r="K4" s="82"/>
      <c r="L4" s="82" t="s">
        <v>555</v>
      </c>
      <c r="M4" s="79" t="s">
        <v>556</v>
      </c>
      <c r="N4" s="79"/>
      <c r="O4" s="86"/>
      <c r="P4" s="75" t="s">
        <v>543</v>
      </c>
      <c r="Q4" s="9"/>
      <c r="R4" s="18" t="s">
        <v>557</v>
      </c>
      <c r="S4" s="18" t="s">
        <v>558</v>
      </c>
      <c r="T4" s="18" t="s">
        <v>559</v>
      </c>
      <c r="U4" s="19" t="s">
        <v>560</v>
      </c>
      <c r="V4" s="16"/>
      <c r="W4" s="15"/>
      <c r="X4" s="8"/>
      <c r="Y4" s="18" t="s">
        <v>561</v>
      </c>
      <c r="Z4" s="18" t="s">
        <v>562</v>
      </c>
      <c r="AA4" s="18" t="s">
        <v>563</v>
      </c>
      <c r="AB4" s="2" t="s">
        <v>543</v>
      </c>
    </row>
    <row r="5" spans="1:28" ht="12" customHeight="1">
      <c r="A5" s="83" t="s">
        <v>564</v>
      </c>
      <c r="B5" s="84" t="s">
        <v>573</v>
      </c>
      <c r="C5" s="78" t="s">
        <v>574</v>
      </c>
      <c r="D5" s="78" t="s">
        <v>575</v>
      </c>
      <c r="E5" s="78" t="s">
        <v>576</v>
      </c>
      <c r="F5" s="78" t="s">
        <v>42</v>
      </c>
      <c r="G5" s="80"/>
      <c r="H5" s="110" t="s">
        <v>6</v>
      </c>
      <c r="I5" s="78" t="s">
        <v>577</v>
      </c>
      <c r="J5" s="256"/>
      <c r="K5" s="85" t="s">
        <v>578</v>
      </c>
      <c r="L5" s="163" t="s">
        <v>160</v>
      </c>
      <c r="M5" s="78" t="s">
        <v>579</v>
      </c>
      <c r="N5" s="110" t="s">
        <v>160</v>
      </c>
      <c r="O5" s="86" t="s">
        <v>580</v>
      </c>
      <c r="P5" s="75" t="s">
        <v>543</v>
      </c>
      <c r="Q5" s="10"/>
      <c r="R5" s="22" t="s">
        <v>581</v>
      </c>
      <c r="S5" s="21" t="s">
        <v>582</v>
      </c>
      <c r="T5" s="21" t="s">
        <v>583</v>
      </c>
      <c r="U5" s="21" t="s">
        <v>584</v>
      </c>
      <c r="V5" s="21" t="s">
        <v>585</v>
      </c>
      <c r="W5" s="21" t="s">
        <v>586</v>
      </c>
      <c r="X5" s="7"/>
      <c r="Y5" s="21" t="s">
        <v>587</v>
      </c>
      <c r="Z5" s="21" t="s">
        <v>588</v>
      </c>
      <c r="AA5" s="21" t="s">
        <v>589</v>
      </c>
      <c r="AB5" s="2" t="s">
        <v>543</v>
      </c>
    </row>
    <row r="6" spans="1:28" ht="22.5" customHeight="1">
      <c r="A6" s="87" t="s">
        <v>590</v>
      </c>
      <c r="B6" s="88" t="s">
        <v>598</v>
      </c>
      <c r="C6" s="88" t="s">
        <v>599</v>
      </c>
      <c r="D6" s="109" t="s">
        <v>600</v>
      </c>
      <c r="E6" s="88" t="s">
        <v>601</v>
      </c>
      <c r="F6" s="88" t="s">
        <v>33</v>
      </c>
      <c r="G6" s="88" t="s">
        <v>553</v>
      </c>
      <c r="H6" s="109" t="s">
        <v>2</v>
      </c>
      <c r="I6" s="262" t="s">
        <v>555</v>
      </c>
      <c r="J6" s="257" t="s">
        <v>815</v>
      </c>
      <c r="K6" s="89" t="s">
        <v>602</v>
      </c>
      <c r="L6" s="89" t="s">
        <v>602</v>
      </c>
      <c r="M6" s="88" t="s">
        <v>602</v>
      </c>
      <c r="N6" s="88" t="s">
        <v>602</v>
      </c>
      <c r="O6" s="88" t="s">
        <v>602</v>
      </c>
      <c r="P6" s="75" t="s">
        <v>543</v>
      </c>
      <c r="Q6" s="20" t="s">
        <v>564</v>
      </c>
      <c r="R6" s="21" t="s">
        <v>603</v>
      </c>
      <c r="S6" s="21" t="s">
        <v>604</v>
      </c>
      <c r="T6" s="21" t="s">
        <v>605</v>
      </c>
      <c r="U6" s="21" t="s">
        <v>606</v>
      </c>
      <c r="V6" s="21" t="s">
        <v>607</v>
      </c>
      <c r="W6" s="21" t="s">
        <v>608</v>
      </c>
      <c r="X6" s="21" t="s">
        <v>609</v>
      </c>
      <c r="Y6" s="21" t="s">
        <v>610</v>
      </c>
      <c r="Z6" s="21" t="s">
        <v>611</v>
      </c>
      <c r="AA6" s="21" t="s">
        <v>612</v>
      </c>
      <c r="AB6" s="2" t="s">
        <v>543</v>
      </c>
    </row>
    <row r="7" spans="1:28" ht="10.5" customHeight="1">
      <c r="A7" s="90"/>
      <c r="B7" s="91"/>
      <c r="C7" s="91"/>
      <c r="D7" s="91"/>
      <c r="E7" s="91"/>
      <c r="F7" s="91"/>
      <c r="G7" s="91"/>
      <c r="H7" s="91"/>
      <c r="I7" s="91"/>
      <c r="J7" s="119"/>
      <c r="K7" s="92"/>
      <c r="L7" s="92"/>
      <c r="M7" s="91"/>
      <c r="N7" s="91"/>
      <c r="O7" s="91"/>
      <c r="P7" s="75" t="s">
        <v>543</v>
      </c>
      <c r="Q7" s="23" t="s">
        <v>590</v>
      </c>
      <c r="R7" s="24" t="s">
        <v>613</v>
      </c>
      <c r="S7" s="24" t="s">
        <v>614</v>
      </c>
      <c r="T7" s="24" t="s">
        <v>614</v>
      </c>
      <c r="U7" s="24" t="s">
        <v>615</v>
      </c>
      <c r="V7" s="24" t="s">
        <v>616</v>
      </c>
      <c r="W7" s="24" t="s">
        <v>617</v>
      </c>
      <c r="X7" s="24" t="s">
        <v>618</v>
      </c>
      <c r="Y7" s="24" t="s">
        <v>619</v>
      </c>
      <c r="Z7" s="24" t="s">
        <v>620</v>
      </c>
      <c r="AA7" s="24" t="s">
        <v>621</v>
      </c>
      <c r="AB7" s="2" t="s">
        <v>543</v>
      </c>
    </row>
    <row r="8" spans="1:28" ht="10.5" customHeight="1">
      <c r="A8" s="93" t="s">
        <v>622</v>
      </c>
      <c r="B8" s="91"/>
      <c r="C8" s="91"/>
      <c r="D8" s="91"/>
      <c r="E8" s="91"/>
      <c r="F8" s="91"/>
      <c r="G8" s="91"/>
      <c r="H8" s="91"/>
      <c r="I8" s="91"/>
      <c r="J8" s="119"/>
      <c r="K8" s="92"/>
      <c r="L8" s="92"/>
      <c r="M8" s="91"/>
      <c r="N8" s="91"/>
      <c r="O8" s="91"/>
      <c r="P8" s="75" t="s">
        <v>543</v>
      </c>
      <c r="Q8" s="25"/>
      <c r="R8" s="7"/>
      <c r="S8" s="7"/>
      <c r="T8" s="7"/>
      <c r="U8" s="7"/>
      <c r="V8" s="7"/>
      <c r="W8" s="7"/>
      <c r="X8" s="7"/>
      <c r="Y8" s="7"/>
      <c r="Z8" s="7"/>
      <c r="AA8" s="7"/>
      <c r="AB8" s="2" t="s">
        <v>543</v>
      </c>
    </row>
    <row r="9" spans="1:28" ht="10.5" customHeight="1">
      <c r="A9" s="94" t="s">
        <v>623</v>
      </c>
      <c r="B9" s="91">
        <f>SUM(C9:G9)</f>
        <v>16000</v>
      </c>
      <c r="C9" s="91">
        <v>750</v>
      </c>
      <c r="D9" s="91">
        <v>0</v>
      </c>
      <c r="E9" s="91">
        <v>0</v>
      </c>
      <c r="F9" s="91"/>
      <c r="G9" s="91">
        <f>SUM(H9:K9)</f>
        <v>15250</v>
      </c>
      <c r="H9" s="91">
        <f>4805+8</f>
        <v>4813</v>
      </c>
      <c r="I9" s="91">
        <v>10375</v>
      </c>
      <c r="J9" s="119"/>
      <c r="K9" s="92">
        <v>62</v>
      </c>
      <c r="L9" s="92">
        <v>0</v>
      </c>
      <c r="M9" s="91"/>
      <c r="N9" s="91"/>
      <c r="O9" s="91">
        <v>8</v>
      </c>
      <c r="P9" s="75" t="s">
        <v>543</v>
      </c>
      <c r="Q9" s="27" t="s">
        <v>623</v>
      </c>
      <c r="R9" s="28">
        <v>28397684.79</v>
      </c>
      <c r="S9" s="1" t="s">
        <v>624</v>
      </c>
      <c r="U9" s="7"/>
      <c r="V9" s="7"/>
      <c r="W9" s="7"/>
      <c r="X9" s="29" t="s">
        <v>625</v>
      </c>
      <c r="Y9" s="29" t="s">
        <v>625</v>
      </c>
      <c r="Z9" s="29" t="s">
        <v>625</v>
      </c>
      <c r="AA9" s="28">
        <f>R9+Z9</f>
        <v>28397684.79</v>
      </c>
      <c r="AB9" s="2" t="s">
        <v>543</v>
      </c>
    </row>
    <row r="10" spans="1:28" ht="10.5" customHeight="1">
      <c r="A10" s="94" t="s">
        <v>626</v>
      </c>
      <c r="B10" s="91">
        <f>SUM(C10:G10)</f>
        <v>122114.64862999998</v>
      </c>
      <c r="C10" s="91">
        <f>16894.451-0.00037</f>
        <v>16894.45063</v>
      </c>
      <c r="D10" s="91">
        <v>0</v>
      </c>
      <c r="E10" s="91">
        <v>0</v>
      </c>
      <c r="F10" s="91"/>
      <c r="G10" s="91">
        <f>SUM(H10:K10)</f>
        <v>105220.19799999999</v>
      </c>
      <c r="H10" s="91">
        <f>21371.48+163</f>
        <v>21534.48</v>
      </c>
      <c r="I10" s="91">
        <v>82408.718</v>
      </c>
      <c r="J10" s="119"/>
      <c r="K10" s="92">
        <v>1277</v>
      </c>
      <c r="L10" s="92">
        <v>0</v>
      </c>
      <c r="M10" s="91"/>
      <c r="N10" s="91"/>
      <c r="O10" s="91">
        <v>163</v>
      </c>
      <c r="P10" s="75" t="s">
        <v>543</v>
      </c>
      <c r="Q10" s="27" t="s">
        <v>626</v>
      </c>
      <c r="R10" s="28">
        <v>109707203.99</v>
      </c>
      <c r="S10" s="1" t="s">
        <v>627</v>
      </c>
      <c r="U10" s="7"/>
      <c r="V10" s="7"/>
      <c r="W10" s="7"/>
      <c r="X10" s="29" t="s">
        <v>625</v>
      </c>
      <c r="Y10" s="29" t="s">
        <v>625</v>
      </c>
      <c r="Z10" s="29" t="s">
        <v>625</v>
      </c>
      <c r="AA10" s="28">
        <f>R10+Z10</f>
        <v>109707203.99</v>
      </c>
      <c r="AB10" s="2" t="s">
        <v>543</v>
      </c>
    </row>
    <row r="11" spans="1:28" ht="10.5" customHeight="1">
      <c r="A11" s="94" t="s">
        <v>628</v>
      </c>
      <c r="B11" s="91">
        <f>SUM(C11:G11)</f>
        <v>95006.59061</v>
      </c>
      <c r="C11" s="91">
        <f>15568.006+0.00061</f>
        <v>15568.006609999999</v>
      </c>
      <c r="D11" s="91">
        <v>147.914</v>
      </c>
      <c r="E11" s="91">
        <v>0</v>
      </c>
      <c r="F11" s="91"/>
      <c r="G11" s="91">
        <f>SUM(H11:K11)</f>
        <v>79290.67</v>
      </c>
      <c r="H11" s="91">
        <f>20199.58+291</f>
        <v>20490.58</v>
      </c>
      <c r="I11" s="91">
        <v>56531.09</v>
      </c>
      <c r="J11" s="119"/>
      <c r="K11" s="92">
        <v>2269</v>
      </c>
      <c r="L11" s="92">
        <v>0</v>
      </c>
      <c r="M11" s="91"/>
      <c r="N11" s="91"/>
      <c r="O11" s="91">
        <v>291</v>
      </c>
      <c r="P11" s="75" t="s">
        <v>543</v>
      </c>
      <c r="Q11" s="27" t="s">
        <v>628</v>
      </c>
      <c r="R11" s="28">
        <v>94849459.77</v>
      </c>
      <c r="S11" s="1" t="s">
        <v>629</v>
      </c>
      <c r="U11" s="7"/>
      <c r="V11" s="7"/>
      <c r="W11" s="7"/>
      <c r="X11" s="29" t="s">
        <v>625</v>
      </c>
      <c r="Y11" s="29" t="s">
        <v>625</v>
      </c>
      <c r="Z11" s="29" t="s">
        <v>625</v>
      </c>
      <c r="AA11" s="28">
        <f>R11+Z11</f>
        <v>94849459.77</v>
      </c>
      <c r="AB11" s="2" t="s">
        <v>543</v>
      </c>
    </row>
    <row r="12" spans="1:28" ht="10.5" customHeight="1">
      <c r="A12" s="94" t="s">
        <v>630</v>
      </c>
      <c r="B12" s="91">
        <f>SUM(C12:G12)</f>
        <v>103940.35931999999</v>
      </c>
      <c r="C12" s="91">
        <f>14435.238+0.00032</f>
        <v>14435.238319999999</v>
      </c>
      <c r="D12" s="91">
        <v>1797.637</v>
      </c>
      <c r="E12" s="91">
        <v>0</v>
      </c>
      <c r="F12" s="91"/>
      <c r="G12" s="91">
        <f>SUM(H12:K12)</f>
        <v>87707.484</v>
      </c>
      <c r="H12" s="91">
        <f>32538.163+322-9191</f>
        <v>23669.163</v>
      </c>
      <c r="I12" s="91">
        <v>61520.321</v>
      </c>
      <c r="J12" s="119"/>
      <c r="K12" s="92">
        <v>2518</v>
      </c>
      <c r="L12" s="92">
        <v>0</v>
      </c>
      <c r="M12" s="91"/>
      <c r="N12" s="91"/>
      <c r="O12" s="91">
        <v>322</v>
      </c>
      <c r="P12" s="75" t="s">
        <v>543</v>
      </c>
      <c r="Q12" s="27" t="s">
        <v>630</v>
      </c>
      <c r="R12" s="28">
        <v>103875434.94</v>
      </c>
      <c r="S12" s="1" t="s">
        <v>631</v>
      </c>
      <c r="U12" s="7"/>
      <c r="V12" s="7"/>
      <c r="W12" s="7"/>
      <c r="X12" s="29" t="s">
        <v>625</v>
      </c>
      <c r="Y12" s="29" t="s">
        <v>625</v>
      </c>
      <c r="Z12" s="29" t="s">
        <v>625</v>
      </c>
      <c r="AA12" s="28">
        <f>R12+Z12</f>
        <v>103875434.94</v>
      </c>
      <c r="AB12" s="2" t="s">
        <v>543</v>
      </c>
    </row>
    <row r="13" spans="1:28" ht="10.5" customHeight="1">
      <c r="A13" s="113" t="s">
        <v>87</v>
      </c>
      <c r="B13" s="91"/>
      <c r="C13" s="91"/>
      <c r="D13" s="91"/>
      <c r="E13" s="91"/>
      <c r="F13" s="91"/>
      <c r="G13" s="112" t="s">
        <v>634</v>
      </c>
      <c r="H13" s="112" t="s">
        <v>634</v>
      </c>
      <c r="I13" s="91"/>
      <c r="J13" s="119"/>
      <c r="K13" s="92"/>
      <c r="L13" s="92"/>
      <c r="M13" s="91"/>
      <c r="N13" s="91"/>
      <c r="O13" s="91"/>
      <c r="P13" s="75" t="s">
        <v>543</v>
      </c>
      <c r="Q13" s="30" t="s">
        <v>635</v>
      </c>
      <c r="R13" s="7"/>
      <c r="S13" s="7"/>
      <c r="T13" s="7"/>
      <c r="U13" s="7"/>
      <c r="V13" s="7"/>
      <c r="W13" s="7"/>
      <c r="X13" s="7"/>
      <c r="Y13" s="7"/>
      <c r="Z13" s="7"/>
      <c r="AA13" s="31" t="s">
        <v>633</v>
      </c>
      <c r="AB13" s="2" t="s">
        <v>543</v>
      </c>
    </row>
    <row r="14" spans="1:28" ht="10.5" customHeight="1">
      <c r="A14" s="94" t="s">
        <v>636</v>
      </c>
      <c r="B14" s="91">
        <f>SUM(C14:G14)</f>
        <v>111500</v>
      </c>
      <c r="C14" s="91">
        <v>12390</v>
      </c>
      <c r="D14" s="91">
        <v>1339</v>
      </c>
      <c r="E14" s="91">
        <v>3</v>
      </c>
      <c r="F14" s="91"/>
      <c r="G14" s="91">
        <f>SUM(H14:K14)</f>
        <v>97768</v>
      </c>
      <c r="H14" s="91">
        <f>102930+329-53000</f>
        <v>50259</v>
      </c>
      <c r="I14" s="91">
        <v>44938</v>
      </c>
      <c r="J14" s="119"/>
      <c r="K14" s="92">
        <v>2571</v>
      </c>
      <c r="L14" s="92">
        <v>0</v>
      </c>
      <c r="M14" s="91"/>
      <c r="N14" s="91"/>
      <c r="O14" s="91">
        <v>329</v>
      </c>
      <c r="P14" s="75" t="s">
        <v>543</v>
      </c>
      <c r="Q14" s="27" t="s">
        <v>636</v>
      </c>
      <c r="R14" s="28">
        <v>200000000</v>
      </c>
      <c r="S14" s="28">
        <v>-85921.76</v>
      </c>
      <c r="T14" s="7"/>
      <c r="U14" s="17" t="s">
        <v>637</v>
      </c>
      <c r="V14" s="14"/>
      <c r="W14" s="29" t="s">
        <v>625</v>
      </c>
      <c r="X14" s="29" t="s">
        <v>625</v>
      </c>
      <c r="Y14" s="29" t="s">
        <v>625</v>
      </c>
      <c r="Z14" s="28">
        <f>SUM(S14:T14)+SUM(W14:Y14)</f>
        <v>-85921.76</v>
      </c>
      <c r="AA14" s="28">
        <f>R14+Z14</f>
        <v>199914078.24</v>
      </c>
      <c r="AB14" s="2" t="s">
        <v>543</v>
      </c>
    </row>
    <row r="15" spans="1:28" ht="10.5" customHeight="1">
      <c r="A15" s="113" t="s">
        <v>88</v>
      </c>
      <c r="B15" s="91"/>
      <c r="C15" s="91"/>
      <c r="D15" s="91"/>
      <c r="E15" s="91"/>
      <c r="F15" s="91"/>
      <c r="G15" s="112" t="s">
        <v>639</v>
      </c>
      <c r="H15" s="112" t="s">
        <v>639</v>
      </c>
      <c r="I15" s="91"/>
      <c r="J15" s="119"/>
      <c r="K15" s="92"/>
      <c r="L15" s="92"/>
      <c r="M15" s="91"/>
      <c r="N15" s="91"/>
      <c r="O15" s="91"/>
      <c r="P15" s="75" t="s">
        <v>543</v>
      </c>
      <c r="Q15" s="30" t="s">
        <v>640</v>
      </c>
      <c r="R15" s="7"/>
      <c r="S15" s="7"/>
      <c r="T15" s="7"/>
      <c r="U15" s="17" t="s">
        <v>641</v>
      </c>
      <c r="V15" s="14"/>
      <c r="W15" s="7"/>
      <c r="X15" s="7"/>
      <c r="Y15" s="7"/>
      <c r="Z15" s="7"/>
      <c r="AA15" s="31" t="s">
        <v>642</v>
      </c>
      <c r="AB15" s="2" t="s">
        <v>543</v>
      </c>
    </row>
    <row r="16" spans="1:28" ht="10.5" customHeight="1">
      <c r="A16" s="94" t="s">
        <v>643</v>
      </c>
      <c r="B16" s="91">
        <f aca="true" t="shared" si="0" ref="B16:B51">SUM(C16:G16)</f>
        <v>131100</v>
      </c>
      <c r="C16" s="91">
        <v>13661</v>
      </c>
      <c r="D16" s="91">
        <v>997</v>
      </c>
      <c r="E16" s="91">
        <v>0</v>
      </c>
      <c r="F16" s="91"/>
      <c r="G16" s="91">
        <f aca="true" t="shared" si="1" ref="G16:G51">SUM(H16:K16)</f>
        <v>116442</v>
      </c>
      <c r="H16" s="91">
        <f>51099+399</f>
        <v>51498</v>
      </c>
      <c r="I16" s="91">
        <v>61832</v>
      </c>
      <c r="J16" s="119"/>
      <c r="K16" s="92">
        <v>3112</v>
      </c>
      <c r="L16" s="92">
        <v>0</v>
      </c>
      <c r="M16" s="91"/>
      <c r="N16" s="91"/>
      <c r="O16" s="91">
        <v>399</v>
      </c>
      <c r="P16" s="75" t="s">
        <v>543</v>
      </c>
      <c r="Q16" s="27" t="s">
        <v>643</v>
      </c>
      <c r="R16" s="28">
        <v>200000000</v>
      </c>
      <c r="S16" s="28">
        <v>-19726.6</v>
      </c>
      <c r="T16" s="29" t="s">
        <v>625</v>
      </c>
      <c r="U16" s="17" t="s">
        <v>644</v>
      </c>
      <c r="V16" s="14"/>
      <c r="W16" s="29" t="s">
        <v>625</v>
      </c>
      <c r="X16" s="29" t="s">
        <v>625</v>
      </c>
      <c r="Y16" s="29" t="s">
        <v>625</v>
      </c>
      <c r="Z16" s="28">
        <f aca="true" t="shared" si="2" ref="Z16:Z40">SUM(S16:T16)+SUM(W16:Y16)</f>
        <v>-19726.6</v>
      </c>
      <c r="AA16" s="28">
        <f aca="true" t="shared" si="3" ref="AA16:AA40">R16+Z16</f>
        <v>199980273.4</v>
      </c>
      <c r="AB16" s="2" t="s">
        <v>543</v>
      </c>
    </row>
    <row r="17" spans="1:28" ht="10.5" customHeight="1">
      <c r="A17" s="94" t="s">
        <v>645</v>
      </c>
      <c r="B17" s="91">
        <f t="shared" si="0"/>
        <v>357400</v>
      </c>
      <c r="C17" s="91">
        <v>39853</v>
      </c>
      <c r="D17" s="91">
        <v>7993</v>
      </c>
      <c r="E17" s="91">
        <v>560</v>
      </c>
      <c r="F17" s="91"/>
      <c r="G17" s="91">
        <f t="shared" si="1"/>
        <v>308994</v>
      </c>
      <c r="H17" s="91">
        <f>119316+504</f>
        <v>119820</v>
      </c>
      <c r="I17" s="91">
        <v>185239</v>
      </c>
      <c r="J17" s="119"/>
      <c r="K17" s="92">
        <v>3935</v>
      </c>
      <c r="L17" s="92">
        <v>0</v>
      </c>
      <c r="M17" s="91"/>
      <c r="N17" s="91"/>
      <c r="O17" s="91">
        <v>504</v>
      </c>
      <c r="P17" s="75" t="s">
        <v>543</v>
      </c>
      <c r="Q17" s="27" t="s">
        <v>645</v>
      </c>
      <c r="R17" s="28">
        <v>300000000</v>
      </c>
      <c r="S17" s="28">
        <v>-40369.93</v>
      </c>
      <c r="T17" s="29" t="s">
        <v>625</v>
      </c>
      <c r="U17" s="17" t="s">
        <v>646</v>
      </c>
      <c r="V17" s="14"/>
      <c r="W17" s="29" t="s">
        <v>625</v>
      </c>
      <c r="X17" s="29" t="s">
        <v>625</v>
      </c>
      <c r="Y17" s="29" t="s">
        <v>625</v>
      </c>
      <c r="Z17" s="28">
        <f t="shared" si="2"/>
        <v>-40369.93</v>
      </c>
      <c r="AA17" s="28">
        <f t="shared" si="3"/>
        <v>299959630.07</v>
      </c>
      <c r="AB17" s="2" t="s">
        <v>543</v>
      </c>
    </row>
    <row r="18" spans="1:28" ht="10.5" customHeight="1">
      <c r="A18" s="94" t="s">
        <v>647</v>
      </c>
      <c r="B18" s="91">
        <f t="shared" si="0"/>
        <v>361500</v>
      </c>
      <c r="C18" s="91">
        <v>29652</v>
      </c>
      <c r="D18" s="91">
        <v>3488</v>
      </c>
      <c r="E18" s="91">
        <v>499</v>
      </c>
      <c r="F18" s="91"/>
      <c r="G18" s="91">
        <f t="shared" si="1"/>
        <v>327861</v>
      </c>
      <c r="H18" s="91">
        <f>68030+518</f>
        <v>68548</v>
      </c>
      <c r="I18" s="91">
        <v>255000</v>
      </c>
      <c r="J18" s="119"/>
      <c r="K18" s="92">
        <v>4313</v>
      </c>
      <c r="L18" s="92">
        <v>0</v>
      </c>
      <c r="M18" s="91"/>
      <c r="N18" s="91"/>
      <c r="O18" s="91">
        <v>518</v>
      </c>
      <c r="P18" s="75" t="s">
        <v>543</v>
      </c>
      <c r="Q18" s="27" t="s">
        <v>647</v>
      </c>
      <c r="R18" s="28">
        <v>300000000</v>
      </c>
      <c r="S18" s="28">
        <v>-827748.96</v>
      </c>
      <c r="T18" s="29" t="s">
        <v>625</v>
      </c>
      <c r="U18" s="17" t="s">
        <v>648</v>
      </c>
      <c r="V18" s="14"/>
      <c r="W18" s="29" t="s">
        <v>625</v>
      </c>
      <c r="X18" s="29" t="s">
        <v>625</v>
      </c>
      <c r="Y18" s="29" t="s">
        <v>625</v>
      </c>
      <c r="Z18" s="28">
        <f t="shared" si="2"/>
        <v>-827748.96</v>
      </c>
      <c r="AA18" s="28">
        <f t="shared" si="3"/>
        <v>299172251.04</v>
      </c>
      <c r="AB18" s="2" t="s">
        <v>543</v>
      </c>
    </row>
    <row r="19" spans="1:28" ht="10.5" customHeight="1">
      <c r="A19" s="94" t="s">
        <v>649</v>
      </c>
      <c r="B19" s="91">
        <f t="shared" si="0"/>
        <v>300000</v>
      </c>
      <c r="C19" s="91">
        <v>29624</v>
      </c>
      <c r="D19" s="91">
        <v>4597</v>
      </c>
      <c r="E19" s="91">
        <v>1827</v>
      </c>
      <c r="F19" s="91"/>
      <c r="G19" s="91">
        <f t="shared" si="1"/>
        <v>263952</v>
      </c>
      <c r="H19" s="91">
        <f>76789+575</f>
        <v>77364</v>
      </c>
      <c r="I19" s="91">
        <v>181800</v>
      </c>
      <c r="J19" s="119"/>
      <c r="K19" s="92">
        <v>4788</v>
      </c>
      <c r="L19" s="92">
        <v>0</v>
      </c>
      <c r="M19" s="103" t="s">
        <v>650</v>
      </c>
      <c r="N19" s="91"/>
      <c r="O19" s="91">
        <v>575</v>
      </c>
      <c r="P19" s="75" t="s">
        <v>543</v>
      </c>
      <c r="Q19" s="27" t="s">
        <v>649</v>
      </c>
      <c r="R19" s="28">
        <v>300000000</v>
      </c>
      <c r="S19" s="28">
        <v>-7413.18</v>
      </c>
      <c r="T19" s="29" t="s">
        <v>625</v>
      </c>
      <c r="U19" s="17" t="s">
        <v>651</v>
      </c>
      <c r="V19" s="14"/>
      <c r="W19" s="29" t="s">
        <v>625</v>
      </c>
      <c r="X19" s="29" t="s">
        <v>625</v>
      </c>
      <c r="Y19" s="29" t="s">
        <v>625</v>
      </c>
      <c r="Z19" s="28">
        <f t="shared" si="2"/>
        <v>-7413.18</v>
      </c>
      <c r="AA19" s="28">
        <f t="shared" si="3"/>
        <v>299992586.82</v>
      </c>
      <c r="AB19" s="2" t="s">
        <v>543</v>
      </c>
    </row>
    <row r="20" spans="1:28" ht="10.5" customHeight="1">
      <c r="A20" s="94" t="s">
        <v>652</v>
      </c>
      <c r="B20" s="91">
        <f t="shared" si="0"/>
        <v>76223</v>
      </c>
      <c r="C20" s="91">
        <v>3973</v>
      </c>
      <c r="D20" s="91">
        <v>0</v>
      </c>
      <c r="E20" s="91">
        <v>0</v>
      </c>
      <c r="F20" s="91"/>
      <c r="G20" s="91">
        <f t="shared" si="1"/>
        <v>72250</v>
      </c>
      <c r="H20" s="91">
        <f>910+597</f>
        <v>1507</v>
      </c>
      <c r="I20" s="91">
        <v>65767</v>
      </c>
      <c r="J20" s="119"/>
      <c r="K20" s="92">
        <v>4976</v>
      </c>
      <c r="L20" s="92">
        <v>0</v>
      </c>
      <c r="M20" s="103" t="s">
        <v>653</v>
      </c>
      <c r="N20" s="91"/>
      <c r="O20" s="91">
        <v>597</v>
      </c>
      <c r="P20" s="75" t="s">
        <v>543</v>
      </c>
      <c r="Q20" s="27" t="s">
        <v>652</v>
      </c>
      <c r="R20" s="28">
        <v>300000000</v>
      </c>
      <c r="S20" s="7"/>
      <c r="T20" s="7"/>
      <c r="U20" s="7"/>
      <c r="V20" s="7"/>
      <c r="W20" s="7"/>
      <c r="X20" s="7"/>
      <c r="Y20" s="28">
        <v>5953871.86</v>
      </c>
      <c r="Z20" s="28">
        <f t="shared" si="2"/>
        <v>5953871.86</v>
      </c>
      <c r="AA20" s="28">
        <f t="shared" si="3"/>
        <v>305953871.86</v>
      </c>
      <c r="AB20" s="2" t="s">
        <v>543</v>
      </c>
    </row>
    <row r="21" spans="1:28" ht="10.5" customHeight="1">
      <c r="A21" s="94" t="s">
        <v>654</v>
      </c>
      <c r="B21" s="91">
        <f t="shared" si="0"/>
        <v>307492</v>
      </c>
      <c r="C21" s="91">
        <v>30884</v>
      </c>
      <c r="D21" s="91">
        <v>9494</v>
      </c>
      <c r="E21" s="91">
        <v>500</v>
      </c>
      <c r="F21" s="91"/>
      <c r="G21" s="91">
        <f t="shared" si="1"/>
        <v>266614</v>
      </c>
      <c r="H21" s="91">
        <f>80154+668</f>
        <v>80822</v>
      </c>
      <c r="I21" s="91">
        <v>179880</v>
      </c>
      <c r="J21" s="119"/>
      <c r="K21" s="92">
        <v>5912</v>
      </c>
      <c r="L21" s="92">
        <v>0</v>
      </c>
      <c r="M21" s="103" t="s">
        <v>655</v>
      </c>
      <c r="N21" s="91"/>
      <c r="O21" s="91">
        <v>668</v>
      </c>
      <c r="P21" s="75" t="s">
        <v>543</v>
      </c>
      <c r="Q21" s="27" t="s">
        <v>654</v>
      </c>
      <c r="R21" s="28">
        <v>300000000</v>
      </c>
      <c r="S21" s="7"/>
      <c r="T21" s="7"/>
      <c r="U21" s="7"/>
      <c r="V21" s="7"/>
      <c r="W21" s="7"/>
      <c r="X21" s="7"/>
      <c r="Y21" s="28">
        <v>-6017838.8</v>
      </c>
      <c r="Z21" s="28">
        <f t="shared" si="2"/>
        <v>-6017838.8</v>
      </c>
      <c r="AA21" s="28">
        <f t="shared" si="3"/>
        <v>293982161.2</v>
      </c>
      <c r="AB21" s="2" t="s">
        <v>543</v>
      </c>
    </row>
    <row r="22" spans="1:28" ht="10.5" customHeight="1">
      <c r="A22" s="94" t="s">
        <v>656</v>
      </c>
      <c r="B22" s="91">
        <f t="shared" si="0"/>
        <v>316986</v>
      </c>
      <c r="C22" s="91">
        <v>36965</v>
      </c>
      <c r="D22" s="91">
        <v>9422</v>
      </c>
      <c r="E22" s="91">
        <v>2000</v>
      </c>
      <c r="F22" s="91"/>
      <c r="G22" s="91">
        <f t="shared" si="1"/>
        <v>268599</v>
      </c>
      <c r="H22" s="91">
        <f>86515+685</f>
        <v>87200</v>
      </c>
      <c r="I22" s="91">
        <v>175739</v>
      </c>
      <c r="J22" s="119"/>
      <c r="K22" s="92">
        <v>5660</v>
      </c>
      <c r="L22" s="92">
        <v>0</v>
      </c>
      <c r="M22" s="103" t="s">
        <v>657</v>
      </c>
      <c r="N22" s="91"/>
      <c r="O22" s="91">
        <v>685</v>
      </c>
      <c r="P22" s="75" t="s">
        <v>543</v>
      </c>
      <c r="Q22" s="27" t="s">
        <v>656</v>
      </c>
      <c r="R22" s="28">
        <v>300000000</v>
      </c>
      <c r="S22" s="17" t="s">
        <v>658</v>
      </c>
      <c r="T22" s="11"/>
      <c r="U22" s="11"/>
      <c r="V22" s="11"/>
      <c r="W22" s="11"/>
      <c r="X22" s="14"/>
      <c r="Y22" s="28">
        <v>4192944.62</v>
      </c>
      <c r="Z22" s="28">
        <f t="shared" si="2"/>
        <v>4192944.62</v>
      </c>
      <c r="AA22" s="28">
        <f t="shared" si="3"/>
        <v>304192944.62</v>
      </c>
      <c r="AB22" s="2" t="s">
        <v>543</v>
      </c>
    </row>
    <row r="23" spans="1:28" ht="10.5" customHeight="1">
      <c r="A23" s="94" t="s">
        <v>659</v>
      </c>
      <c r="B23" s="91">
        <f t="shared" si="0"/>
        <v>75988</v>
      </c>
      <c r="C23" s="91">
        <v>7595</v>
      </c>
      <c r="D23" s="91">
        <v>3199</v>
      </c>
      <c r="E23" s="91">
        <v>400</v>
      </c>
      <c r="F23" s="91"/>
      <c r="G23" s="91">
        <f t="shared" si="1"/>
        <v>64794</v>
      </c>
      <c r="H23" s="91">
        <f>19269+173</f>
        <v>19442</v>
      </c>
      <c r="I23" s="91">
        <v>43925</v>
      </c>
      <c r="J23" s="119"/>
      <c r="K23" s="92">
        <v>1427</v>
      </c>
      <c r="L23" s="92">
        <v>0</v>
      </c>
      <c r="M23" s="103" t="s">
        <v>660</v>
      </c>
      <c r="N23" s="91"/>
      <c r="O23" s="91">
        <v>173</v>
      </c>
      <c r="P23" s="75" t="s">
        <v>543</v>
      </c>
      <c r="Q23" s="27" t="s">
        <v>659</v>
      </c>
      <c r="R23" s="28">
        <v>75988000</v>
      </c>
      <c r="S23" s="14"/>
      <c r="T23" s="14"/>
      <c r="U23" s="14"/>
      <c r="V23" s="14"/>
      <c r="W23" s="14"/>
      <c r="X23" s="14"/>
      <c r="Y23" s="28">
        <v>15817694.13</v>
      </c>
      <c r="Z23" s="28">
        <f t="shared" si="2"/>
        <v>15817694.13</v>
      </c>
      <c r="AA23" s="28">
        <f t="shared" si="3"/>
        <v>91805694.13</v>
      </c>
      <c r="AB23" s="2" t="s">
        <v>543</v>
      </c>
    </row>
    <row r="24" spans="1:28" ht="10.5" customHeight="1">
      <c r="A24" s="94" t="s">
        <v>661</v>
      </c>
      <c r="B24" s="91">
        <f t="shared" si="0"/>
        <v>537799</v>
      </c>
      <c r="C24" s="91">
        <v>71300</v>
      </c>
      <c r="D24" s="91">
        <v>28993</v>
      </c>
      <c r="E24" s="91">
        <v>2000</v>
      </c>
      <c r="F24" s="91"/>
      <c r="G24" s="91">
        <f t="shared" si="1"/>
        <v>435506</v>
      </c>
      <c r="H24" s="91">
        <f>253279+714</f>
        <v>253993</v>
      </c>
      <c r="I24" s="91">
        <v>175315</v>
      </c>
      <c r="J24" s="119"/>
      <c r="K24" s="92">
        <v>6198</v>
      </c>
      <c r="L24" s="92">
        <v>0</v>
      </c>
      <c r="M24" s="103" t="s">
        <v>662</v>
      </c>
      <c r="N24" s="91"/>
      <c r="O24" s="91">
        <v>714</v>
      </c>
      <c r="P24" s="75" t="s">
        <v>543</v>
      </c>
      <c r="Q24" s="27" t="s">
        <v>661</v>
      </c>
      <c r="R24" s="28">
        <v>300000000</v>
      </c>
      <c r="S24" s="14"/>
      <c r="T24" s="14"/>
      <c r="U24" s="14"/>
      <c r="V24" s="14"/>
      <c r="W24" s="14"/>
      <c r="X24" s="14"/>
      <c r="Y24" s="28">
        <v>-4931221.46</v>
      </c>
      <c r="Z24" s="28">
        <f t="shared" si="2"/>
        <v>-4931221.46</v>
      </c>
      <c r="AA24" s="28">
        <f t="shared" si="3"/>
        <v>295068778.54</v>
      </c>
      <c r="AB24" s="2" t="s">
        <v>543</v>
      </c>
    </row>
    <row r="25" spans="1:28" ht="10.5" customHeight="1">
      <c r="A25" s="94" t="s">
        <v>663</v>
      </c>
      <c r="B25" s="91">
        <f t="shared" si="0"/>
        <v>805000</v>
      </c>
      <c r="C25" s="91">
        <v>89973</v>
      </c>
      <c r="D25" s="91">
        <v>31285</v>
      </c>
      <c r="E25" s="91">
        <v>2100</v>
      </c>
      <c r="F25" s="91"/>
      <c r="G25" s="91">
        <f t="shared" si="1"/>
        <v>681642</v>
      </c>
      <c r="H25" s="91">
        <f>366775+747</f>
        <v>367522</v>
      </c>
      <c r="I25" s="91">
        <v>305694</v>
      </c>
      <c r="J25" s="119"/>
      <c r="K25" s="92">
        <v>8426</v>
      </c>
      <c r="L25" s="92">
        <v>0</v>
      </c>
      <c r="M25" s="103" t="s">
        <v>664</v>
      </c>
      <c r="N25" s="91"/>
      <c r="O25" s="91">
        <v>747</v>
      </c>
      <c r="P25" s="75" t="s">
        <v>543</v>
      </c>
      <c r="Q25" s="27" t="s">
        <v>663</v>
      </c>
      <c r="R25" s="28">
        <v>900000000</v>
      </c>
      <c r="S25" s="14"/>
      <c r="T25" s="14"/>
      <c r="U25" s="14"/>
      <c r="V25" s="14"/>
      <c r="W25" s="14"/>
      <c r="X25" s="14"/>
      <c r="Y25" s="28">
        <v>-7038191.24</v>
      </c>
      <c r="Z25" s="28">
        <f t="shared" si="2"/>
        <v>-7038191.24</v>
      </c>
      <c r="AA25" s="28">
        <f t="shared" si="3"/>
        <v>892961808.76</v>
      </c>
      <c r="AB25" s="2" t="s">
        <v>543</v>
      </c>
    </row>
    <row r="26" spans="1:28" ht="10.5" customHeight="1">
      <c r="A26" s="94" t="s">
        <v>665</v>
      </c>
      <c r="B26" s="91">
        <f t="shared" si="0"/>
        <v>737025</v>
      </c>
      <c r="C26" s="91">
        <v>71385</v>
      </c>
      <c r="D26" s="91">
        <v>33430</v>
      </c>
      <c r="E26" s="91">
        <v>1500</v>
      </c>
      <c r="F26" s="91"/>
      <c r="G26" s="91">
        <f t="shared" si="1"/>
        <v>630710</v>
      </c>
      <c r="H26" s="91">
        <f>253673+788</f>
        <v>254461</v>
      </c>
      <c r="I26" s="91">
        <v>369602</v>
      </c>
      <c r="J26" s="119"/>
      <c r="K26" s="92">
        <v>6647</v>
      </c>
      <c r="L26" s="92">
        <v>0</v>
      </c>
      <c r="M26" s="103" t="s">
        <v>666</v>
      </c>
      <c r="N26" s="91"/>
      <c r="O26" s="91">
        <v>788</v>
      </c>
      <c r="P26" s="75" t="s">
        <v>543</v>
      </c>
      <c r="Q26" s="27" t="s">
        <v>665</v>
      </c>
      <c r="R26" s="28">
        <v>900000000</v>
      </c>
      <c r="S26" s="7"/>
      <c r="T26" s="7"/>
      <c r="U26" s="7"/>
      <c r="V26" s="7"/>
      <c r="W26" s="7"/>
      <c r="X26" s="28">
        <v>-103306687.25</v>
      </c>
      <c r="Y26" s="28">
        <v>2768077.48</v>
      </c>
      <c r="Z26" s="28">
        <f t="shared" si="2"/>
        <v>-100538609.77</v>
      </c>
      <c r="AA26" s="28">
        <f t="shared" si="3"/>
        <v>799461390.23</v>
      </c>
      <c r="AB26" s="2" t="s">
        <v>543</v>
      </c>
    </row>
    <row r="27" spans="1:28" ht="10.5" customHeight="1">
      <c r="A27" s="94" t="s">
        <v>667</v>
      </c>
      <c r="B27" s="91">
        <f t="shared" si="0"/>
        <v>509194</v>
      </c>
      <c r="C27" s="91">
        <v>22373</v>
      </c>
      <c r="D27" s="91">
        <v>11750</v>
      </c>
      <c r="E27" s="91">
        <v>2750</v>
      </c>
      <c r="F27" s="91"/>
      <c r="G27" s="91">
        <f t="shared" si="1"/>
        <v>472321</v>
      </c>
      <c r="H27" s="91">
        <f>164928+739</f>
        <v>165667</v>
      </c>
      <c r="I27" s="91">
        <v>299703</v>
      </c>
      <c r="J27" s="119"/>
      <c r="K27" s="92">
        <v>6951</v>
      </c>
      <c r="L27" s="92">
        <v>0</v>
      </c>
      <c r="M27" s="103" t="s">
        <v>668</v>
      </c>
      <c r="N27" s="91"/>
      <c r="O27" s="91">
        <v>739</v>
      </c>
      <c r="P27" s="75" t="s">
        <v>543</v>
      </c>
      <c r="Q27" s="27" t="s">
        <v>667</v>
      </c>
      <c r="R27" s="28">
        <v>900000000</v>
      </c>
      <c r="S27" s="7"/>
      <c r="T27" s="7"/>
      <c r="U27" s="7"/>
      <c r="V27" s="7"/>
      <c r="W27" s="7"/>
      <c r="X27" s="28">
        <v>103306687.25</v>
      </c>
      <c r="Y27" s="28">
        <v>-9529923.18</v>
      </c>
      <c r="Z27" s="28">
        <f t="shared" si="2"/>
        <v>93776764.07</v>
      </c>
      <c r="AA27" s="28">
        <f t="shared" si="3"/>
        <v>993776764.0699999</v>
      </c>
      <c r="AB27" s="2" t="s">
        <v>543</v>
      </c>
    </row>
    <row r="28" spans="1:28" ht="10.5" customHeight="1">
      <c r="A28" s="94" t="s">
        <v>669</v>
      </c>
      <c r="B28" s="91">
        <f t="shared" si="0"/>
        <v>288593</v>
      </c>
      <c r="C28" s="91">
        <v>34498</v>
      </c>
      <c r="D28" s="91">
        <v>9303</v>
      </c>
      <c r="E28" s="91">
        <v>1002</v>
      </c>
      <c r="F28" s="91"/>
      <c r="G28" s="91">
        <f t="shared" si="1"/>
        <v>243790</v>
      </c>
      <c r="H28" s="91">
        <f>62479+1000</f>
        <v>63479</v>
      </c>
      <c r="I28" s="91">
        <v>173745</v>
      </c>
      <c r="J28" s="119"/>
      <c r="K28" s="92">
        <v>6566</v>
      </c>
      <c r="L28" s="92">
        <v>0</v>
      </c>
      <c r="M28" s="103" t="s">
        <v>670</v>
      </c>
      <c r="N28" s="91"/>
      <c r="O28" s="91">
        <v>1000</v>
      </c>
      <c r="P28" s="75" t="s">
        <v>543</v>
      </c>
      <c r="Q28" s="27" t="s">
        <v>669</v>
      </c>
      <c r="R28" s="28">
        <v>900000000</v>
      </c>
      <c r="S28" s="21" t="s">
        <v>671</v>
      </c>
      <c r="T28" s="28">
        <v>665296.07</v>
      </c>
      <c r="U28" s="28">
        <v>-33542168.24</v>
      </c>
      <c r="V28" s="28">
        <v>62261837.66</v>
      </c>
      <c r="W28" s="28">
        <f aca="true" t="shared" si="4" ref="W28:W40">U28+V28</f>
        <v>28719669.419999998</v>
      </c>
      <c r="X28" s="29" t="s">
        <v>625</v>
      </c>
      <c r="Y28" s="29" t="s">
        <v>625</v>
      </c>
      <c r="Z28" s="28">
        <f t="shared" si="2"/>
        <v>29384965.49</v>
      </c>
      <c r="AA28" s="28">
        <f t="shared" si="3"/>
        <v>929384965.49</v>
      </c>
      <c r="AB28" s="2" t="s">
        <v>543</v>
      </c>
    </row>
    <row r="29" spans="1:28" ht="10.5" customHeight="1">
      <c r="A29" s="94" t="s">
        <v>672</v>
      </c>
      <c r="B29" s="91">
        <f t="shared" si="0"/>
        <v>179927</v>
      </c>
      <c r="C29" s="91">
        <v>26262</v>
      </c>
      <c r="D29" s="91">
        <v>16491</v>
      </c>
      <c r="E29" s="91">
        <v>3712</v>
      </c>
      <c r="F29" s="91"/>
      <c r="G29" s="91">
        <f t="shared" si="1"/>
        <v>133462</v>
      </c>
      <c r="H29" s="91">
        <v>129081</v>
      </c>
      <c r="I29" s="91">
        <v>0</v>
      </c>
      <c r="J29" s="119"/>
      <c r="K29" s="92">
        <v>4381</v>
      </c>
      <c r="L29" s="92">
        <v>0</v>
      </c>
      <c r="M29" s="91">
        <v>8160</v>
      </c>
      <c r="N29" s="91">
        <v>0</v>
      </c>
      <c r="O29" s="111" t="s">
        <v>673</v>
      </c>
      <c r="P29" s="75" t="s">
        <v>543</v>
      </c>
      <c r="Q29" s="27" t="s">
        <v>672</v>
      </c>
      <c r="R29" s="28">
        <v>900000000</v>
      </c>
      <c r="S29" s="21" t="s">
        <v>457</v>
      </c>
      <c r="T29" s="28">
        <f aca="true" t="shared" si="5" ref="T29:T39">-W28</f>
        <v>-28719669.419999998</v>
      </c>
      <c r="U29" s="28">
        <v>-45320790.49</v>
      </c>
      <c r="V29" s="28">
        <v>80086734.72</v>
      </c>
      <c r="W29" s="28">
        <f t="shared" si="4"/>
        <v>34765944.23</v>
      </c>
      <c r="X29" s="29" t="s">
        <v>625</v>
      </c>
      <c r="Y29" s="29" t="s">
        <v>625</v>
      </c>
      <c r="Z29" s="28">
        <f t="shared" si="2"/>
        <v>6046274.809999999</v>
      </c>
      <c r="AA29" s="28">
        <f t="shared" si="3"/>
        <v>906046274.81</v>
      </c>
      <c r="AB29" s="2" t="s">
        <v>543</v>
      </c>
    </row>
    <row r="30" spans="1:28" ht="10.5" customHeight="1">
      <c r="A30" s="94" t="s">
        <v>458</v>
      </c>
      <c r="B30" s="91">
        <f t="shared" si="0"/>
        <v>335093</v>
      </c>
      <c r="C30" s="91">
        <v>63077</v>
      </c>
      <c r="D30" s="91">
        <v>35200</v>
      </c>
      <c r="E30" s="91">
        <v>311</v>
      </c>
      <c r="F30" s="91"/>
      <c r="G30" s="91">
        <f t="shared" si="1"/>
        <v>236505</v>
      </c>
      <c r="H30" s="91">
        <v>121505</v>
      </c>
      <c r="I30" s="91">
        <v>110619</v>
      </c>
      <c r="J30" s="119"/>
      <c r="K30" s="92">
        <v>4381</v>
      </c>
      <c r="L30" s="92">
        <v>0</v>
      </c>
      <c r="M30" s="91">
        <v>7500</v>
      </c>
      <c r="N30" s="91">
        <v>0</v>
      </c>
      <c r="O30" s="84" t="s">
        <v>459</v>
      </c>
      <c r="P30" s="75" t="s">
        <v>543</v>
      </c>
      <c r="Q30" s="27" t="s">
        <v>458</v>
      </c>
      <c r="R30" s="28">
        <v>900000000</v>
      </c>
      <c r="S30" s="21" t="s">
        <v>460</v>
      </c>
      <c r="T30" s="28">
        <f t="shared" si="5"/>
        <v>-34765944.23</v>
      </c>
      <c r="U30" s="28">
        <v>-50541015.61</v>
      </c>
      <c r="V30" s="28">
        <v>53173160.07</v>
      </c>
      <c r="W30" s="28">
        <f t="shared" si="4"/>
        <v>2632144.460000001</v>
      </c>
      <c r="X30" s="29" t="s">
        <v>625</v>
      </c>
      <c r="Y30" s="29" t="s">
        <v>625</v>
      </c>
      <c r="Z30" s="28">
        <f t="shared" si="2"/>
        <v>-32133799.769999996</v>
      </c>
      <c r="AA30" s="28">
        <f t="shared" si="3"/>
        <v>867866200.23</v>
      </c>
      <c r="AB30" s="2" t="s">
        <v>543</v>
      </c>
    </row>
    <row r="31" spans="1:28" ht="10.5" customHeight="1">
      <c r="A31" s="94" t="s">
        <v>461</v>
      </c>
      <c r="B31" s="91">
        <f t="shared" si="0"/>
        <v>301890</v>
      </c>
      <c r="C31" s="91">
        <v>40052</v>
      </c>
      <c r="D31" s="91">
        <v>52297</v>
      </c>
      <c r="E31" s="91">
        <v>5891</v>
      </c>
      <c r="F31" s="91"/>
      <c r="G31" s="91">
        <f t="shared" si="1"/>
        <v>203650</v>
      </c>
      <c r="H31" s="91">
        <v>128650</v>
      </c>
      <c r="I31" s="91">
        <v>72919</v>
      </c>
      <c r="J31" s="119"/>
      <c r="K31" s="92">
        <v>2081</v>
      </c>
      <c r="L31" s="92">
        <v>2300</v>
      </c>
      <c r="M31" s="91">
        <v>7800</v>
      </c>
      <c r="N31" s="91">
        <v>1540</v>
      </c>
      <c r="O31" s="84" t="s">
        <v>462</v>
      </c>
      <c r="P31" s="75" t="s">
        <v>543</v>
      </c>
      <c r="Q31" s="27" t="s">
        <v>461</v>
      </c>
      <c r="R31" s="28">
        <v>900000000</v>
      </c>
      <c r="S31" s="7"/>
      <c r="T31" s="28">
        <f t="shared" si="5"/>
        <v>-2632144.460000001</v>
      </c>
      <c r="U31" s="28">
        <v>-87313264.15</v>
      </c>
      <c r="V31" s="28">
        <v>90382877.36</v>
      </c>
      <c r="W31" s="28">
        <f t="shared" si="4"/>
        <v>3069613.2099999934</v>
      </c>
      <c r="X31" s="28">
        <v>-20633303.84</v>
      </c>
      <c r="Y31" s="29" t="s">
        <v>625</v>
      </c>
      <c r="Z31" s="28">
        <f t="shared" si="2"/>
        <v>-20195835.090000007</v>
      </c>
      <c r="AA31" s="28">
        <f t="shared" si="3"/>
        <v>879804164.91</v>
      </c>
      <c r="AB31" s="2" t="s">
        <v>543</v>
      </c>
    </row>
    <row r="32" spans="1:28" ht="10.5" customHeight="1">
      <c r="A32" s="94" t="s">
        <v>463</v>
      </c>
      <c r="B32" s="91">
        <f t="shared" si="0"/>
        <v>286612</v>
      </c>
      <c r="C32" s="91">
        <v>50535</v>
      </c>
      <c r="D32" s="91">
        <v>64218</v>
      </c>
      <c r="E32" s="91">
        <v>2695</v>
      </c>
      <c r="F32" s="91"/>
      <c r="G32" s="91">
        <f t="shared" si="1"/>
        <v>169164</v>
      </c>
      <c r="H32" s="91">
        <v>95682</v>
      </c>
      <c r="I32" s="91">
        <v>71853</v>
      </c>
      <c r="J32" s="119"/>
      <c r="K32" s="92">
        <v>1629</v>
      </c>
      <c r="L32" s="92">
        <v>318</v>
      </c>
      <c r="M32" s="91">
        <v>6885</v>
      </c>
      <c r="N32" s="91">
        <v>0</v>
      </c>
      <c r="O32" s="111" t="s">
        <v>464</v>
      </c>
      <c r="P32" s="75" t="s">
        <v>543</v>
      </c>
      <c r="Q32" s="27" t="s">
        <v>463</v>
      </c>
      <c r="R32" s="28">
        <v>900000000</v>
      </c>
      <c r="S32" s="7"/>
      <c r="T32" s="28">
        <f t="shared" si="5"/>
        <v>-3069613.2099999934</v>
      </c>
      <c r="U32" s="28">
        <v>-133284492.5</v>
      </c>
      <c r="V32" s="28">
        <v>250700917.83</v>
      </c>
      <c r="W32" s="28">
        <f t="shared" si="4"/>
        <v>117416425.33000001</v>
      </c>
      <c r="X32" s="28">
        <v>20633303.84</v>
      </c>
      <c r="Y32" s="29" t="s">
        <v>625</v>
      </c>
      <c r="Z32" s="28">
        <f t="shared" si="2"/>
        <v>134980115.96000004</v>
      </c>
      <c r="AA32" s="28">
        <f t="shared" si="3"/>
        <v>1034980115.96</v>
      </c>
      <c r="AB32" s="2" t="s">
        <v>543</v>
      </c>
    </row>
    <row r="33" spans="1:28" ht="10.5" customHeight="1">
      <c r="A33" s="94" t="s">
        <v>465</v>
      </c>
      <c r="B33" s="91">
        <f t="shared" si="0"/>
        <v>168208.98</v>
      </c>
      <c r="C33" s="91">
        <f>28300-169.8-1210+4436</f>
        <v>31356.2</v>
      </c>
      <c r="D33" s="91">
        <f>40670-244.02-1738+2373</f>
        <v>41060.98</v>
      </c>
      <c r="E33" s="91">
        <f>2300-13.8-98</f>
        <v>2188.2</v>
      </c>
      <c r="F33" s="91"/>
      <c r="G33" s="91">
        <f t="shared" si="1"/>
        <v>93603.6</v>
      </c>
      <c r="H33" s="91">
        <f>43400-260.4-1855+5000-30-214</f>
        <v>46040.6</v>
      </c>
      <c r="I33" s="91">
        <f>48350-290.1-2067</f>
        <v>45992.9</v>
      </c>
      <c r="J33" s="119"/>
      <c r="K33" s="92">
        <f>1650-9.9-70</f>
        <v>1570.1</v>
      </c>
      <c r="L33" s="92">
        <v>852</v>
      </c>
      <c r="M33" s="91">
        <f>5000-30-214</f>
        <v>4756</v>
      </c>
      <c r="N33" s="91">
        <v>0</v>
      </c>
      <c r="O33" s="91"/>
      <c r="P33" s="75" t="s">
        <v>543</v>
      </c>
      <c r="Q33" s="27" t="s">
        <v>465</v>
      </c>
      <c r="R33" s="28">
        <v>900000000</v>
      </c>
      <c r="S33" s="7"/>
      <c r="T33" s="28">
        <f t="shared" si="5"/>
        <v>-117416425.33000001</v>
      </c>
      <c r="U33" s="28">
        <v>-27359755.65</v>
      </c>
      <c r="V33" s="28">
        <v>93448868.22</v>
      </c>
      <c r="W33" s="28">
        <f t="shared" si="4"/>
        <v>66089112.57</v>
      </c>
      <c r="X33" s="29" t="s">
        <v>625</v>
      </c>
      <c r="Y33" s="29" t="s">
        <v>625</v>
      </c>
      <c r="Z33" s="28">
        <f t="shared" si="2"/>
        <v>-51327312.76000001</v>
      </c>
      <c r="AA33" s="28">
        <f t="shared" si="3"/>
        <v>848672687.24</v>
      </c>
      <c r="AB33" s="2" t="s">
        <v>543</v>
      </c>
    </row>
    <row r="34" spans="1:28" ht="10.5" customHeight="1">
      <c r="A34" s="94" t="s">
        <v>466</v>
      </c>
      <c r="B34" s="91">
        <f t="shared" si="0"/>
        <v>210626</v>
      </c>
      <c r="C34" s="91">
        <v>49236</v>
      </c>
      <c r="D34" s="91">
        <v>48240</v>
      </c>
      <c r="E34" s="91">
        <v>3020</v>
      </c>
      <c r="F34" s="91"/>
      <c r="G34" s="91">
        <f t="shared" si="1"/>
        <v>110130</v>
      </c>
      <c r="H34" s="91">
        <v>75160</v>
      </c>
      <c r="I34" s="91">
        <v>32700</v>
      </c>
      <c r="J34" s="119"/>
      <c r="K34" s="92">
        <v>2270</v>
      </c>
      <c r="L34" s="92">
        <v>893</v>
      </c>
      <c r="M34" s="91">
        <v>5000</v>
      </c>
      <c r="N34" s="91">
        <v>0</v>
      </c>
      <c r="O34" s="91"/>
      <c r="P34" s="75" t="s">
        <v>543</v>
      </c>
      <c r="Q34" s="27" t="s">
        <v>466</v>
      </c>
      <c r="R34" s="28">
        <v>900000000</v>
      </c>
      <c r="S34" s="7"/>
      <c r="T34" s="28">
        <f t="shared" si="5"/>
        <v>-66089112.57</v>
      </c>
      <c r="U34" s="28">
        <v>-10335277.41</v>
      </c>
      <c r="V34" s="28">
        <v>47908024.31</v>
      </c>
      <c r="W34" s="28">
        <f t="shared" si="4"/>
        <v>37572746.900000006</v>
      </c>
      <c r="X34" s="29" t="s">
        <v>625</v>
      </c>
      <c r="Y34" s="29" t="s">
        <v>625</v>
      </c>
      <c r="Z34" s="28">
        <f t="shared" si="2"/>
        <v>-28516365.669999994</v>
      </c>
      <c r="AA34" s="28">
        <f t="shared" si="3"/>
        <v>871483634.33</v>
      </c>
      <c r="AB34" s="2" t="s">
        <v>543</v>
      </c>
    </row>
    <row r="35" spans="1:28" ht="10.5" customHeight="1">
      <c r="A35" s="94" t="s">
        <v>467</v>
      </c>
      <c r="B35" s="91">
        <f t="shared" si="0"/>
        <v>170464</v>
      </c>
      <c r="C35" s="91">
        <v>49076</v>
      </c>
      <c r="D35" s="91">
        <v>51754</v>
      </c>
      <c r="E35" s="91">
        <v>8885</v>
      </c>
      <c r="F35" s="91"/>
      <c r="G35" s="91">
        <f t="shared" si="1"/>
        <v>60749</v>
      </c>
      <c r="H35" s="91">
        <v>40763</v>
      </c>
      <c r="I35" s="91">
        <v>16567</v>
      </c>
      <c r="J35" s="119"/>
      <c r="K35" s="92">
        <v>3419</v>
      </c>
      <c r="L35" s="92">
        <v>27</v>
      </c>
      <c r="M35" s="91">
        <v>6438</v>
      </c>
      <c r="N35" s="91">
        <v>0</v>
      </c>
      <c r="O35" s="91"/>
      <c r="P35" s="75" t="s">
        <v>543</v>
      </c>
      <c r="Q35" s="27" t="s">
        <v>467</v>
      </c>
      <c r="R35" s="28">
        <v>900000000</v>
      </c>
      <c r="S35" s="7"/>
      <c r="T35" s="28">
        <f t="shared" si="5"/>
        <v>-37572746.900000006</v>
      </c>
      <c r="U35" s="28">
        <v>-2666020.64</v>
      </c>
      <c r="V35" s="28">
        <v>39160060.23</v>
      </c>
      <c r="W35" s="28">
        <f t="shared" si="4"/>
        <v>36494039.589999996</v>
      </c>
      <c r="X35" s="29" t="s">
        <v>625</v>
      </c>
      <c r="Y35" s="29" t="s">
        <v>625</v>
      </c>
      <c r="Z35" s="28">
        <f t="shared" si="2"/>
        <v>-1078707.3100000098</v>
      </c>
      <c r="AA35" s="28">
        <f t="shared" si="3"/>
        <v>898921292.6899999</v>
      </c>
      <c r="AB35" s="2" t="s">
        <v>543</v>
      </c>
    </row>
    <row r="36" spans="1:28" ht="10.5" customHeight="1">
      <c r="A36" s="94" t="s">
        <v>468</v>
      </c>
      <c r="B36" s="91">
        <f t="shared" si="0"/>
        <v>206233</v>
      </c>
      <c r="C36" s="91">
        <v>63805</v>
      </c>
      <c r="D36" s="91">
        <v>57529</v>
      </c>
      <c r="E36" s="91">
        <v>12290</v>
      </c>
      <c r="F36" s="91"/>
      <c r="G36" s="91">
        <f t="shared" si="1"/>
        <v>72609</v>
      </c>
      <c r="H36" s="91">
        <v>52609</v>
      </c>
      <c r="I36" s="91">
        <v>16700</v>
      </c>
      <c r="J36" s="119"/>
      <c r="K36" s="92">
        <v>3300</v>
      </c>
      <c r="L36" s="92">
        <v>357</v>
      </c>
      <c r="M36" s="91">
        <v>6241</v>
      </c>
      <c r="N36" s="91">
        <v>0</v>
      </c>
      <c r="O36" s="91"/>
      <c r="P36" s="75" t="s">
        <v>543</v>
      </c>
      <c r="Q36" s="27" t="s">
        <v>468</v>
      </c>
      <c r="R36" s="28">
        <v>900000000</v>
      </c>
      <c r="S36" s="7"/>
      <c r="T36" s="28">
        <f t="shared" si="5"/>
        <v>-36494039.589999996</v>
      </c>
      <c r="U36" s="28">
        <v>-745343.03</v>
      </c>
      <c r="V36" s="28">
        <v>55409239.6</v>
      </c>
      <c r="W36" s="28">
        <f t="shared" si="4"/>
        <v>54663896.57</v>
      </c>
      <c r="X36" s="29" t="s">
        <v>625</v>
      </c>
      <c r="Y36" s="29" t="s">
        <v>625</v>
      </c>
      <c r="Z36" s="28">
        <f t="shared" si="2"/>
        <v>18169856.980000004</v>
      </c>
      <c r="AA36" s="28">
        <f t="shared" si="3"/>
        <v>918169856.98</v>
      </c>
      <c r="AB36" s="2" t="s">
        <v>543</v>
      </c>
    </row>
    <row r="37" spans="1:28" ht="10.5" customHeight="1">
      <c r="A37" s="94" t="s">
        <v>469</v>
      </c>
      <c r="B37" s="91">
        <f t="shared" si="0"/>
        <v>231481</v>
      </c>
      <c r="C37" s="91">
        <v>63433</v>
      </c>
      <c r="D37" s="91">
        <v>67990</v>
      </c>
      <c r="E37" s="91">
        <v>12556</v>
      </c>
      <c r="F37" s="91"/>
      <c r="G37" s="91">
        <f t="shared" si="1"/>
        <v>87502</v>
      </c>
      <c r="H37" s="91">
        <v>67740</v>
      </c>
      <c r="I37" s="91">
        <v>16501</v>
      </c>
      <c r="J37" s="119"/>
      <c r="K37" s="92">
        <v>3261</v>
      </c>
      <c r="L37" s="92">
        <v>406</v>
      </c>
      <c r="M37" s="91">
        <v>6242</v>
      </c>
      <c r="N37" s="91">
        <v>289</v>
      </c>
      <c r="O37" s="91"/>
      <c r="P37" s="75" t="s">
        <v>543</v>
      </c>
      <c r="Q37" s="27" t="s">
        <v>469</v>
      </c>
      <c r="R37" s="28">
        <v>900000000</v>
      </c>
      <c r="S37" s="7"/>
      <c r="T37" s="28">
        <f t="shared" si="5"/>
        <v>-54663896.57</v>
      </c>
      <c r="U37" s="28">
        <v>-1570930.79</v>
      </c>
      <c r="V37" s="28">
        <v>16571020.79</v>
      </c>
      <c r="W37" s="28">
        <f t="shared" si="4"/>
        <v>15000090</v>
      </c>
      <c r="X37" s="29" t="s">
        <v>625</v>
      </c>
      <c r="Y37" s="29" t="s">
        <v>625</v>
      </c>
      <c r="Z37" s="28">
        <f t="shared" si="2"/>
        <v>-39663806.57</v>
      </c>
      <c r="AA37" s="28">
        <f t="shared" si="3"/>
        <v>860336193.43</v>
      </c>
      <c r="AB37" s="2" t="s">
        <v>543</v>
      </c>
    </row>
    <row r="38" spans="1:28" ht="10.5" customHeight="1">
      <c r="A38" s="94" t="s">
        <v>470</v>
      </c>
      <c r="B38" s="91">
        <f t="shared" si="0"/>
        <v>341670.75</v>
      </c>
      <c r="C38" s="91">
        <f>89163-467.214-1.153</f>
        <v>88694.63299999999</v>
      </c>
      <c r="D38" s="91">
        <f>101150-530.026-1.308</f>
        <v>100618.666</v>
      </c>
      <c r="E38" s="91">
        <f>15649-82.001-0.202</f>
        <v>15566.797</v>
      </c>
      <c r="F38" s="91"/>
      <c r="G38" s="91">
        <f t="shared" si="1"/>
        <v>136790.65399999998</v>
      </c>
      <c r="H38" s="91">
        <f>97113-508.568-1.778+7000-37</f>
        <v>103565.654</v>
      </c>
      <c r="I38" s="91">
        <f>30000-157</f>
        <v>29843</v>
      </c>
      <c r="J38" s="119"/>
      <c r="K38" s="92">
        <f>3400-18</f>
        <v>3382</v>
      </c>
      <c r="L38" s="92">
        <v>23</v>
      </c>
      <c r="M38" s="91">
        <f>7000-37</f>
        <v>6963</v>
      </c>
      <c r="N38" s="91">
        <v>260</v>
      </c>
      <c r="O38" s="91"/>
      <c r="P38" s="75" t="s">
        <v>543</v>
      </c>
      <c r="Q38" s="27" t="s">
        <v>470</v>
      </c>
      <c r="R38" s="28">
        <v>900000000</v>
      </c>
      <c r="S38" s="7"/>
      <c r="T38" s="28">
        <f t="shared" si="5"/>
        <v>-15000090</v>
      </c>
      <c r="U38" s="21" t="s">
        <v>671</v>
      </c>
      <c r="V38" s="28">
        <v>12074491.1</v>
      </c>
      <c r="W38" s="28">
        <f t="shared" si="4"/>
        <v>12074491.1</v>
      </c>
      <c r="X38" s="29" t="s">
        <v>625</v>
      </c>
      <c r="Y38" s="29" t="s">
        <v>625</v>
      </c>
      <c r="Z38" s="28">
        <f t="shared" si="2"/>
        <v>-2925598.9000000004</v>
      </c>
      <c r="AA38" s="28">
        <f t="shared" si="3"/>
        <v>897074401.1</v>
      </c>
      <c r="AB38" s="2" t="s">
        <v>543</v>
      </c>
    </row>
    <row r="39" spans="1:28" ht="10.5" customHeight="1">
      <c r="A39" s="94" t="s">
        <v>471</v>
      </c>
      <c r="B39" s="91">
        <f t="shared" si="0"/>
        <v>317391.829</v>
      </c>
      <c r="C39" s="91">
        <f>89433-1126.856</f>
        <v>88306.144</v>
      </c>
      <c r="D39" s="91">
        <f>100117-1261.475</f>
        <v>98855.525</v>
      </c>
      <c r="E39" s="91">
        <f>25322-319.058</f>
        <v>25002.942</v>
      </c>
      <c r="F39" s="91"/>
      <c r="G39" s="91">
        <f t="shared" si="1"/>
        <v>105227.218</v>
      </c>
      <c r="H39" s="91">
        <f>83070-1046.782</f>
        <v>82023.218</v>
      </c>
      <c r="I39" s="91">
        <f>20000-252</f>
        <v>19748</v>
      </c>
      <c r="J39" s="119"/>
      <c r="K39" s="92">
        <f>3500-44</f>
        <v>3456</v>
      </c>
      <c r="L39" s="92">
        <v>14</v>
      </c>
      <c r="M39" s="91">
        <f>8500-107</f>
        <v>8393</v>
      </c>
      <c r="N39" s="91">
        <v>0</v>
      </c>
      <c r="O39" s="91"/>
      <c r="P39" s="75" t="s">
        <v>543</v>
      </c>
      <c r="Q39" s="27" t="s">
        <v>471</v>
      </c>
      <c r="R39" s="28">
        <v>900000000</v>
      </c>
      <c r="S39" s="7"/>
      <c r="T39" s="28">
        <f t="shared" si="5"/>
        <v>-12074491.1</v>
      </c>
      <c r="U39" s="21" t="s">
        <v>472</v>
      </c>
      <c r="V39" s="28">
        <v>28773882.81</v>
      </c>
      <c r="W39" s="28">
        <f t="shared" si="4"/>
        <v>28773882.81</v>
      </c>
      <c r="X39" s="29" t="s">
        <v>625</v>
      </c>
      <c r="Y39" s="29" t="s">
        <v>625</v>
      </c>
      <c r="Z39" s="28">
        <f t="shared" si="2"/>
        <v>16699391.709999999</v>
      </c>
      <c r="AA39" s="28">
        <f t="shared" si="3"/>
        <v>916699391.71</v>
      </c>
      <c r="AB39" s="2" t="s">
        <v>543</v>
      </c>
    </row>
    <row r="40" spans="1:28" ht="10.5" customHeight="1">
      <c r="A40" s="94" t="s">
        <v>473</v>
      </c>
      <c r="B40" s="91">
        <f t="shared" si="0"/>
        <v>283652.286</v>
      </c>
      <c r="C40" s="91">
        <f>62947-535.049</f>
        <v>62411.951</v>
      </c>
      <c r="D40" s="91">
        <f>76192-647.632</f>
        <v>75544.368</v>
      </c>
      <c r="E40" s="91">
        <f>28034-238.289</f>
        <v>27795.711</v>
      </c>
      <c r="F40" s="91"/>
      <c r="G40" s="91">
        <f t="shared" si="1"/>
        <v>117900.256</v>
      </c>
      <c r="H40" s="91">
        <f>90455-768.868</f>
        <v>89686.132</v>
      </c>
      <c r="I40" s="91">
        <f>25000-212.5</f>
        <v>24787.5</v>
      </c>
      <c r="J40" s="119"/>
      <c r="K40" s="92">
        <f>3456-29.376</f>
        <v>3426.624</v>
      </c>
      <c r="L40" s="92">
        <v>75</v>
      </c>
      <c r="M40" s="91">
        <v>8428</v>
      </c>
      <c r="N40" s="91">
        <v>0</v>
      </c>
      <c r="O40" s="91"/>
      <c r="P40" s="75" t="s">
        <v>543</v>
      </c>
      <c r="Q40" s="27" t="s">
        <v>473</v>
      </c>
      <c r="R40" s="28">
        <v>900000000</v>
      </c>
      <c r="S40" s="7"/>
      <c r="T40" s="29" t="s">
        <v>474</v>
      </c>
      <c r="U40" s="21" t="s">
        <v>460</v>
      </c>
      <c r="V40" s="28">
        <v>6008315</v>
      </c>
      <c r="W40" s="28">
        <f t="shared" si="4"/>
        <v>6008315</v>
      </c>
      <c r="X40" s="29" t="s">
        <v>625</v>
      </c>
      <c r="Y40" s="29" t="s">
        <v>625</v>
      </c>
      <c r="Z40" s="28">
        <f t="shared" si="2"/>
        <v>6008315</v>
      </c>
      <c r="AA40" s="28">
        <f t="shared" si="3"/>
        <v>906008315</v>
      </c>
      <c r="AB40" s="2" t="s">
        <v>543</v>
      </c>
    </row>
    <row r="41" spans="1:28" ht="10.5" customHeight="1">
      <c r="A41" s="94" t="s">
        <v>475</v>
      </c>
      <c r="B41" s="91">
        <f t="shared" si="0"/>
        <v>255551</v>
      </c>
      <c r="C41" s="91">
        <v>64250</v>
      </c>
      <c r="D41" s="91">
        <v>82655</v>
      </c>
      <c r="E41" s="91">
        <v>12122</v>
      </c>
      <c r="F41" s="91"/>
      <c r="G41" s="91">
        <f t="shared" si="1"/>
        <v>96524</v>
      </c>
      <c r="H41" s="91">
        <v>68471</v>
      </c>
      <c r="I41" s="91">
        <v>24750</v>
      </c>
      <c r="J41" s="119"/>
      <c r="K41" s="92">
        <v>3303</v>
      </c>
      <c r="L41" s="92">
        <v>9</v>
      </c>
      <c r="M41" s="91">
        <v>8247</v>
      </c>
      <c r="N41" s="91">
        <v>0</v>
      </c>
      <c r="O41" s="96"/>
      <c r="P41" s="75" t="s">
        <v>543</v>
      </c>
      <c r="Q41" s="27" t="s">
        <v>475</v>
      </c>
      <c r="R41" s="28">
        <v>900000000</v>
      </c>
      <c r="S41" s="7"/>
      <c r="T41" s="28">
        <f>-W40</f>
        <v>-6008315</v>
      </c>
      <c r="U41" s="7"/>
      <c r="V41" s="28">
        <v>3011753</v>
      </c>
      <c r="W41" s="7"/>
      <c r="X41" s="7"/>
      <c r="Y41" s="7"/>
      <c r="Z41" s="7"/>
      <c r="AA41" s="7"/>
      <c r="AB41" s="2" t="s">
        <v>543</v>
      </c>
    </row>
    <row r="42" spans="1:28" ht="10.5" customHeight="1">
      <c r="A42" s="94" t="s">
        <v>476</v>
      </c>
      <c r="B42" s="91">
        <f t="shared" si="0"/>
        <v>216795.06699999998</v>
      </c>
      <c r="C42" s="91">
        <f>65436-124.983-1429-9</f>
        <v>63873.017</v>
      </c>
      <c r="D42" s="91">
        <f>67410-128.753-1076-177</f>
        <v>66028.247</v>
      </c>
      <c r="E42" s="91">
        <f>14785-28.239-1497</f>
        <v>13259.761</v>
      </c>
      <c r="F42" s="91"/>
      <c r="G42" s="91">
        <f t="shared" si="1"/>
        <v>73634.042</v>
      </c>
      <c r="H42" s="91">
        <f>51038.042+8783-13634-500</f>
        <v>45687.042</v>
      </c>
      <c r="I42" s="91">
        <v>24703</v>
      </c>
      <c r="J42" s="119"/>
      <c r="K42" s="92">
        <v>3244</v>
      </c>
      <c r="L42" s="92">
        <v>415</v>
      </c>
      <c r="M42" s="91">
        <f>8783-500</f>
        <v>8283</v>
      </c>
      <c r="N42" s="91">
        <v>0</v>
      </c>
      <c r="O42" s="96"/>
      <c r="P42" s="75" t="s">
        <v>543</v>
      </c>
      <c r="Q42" s="27" t="s">
        <v>476</v>
      </c>
      <c r="R42" s="28">
        <v>900000000</v>
      </c>
      <c r="S42" s="7"/>
      <c r="T42" s="29" t="s">
        <v>477</v>
      </c>
      <c r="U42" s="7"/>
      <c r="V42" s="28">
        <v>3011113.01</v>
      </c>
      <c r="W42" s="7"/>
      <c r="X42" s="7"/>
      <c r="Y42" s="7"/>
      <c r="Z42" s="7"/>
      <c r="AA42" s="7"/>
      <c r="AB42" s="2" t="s">
        <v>543</v>
      </c>
    </row>
    <row r="43" spans="1:27" ht="10.5" customHeight="1">
      <c r="A43" s="94" t="s">
        <v>478</v>
      </c>
      <c r="B43" s="91">
        <f t="shared" si="0"/>
        <v>138073</v>
      </c>
      <c r="C43" s="91">
        <f>39400-8</f>
        <v>39392</v>
      </c>
      <c r="D43" s="91">
        <f>36900+3468-49</f>
        <v>40319</v>
      </c>
      <c r="E43" s="91">
        <f>12800+1300-0</f>
        <v>14100</v>
      </c>
      <c r="F43" s="91"/>
      <c r="G43" s="91">
        <f t="shared" si="1"/>
        <v>44262</v>
      </c>
      <c r="H43" s="91">
        <f>40400-4268+6700-0-70</f>
        <v>42762</v>
      </c>
      <c r="I43" s="91">
        <v>0</v>
      </c>
      <c r="J43" s="119"/>
      <c r="K43" s="92">
        <v>1500</v>
      </c>
      <c r="L43" s="92">
        <v>80</v>
      </c>
      <c r="M43" s="91">
        <f>7200-500-70</f>
        <v>6630</v>
      </c>
      <c r="N43" s="91">
        <v>0</v>
      </c>
      <c r="O43" s="96"/>
      <c r="Q43" s="10"/>
      <c r="R43" s="7"/>
      <c r="S43" s="7"/>
      <c r="T43" s="28">
        <f>-2164+1649</f>
        <v>-515</v>
      </c>
      <c r="U43" s="7"/>
      <c r="V43" s="28">
        <f>10099699.18+1000000</f>
        <v>11099699.18</v>
      </c>
      <c r="W43" s="7"/>
      <c r="X43" s="7"/>
      <c r="Y43" s="7"/>
      <c r="Z43" s="7"/>
      <c r="AA43" s="7"/>
    </row>
    <row r="44" spans="1:27" ht="10.5" customHeight="1">
      <c r="A44" s="94" t="s">
        <v>479</v>
      </c>
      <c r="B44" s="91">
        <f t="shared" si="0"/>
        <v>159379</v>
      </c>
      <c r="C44" s="91">
        <v>40575</v>
      </c>
      <c r="D44" s="91">
        <f>44479+10000</f>
        <v>54479</v>
      </c>
      <c r="E44" s="91">
        <v>10410</v>
      </c>
      <c r="F44" s="91"/>
      <c r="G44" s="91">
        <f t="shared" si="1"/>
        <v>53915</v>
      </c>
      <c r="H44" s="91">
        <f>45215+7200</f>
        <v>52415</v>
      </c>
      <c r="I44" s="91">
        <v>0</v>
      </c>
      <c r="J44" s="119"/>
      <c r="K44" s="92">
        <v>1500</v>
      </c>
      <c r="L44" s="92">
        <v>0</v>
      </c>
      <c r="M44" s="91">
        <v>7200</v>
      </c>
      <c r="N44" s="91">
        <v>0</v>
      </c>
      <c r="O44" s="96"/>
      <c r="Q44" s="10"/>
      <c r="R44" s="7"/>
      <c r="S44" s="7"/>
      <c r="T44" s="28"/>
      <c r="U44" s="7"/>
      <c r="V44" s="28"/>
      <c r="W44" s="7"/>
      <c r="X44" s="7"/>
      <c r="Y44" s="7"/>
      <c r="Z44" s="7"/>
      <c r="AA44" s="7"/>
    </row>
    <row r="45" spans="1:27" ht="10.5" customHeight="1">
      <c r="A45" s="120" t="s">
        <v>482</v>
      </c>
      <c r="B45" s="91">
        <f t="shared" si="0"/>
        <v>270098</v>
      </c>
      <c r="C45" s="91">
        <v>52976</v>
      </c>
      <c r="D45" s="91">
        <v>62632</v>
      </c>
      <c r="E45" s="91">
        <v>11200</v>
      </c>
      <c r="F45" s="91"/>
      <c r="G45" s="91">
        <f t="shared" si="1"/>
        <v>143290</v>
      </c>
      <c r="H45" s="91">
        <f>133790+8500</f>
        <v>142290</v>
      </c>
      <c r="I45" s="91">
        <v>0</v>
      </c>
      <c r="J45" s="119"/>
      <c r="K45" s="92">
        <v>1000</v>
      </c>
      <c r="L45" s="92">
        <v>0</v>
      </c>
      <c r="M45" s="91">
        <v>8500</v>
      </c>
      <c r="N45" s="91">
        <v>0</v>
      </c>
      <c r="O45" s="96"/>
      <c r="P45" s="75" t="s">
        <v>543</v>
      </c>
      <c r="Q45" s="27"/>
      <c r="R45" s="7"/>
      <c r="S45" s="7"/>
      <c r="T45" s="7"/>
      <c r="U45" s="7"/>
      <c r="V45" s="7"/>
      <c r="W45" s="7"/>
      <c r="X45" s="7"/>
      <c r="Y45" s="7"/>
      <c r="Z45" s="7"/>
      <c r="AA45" s="7"/>
    </row>
    <row r="46" spans="1:27" ht="10.5" customHeight="1">
      <c r="A46" s="153" t="s">
        <v>163</v>
      </c>
      <c r="B46" s="91">
        <f t="shared" si="0"/>
        <v>627000</v>
      </c>
      <c r="C46" s="112">
        <f>167000-12000-10000</f>
        <v>145000</v>
      </c>
      <c r="D46" s="112">
        <f>52965+41730-20000</f>
        <v>74695</v>
      </c>
      <c r="E46" s="112">
        <f>250000+10000+26500+23740-10000</f>
        <v>300240</v>
      </c>
      <c r="F46" s="112"/>
      <c r="G46" s="91">
        <f t="shared" si="1"/>
        <v>107065</v>
      </c>
      <c r="H46" s="90">
        <f>59650+67415-20000</f>
        <v>107065</v>
      </c>
      <c r="I46" s="112">
        <v>0</v>
      </c>
      <c r="J46" s="130"/>
      <c r="K46" s="92">
        <v>0</v>
      </c>
      <c r="L46" s="92">
        <v>0</v>
      </c>
      <c r="M46" s="91">
        <f>2000+1400</f>
        <v>3400</v>
      </c>
      <c r="N46" s="91">
        <v>0</v>
      </c>
      <c r="O46" s="96"/>
      <c r="Q46" s="10"/>
      <c r="R46" s="7"/>
      <c r="S46" s="7"/>
      <c r="T46" s="7"/>
      <c r="U46" s="7"/>
      <c r="V46" s="7"/>
      <c r="W46" s="7"/>
      <c r="X46" s="7"/>
      <c r="Y46" s="7"/>
      <c r="Z46" s="7"/>
      <c r="AA46" s="7"/>
    </row>
    <row r="47" spans="1:27" ht="10.5" customHeight="1">
      <c r="A47" s="121" t="s">
        <v>162</v>
      </c>
      <c r="B47" s="91">
        <f t="shared" si="0"/>
        <v>72000</v>
      </c>
      <c r="C47" s="112">
        <f>12000+10000</f>
        <v>22000</v>
      </c>
      <c r="D47" s="112">
        <v>20000</v>
      </c>
      <c r="E47" s="112">
        <v>10000</v>
      </c>
      <c r="F47" s="112"/>
      <c r="G47" s="91">
        <f t="shared" si="1"/>
        <v>20000</v>
      </c>
      <c r="H47" s="91">
        <v>20000</v>
      </c>
      <c r="I47" s="112">
        <v>0</v>
      </c>
      <c r="J47" s="130"/>
      <c r="K47" s="92">
        <v>0</v>
      </c>
      <c r="L47" s="92"/>
      <c r="M47" s="91"/>
      <c r="N47" s="91"/>
      <c r="O47" s="96"/>
      <c r="Q47" s="10"/>
      <c r="R47" s="7"/>
      <c r="S47" s="7"/>
      <c r="T47" s="7"/>
      <c r="U47" s="7"/>
      <c r="V47" s="7"/>
      <c r="W47" s="7"/>
      <c r="X47" s="7"/>
      <c r="Y47" s="7"/>
      <c r="Z47" s="7"/>
      <c r="AA47" s="7"/>
    </row>
    <row r="48" spans="1:27" ht="10.5" customHeight="1">
      <c r="A48" s="120" t="s">
        <v>167</v>
      </c>
      <c r="B48" s="91">
        <f t="shared" si="0"/>
        <v>328216</v>
      </c>
      <c r="C48" s="112">
        <v>117918</v>
      </c>
      <c r="D48" s="112">
        <f>48024-232</f>
        <v>47792</v>
      </c>
      <c r="E48" s="112">
        <f>14600-9</f>
        <v>14591</v>
      </c>
      <c r="F48" s="112"/>
      <c r="G48" s="91">
        <f t="shared" si="1"/>
        <v>147915</v>
      </c>
      <c r="H48" s="91">
        <f>138925+8500-10</f>
        <v>147415</v>
      </c>
      <c r="I48" s="112">
        <v>0</v>
      </c>
      <c r="J48" s="130"/>
      <c r="K48" s="92">
        <v>500</v>
      </c>
      <c r="L48" s="92">
        <v>0</v>
      </c>
      <c r="M48" s="91">
        <f>8500-10</f>
        <v>8490</v>
      </c>
      <c r="N48" s="91">
        <v>0</v>
      </c>
      <c r="O48" s="96"/>
      <c r="Q48" s="10"/>
      <c r="R48" s="7"/>
      <c r="S48" s="7"/>
      <c r="T48" s="7"/>
      <c r="U48" s="7"/>
      <c r="V48" s="7"/>
      <c r="W48" s="7"/>
      <c r="X48" s="7"/>
      <c r="Y48" s="7"/>
      <c r="Z48" s="7"/>
      <c r="AA48" s="7"/>
    </row>
    <row r="49" spans="1:27" ht="10.5" customHeight="1">
      <c r="A49" s="120" t="s">
        <v>86</v>
      </c>
      <c r="B49" s="91">
        <f t="shared" si="0"/>
        <v>269392</v>
      </c>
      <c r="C49" s="112">
        <f>79575-73-73</f>
        <v>79429</v>
      </c>
      <c r="D49" s="112">
        <f>50513+1250</f>
        <v>51763</v>
      </c>
      <c r="E49" s="112">
        <f>15500+2000</f>
        <v>17500</v>
      </c>
      <c r="F49" s="112"/>
      <c r="G49" s="91">
        <f t="shared" si="1"/>
        <v>120700</v>
      </c>
      <c r="H49" s="91">
        <f>89700+10000</f>
        <v>99700</v>
      </c>
      <c r="I49" s="112">
        <v>20000</v>
      </c>
      <c r="J49" s="130"/>
      <c r="K49" s="92">
        <v>1000</v>
      </c>
      <c r="L49" s="92">
        <v>0</v>
      </c>
      <c r="M49" s="91">
        <v>10000</v>
      </c>
      <c r="N49" s="91">
        <v>0</v>
      </c>
      <c r="O49" s="96"/>
      <c r="P49" s="74" t="s">
        <v>161</v>
      </c>
      <c r="Q49" s="10"/>
      <c r="R49" s="7"/>
      <c r="S49" s="7"/>
      <c r="T49" s="7"/>
      <c r="U49" s="7"/>
      <c r="V49" s="7"/>
      <c r="W49" s="7"/>
      <c r="X49" s="7"/>
      <c r="Y49" s="7"/>
      <c r="Z49" s="7"/>
      <c r="AA49" s="7"/>
    </row>
    <row r="50" spans="1:27" ht="10.5" customHeight="1">
      <c r="A50" s="94" t="s">
        <v>92</v>
      </c>
      <c r="B50" s="91">
        <f t="shared" si="0"/>
        <v>177500</v>
      </c>
      <c r="C50" s="112">
        <f>81000-5000</f>
        <v>76000</v>
      </c>
      <c r="D50" s="112">
        <f>2000+8175</f>
        <v>10175</v>
      </c>
      <c r="E50" s="112">
        <f>5000+19500+5750</f>
        <v>30250</v>
      </c>
      <c r="F50" s="112"/>
      <c r="G50" s="91">
        <f t="shared" si="1"/>
        <v>61075</v>
      </c>
      <c r="H50" s="91">
        <f>35000+5000+10000+6075-10000-5000</f>
        <v>41075</v>
      </c>
      <c r="I50" s="112">
        <v>20000</v>
      </c>
      <c r="J50" s="130"/>
      <c r="K50" s="92">
        <v>0</v>
      </c>
      <c r="L50" s="92">
        <v>0</v>
      </c>
      <c r="M50" s="91">
        <v>0</v>
      </c>
      <c r="N50" s="91">
        <v>0</v>
      </c>
      <c r="O50" s="96"/>
      <c r="Q50" s="10"/>
      <c r="R50" s="7"/>
      <c r="S50" s="7"/>
      <c r="T50" s="7"/>
      <c r="U50" s="7"/>
      <c r="V50" s="7"/>
      <c r="W50" s="7"/>
      <c r="X50" s="7"/>
      <c r="Y50" s="7"/>
      <c r="Z50" s="7"/>
      <c r="AA50" s="7"/>
    </row>
    <row r="51" spans="1:27" ht="10.5" customHeight="1">
      <c r="A51" s="121" t="s">
        <v>162</v>
      </c>
      <c r="B51" s="91">
        <f t="shared" si="0"/>
        <v>20000</v>
      </c>
      <c r="C51" s="112">
        <v>5000</v>
      </c>
      <c r="D51" s="112">
        <v>0</v>
      </c>
      <c r="E51" s="112">
        <v>0</v>
      </c>
      <c r="F51" s="112"/>
      <c r="G51" s="91">
        <f t="shared" si="1"/>
        <v>15000</v>
      </c>
      <c r="H51" s="91">
        <f>10000+5000</f>
        <v>15000</v>
      </c>
      <c r="I51" s="112">
        <v>0</v>
      </c>
      <c r="J51" s="130"/>
      <c r="K51" s="92">
        <v>0</v>
      </c>
      <c r="L51" s="92"/>
      <c r="M51" s="91"/>
      <c r="N51" s="91"/>
      <c r="O51" s="96"/>
      <c r="Q51" s="10"/>
      <c r="R51" s="7"/>
      <c r="S51" s="7"/>
      <c r="T51" s="7"/>
      <c r="U51" s="7"/>
      <c r="V51" s="7"/>
      <c r="W51" s="7"/>
      <c r="X51" s="7"/>
      <c r="Y51" s="7"/>
      <c r="Z51" s="7"/>
      <c r="AA51" s="7"/>
    </row>
    <row r="52" spans="1:27" ht="10.5" customHeight="1">
      <c r="A52" s="121"/>
      <c r="B52" s="91"/>
      <c r="C52" s="91"/>
      <c r="D52" s="112"/>
      <c r="E52" s="112"/>
      <c r="F52" s="112"/>
      <c r="G52" s="91"/>
      <c r="H52" s="91"/>
      <c r="I52" s="112"/>
      <c r="J52" s="130"/>
      <c r="K52" s="92"/>
      <c r="L52" s="92"/>
      <c r="M52" s="91"/>
      <c r="N52" s="91"/>
      <c r="O52" s="96"/>
      <c r="Q52" s="10"/>
      <c r="R52" s="7"/>
      <c r="S52" s="7"/>
      <c r="T52" s="7"/>
      <c r="U52" s="7"/>
      <c r="V52" s="7"/>
      <c r="W52" s="7"/>
      <c r="X52" s="7"/>
      <c r="Y52" s="7"/>
      <c r="Z52" s="7"/>
      <c r="AA52" s="7"/>
    </row>
    <row r="53" spans="1:27" ht="10.5" customHeight="1">
      <c r="A53" s="120" t="s">
        <v>90</v>
      </c>
      <c r="B53" s="91">
        <f aca="true" t="shared" si="6" ref="B53:B69">SUM(C53:G53)</f>
        <v>315250</v>
      </c>
      <c r="C53" s="112">
        <f>102205-225</f>
        <v>101980</v>
      </c>
      <c r="D53" s="112">
        <f>62800-138</f>
        <v>62662</v>
      </c>
      <c r="E53" s="112">
        <f>31100-68+4300-9-1+5000-11</f>
        <v>40311</v>
      </c>
      <c r="F53" s="112"/>
      <c r="G53" s="91">
        <f>SUM(H53:K53)</f>
        <v>110297</v>
      </c>
      <c r="H53" s="91">
        <f>58540-129+11500-25</f>
        <v>69886</v>
      </c>
      <c r="I53" s="112">
        <f>39000-86</f>
        <v>38914</v>
      </c>
      <c r="J53" s="130"/>
      <c r="K53" s="92">
        <f>1500-3</f>
        <v>1497</v>
      </c>
      <c r="L53" s="92">
        <v>0</v>
      </c>
      <c r="M53" s="91">
        <f>11500-25</f>
        <v>11475</v>
      </c>
      <c r="N53" s="91">
        <v>0</v>
      </c>
      <c r="O53" s="96"/>
      <c r="Q53" s="10"/>
      <c r="R53" s="7"/>
      <c r="S53" s="7"/>
      <c r="T53" s="7"/>
      <c r="U53" s="7"/>
      <c r="V53" s="7"/>
      <c r="W53" s="7"/>
      <c r="X53" s="7"/>
      <c r="Y53" s="7"/>
      <c r="Z53" s="7"/>
      <c r="AA53" s="7"/>
    </row>
    <row r="54" spans="1:27" ht="10.5" customHeight="1">
      <c r="A54" s="153" t="s">
        <v>95</v>
      </c>
      <c r="B54" s="91">
        <f t="shared" si="6"/>
        <v>228496</v>
      </c>
      <c r="C54" s="112">
        <f>49000-108</f>
        <v>48892</v>
      </c>
      <c r="D54" s="112">
        <f>58655-129</f>
        <v>58526</v>
      </c>
      <c r="E54" s="112">
        <f>16270-36</f>
        <v>16234</v>
      </c>
      <c r="F54" s="174"/>
      <c r="G54" s="91">
        <f>SUM(H54:K54)</f>
        <v>104844</v>
      </c>
      <c r="H54" s="91">
        <f>55075-121</f>
        <v>54954</v>
      </c>
      <c r="I54" s="112">
        <f>50000-110</f>
        <v>49890</v>
      </c>
      <c r="J54" s="130"/>
      <c r="K54" s="92">
        <v>0</v>
      </c>
      <c r="L54" s="92">
        <v>0</v>
      </c>
      <c r="M54" s="91">
        <v>0</v>
      </c>
      <c r="N54" s="91">
        <v>0</v>
      </c>
      <c r="O54" s="96"/>
      <c r="Q54" s="10"/>
      <c r="R54" s="7"/>
      <c r="S54" s="7"/>
      <c r="T54" s="7"/>
      <c r="U54" s="7"/>
      <c r="V54" s="7"/>
      <c r="W54" s="7"/>
      <c r="X54" s="7"/>
      <c r="Y54" s="7"/>
      <c r="Z54" s="7"/>
      <c r="AA54" s="7"/>
    </row>
    <row r="55" spans="1:27" ht="10.5" customHeight="1">
      <c r="A55" s="121" t="s">
        <v>162</v>
      </c>
      <c r="B55" s="91">
        <f t="shared" si="6"/>
        <v>455995</v>
      </c>
      <c r="C55" s="112">
        <f>20000-44+30000-66+4000-9+50000-110</f>
        <v>103771</v>
      </c>
      <c r="D55" s="112">
        <f>78000-172+20000-44+50000-110+25000-55+1</f>
        <v>172620</v>
      </c>
      <c r="E55" s="112">
        <f>50000-110+25000-55</f>
        <v>74835</v>
      </c>
      <c r="F55" s="112">
        <f>20000-44</f>
        <v>19956</v>
      </c>
      <c r="G55" s="91">
        <f>SUM(H55:K55)</f>
        <v>84813</v>
      </c>
      <c r="H55" s="91">
        <f>20000-44+15000-33+50000-110</f>
        <v>84813</v>
      </c>
      <c r="I55" s="112">
        <v>0</v>
      </c>
      <c r="J55" s="130"/>
      <c r="K55" s="92">
        <v>0</v>
      </c>
      <c r="L55" s="92">
        <v>0</v>
      </c>
      <c r="M55" s="91">
        <v>0</v>
      </c>
      <c r="N55" s="91">
        <v>0</v>
      </c>
      <c r="O55" s="96"/>
      <c r="Q55" s="10"/>
      <c r="R55" s="7"/>
      <c r="S55" s="7"/>
      <c r="T55" s="7"/>
      <c r="U55" s="7"/>
      <c r="V55" s="7"/>
      <c r="W55" s="7"/>
      <c r="X55" s="7"/>
      <c r="Y55" s="7"/>
      <c r="Z55" s="7"/>
      <c r="AA55" s="7"/>
    </row>
    <row r="56" spans="1:27" ht="10.5" customHeight="1">
      <c r="A56" s="120" t="s">
        <v>3</v>
      </c>
      <c r="B56" s="91">
        <f t="shared" si="6"/>
        <v>567796</v>
      </c>
      <c r="C56" s="112">
        <v>149742</v>
      </c>
      <c r="D56" s="112">
        <v>94273</v>
      </c>
      <c r="E56" s="112">
        <f>49920-6</f>
        <v>49914</v>
      </c>
      <c r="F56" s="112"/>
      <c r="G56" s="91">
        <f>SUM(H56:K56)</f>
        <v>273867</v>
      </c>
      <c r="H56" s="91">
        <v>129967</v>
      </c>
      <c r="I56" s="112">
        <v>140000</v>
      </c>
      <c r="J56" s="130"/>
      <c r="K56" s="92">
        <v>3900</v>
      </c>
      <c r="L56" s="92"/>
      <c r="M56" s="91">
        <v>11850</v>
      </c>
      <c r="N56" s="91"/>
      <c r="O56" s="96"/>
      <c r="Q56" s="10"/>
      <c r="R56" s="7"/>
      <c r="S56" s="7"/>
      <c r="T56" s="7"/>
      <c r="U56" s="7"/>
      <c r="V56" s="7"/>
      <c r="W56" s="7"/>
      <c r="X56" s="7"/>
      <c r="Y56" s="7"/>
      <c r="Z56" s="7"/>
      <c r="AA56" s="7"/>
    </row>
    <row r="57" spans="1:27" ht="10.5" customHeight="1">
      <c r="A57" s="121" t="s">
        <v>162</v>
      </c>
      <c r="B57" s="91">
        <f t="shared" si="6"/>
        <v>109800</v>
      </c>
      <c r="C57" s="112"/>
      <c r="D57" s="121">
        <f>59800+40000+10000</f>
        <v>109800</v>
      </c>
      <c r="E57" s="112"/>
      <c r="F57" s="112"/>
      <c r="G57" s="91"/>
      <c r="H57" s="91"/>
      <c r="I57" s="112"/>
      <c r="J57" s="130"/>
      <c r="K57" s="92"/>
      <c r="L57" s="92"/>
      <c r="M57" s="91"/>
      <c r="N57" s="91"/>
      <c r="O57" s="96"/>
      <c r="Q57" s="10"/>
      <c r="R57" s="7"/>
      <c r="S57" s="7"/>
      <c r="T57" s="7"/>
      <c r="U57" s="7"/>
      <c r="V57" s="7"/>
      <c r="W57" s="7"/>
      <c r="X57" s="7"/>
      <c r="Y57" s="7"/>
      <c r="Z57" s="7"/>
      <c r="AA57" s="7"/>
    </row>
    <row r="58" spans="1:27" ht="10.5" customHeight="1">
      <c r="A58" s="120" t="s">
        <v>41</v>
      </c>
      <c r="B58" s="91">
        <f t="shared" si="6"/>
        <v>413399.095</v>
      </c>
      <c r="C58" s="112">
        <v>132945</v>
      </c>
      <c r="D58" s="127">
        <f>+'fy 03 warrants'!I6/1000</f>
        <v>72893.095</v>
      </c>
      <c r="E58" s="112">
        <v>33233</v>
      </c>
      <c r="F58" s="112">
        <v>2981</v>
      </c>
      <c r="G58" s="91">
        <f>SUM(H58:K58)</f>
        <v>171347</v>
      </c>
      <c r="H58" s="91">
        <v>73984</v>
      </c>
      <c r="I58" s="112">
        <f>97363-2981</f>
        <v>94382</v>
      </c>
      <c r="J58" s="130"/>
      <c r="K58" s="92">
        <v>2981</v>
      </c>
      <c r="L58" s="92"/>
      <c r="M58" s="91">
        <v>12506</v>
      </c>
      <c r="N58" s="91"/>
      <c r="O58" s="96"/>
      <c r="Q58" s="10"/>
      <c r="R58" s="7"/>
      <c r="S58" s="7"/>
      <c r="T58" s="7"/>
      <c r="U58" s="7"/>
      <c r="V58" s="7"/>
      <c r="W58" s="7"/>
      <c r="X58" s="7"/>
      <c r="Y58" s="7"/>
      <c r="Z58" s="7"/>
      <c r="AA58" s="7"/>
    </row>
    <row r="59" spans="1:27" ht="10.5" customHeight="1">
      <c r="A59" s="121" t="s">
        <v>162</v>
      </c>
      <c r="B59" s="91">
        <f t="shared" si="6"/>
        <v>115467.938</v>
      </c>
      <c r="C59" s="112">
        <v>0</v>
      </c>
      <c r="D59" s="216">
        <f>+'fy 03 warrants'!G33/1000</f>
        <v>115467.938</v>
      </c>
      <c r="E59" s="112"/>
      <c r="F59" s="112"/>
      <c r="G59" s="91"/>
      <c r="H59" s="91"/>
      <c r="I59" s="112"/>
      <c r="J59" s="130"/>
      <c r="K59" s="92"/>
      <c r="L59" s="92"/>
      <c r="M59" s="91"/>
      <c r="N59" s="91"/>
      <c r="O59" s="96"/>
      <c r="Q59" s="10"/>
      <c r="R59" s="7"/>
      <c r="S59" s="7"/>
      <c r="T59" s="7"/>
      <c r="U59" s="7"/>
      <c r="V59" s="7"/>
      <c r="W59" s="7"/>
      <c r="X59" s="7"/>
      <c r="Y59" s="7"/>
      <c r="Z59" s="7"/>
      <c r="AA59" s="7"/>
    </row>
    <row r="60" spans="1:27" ht="10.5" customHeight="1">
      <c r="A60" s="120" t="s">
        <v>0</v>
      </c>
      <c r="B60" s="91">
        <f t="shared" si="6"/>
        <v>268388</v>
      </c>
      <c r="C60" s="112">
        <v>66363</v>
      </c>
      <c r="D60" s="127">
        <v>38122</v>
      </c>
      <c r="E60" s="112">
        <v>18371</v>
      </c>
      <c r="F60" s="112">
        <f>5000+4968</f>
        <v>9968</v>
      </c>
      <c r="G60" s="91">
        <f>SUM(H60:K60)</f>
        <v>135564</v>
      </c>
      <c r="H60" s="91">
        <f>41767-32</f>
        <v>41735</v>
      </c>
      <c r="I60" s="112">
        <f>93829-2469</f>
        <v>91360</v>
      </c>
      <c r="J60" s="130"/>
      <c r="K60" s="92">
        <v>2469</v>
      </c>
      <c r="L60" s="92"/>
      <c r="M60" s="91">
        <v>10371</v>
      </c>
      <c r="N60" s="91"/>
      <c r="O60" s="96"/>
      <c r="Q60" s="10"/>
      <c r="R60" s="7"/>
      <c r="S60" s="7"/>
      <c r="T60" s="7"/>
      <c r="U60" s="7"/>
      <c r="V60" s="7"/>
      <c r="W60" s="7"/>
      <c r="X60" s="7"/>
      <c r="Y60" s="7"/>
      <c r="Z60" s="7"/>
      <c r="AA60" s="7"/>
    </row>
    <row r="61" spans="1:27" ht="10.5" customHeight="1">
      <c r="A61" s="121" t="s">
        <v>162</v>
      </c>
      <c r="B61" s="91">
        <f t="shared" si="6"/>
        <v>219693</v>
      </c>
      <c r="C61" s="112">
        <v>64134</v>
      </c>
      <c r="D61" s="127">
        <f>155559</f>
        <v>155559</v>
      </c>
      <c r="E61" s="112"/>
      <c r="F61" s="112"/>
      <c r="G61" s="91"/>
      <c r="H61" s="91"/>
      <c r="I61" s="112"/>
      <c r="J61" s="130"/>
      <c r="K61" s="92"/>
      <c r="L61" s="92"/>
      <c r="M61" s="91"/>
      <c r="N61" s="91"/>
      <c r="O61" s="96"/>
      <c r="Q61" s="10"/>
      <c r="R61" s="7"/>
      <c r="S61" s="7"/>
      <c r="T61" s="7"/>
      <c r="U61" s="7"/>
      <c r="V61" s="7"/>
      <c r="W61" s="7"/>
      <c r="X61" s="7"/>
      <c r="Y61" s="7"/>
      <c r="Z61" s="7"/>
      <c r="AA61" s="7"/>
    </row>
    <row r="62" spans="1:27" ht="10.5" customHeight="1">
      <c r="A62" s="120" t="s">
        <v>674</v>
      </c>
      <c r="B62" s="91">
        <f t="shared" si="6"/>
        <v>255553</v>
      </c>
      <c r="C62" s="112">
        <v>61007</v>
      </c>
      <c r="D62" s="127">
        <v>37005</v>
      </c>
      <c r="E62" s="112">
        <v>11192</v>
      </c>
      <c r="F62" s="112"/>
      <c r="G62" s="91">
        <f>SUM(H62:K62)</f>
        <v>146349</v>
      </c>
      <c r="H62" s="91">
        <v>55134</v>
      </c>
      <c r="I62" s="112">
        <f>91215-1479</f>
        <v>89736</v>
      </c>
      <c r="J62" s="130"/>
      <c r="K62" s="92">
        <v>1479</v>
      </c>
      <c r="L62" s="92"/>
      <c r="M62" s="91"/>
      <c r="N62" s="91"/>
      <c r="O62" s="96"/>
      <c r="Q62" s="10"/>
      <c r="R62" s="7"/>
      <c r="S62" s="7"/>
      <c r="T62" s="7"/>
      <c r="U62" s="7"/>
      <c r="V62" s="7"/>
      <c r="W62" s="7"/>
      <c r="X62" s="7"/>
      <c r="Y62" s="7"/>
      <c r="Z62" s="7"/>
      <c r="AA62" s="7"/>
    </row>
    <row r="63" spans="1:27" ht="10.5" customHeight="1">
      <c r="A63" s="94" t="s">
        <v>162</v>
      </c>
      <c r="B63" s="91">
        <f t="shared" si="6"/>
        <v>203456</v>
      </c>
      <c r="C63" s="112">
        <v>57134</v>
      </c>
      <c r="D63" s="127">
        <f>69028+21694+6903+48698-1</f>
        <v>146322</v>
      </c>
      <c r="E63" s="112"/>
      <c r="F63" s="112"/>
      <c r="G63" s="91"/>
      <c r="H63" s="91"/>
      <c r="I63" s="112"/>
      <c r="J63" s="130"/>
      <c r="K63" s="92"/>
      <c r="L63" s="92"/>
      <c r="M63" s="91"/>
      <c r="N63" s="91"/>
      <c r="O63" s="96"/>
      <c r="Q63" s="10"/>
      <c r="R63" s="7"/>
      <c r="S63" s="7"/>
      <c r="T63" s="7"/>
      <c r="U63" s="7"/>
      <c r="V63" s="7"/>
      <c r="W63" s="7"/>
      <c r="X63" s="7"/>
      <c r="Y63" s="7"/>
      <c r="Z63" s="7"/>
      <c r="AA63" s="7"/>
    </row>
    <row r="64" spans="1:27" ht="10.5" customHeight="1">
      <c r="A64" s="120" t="s">
        <v>733</v>
      </c>
      <c r="B64" s="91">
        <f t="shared" si="6"/>
        <v>148758.15434</v>
      </c>
      <c r="C64" s="112">
        <f>+'fy06 warrants'!H19/1000</f>
        <v>40860.805340000006</v>
      </c>
      <c r="D64" s="127">
        <f>+'fy06 warrants'!H5/1000</f>
        <v>27990.05</v>
      </c>
      <c r="E64" s="112">
        <f>+('fy06 warrants'!H3)/1000</f>
        <v>8621.266</v>
      </c>
      <c r="F64" s="112">
        <v>7332</v>
      </c>
      <c r="G64" s="91">
        <f>SUM(H64:K64)</f>
        <v>63954.033</v>
      </c>
      <c r="H64" s="91">
        <f>+'fy06 warrants'!H15/1000-I64-K64</f>
        <v>34395.033</v>
      </c>
      <c r="I64" s="112">
        <v>27995</v>
      </c>
      <c r="J64" s="130"/>
      <c r="K64" s="92">
        <v>1564</v>
      </c>
      <c r="L64" s="92"/>
      <c r="M64" s="91">
        <v>9605</v>
      </c>
      <c r="N64" s="91"/>
      <c r="O64" s="96"/>
      <c r="Q64" s="10"/>
      <c r="R64" s="7"/>
      <c r="S64" s="7"/>
      <c r="T64" s="7"/>
      <c r="U64" s="7"/>
      <c r="V64" s="7"/>
      <c r="W64" s="7"/>
      <c r="X64" s="7"/>
      <c r="Y64" s="7"/>
      <c r="Z64" s="7"/>
      <c r="AA64" s="7"/>
    </row>
    <row r="65" spans="1:27" ht="10.5" customHeight="1">
      <c r="A65" s="94" t="s">
        <v>162</v>
      </c>
      <c r="B65" s="91">
        <f t="shared" si="6"/>
        <v>213108.497</v>
      </c>
      <c r="C65" s="112">
        <f>+'fy06 warrants'!H21/1000</f>
        <v>56535.802</v>
      </c>
      <c r="D65" s="127">
        <f>+('fy06 warrants'!H7+'fy06 warrants'!H9+'fy06 warrants'!H11+'fy06 warrants'!H13)/1000</f>
        <v>156572.695</v>
      </c>
      <c r="E65" s="112"/>
      <c r="F65" s="112"/>
      <c r="G65" s="91"/>
      <c r="H65" s="91"/>
      <c r="I65" s="112"/>
      <c r="J65" s="130"/>
      <c r="K65" s="92"/>
      <c r="L65" s="92"/>
      <c r="M65" s="91"/>
      <c r="N65" s="91"/>
      <c r="O65" s="96"/>
      <c r="Q65" s="10"/>
      <c r="R65" s="7"/>
      <c r="S65" s="7"/>
      <c r="T65" s="7"/>
      <c r="U65" s="7"/>
      <c r="V65" s="7"/>
      <c r="W65" s="7"/>
      <c r="X65" s="7"/>
      <c r="Y65" s="7"/>
      <c r="Z65" s="7"/>
      <c r="AA65" s="7"/>
    </row>
    <row r="66" spans="1:27" ht="10.5" customHeight="1">
      <c r="A66" s="120" t="s">
        <v>800</v>
      </c>
      <c r="B66" s="91">
        <f t="shared" si="6"/>
        <v>150038.47234</v>
      </c>
      <c r="C66" s="112">
        <f>+'fy07 warrants'!H19/1000</f>
        <v>41936.123340000006</v>
      </c>
      <c r="D66" s="127">
        <f>+'fy07 warrants'!H5/1000</f>
        <v>28046.05</v>
      </c>
      <c r="E66" s="112">
        <f>+'fy07 warrants'!H3/1000</f>
        <v>8634.266</v>
      </c>
      <c r="F66" s="112">
        <v>7398</v>
      </c>
      <c r="G66" s="91">
        <f>+'fy07 warrants'!H15/1000</f>
        <v>64024.033</v>
      </c>
      <c r="H66" s="91">
        <v>34402.033</v>
      </c>
      <c r="I66" s="112">
        <f>29622-1627</f>
        <v>27995</v>
      </c>
      <c r="J66" s="130"/>
      <c r="K66" s="92">
        <v>1627</v>
      </c>
      <c r="L66" s="92"/>
      <c r="M66" s="91"/>
      <c r="N66" s="91"/>
      <c r="O66" s="96"/>
      <c r="Q66" s="10"/>
      <c r="R66" s="7"/>
      <c r="S66" s="7"/>
      <c r="T66" s="7"/>
      <c r="U66" s="7"/>
      <c r="V66" s="7"/>
      <c r="W66" s="7"/>
      <c r="X66" s="7"/>
      <c r="Y66" s="7"/>
      <c r="Z66" s="7"/>
      <c r="AA66" s="7"/>
    </row>
    <row r="67" spans="1:27" ht="10.5" customHeight="1">
      <c r="A67" s="94" t="s">
        <v>162</v>
      </c>
      <c r="B67" s="91">
        <f t="shared" si="6"/>
        <v>216108.497</v>
      </c>
      <c r="C67" s="112">
        <f>+'fy07 warrants'!H21/1000</f>
        <v>56535.802</v>
      </c>
      <c r="D67" s="127">
        <f>+('fy07 warrants'!H7+'fy07 warrants'!H9+'fy07 warrants'!H11+'fy07 warrants'!H13)/1000</f>
        <v>159572.695</v>
      </c>
      <c r="E67" s="112"/>
      <c r="F67" s="112"/>
      <c r="G67" s="91"/>
      <c r="H67" s="91"/>
      <c r="I67" s="112"/>
      <c r="J67" s="130"/>
      <c r="K67" s="92"/>
      <c r="L67" s="92"/>
      <c r="M67" s="91"/>
      <c r="N67" s="91"/>
      <c r="O67" s="96"/>
      <c r="Q67" s="10"/>
      <c r="R67" s="7"/>
      <c r="S67" s="7"/>
      <c r="T67" s="7"/>
      <c r="U67" s="7"/>
      <c r="V67" s="7"/>
      <c r="W67" s="7"/>
      <c r="X67" s="7"/>
      <c r="Y67" s="7"/>
      <c r="Z67" s="7"/>
      <c r="AA67" s="7"/>
    </row>
    <row r="68" spans="1:27" ht="10.5" customHeight="1">
      <c r="A68" s="120">
        <v>2008</v>
      </c>
      <c r="B68" s="91">
        <f t="shared" si="6"/>
        <v>92213.525</v>
      </c>
      <c r="C68" s="112">
        <f>+'fy08 warrants'!F13</f>
        <v>41827</v>
      </c>
      <c r="D68" s="127">
        <f>+'fy08 warrants'!F7</f>
        <v>34596</v>
      </c>
      <c r="E68" s="112">
        <f>+'fy08 warrants'!F6</f>
        <v>8393</v>
      </c>
      <c r="F68" s="112"/>
      <c r="G68" s="91">
        <f>+'fy07 warrants'!H17/1000</f>
        <v>7397.525</v>
      </c>
      <c r="H68" s="91">
        <f>+'fy08 warrants'!F8</f>
        <v>44367</v>
      </c>
      <c r="I68" s="112">
        <v>23133</v>
      </c>
      <c r="J68" s="130"/>
      <c r="K68" s="92">
        <v>1477</v>
      </c>
      <c r="L68" s="92"/>
      <c r="M68" s="91"/>
      <c r="N68" s="91"/>
      <c r="O68" s="96"/>
      <c r="Q68" s="10"/>
      <c r="R68" s="7"/>
      <c r="S68" s="7"/>
      <c r="T68" s="7"/>
      <c r="U68" s="7"/>
      <c r="V68" s="7"/>
      <c r="W68" s="7"/>
      <c r="X68" s="7"/>
      <c r="Y68" s="7"/>
      <c r="Z68" s="7"/>
      <c r="AA68" s="7"/>
    </row>
    <row r="69" spans="1:27" ht="10.5" customHeight="1">
      <c r="A69" s="94" t="s">
        <v>162</v>
      </c>
      <c r="B69" s="91">
        <f t="shared" si="6"/>
        <v>101314</v>
      </c>
      <c r="C69" s="112">
        <f>+'fy08 warrants'!F14</f>
        <v>52317</v>
      </c>
      <c r="D69" s="127">
        <f>+'fy08 warrants'!F11</f>
        <v>48997</v>
      </c>
      <c r="E69" s="112"/>
      <c r="F69" s="112"/>
      <c r="G69" s="91"/>
      <c r="H69" s="91"/>
      <c r="I69" s="112"/>
      <c r="J69" s="130"/>
      <c r="K69" s="92"/>
      <c r="L69" s="92"/>
      <c r="M69" s="91"/>
      <c r="N69" s="91"/>
      <c r="O69" s="96"/>
      <c r="Q69" s="10"/>
      <c r="R69" s="7"/>
      <c r="S69" s="7"/>
      <c r="T69" s="7"/>
      <c r="U69" s="7"/>
      <c r="V69" s="7"/>
      <c r="W69" s="7"/>
      <c r="X69" s="7"/>
      <c r="Y69" s="7"/>
      <c r="Z69" s="7"/>
      <c r="AA69" s="7"/>
    </row>
    <row r="70" spans="1:27" ht="10.5" customHeight="1">
      <c r="A70" s="94"/>
      <c r="B70" s="91"/>
      <c r="C70" s="112"/>
      <c r="D70" s="127"/>
      <c r="E70" s="112"/>
      <c r="F70" s="112"/>
      <c r="G70" s="91"/>
      <c r="H70" s="91"/>
      <c r="I70" s="112"/>
      <c r="J70" s="130"/>
      <c r="K70" s="92"/>
      <c r="L70" s="92"/>
      <c r="M70" s="91"/>
      <c r="N70" s="91"/>
      <c r="O70" s="96"/>
      <c r="Q70" s="10"/>
      <c r="R70" s="7"/>
      <c r="S70" s="7"/>
      <c r="T70" s="7"/>
      <c r="U70" s="7"/>
      <c r="V70" s="7"/>
      <c r="W70" s="7"/>
      <c r="X70" s="7"/>
      <c r="Y70" s="7"/>
      <c r="Z70" s="7"/>
      <c r="AA70" s="7"/>
    </row>
    <row r="71" spans="1:27" ht="10.5" customHeight="1">
      <c r="A71" s="215" t="s">
        <v>777</v>
      </c>
      <c r="B71" s="91"/>
      <c r="C71" s="112"/>
      <c r="D71" s="127"/>
      <c r="E71" s="112"/>
      <c r="F71" s="112"/>
      <c r="G71" s="91"/>
      <c r="H71" s="91"/>
      <c r="I71" s="112"/>
      <c r="J71" s="130"/>
      <c r="K71" s="92"/>
      <c r="L71" s="92"/>
      <c r="M71" s="91"/>
      <c r="N71" s="91"/>
      <c r="O71" s="96"/>
      <c r="Q71" s="10"/>
      <c r="R71" s="7"/>
      <c r="S71" s="7"/>
      <c r="T71" s="7"/>
      <c r="U71" s="7"/>
      <c r="V71" s="7"/>
      <c r="W71" s="7"/>
      <c r="X71" s="7"/>
      <c r="Y71" s="7"/>
      <c r="Z71" s="7"/>
      <c r="AA71" s="7"/>
    </row>
    <row r="72" spans="1:28" ht="12" customHeight="1">
      <c r="A72" s="94" t="s">
        <v>480</v>
      </c>
      <c r="B72" s="107">
        <f>SUM(B9:B71)</f>
        <v>14894950.689240001</v>
      </c>
      <c r="C72" s="107">
        <f aca="true" t="shared" si="7" ref="C72:O72">SUM(C9:C71)</f>
        <v>3000412.1732400004</v>
      </c>
      <c r="D72" s="107">
        <f t="shared" si="7"/>
        <v>2896596.8599999994</v>
      </c>
      <c r="E72" s="107">
        <f t="shared" si="7"/>
        <v>838465.9429999999</v>
      </c>
      <c r="F72" s="107">
        <f t="shared" si="7"/>
        <v>47635</v>
      </c>
      <c r="G72" s="107">
        <f t="shared" si="7"/>
        <v>8111840.713</v>
      </c>
      <c r="H72" s="107">
        <f t="shared" si="7"/>
        <v>4170111.935</v>
      </c>
      <c r="I72" s="107">
        <f t="shared" si="7"/>
        <v>3860102.5289999996</v>
      </c>
      <c r="J72" s="107"/>
      <c r="K72" s="107">
        <f t="shared" si="7"/>
        <v>143205.724</v>
      </c>
      <c r="L72" s="107">
        <f t="shared" si="7"/>
        <v>5769</v>
      </c>
      <c r="M72" s="107">
        <f t="shared" si="7"/>
        <v>199363</v>
      </c>
      <c r="N72" s="107">
        <f t="shared" si="7"/>
        <v>2089</v>
      </c>
      <c r="O72" s="107">
        <f t="shared" si="7"/>
        <v>9220</v>
      </c>
      <c r="P72" s="75" t="s">
        <v>543</v>
      </c>
      <c r="Q72" s="26" t="s">
        <v>480</v>
      </c>
      <c r="R72" s="28"/>
      <c r="S72" s="7"/>
      <c r="T72" s="7"/>
      <c r="U72" s="7"/>
      <c r="V72" s="7"/>
      <c r="W72" s="7"/>
      <c r="X72" s="7"/>
      <c r="Y72" s="7"/>
      <c r="Z72" s="28">
        <f>SUM(Z8:Z46)</f>
        <v>35681726.86000003</v>
      </c>
      <c r="AA72" s="28">
        <f>SUM(AA8:AA46)</f>
        <v>17348499510.35</v>
      </c>
      <c r="AB72" s="2" t="s">
        <v>543</v>
      </c>
    </row>
    <row r="73" spans="1:28" ht="12" customHeight="1">
      <c r="A73" s="224" t="s">
        <v>749</v>
      </c>
      <c r="B73" s="222">
        <f>+B72-B67-B65-B63-B61-B59-B57-B55-B51-B47</f>
        <v>13269321.757240003</v>
      </c>
      <c r="C73" s="222">
        <f>+C72-C67-C65-C63-C61-C59-C57-C55-C51-C47</f>
        <v>2635301.56924</v>
      </c>
      <c r="D73" s="222">
        <f>+D72-D67-D65-D63-D61-D59-D57-D55-D51-D47</f>
        <v>1860682.5319999997</v>
      </c>
      <c r="E73" s="222">
        <f>+E72-E67-E65-E63-E61-E59-E57-E55-E51-E47</f>
        <v>753630.9429999999</v>
      </c>
      <c r="F73" s="222">
        <f>+F72-F67-F65-F63-F61-F59-F57-F55-F51-F47</f>
        <v>27679</v>
      </c>
      <c r="G73" s="222">
        <f aca="true" t="shared" si="8" ref="G73:O73">+G72-G67-G65-G63-G61-G59-G57-G55-G51-G47</f>
        <v>7992027.713</v>
      </c>
      <c r="H73" s="222">
        <f t="shared" si="8"/>
        <v>4050298.935</v>
      </c>
      <c r="I73" s="222">
        <f t="shared" si="8"/>
        <v>3860102.5289999996</v>
      </c>
      <c r="J73" s="222"/>
      <c r="K73" s="222">
        <f t="shared" si="8"/>
        <v>143205.724</v>
      </c>
      <c r="L73" s="222">
        <f t="shared" si="8"/>
        <v>5769</v>
      </c>
      <c r="M73" s="222">
        <f t="shared" si="8"/>
        <v>199363</v>
      </c>
      <c r="N73" s="222">
        <f t="shared" si="8"/>
        <v>2089</v>
      </c>
      <c r="O73" s="222">
        <f t="shared" si="8"/>
        <v>9220</v>
      </c>
      <c r="P73" s="75"/>
      <c r="Q73" s="26"/>
      <c r="R73" s="28"/>
      <c r="S73" s="7"/>
      <c r="T73" s="7"/>
      <c r="U73" s="7"/>
      <c r="V73" s="7"/>
      <c r="W73" s="7"/>
      <c r="X73" s="7"/>
      <c r="Y73" s="7"/>
      <c r="Z73" s="28"/>
      <c r="AA73" s="28"/>
      <c r="AB73" s="2"/>
    </row>
    <row r="74" spans="1:28" ht="12" customHeight="1">
      <c r="A74" s="224" t="s">
        <v>162</v>
      </c>
      <c r="B74" s="222">
        <f>+B67+B65+B63+B61+B59+B57+B55+B51+B47</f>
        <v>1625628.932</v>
      </c>
      <c r="C74" s="222">
        <f>+C67+C65+C63+C61+C59+C57+C55+C51+C47</f>
        <v>365110.604</v>
      </c>
      <c r="D74" s="222">
        <f>+D67+D65+D63+D61+D59+D57+D55+D51+D47</f>
        <v>1035914.328</v>
      </c>
      <c r="E74" s="222">
        <f>+E67+E65+E63+E61+E59+E57+E55+E51+E47</f>
        <v>84835</v>
      </c>
      <c r="F74" s="222">
        <f>+F67+F65+F63+F61+F59+F57+F55+F51+F47</f>
        <v>19956</v>
      </c>
      <c r="G74" s="222">
        <f aca="true" t="shared" si="9" ref="G74:O74">+G67+G65+G63+G61+G59+G57+G55+G51+G47</f>
        <v>119813</v>
      </c>
      <c r="H74" s="222">
        <f t="shared" si="9"/>
        <v>119813</v>
      </c>
      <c r="I74" s="222">
        <f t="shared" si="9"/>
        <v>0</v>
      </c>
      <c r="J74" s="222"/>
      <c r="K74" s="222">
        <f t="shared" si="9"/>
        <v>0</v>
      </c>
      <c r="L74" s="222">
        <f t="shared" si="9"/>
        <v>0</v>
      </c>
      <c r="M74" s="222">
        <f t="shared" si="9"/>
        <v>0</v>
      </c>
      <c r="N74" s="222">
        <f t="shared" si="9"/>
        <v>0</v>
      </c>
      <c r="O74" s="222">
        <f t="shared" si="9"/>
        <v>0</v>
      </c>
      <c r="P74" s="75"/>
      <c r="Q74" s="26"/>
      <c r="R74" s="28"/>
      <c r="S74" s="7"/>
      <c r="T74" s="7"/>
      <c r="U74" s="7"/>
      <c r="V74" s="7"/>
      <c r="W74" s="7"/>
      <c r="X74" s="7"/>
      <c r="Y74" s="7"/>
      <c r="Z74" s="28"/>
      <c r="AA74" s="28"/>
      <c r="AB74" s="2"/>
    </row>
    <row r="75" spans="1:28" ht="12" customHeight="1">
      <c r="A75" s="94"/>
      <c r="B75" s="91"/>
      <c r="C75" s="91"/>
      <c r="D75" s="91"/>
      <c r="E75" s="91"/>
      <c r="F75" s="91"/>
      <c r="G75" s="91"/>
      <c r="H75" s="91"/>
      <c r="I75" s="91"/>
      <c r="J75" s="119"/>
      <c r="K75" s="119"/>
      <c r="L75" s="119"/>
      <c r="M75" s="91"/>
      <c r="N75" s="91"/>
      <c r="O75" s="91"/>
      <c r="P75" s="75"/>
      <c r="Q75" s="26"/>
      <c r="R75" s="28"/>
      <c r="S75" s="7"/>
      <c r="T75" s="7"/>
      <c r="U75" s="7"/>
      <c r="V75" s="7"/>
      <c r="W75" s="7"/>
      <c r="X75" s="7"/>
      <c r="Y75" s="7"/>
      <c r="Z75" s="28"/>
      <c r="AA75" s="28"/>
      <c r="AB75" s="2"/>
    </row>
    <row r="76" spans="1:28" s="247" customFormat="1" ht="10.5" customHeight="1">
      <c r="A76" s="239" t="s">
        <v>810</v>
      </c>
      <c r="B76" s="240">
        <f>SUM(C76:G76)</f>
        <v>54804</v>
      </c>
      <c r="C76" s="241">
        <v>5000</v>
      </c>
      <c r="D76" s="240">
        <v>10171</v>
      </c>
      <c r="E76" s="240">
        <v>4475</v>
      </c>
      <c r="F76" s="240">
        <v>8012</v>
      </c>
      <c r="G76" s="240">
        <f>SUM(H76:K76)</f>
        <v>27146</v>
      </c>
      <c r="H76" s="240">
        <v>21832</v>
      </c>
      <c r="I76" s="240">
        <f>-1000</f>
        <v>-1000</v>
      </c>
      <c r="J76" s="258">
        <v>6314</v>
      </c>
      <c r="K76" s="242">
        <v>0</v>
      </c>
      <c r="L76" s="242"/>
      <c r="M76" s="240"/>
      <c r="N76" s="240"/>
      <c r="O76" s="240"/>
      <c r="P76" s="243" t="s">
        <v>543</v>
      </c>
      <c r="Q76" s="244" t="s">
        <v>481</v>
      </c>
      <c r="R76" s="245"/>
      <c r="S76" s="245"/>
      <c r="T76" s="245"/>
      <c r="U76" s="245"/>
      <c r="V76" s="245"/>
      <c r="W76" s="245"/>
      <c r="X76" s="245"/>
      <c r="Y76" s="245"/>
      <c r="Z76" s="245"/>
      <c r="AA76" s="245"/>
      <c r="AB76" s="246" t="s">
        <v>543</v>
      </c>
    </row>
    <row r="77" spans="1:27" s="247" customFormat="1" ht="10.5" customHeight="1">
      <c r="A77" s="248" t="s">
        <v>162</v>
      </c>
      <c r="B77" s="240">
        <f>SUM(C77:G77)</f>
        <v>299233</v>
      </c>
      <c r="C77" s="241">
        <v>12500</v>
      </c>
      <c r="D77" s="241">
        <f>82708+191978</f>
        <v>274686</v>
      </c>
      <c r="E77" s="241">
        <v>9199</v>
      </c>
      <c r="F77" s="241">
        <v>505</v>
      </c>
      <c r="G77" s="240">
        <v>2343</v>
      </c>
      <c r="H77" s="240"/>
      <c r="I77" s="241"/>
      <c r="J77" s="259"/>
      <c r="K77" s="242"/>
      <c r="L77" s="242"/>
      <c r="M77" s="240"/>
      <c r="N77" s="240"/>
      <c r="O77" s="249"/>
      <c r="P77" s="250"/>
      <c r="Q77" s="251"/>
      <c r="R77" s="245"/>
      <c r="S77" s="245"/>
      <c r="T77" s="245"/>
      <c r="U77" s="245"/>
      <c r="V77" s="245"/>
      <c r="W77" s="245"/>
      <c r="X77" s="245"/>
      <c r="Y77" s="245"/>
      <c r="Z77" s="245"/>
      <c r="AA77" s="245"/>
    </row>
    <row r="78" spans="1:27" ht="10.5" customHeight="1">
      <c r="A78" s="221"/>
      <c r="B78" s="91"/>
      <c r="C78" s="112"/>
      <c r="D78" s="112"/>
      <c r="E78" s="112"/>
      <c r="F78" s="112"/>
      <c r="G78" s="91"/>
      <c r="H78" s="91"/>
      <c r="I78" s="112"/>
      <c r="J78" s="130"/>
      <c r="K78" s="92"/>
      <c r="L78" s="92"/>
      <c r="M78" s="91"/>
      <c r="N78" s="91"/>
      <c r="O78" s="96"/>
      <c r="Q78" s="10"/>
      <c r="R78" s="7"/>
      <c r="S78" s="7"/>
      <c r="T78" s="7"/>
      <c r="U78" s="7"/>
      <c r="V78" s="7"/>
      <c r="W78" s="7"/>
      <c r="X78" s="7"/>
      <c r="Y78" s="7"/>
      <c r="Z78" s="7"/>
      <c r="AA78" s="7"/>
    </row>
    <row r="79" spans="1:27" ht="10.5" customHeight="1">
      <c r="A79" s="94" t="s">
        <v>480</v>
      </c>
      <c r="B79" s="77">
        <f>SUM(B72:B78)-B73-B74</f>
        <v>15248987.689240005</v>
      </c>
      <c r="C79" s="77">
        <f aca="true" t="shared" si="10" ref="C79:O79">SUM(C72:C78)-C73-C74</f>
        <v>3017912.173240001</v>
      </c>
      <c r="D79" s="77">
        <f t="shared" si="10"/>
        <v>3181453.8599999994</v>
      </c>
      <c r="E79" s="77">
        <f t="shared" si="10"/>
        <v>852139.9429999999</v>
      </c>
      <c r="F79" s="77">
        <f t="shared" si="10"/>
        <v>56152</v>
      </c>
      <c r="G79" s="77">
        <f t="shared" si="10"/>
        <v>8141329.713</v>
      </c>
      <c r="H79" s="77">
        <f t="shared" si="10"/>
        <v>4191943.9350000005</v>
      </c>
      <c r="I79" s="77">
        <f t="shared" si="10"/>
        <v>3859102.5289999996</v>
      </c>
      <c r="J79" s="77"/>
      <c r="K79" s="77">
        <f t="shared" si="10"/>
        <v>143205.724</v>
      </c>
      <c r="L79" s="77">
        <f t="shared" si="10"/>
        <v>5769</v>
      </c>
      <c r="M79" s="77">
        <f t="shared" si="10"/>
        <v>199363</v>
      </c>
      <c r="N79" s="77">
        <f t="shared" si="10"/>
        <v>2089</v>
      </c>
      <c r="O79" s="77">
        <f t="shared" si="10"/>
        <v>9220</v>
      </c>
      <c r="Q79" s="10"/>
      <c r="R79" s="7"/>
      <c r="S79" s="7"/>
      <c r="T79" s="7"/>
      <c r="U79" s="7"/>
      <c r="V79" s="7"/>
      <c r="W79" s="7"/>
      <c r="X79" s="7"/>
      <c r="Y79" s="7"/>
      <c r="Z79" s="7"/>
      <c r="AA79" s="7"/>
    </row>
    <row r="80" spans="1:27" ht="10.5" customHeight="1">
      <c r="A80" s="94"/>
      <c r="B80" s="91"/>
      <c r="C80" s="112"/>
      <c r="D80" s="112"/>
      <c r="E80" s="112"/>
      <c r="F80" s="112"/>
      <c r="G80" s="91"/>
      <c r="H80" s="91"/>
      <c r="I80" s="112"/>
      <c r="J80" s="130"/>
      <c r="K80" s="92"/>
      <c r="L80" s="92"/>
      <c r="M80" s="91"/>
      <c r="N80" s="91"/>
      <c r="O80" s="96"/>
      <c r="Q80" s="10"/>
      <c r="R80" s="7"/>
      <c r="S80" s="7"/>
      <c r="T80" s="7"/>
      <c r="U80" s="7"/>
      <c r="V80" s="7"/>
      <c r="W80" s="7"/>
      <c r="X80" s="7"/>
      <c r="Y80" s="7"/>
      <c r="Z80" s="7"/>
      <c r="AA80" s="7"/>
    </row>
    <row r="81" spans="1:27" ht="10.5" customHeight="1">
      <c r="A81" s="120"/>
      <c r="B81" s="91"/>
      <c r="C81" s="112"/>
      <c r="D81" s="112"/>
      <c r="E81" s="112"/>
      <c r="F81" s="176"/>
      <c r="G81" s="91"/>
      <c r="H81" s="91"/>
      <c r="I81" s="112"/>
      <c r="J81" s="130"/>
      <c r="K81" s="92"/>
      <c r="L81" s="92"/>
      <c r="M81" s="91"/>
      <c r="N81" s="91"/>
      <c r="O81" s="96"/>
      <c r="Q81" s="10"/>
      <c r="R81" s="7"/>
      <c r="S81" s="7"/>
      <c r="T81" s="7"/>
      <c r="U81" s="7"/>
      <c r="V81" s="7"/>
      <c r="W81" s="7"/>
      <c r="X81" s="7"/>
      <c r="Y81" s="7"/>
      <c r="Z81" s="7"/>
      <c r="AA81" s="7"/>
    </row>
    <row r="82" spans="1:27" ht="10.5" customHeight="1">
      <c r="A82" s="94"/>
      <c r="B82" s="91"/>
      <c r="C82" s="112"/>
      <c r="D82" s="112"/>
      <c r="E82" s="112"/>
      <c r="F82" s="112"/>
      <c r="G82" s="91"/>
      <c r="H82" s="91"/>
      <c r="I82" s="112"/>
      <c r="J82" s="130"/>
      <c r="K82" s="92"/>
      <c r="L82" s="92"/>
      <c r="M82" s="91"/>
      <c r="N82" s="91"/>
      <c r="O82" s="96"/>
      <c r="Q82" s="10"/>
      <c r="R82" s="7"/>
      <c r="S82" s="7"/>
      <c r="T82" s="7"/>
      <c r="U82" s="7"/>
      <c r="V82" s="7"/>
      <c r="W82" s="7"/>
      <c r="X82" s="7"/>
      <c r="Y82" s="7"/>
      <c r="Z82" s="7"/>
      <c r="AA82" s="7"/>
    </row>
    <row r="83" spans="1:27" ht="3" customHeight="1">
      <c r="A83" s="94"/>
      <c r="B83" s="91"/>
      <c r="C83" s="159"/>
      <c r="D83" s="175"/>
      <c r="E83" s="112"/>
      <c r="F83" s="112"/>
      <c r="G83" s="91"/>
      <c r="H83" s="91"/>
      <c r="I83" s="112"/>
      <c r="J83" s="130"/>
      <c r="K83" s="92"/>
      <c r="L83" s="92"/>
      <c r="M83" s="91"/>
      <c r="N83" s="91"/>
      <c r="O83" s="96"/>
      <c r="Q83" s="10"/>
      <c r="R83" s="7"/>
      <c r="S83" s="7"/>
      <c r="T83" s="7"/>
      <c r="U83" s="7"/>
      <c r="V83" s="7"/>
      <c r="W83" s="7"/>
      <c r="X83" s="7"/>
      <c r="Y83" s="7"/>
      <c r="Z83" s="7"/>
      <c r="AA83" s="7"/>
    </row>
    <row r="84" spans="1:28" ht="12" customHeight="1">
      <c r="A84" s="94" t="s">
        <v>553</v>
      </c>
      <c r="B84" s="80">
        <f aca="true" t="shared" si="11" ref="B84:O84">SUM(B79:B83)</f>
        <v>15248987.689240005</v>
      </c>
      <c r="C84" s="80">
        <f t="shared" si="11"/>
        <v>3017912.173240001</v>
      </c>
      <c r="D84" s="80">
        <f t="shared" si="11"/>
        <v>3181453.8599999994</v>
      </c>
      <c r="E84" s="80">
        <f t="shared" si="11"/>
        <v>852139.9429999999</v>
      </c>
      <c r="F84" s="80">
        <f t="shared" si="11"/>
        <v>56152</v>
      </c>
      <c r="G84" s="80">
        <f t="shared" si="11"/>
        <v>8141329.713</v>
      </c>
      <c r="H84" s="80">
        <f t="shared" si="11"/>
        <v>4191943.9350000005</v>
      </c>
      <c r="I84" s="80">
        <f t="shared" si="11"/>
        <v>3859102.5289999996</v>
      </c>
      <c r="J84" s="260"/>
      <c r="K84" s="81">
        <f t="shared" si="11"/>
        <v>143205.724</v>
      </c>
      <c r="L84" s="81">
        <f t="shared" si="11"/>
        <v>5769</v>
      </c>
      <c r="M84" s="80">
        <f t="shared" si="11"/>
        <v>199363</v>
      </c>
      <c r="N84" s="80">
        <f t="shared" si="11"/>
        <v>2089</v>
      </c>
      <c r="O84" s="80">
        <f t="shared" si="11"/>
        <v>9220</v>
      </c>
      <c r="P84" s="75" t="s">
        <v>543</v>
      </c>
      <c r="Q84" s="27" t="s">
        <v>553</v>
      </c>
      <c r="R84" s="7"/>
      <c r="S84" s="7"/>
      <c r="T84" s="7"/>
      <c r="U84" s="7"/>
      <c r="V84" s="7"/>
      <c r="W84" s="7"/>
      <c r="X84" s="7"/>
      <c r="Y84" s="7"/>
      <c r="Z84" s="7"/>
      <c r="AA84" s="7"/>
      <c r="AB84" s="2" t="s">
        <v>543</v>
      </c>
    </row>
    <row r="85" spans="1:28" ht="10.5" customHeight="1" thickBot="1">
      <c r="A85" s="97"/>
      <c r="B85" s="98"/>
      <c r="C85" s="98"/>
      <c r="D85" s="98"/>
      <c r="E85" s="98"/>
      <c r="F85" s="98"/>
      <c r="G85" s="98"/>
      <c r="H85" s="98"/>
      <c r="I85" s="98"/>
      <c r="J85" s="261"/>
      <c r="K85" s="99"/>
      <c r="L85" s="99"/>
      <c r="M85" s="98"/>
      <c r="N85" s="98"/>
      <c r="O85" s="98"/>
      <c r="P85" s="75" t="s">
        <v>543</v>
      </c>
      <c r="Q85" s="12"/>
      <c r="R85" s="13"/>
      <c r="S85" s="13"/>
      <c r="T85" s="13"/>
      <c r="U85" s="13"/>
      <c r="V85" s="13"/>
      <c r="W85" s="13"/>
      <c r="X85" s="13"/>
      <c r="Y85" s="13"/>
      <c r="Z85" s="13"/>
      <c r="AA85" s="13"/>
      <c r="AB85" s="2" t="s">
        <v>543</v>
      </c>
    </row>
    <row r="86" spans="1:28" ht="10.5" customHeight="1" thickTop="1">
      <c r="A86" s="90"/>
      <c r="B86" s="91"/>
      <c r="C86" s="91"/>
      <c r="D86" s="91"/>
      <c r="E86" s="91"/>
      <c r="F86" s="91"/>
      <c r="G86" s="91"/>
      <c r="H86" s="91"/>
      <c r="I86" s="91"/>
      <c r="J86" s="119"/>
      <c r="K86" s="92"/>
      <c r="L86" s="92"/>
      <c r="M86" s="91"/>
      <c r="N86" s="91"/>
      <c r="O86" s="91"/>
      <c r="P86" s="75" t="s">
        <v>543</v>
      </c>
      <c r="Q86" s="1" t="s">
        <v>483</v>
      </c>
      <c r="AB86" s="2" t="s">
        <v>543</v>
      </c>
    </row>
    <row r="87" spans="1:28" ht="10.5" customHeight="1">
      <c r="A87" s="164" t="s">
        <v>4</v>
      </c>
      <c r="B87" s="76"/>
      <c r="C87" s="76"/>
      <c r="D87" s="76"/>
      <c r="E87" s="76"/>
      <c r="F87" s="76"/>
      <c r="G87" s="91"/>
      <c r="H87" s="91"/>
      <c r="I87" s="91"/>
      <c r="J87" s="119"/>
      <c r="K87" s="92"/>
      <c r="L87" s="92"/>
      <c r="M87" s="91"/>
      <c r="N87" s="91"/>
      <c r="O87" s="91"/>
      <c r="P87" s="75" t="s">
        <v>543</v>
      </c>
      <c r="Q87" s="1" t="s">
        <v>484</v>
      </c>
      <c r="AB87" s="2" t="s">
        <v>543</v>
      </c>
    </row>
    <row r="88" spans="1:28" ht="10.5" customHeight="1">
      <c r="A88" s="94" t="s">
        <v>663</v>
      </c>
      <c r="B88" s="91">
        <f>SUM(C88:G88)</f>
        <v>205000</v>
      </c>
      <c r="C88" s="91">
        <v>41680.101</v>
      </c>
      <c r="D88" s="91">
        <v>0</v>
      </c>
      <c r="E88" s="91">
        <v>2100</v>
      </c>
      <c r="F88" s="91"/>
      <c r="G88" s="91">
        <f>SUM(H88:K88)</f>
        <v>161219.899</v>
      </c>
      <c r="H88" s="91">
        <v>161219.899</v>
      </c>
      <c r="I88" s="91">
        <v>0</v>
      </c>
      <c r="J88" s="119"/>
      <c r="K88" s="92">
        <v>0</v>
      </c>
      <c r="L88" s="92">
        <v>0</v>
      </c>
      <c r="M88" s="91">
        <v>0</v>
      </c>
      <c r="N88" s="91">
        <v>0</v>
      </c>
      <c r="O88" s="91">
        <v>0</v>
      </c>
      <c r="P88" s="75" t="s">
        <v>543</v>
      </c>
      <c r="Q88" s="1" t="s">
        <v>485</v>
      </c>
      <c r="AB88" s="2" t="s">
        <v>543</v>
      </c>
    </row>
    <row r="89" spans="1:28" ht="10.5" customHeight="1">
      <c r="A89" s="94" t="s">
        <v>665</v>
      </c>
      <c r="B89" s="91">
        <f>SUM(C89:G89)</f>
        <v>102379</v>
      </c>
      <c r="C89" s="91">
        <v>19693</v>
      </c>
      <c r="D89" s="91">
        <v>470</v>
      </c>
      <c r="E89" s="91">
        <v>500</v>
      </c>
      <c r="F89" s="91"/>
      <c r="G89" s="91">
        <f>SUM(H89:K89)</f>
        <v>81716</v>
      </c>
      <c r="H89" s="91">
        <v>81716</v>
      </c>
      <c r="I89" s="91">
        <v>0</v>
      </c>
      <c r="J89" s="119"/>
      <c r="K89" s="92">
        <v>0</v>
      </c>
      <c r="L89" s="92">
        <v>0</v>
      </c>
      <c r="M89" s="91">
        <v>0</v>
      </c>
      <c r="N89" s="91">
        <v>0</v>
      </c>
      <c r="O89" s="91">
        <v>0</v>
      </c>
      <c r="P89" s="75" t="s">
        <v>543</v>
      </c>
      <c r="Q89" s="5" t="s">
        <v>486</v>
      </c>
      <c r="R89" s="11"/>
      <c r="S89" s="11"/>
      <c r="T89" s="11"/>
      <c r="U89" s="11"/>
      <c r="V89" s="11"/>
      <c r="W89" s="11"/>
      <c r="X89" s="11"/>
      <c r="Y89" s="11"/>
      <c r="Z89" s="11"/>
      <c r="AA89" s="11"/>
      <c r="AB89" s="2" t="s">
        <v>543</v>
      </c>
    </row>
    <row r="90" spans="1:28" ht="12" customHeight="1">
      <c r="A90" s="94" t="s">
        <v>553</v>
      </c>
      <c r="B90" s="107">
        <f>B88+B89</f>
        <v>307379</v>
      </c>
      <c r="C90" s="107">
        <f>C88+C89</f>
        <v>61373.101</v>
      </c>
      <c r="D90" s="107">
        <f>D88+D89</f>
        <v>470</v>
      </c>
      <c r="E90" s="107">
        <f>E88+E89</f>
        <v>2600</v>
      </c>
      <c r="F90" s="107">
        <v>0</v>
      </c>
      <c r="G90" s="107">
        <f aca="true" t="shared" si="12" ref="G90:O90">G88+G89</f>
        <v>242935.899</v>
      </c>
      <c r="H90" s="107">
        <f t="shared" si="12"/>
        <v>242935.899</v>
      </c>
      <c r="I90" s="107">
        <f t="shared" si="12"/>
        <v>0</v>
      </c>
      <c r="J90" s="167"/>
      <c r="K90" s="108">
        <f t="shared" si="12"/>
        <v>0</v>
      </c>
      <c r="L90" s="108">
        <f t="shared" si="12"/>
        <v>0</v>
      </c>
      <c r="M90" s="107">
        <f t="shared" si="12"/>
        <v>0</v>
      </c>
      <c r="N90" s="107">
        <f t="shared" si="12"/>
        <v>0</v>
      </c>
      <c r="O90" s="107">
        <f t="shared" si="12"/>
        <v>0</v>
      </c>
      <c r="P90" s="75" t="s">
        <v>543</v>
      </c>
      <c r="Q90" s="1" t="s">
        <v>487</v>
      </c>
      <c r="AB90" s="2" t="s">
        <v>543</v>
      </c>
    </row>
    <row r="91" spans="1:28" ht="10.5" customHeight="1">
      <c r="A91" s="95" t="s">
        <v>489</v>
      </c>
      <c r="B91" s="76"/>
      <c r="C91" s="91"/>
      <c r="D91" s="91"/>
      <c r="E91" s="91"/>
      <c r="F91" s="91"/>
      <c r="G91" s="91"/>
      <c r="H91" s="91"/>
      <c r="I91" s="91"/>
      <c r="J91" s="119"/>
      <c r="K91" s="92"/>
      <c r="L91" s="92"/>
      <c r="M91" s="91"/>
      <c r="N91" s="91"/>
      <c r="O91" s="91"/>
      <c r="P91" s="75" t="s">
        <v>543</v>
      </c>
      <c r="Q91" s="1" t="s">
        <v>490</v>
      </c>
      <c r="AB91" s="2" t="s">
        <v>543</v>
      </c>
    </row>
    <row r="92" spans="1:28" ht="10.5" customHeight="1">
      <c r="A92" s="100"/>
      <c r="B92" s="101"/>
      <c r="C92" s="101"/>
      <c r="D92" s="101"/>
      <c r="E92" s="101"/>
      <c r="F92" s="101"/>
      <c r="G92" s="101"/>
      <c r="H92" s="101"/>
      <c r="I92" s="101"/>
      <c r="J92" s="123"/>
      <c r="K92" s="102"/>
      <c r="L92" s="102"/>
      <c r="M92" s="101"/>
      <c r="N92" s="101"/>
      <c r="O92" s="101"/>
      <c r="P92" s="75" t="s">
        <v>543</v>
      </c>
      <c r="AB92" s="2" t="s">
        <v>543</v>
      </c>
    </row>
    <row r="93" spans="1:28" ht="10.5" customHeight="1">
      <c r="A93" s="119"/>
      <c r="B93" s="119"/>
      <c r="C93" s="119"/>
      <c r="D93" s="119"/>
      <c r="E93" s="119"/>
      <c r="F93" s="119"/>
      <c r="G93" s="119"/>
      <c r="H93" s="119"/>
      <c r="I93" s="119"/>
      <c r="J93" s="119"/>
      <c r="K93" s="119"/>
      <c r="L93" s="119"/>
      <c r="M93" s="119"/>
      <c r="N93" s="119"/>
      <c r="O93" s="119"/>
      <c r="P93" s="75"/>
      <c r="AB93" s="2"/>
    </row>
    <row r="94" spans="1:28" ht="10.5" customHeight="1">
      <c r="A94" s="122" t="s">
        <v>169</v>
      </c>
      <c r="B94" s="119"/>
      <c r="C94" s="119"/>
      <c r="D94" s="119"/>
      <c r="E94" s="119"/>
      <c r="F94" s="119"/>
      <c r="G94" s="119"/>
      <c r="H94" s="119"/>
      <c r="I94" s="119"/>
      <c r="J94" s="119"/>
      <c r="K94" s="119"/>
      <c r="L94" s="119"/>
      <c r="M94" s="119"/>
      <c r="N94" s="119"/>
      <c r="O94" s="119"/>
      <c r="P94" s="75"/>
      <c r="R94">
        <v>250000</v>
      </c>
      <c r="AB94" s="2"/>
    </row>
    <row r="95" spans="1:28" ht="10.5" customHeight="1">
      <c r="A95" s="119" t="s">
        <v>93</v>
      </c>
      <c r="B95" s="119"/>
      <c r="C95" s="119"/>
      <c r="D95" s="119"/>
      <c r="E95" s="119"/>
      <c r="F95" s="119"/>
      <c r="G95" s="119"/>
      <c r="H95" s="119"/>
      <c r="I95" s="119"/>
      <c r="J95" s="119"/>
      <c r="K95" s="119"/>
      <c r="L95" s="119"/>
      <c r="M95" s="119"/>
      <c r="N95" s="119"/>
      <c r="O95" s="119"/>
      <c r="P95" s="75"/>
      <c r="R95">
        <v>65000</v>
      </c>
      <c r="AB95" s="2"/>
    </row>
    <row r="96" spans="1:28" ht="10.5" customHeight="1">
      <c r="A96" s="119" t="s">
        <v>94</v>
      </c>
      <c r="B96" s="119"/>
      <c r="C96" s="119"/>
      <c r="D96" s="119"/>
      <c r="E96" s="119"/>
      <c r="F96" s="119"/>
      <c r="G96" s="119"/>
      <c r="H96" s="119"/>
      <c r="I96" s="119"/>
      <c r="J96" s="119"/>
      <c r="K96" s="119"/>
      <c r="L96" s="119"/>
      <c r="M96" s="119"/>
      <c r="N96" s="119"/>
      <c r="O96" s="119"/>
      <c r="P96" s="75"/>
      <c r="AB96" s="2"/>
    </row>
    <row r="97" spans="1:28" ht="10.5" customHeight="1">
      <c r="A97" s="119"/>
      <c r="B97" s="119"/>
      <c r="C97" s="119"/>
      <c r="D97" s="119"/>
      <c r="E97" s="119"/>
      <c r="F97" s="119"/>
      <c r="G97" s="119"/>
      <c r="H97" s="119"/>
      <c r="I97" s="119"/>
      <c r="J97" s="119"/>
      <c r="K97" s="119"/>
      <c r="L97" s="119"/>
      <c r="M97" s="119"/>
      <c r="N97" s="119"/>
      <c r="O97" s="119"/>
      <c r="P97" s="75"/>
      <c r="R97">
        <v>11200</v>
      </c>
      <c r="AB97" s="2"/>
    </row>
    <row r="98" spans="1:28" ht="10.5" customHeight="1">
      <c r="A98" s="119"/>
      <c r="B98" s="119"/>
      <c r="C98" s="119"/>
      <c r="D98" s="119"/>
      <c r="E98" s="119"/>
      <c r="F98" s="119"/>
      <c r="G98" s="119"/>
      <c r="H98" s="119"/>
      <c r="I98" s="119"/>
      <c r="J98" s="119"/>
      <c r="K98" s="119"/>
      <c r="L98" s="119"/>
      <c r="M98" s="119"/>
      <c r="N98" s="119"/>
      <c r="O98" s="119"/>
      <c r="P98" s="75"/>
      <c r="R98">
        <v>62632</v>
      </c>
      <c r="AB98" s="2"/>
    </row>
    <row r="99" spans="1:28" ht="10.5" customHeight="1">
      <c r="A99" s="119"/>
      <c r="B99" s="119"/>
      <c r="C99" s="119"/>
      <c r="D99" s="119"/>
      <c r="E99" s="119"/>
      <c r="F99" s="119"/>
      <c r="G99" s="119"/>
      <c r="H99" s="119"/>
      <c r="I99" s="119"/>
      <c r="J99" s="119"/>
      <c r="K99" s="119"/>
      <c r="L99" s="119"/>
      <c r="M99" s="119"/>
      <c r="N99" s="119"/>
      <c r="O99" s="119"/>
      <c r="P99" s="75"/>
      <c r="R99">
        <v>143290</v>
      </c>
      <c r="AB99" s="2"/>
    </row>
    <row r="100" spans="1:28" ht="10.5" customHeight="1">
      <c r="A100" s="119"/>
      <c r="B100" s="119"/>
      <c r="C100" s="119"/>
      <c r="D100" s="119"/>
      <c r="E100" s="119"/>
      <c r="F100" s="119"/>
      <c r="G100" s="119"/>
      <c r="H100" s="119"/>
      <c r="I100" s="119"/>
      <c r="J100" s="119"/>
      <c r="K100" s="119"/>
      <c r="L100" s="119"/>
      <c r="M100" s="119"/>
      <c r="N100" s="119"/>
      <c r="O100" s="119"/>
      <c r="P100" s="75"/>
      <c r="R100">
        <v>52976</v>
      </c>
      <c r="AB100" s="2"/>
    </row>
    <row r="101" spans="1:28" ht="10.5" customHeight="1">
      <c r="A101" s="119"/>
      <c r="B101" s="119"/>
      <c r="C101" s="119"/>
      <c r="D101" s="119"/>
      <c r="E101" s="119"/>
      <c r="F101" s="119"/>
      <c r="G101" s="119"/>
      <c r="H101" s="119"/>
      <c r="I101" s="119"/>
      <c r="J101" s="119"/>
      <c r="K101" s="119"/>
      <c r="L101" s="119"/>
      <c r="M101" s="119"/>
      <c r="N101" s="119"/>
      <c r="O101" s="119"/>
      <c r="P101" s="75"/>
      <c r="R101">
        <v>699000</v>
      </c>
      <c r="AB101" s="2"/>
    </row>
    <row r="102" spans="1:28" ht="10.5" customHeight="1">
      <c r="A102" s="119"/>
      <c r="B102" s="119"/>
      <c r="C102" s="119"/>
      <c r="D102" s="119"/>
      <c r="E102" s="119"/>
      <c r="F102" s="119"/>
      <c r="G102" s="119"/>
      <c r="H102" s="119"/>
      <c r="I102" s="119"/>
      <c r="J102" s="119"/>
      <c r="K102" s="119"/>
      <c r="L102" s="119"/>
      <c r="M102" s="119"/>
      <c r="N102" s="119"/>
      <c r="O102" s="119"/>
      <c r="P102" s="75"/>
      <c r="AB102" s="2"/>
    </row>
    <row r="103" spans="1:28" ht="10.5" customHeight="1">
      <c r="A103" s="119"/>
      <c r="B103" s="119"/>
      <c r="C103" s="119"/>
      <c r="D103" s="119"/>
      <c r="E103" s="119"/>
      <c r="F103" s="119"/>
      <c r="G103" s="119"/>
      <c r="H103" s="119"/>
      <c r="I103" s="119"/>
      <c r="J103" s="119"/>
      <c r="K103" s="119"/>
      <c r="L103" s="119"/>
      <c r="M103" s="119"/>
      <c r="N103" s="119"/>
      <c r="O103" s="119"/>
      <c r="P103" s="75"/>
      <c r="R103" s="194">
        <f>SUM(R97:R102)</f>
        <v>969098</v>
      </c>
      <c r="S103" s="194">
        <f>+R103+R95+R94</f>
        <v>1284098</v>
      </c>
      <c r="AB103" s="2"/>
    </row>
    <row r="104" spans="1:28" ht="10.5" customHeight="1">
      <c r="A104" s="119"/>
      <c r="B104" s="119"/>
      <c r="C104" s="119"/>
      <c r="D104" s="119"/>
      <c r="E104" s="119"/>
      <c r="F104" s="119"/>
      <c r="G104" s="119"/>
      <c r="H104" s="119"/>
      <c r="I104" s="119"/>
      <c r="J104" s="119"/>
      <c r="K104" s="119"/>
      <c r="L104" s="119"/>
      <c r="M104" s="119"/>
      <c r="N104" s="119"/>
      <c r="O104" s="119"/>
      <c r="P104" s="75"/>
      <c r="AB104" s="2"/>
    </row>
    <row r="105" spans="1:28" ht="4.5" customHeight="1">
      <c r="A105" s="119"/>
      <c r="B105" s="119"/>
      <c r="C105" s="119"/>
      <c r="D105" s="119"/>
      <c r="E105" s="119"/>
      <c r="F105" s="119"/>
      <c r="G105" s="119"/>
      <c r="H105" s="119"/>
      <c r="I105" s="119"/>
      <c r="J105" s="119"/>
      <c r="K105" s="119"/>
      <c r="L105" s="119"/>
      <c r="M105" s="119"/>
      <c r="N105" s="119"/>
      <c r="O105" s="119"/>
      <c r="P105" s="75"/>
      <c r="AB105" s="2"/>
    </row>
    <row r="106" spans="1:28" ht="10.5" customHeight="1">
      <c r="A106" s="166" t="s">
        <v>20</v>
      </c>
      <c r="B106" s="119"/>
      <c r="C106" s="119"/>
      <c r="D106" s="119"/>
      <c r="E106" s="119"/>
      <c r="F106" s="119"/>
      <c r="G106" s="119"/>
      <c r="H106" s="119"/>
      <c r="I106" s="119"/>
      <c r="J106" s="119"/>
      <c r="K106" s="119"/>
      <c r="L106" s="119"/>
      <c r="M106" s="119"/>
      <c r="N106" s="119"/>
      <c r="O106" s="119"/>
      <c r="P106" s="75"/>
      <c r="AB106" s="2"/>
    </row>
    <row r="107" spans="1:28" ht="10.5" customHeight="1">
      <c r="A107" s="119"/>
      <c r="B107" s="119"/>
      <c r="C107" s="119"/>
      <c r="D107" s="119"/>
      <c r="E107" s="119"/>
      <c r="F107" s="195" t="s">
        <v>42</v>
      </c>
      <c r="G107" s="119"/>
      <c r="H107" s="119"/>
      <c r="I107" s="119"/>
      <c r="J107" s="119"/>
      <c r="K107" s="119"/>
      <c r="L107" s="119"/>
      <c r="M107" s="119"/>
      <c r="N107" s="119"/>
      <c r="O107" s="119"/>
      <c r="P107" s="75"/>
      <c r="AB107" s="2"/>
    </row>
    <row r="108" spans="1:28" ht="10.5" customHeight="1">
      <c r="A108" s="119"/>
      <c r="B108" s="119"/>
      <c r="C108" s="119"/>
      <c r="D108" s="119"/>
      <c r="E108" s="169" t="s">
        <v>116</v>
      </c>
      <c r="F108" s="209" t="s">
        <v>33</v>
      </c>
      <c r="G108" s="169" t="s">
        <v>117</v>
      </c>
      <c r="H108" s="169" t="s">
        <v>19</v>
      </c>
      <c r="I108" s="169" t="s">
        <v>115</v>
      </c>
      <c r="J108" s="169"/>
      <c r="K108" s="168" t="s">
        <v>553</v>
      </c>
      <c r="L108" s="119"/>
      <c r="M108" s="119"/>
      <c r="N108" s="119"/>
      <c r="O108" s="119"/>
      <c r="P108" s="75"/>
      <c r="AB108" s="2"/>
    </row>
    <row r="109" spans="1:28" ht="10.5" customHeight="1">
      <c r="A109" s="122" t="s">
        <v>96</v>
      </c>
      <c r="B109" s="119"/>
      <c r="C109" s="119"/>
      <c r="D109" s="119"/>
      <c r="E109" s="119"/>
      <c r="F109" s="119"/>
      <c r="G109" s="119"/>
      <c r="H109" s="119"/>
      <c r="I109" s="119"/>
      <c r="J109" s="119"/>
      <c r="K109" s="119"/>
      <c r="L109" s="119"/>
      <c r="M109" s="119"/>
      <c r="N109" s="119"/>
      <c r="O109" s="119"/>
      <c r="P109" s="75"/>
      <c r="AB109" s="2"/>
    </row>
    <row r="110" spans="1:28" ht="10.5" customHeight="1">
      <c r="A110" s="166" t="s">
        <v>21</v>
      </c>
      <c r="B110" s="119"/>
      <c r="C110" s="119"/>
      <c r="D110" s="119"/>
      <c r="E110" s="119">
        <v>0</v>
      </c>
      <c r="F110" s="119"/>
      <c r="G110" s="119">
        <v>12000</v>
      </c>
      <c r="H110" s="119">
        <v>0</v>
      </c>
      <c r="I110" s="119">
        <v>0</v>
      </c>
      <c r="J110" s="119"/>
      <c r="K110" s="119">
        <f>SUM(E110:I110)</f>
        <v>12000</v>
      </c>
      <c r="L110" s="119"/>
      <c r="M110" s="119"/>
      <c r="N110" s="119"/>
      <c r="O110" s="119"/>
      <c r="P110" s="75"/>
      <c r="AB110" s="2"/>
    </row>
    <row r="111" spans="1:28" ht="10.5" customHeight="1">
      <c r="A111" s="119" t="s">
        <v>7</v>
      </c>
      <c r="B111" s="119"/>
      <c r="C111" s="119"/>
      <c r="D111" s="119"/>
      <c r="E111" s="119">
        <v>20000</v>
      </c>
      <c r="F111" s="119"/>
      <c r="G111" s="119">
        <v>10000</v>
      </c>
      <c r="H111" s="119">
        <v>20000</v>
      </c>
      <c r="I111" s="119">
        <v>10000</v>
      </c>
      <c r="J111" s="119"/>
      <c r="K111" s="119">
        <f>SUM(E111:I111)</f>
        <v>60000</v>
      </c>
      <c r="L111" s="119"/>
      <c r="M111" s="119"/>
      <c r="N111" s="119"/>
      <c r="O111" s="119"/>
      <c r="P111" s="75"/>
      <c r="AB111" s="2"/>
    </row>
    <row r="112" spans="1:28" ht="10.5" customHeight="1">
      <c r="A112" s="166" t="s">
        <v>10</v>
      </c>
      <c r="B112" s="119"/>
      <c r="C112" s="119"/>
      <c r="D112" s="119"/>
      <c r="E112" s="167">
        <f aca="true" t="shared" si="13" ref="E112:K112">SUM(E110:E111)</f>
        <v>20000</v>
      </c>
      <c r="F112" s="167">
        <f t="shared" si="13"/>
        <v>0</v>
      </c>
      <c r="G112" s="167">
        <f t="shared" si="13"/>
        <v>22000</v>
      </c>
      <c r="H112" s="167">
        <f t="shared" si="13"/>
        <v>20000</v>
      </c>
      <c r="I112" s="167">
        <f t="shared" si="13"/>
        <v>10000</v>
      </c>
      <c r="J112" s="167"/>
      <c r="K112" s="167">
        <f t="shared" si="13"/>
        <v>72000</v>
      </c>
      <c r="L112" s="119"/>
      <c r="M112" s="119"/>
      <c r="N112" s="119"/>
      <c r="O112" s="119"/>
      <c r="P112" s="75"/>
      <c r="AB112" s="2"/>
    </row>
    <row r="113" spans="1:28" ht="10.5" customHeight="1">
      <c r="A113" s="119"/>
      <c r="B113" s="119"/>
      <c r="C113" s="119"/>
      <c r="D113" s="119"/>
      <c r="E113" s="119"/>
      <c r="F113" s="171"/>
      <c r="G113" s="119"/>
      <c r="H113" s="119"/>
      <c r="I113" s="119"/>
      <c r="J113" s="119"/>
      <c r="K113" s="119"/>
      <c r="L113" s="119"/>
      <c r="M113" s="119"/>
      <c r="N113" s="119"/>
      <c r="O113" s="119"/>
      <c r="P113" s="75"/>
      <c r="AB113" s="2"/>
    </row>
    <row r="114" spans="1:28" ht="10.5" customHeight="1">
      <c r="A114" s="170" t="s">
        <v>8</v>
      </c>
      <c r="B114" s="119"/>
      <c r="C114" s="119"/>
      <c r="D114" s="119"/>
      <c r="E114" s="119"/>
      <c r="F114" s="119"/>
      <c r="G114" s="119"/>
      <c r="H114" s="119"/>
      <c r="I114" s="119"/>
      <c r="J114" s="119"/>
      <c r="K114" s="119"/>
      <c r="L114" s="119"/>
      <c r="M114" s="119"/>
      <c r="N114" s="119"/>
      <c r="O114" s="119"/>
      <c r="P114" s="75"/>
      <c r="AB114" s="2"/>
    </row>
    <row r="115" spans="1:28" ht="10.5" customHeight="1">
      <c r="A115" s="166" t="s">
        <v>9</v>
      </c>
      <c r="B115" s="119"/>
      <c r="C115" s="119"/>
      <c r="D115" s="119"/>
      <c r="E115" s="119">
        <v>10000</v>
      </c>
      <c r="F115" s="119"/>
      <c r="G115" s="119"/>
      <c r="H115" s="119"/>
      <c r="I115" s="119"/>
      <c r="J115" s="119"/>
      <c r="K115" s="119">
        <f>SUM(E115:I115)</f>
        <v>10000</v>
      </c>
      <c r="L115" s="119"/>
      <c r="M115" s="119"/>
      <c r="N115" s="119"/>
      <c r="O115" s="119"/>
      <c r="P115" s="75"/>
      <c r="AB115" s="2"/>
    </row>
    <row r="116" spans="1:28" ht="10.5" customHeight="1">
      <c r="A116" s="166" t="s">
        <v>22</v>
      </c>
      <c r="B116" s="119"/>
      <c r="C116" s="119"/>
      <c r="D116" s="119"/>
      <c r="E116" s="119">
        <v>5000</v>
      </c>
      <c r="F116" s="119"/>
      <c r="G116" s="119"/>
      <c r="H116" s="119"/>
      <c r="I116" s="119"/>
      <c r="J116" s="119"/>
      <c r="K116" s="119">
        <f>SUM(E116:I116)</f>
        <v>5000</v>
      </c>
      <c r="L116" s="119"/>
      <c r="M116" s="119"/>
      <c r="N116" s="119"/>
      <c r="O116" s="119"/>
      <c r="P116" s="75"/>
      <c r="AB116" s="2"/>
    </row>
    <row r="117" spans="1:28" ht="10.5" customHeight="1">
      <c r="A117" s="171" t="s">
        <v>60</v>
      </c>
      <c r="B117" s="119"/>
      <c r="C117" s="119"/>
      <c r="D117" s="119"/>
      <c r="E117" s="119"/>
      <c r="F117" s="119"/>
      <c r="G117" s="119">
        <v>5000</v>
      </c>
      <c r="H117" s="119"/>
      <c r="I117" s="119"/>
      <c r="J117" s="119"/>
      <c r="K117" s="119">
        <f>SUM(E117:I117)</f>
        <v>5000</v>
      </c>
      <c r="L117" s="119"/>
      <c r="M117" s="119"/>
      <c r="N117" s="119"/>
      <c r="O117" s="119"/>
      <c r="P117" s="75"/>
      <c r="AB117" s="2"/>
    </row>
    <row r="118" spans="1:28" ht="10.5" customHeight="1">
      <c r="A118" s="166" t="s">
        <v>10</v>
      </c>
      <c r="B118" s="119"/>
      <c r="C118" s="119"/>
      <c r="D118" s="119"/>
      <c r="E118" s="167">
        <f aca="true" t="shared" si="14" ref="E118:K118">SUM(E115:E117)</f>
        <v>15000</v>
      </c>
      <c r="F118" s="167">
        <f t="shared" si="14"/>
        <v>0</v>
      </c>
      <c r="G118" s="167">
        <f t="shared" si="14"/>
        <v>5000</v>
      </c>
      <c r="H118" s="167">
        <f t="shared" si="14"/>
        <v>0</v>
      </c>
      <c r="I118" s="167">
        <f t="shared" si="14"/>
        <v>0</v>
      </c>
      <c r="J118" s="167"/>
      <c r="K118" s="167">
        <f t="shared" si="14"/>
        <v>20000</v>
      </c>
      <c r="L118" s="119"/>
      <c r="M118" s="119"/>
      <c r="N118" s="119"/>
      <c r="O118" s="119"/>
      <c r="P118" s="75"/>
      <c r="AB118" s="2"/>
    </row>
    <row r="119" spans="1:28" ht="10.5" customHeight="1">
      <c r="A119" s="119"/>
      <c r="B119" s="119"/>
      <c r="C119" s="119"/>
      <c r="D119" s="119"/>
      <c r="E119" s="119"/>
      <c r="F119" s="119"/>
      <c r="G119" s="119"/>
      <c r="H119" s="119"/>
      <c r="I119" s="119"/>
      <c r="J119" s="119"/>
      <c r="K119" s="119"/>
      <c r="L119" s="119"/>
      <c r="M119" s="119"/>
      <c r="N119" s="119"/>
      <c r="O119" s="119"/>
      <c r="P119" s="75"/>
      <c r="AB119" s="2"/>
    </row>
    <row r="120" spans="1:28" ht="10.5" customHeight="1">
      <c r="A120" s="170" t="s">
        <v>532</v>
      </c>
      <c r="B120" s="119"/>
      <c r="C120" s="119"/>
      <c r="D120" s="119"/>
      <c r="E120" s="119"/>
      <c r="F120" s="119"/>
      <c r="G120" s="119"/>
      <c r="H120" s="119"/>
      <c r="I120" s="119"/>
      <c r="J120" s="119"/>
      <c r="K120" s="119"/>
      <c r="L120" s="119"/>
      <c r="M120" s="119"/>
      <c r="N120" s="119"/>
      <c r="O120" s="119"/>
      <c r="P120" s="75"/>
      <c r="AB120" s="2"/>
    </row>
    <row r="121" spans="1:28" ht="10.5" customHeight="1">
      <c r="A121" s="119" t="s">
        <v>11</v>
      </c>
      <c r="B121" s="119"/>
      <c r="C121" s="119"/>
      <c r="D121" s="119"/>
      <c r="E121" s="119">
        <f>50000-110</f>
        <v>49890</v>
      </c>
      <c r="F121" s="119">
        <v>0</v>
      </c>
      <c r="G121" s="119">
        <f>50000-110</f>
        <v>49890</v>
      </c>
      <c r="H121" s="119">
        <f>25000-55</f>
        <v>24945</v>
      </c>
      <c r="I121" s="119">
        <f>25000-55</f>
        <v>24945</v>
      </c>
      <c r="J121" s="119"/>
      <c r="K121" s="119">
        <f aca="true" t="shared" si="15" ref="K121:K126">SUM(E121:I121)</f>
        <v>149670</v>
      </c>
      <c r="L121" s="119"/>
      <c r="M121" s="119"/>
      <c r="N121" s="119"/>
      <c r="O121" s="119"/>
      <c r="P121" s="75"/>
      <c r="AB121" s="2"/>
    </row>
    <row r="122" spans="1:28" ht="10.5" customHeight="1">
      <c r="A122" s="119" t="s">
        <v>12</v>
      </c>
      <c r="B122" s="119"/>
      <c r="C122" s="119"/>
      <c r="D122" s="119"/>
      <c r="E122" s="119">
        <v>0</v>
      </c>
      <c r="F122" s="119">
        <f>20000-44</f>
        <v>19956</v>
      </c>
      <c r="G122" s="119">
        <f>20000-44</f>
        <v>19956</v>
      </c>
      <c r="H122" s="119">
        <f>78000-172+20000-44+50000-110+1</f>
        <v>147675</v>
      </c>
      <c r="I122" s="119">
        <v>0</v>
      </c>
      <c r="J122" s="119"/>
      <c r="K122" s="119">
        <f t="shared" si="15"/>
        <v>187587</v>
      </c>
      <c r="L122" s="119"/>
      <c r="M122" s="119"/>
      <c r="N122" s="119"/>
      <c r="O122" s="119"/>
      <c r="P122" s="75"/>
      <c r="AB122" s="2"/>
    </row>
    <row r="123" spans="1:28" ht="10.5" customHeight="1">
      <c r="A123" s="119" t="s">
        <v>13</v>
      </c>
      <c r="B123" s="119"/>
      <c r="C123" s="119"/>
      <c r="D123" s="119"/>
      <c r="E123" s="119">
        <f>20000-44</f>
        <v>19956</v>
      </c>
      <c r="F123" s="119">
        <v>0</v>
      </c>
      <c r="G123" s="119">
        <v>0</v>
      </c>
      <c r="H123" s="119">
        <v>0</v>
      </c>
      <c r="I123" s="119">
        <v>0</v>
      </c>
      <c r="J123" s="119"/>
      <c r="K123" s="119">
        <f t="shared" si="15"/>
        <v>19956</v>
      </c>
      <c r="L123" s="119"/>
      <c r="M123" s="119"/>
      <c r="N123" s="119"/>
      <c r="O123" s="119"/>
      <c r="P123" s="75"/>
      <c r="AB123" s="2"/>
    </row>
    <row r="124" spans="1:28" ht="10.5" customHeight="1">
      <c r="A124" s="119" t="s">
        <v>14</v>
      </c>
      <c r="B124" s="119"/>
      <c r="C124" s="119"/>
      <c r="D124" s="119"/>
      <c r="E124" s="119">
        <f>15000-33</f>
        <v>14967</v>
      </c>
      <c r="F124" s="119">
        <v>0</v>
      </c>
      <c r="G124" s="119">
        <v>0</v>
      </c>
      <c r="H124" s="119">
        <v>0</v>
      </c>
      <c r="I124" s="119">
        <v>0</v>
      </c>
      <c r="J124" s="119"/>
      <c r="K124" s="119">
        <f t="shared" si="15"/>
        <v>14967</v>
      </c>
      <c r="L124" s="119"/>
      <c r="M124" s="119"/>
      <c r="N124" s="119"/>
      <c r="O124" s="119"/>
      <c r="P124" s="75"/>
      <c r="AB124" s="2"/>
    </row>
    <row r="125" spans="1:28" ht="10.5" customHeight="1">
      <c r="A125" s="119" t="s">
        <v>15</v>
      </c>
      <c r="B125" s="119"/>
      <c r="C125" s="119"/>
      <c r="D125" s="119"/>
      <c r="E125" s="119">
        <v>0</v>
      </c>
      <c r="F125" s="119">
        <v>0</v>
      </c>
      <c r="G125" s="119">
        <f>30000-66+4000-9</f>
        <v>33925</v>
      </c>
      <c r="H125" s="119">
        <v>0</v>
      </c>
      <c r="I125" s="119">
        <v>0</v>
      </c>
      <c r="J125" s="119"/>
      <c r="K125" s="119">
        <f t="shared" si="15"/>
        <v>33925</v>
      </c>
      <c r="L125" s="119"/>
      <c r="M125" s="119"/>
      <c r="N125" s="119"/>
      <c r="O125" s="119"/>
      <c r="P125" s="75"/>
      <c r="AB125" s="2"/>
    </row>
    <row r="126" spans="1:28" ht="10.5" customHeight="1">
      <c r="A126" s="119" t="s">
        <v>16</v>
      </c>
      <c r="B126" s="119"/>
      <c r="C126" s="119"/>
      <c r="D126" s="119"/>
      <c r="E126" s="119">
        <v>0</v>
      </c>
      <c r="F126" s="119">
        <v>0</v>
      </c>
      <c r="G126" s="119">
        <v>0</v>
      </c>
      <c r="H126" s="119">
        <v>0</v>
      </c>
      <c r="I126" s="119">
        <f>50000-110</f>
        <v>49890</v>
      </c>
      <c r="J126" s="119"/>
      <c r="K126" s="119">
        <f t="shared" si="15"/>
        <v>49890</v>
      </c>
      <c r="L126" s="119"/>
      <c r="M126" s="119"/>
      <c r="N126" s="119"/>
      <c r="O126" s="119"/>
      <c r="P126" s="75"/>
      <c r="AB126" s="2"/>
    </row>
    <row r="127" spans="1:28" ht="10.5" customHeight="1">
      <c r="A127" s="166" t="s">
        <v>10</v>
      </c>
      <c r="B127" s="119"/>
      <c r="C127" s="119"/>
      <c r="D127" s="119"/>
      <c r="E127" s="167">
        <f aca="true" t="shared" si="16" ref="E127:K127">SUM(E121:E126)</f>
        <v>84813</v>
      </c>
      <c r="F127" s="167">
        <f t="shared" si="16"/>
        <v>19956</v>
      </c>
      <c r="G127" s="167">
        <f t="shared" si="16"/>
        <v>103771</v>
      </c>
      <c r="H127" s="167">
        <f t="shared" si="16"/>
        <v>172620</v>
      </c>
      <c r="I127" s="167">
        <f t="shared" si="16"/>
        <v>74835</v>
      </c>
      <c r="J127" s="167"/>
      <c r="K127" s="167">
        <f t="shared" si="16"/>
        <v>455995</v>
      </c>
      <c r="L127" s="119"/>
      <c r="M127" s="119"/>
      <c r="N127" s="119"/>
      <c r="O127" s="119"/>
      <c r="P127" s="75"/>
      <c r="AB127" s="2"/>
    </row>
    <row r="128" spans="1:28" ht="10.5" customHeight="1">
      <c r="A128" s="166"/>
      <c r="B128" s="119"/>
      <c r="C128" s="119"/>
      <c r="D128" s="119"/>
      <c r="E128" s="119"/>
      <c r="F128" s="119"/>
      <c r="G128" s="119"/>
      <c r="H128" s="119"/>
      <c r="I128" s="119"/>
      <c r="J128" s="119"/>
      <c r="K128" s="119"/>
      <c r="L128" s="119"/>
      <c r="M128" s="119"/>
      <c r="N128" s="119"/>
      <c r="O128" s="119"/>
      <c r="P128" s="75"/>
      <c r="AB128" s="2"/>
    </row>
    <row r="129" spans="1:28" ht="10.5" customHeight="1">
      <c r="A129" s="170" t="s">
        <v>533</v>
      </c>
      <c r="B129" s="119"/>
      <c r="C129" s="119"/>
      <c r="D129" s="119"/>
      <c r="E129" s="119"/>
      <c r="F129" s="119"/>
      <c r="G129" s="119"/>
      <c r="H129" s="119"/>
      <c r="I129" s="119"/>
      <c r="J129" s="119"/>
      <c r="K129" s="119"/>
      <c r="L129" s="119"/>
      <c r="M129" s="119"/>
      <c r="N129" s="119"/>
      <c r="O129" s="119"/>
      <c r="P129" s="75"/>
      <c r="AB129" s="2"/>
    </row>
    <row r="130" spans="1:28" ht="10.5" customHeight="1">
      <c r="A130" s="171" t="s">
        <v>534</v>
      </c>
      <c r="B130" s="119"/>
      <c r="C130" s="119"/>
      <c r="D130" s="119"/>
      <c r="E130" s="119"/>
      <c r="F130" s="119"/>
      <c r="G130" s="119"/>
      <c r="H130" s="119">
        <v>85000</v>
      </c>
      <c r="I130" s="119"/>
      <c r="J130" s="119"/>
      <c r="K130" s="119">
        <f>SUM(E130:I130)</f>
        <v>85000</v>
      </c>
      <c r="L130" s="119"/>
      <c r="M130" s="119"/>
      <c r="N130" s="119"/>
      <c r="O130" s="119"/>
      <c r="P130" s="75"/>
      <c r="AB130" s="2"/>
    </row>
    <row r="131" spans="1:28" ht="10.5" customHeight="1">
      <c r="A131" s="166" t="s">
        <v>535</v>
      </c>
      <c r="B131" s="119"/>
      <c r="C131" s="119"/>
      <c r="D131" s="119"/>
      <c r="E131" s="119"/>
      <c r="F131" s="119"/>
      <c r="G131" s="119"/>
      <c r="H131" s="119">
        <v>-25000</v>
      </c>
      <c r="I131" s="119"/>
      <c r="J131" s="119"/>
      <c r="K131" s="119">
        <f>SUM(E131:I131)</f>
        <v>-25000</v>
      </c>
      <c r="L131" s="119"/>
      <c r="M131" s="119"/>
      <c r="N131" s="119"/>
      <c r="O131" s="119"/>
      <c r="P131" s="75"/>
      <c r="AB131" s="2"/>
    </row>
    <row r="132" spans="1:28" ht="10.5" customHeight="1">
      <c r="A132" s="171" t="s">
        <v>17</v>
      </c>
      <c r="B132" s="119"/>
      <c r="C132" s="119"/>
      <c r="D132" s="119"/>
      <c r="E132" s="119"/>
      <c r="F132" s="119"/>
      <c r="G132" s="119"/>
      <c r="H132" s="119">
        <v>40000</v>
      </c>
      <c r="I132" s="119"/>
      <c r="J132" s="119"/>
      <c r="K132" s="119">
        <f>SUM(E132:I132)</f>
        <v>40000</v>
      </c>
      <c r="L132" s="119"/>
      <c r="M132" s="119"/>
      <c r="N132" s="119"/>
      <c r="O132" s="119"/>
      <c r="P132" s="75"/>
      <c r="AB132" s="2"/>
    </row>
    <row r="133" spans="1:28" ht="10.5" customHeight="1">
      <c r="A133" s="171" t="s">
        <v>18</v>
      </c>
      <c r="B133" s="119"/>
      <c r="C133" s="119"/>
      <c r="D133" s="119"/>
      <c r="E133" s="119"/>
      <c r="F133" s="119"/>
      <c r="G133" s="119"/>
      <c r="H133" s="119">
        <v>10000</v>
      </c>
      <c r="I133" s="119"/>
      <c r="J133" s="119"/>
      <c r="K133" s="119">
        <f>SUM(E133:I133)</f>
        <v>10000</v>
      </c>
      <c r="L133" s="119"/>
      <c r="M133" s="119"/>
      <c r="N133" s="119"/>
      <c r="O133" s="119"/>
      <c r="P133" s="75"/>
      <c r="AB133" s="2"/>
    </row>
    <row r="134" spans="1:28" ht="10.5" customHeight="1">
      <c r="A134" s="119"/>
      <c r="B134" s="119"/>
      <c r="C134" s="119"/>
      <c r="D134" s="119"/>
      <c r="E134" s="167">
        <f aca="true" t="shared" si="17" ref="E134:K134">SUM(E130:E133)</f>
        <v>0</v>
      </c>
      <c r="F134" s="167">
        <f t="shared" si="17"/>
        <v>0</v>
      </c>
      <c r="G134" s="167">
        <f t="shared" si="17"/>
        <v>0</v>
      </c>
      <c r="H134" s="167">
        <f t="shared" si="17"/>
        <v>110000</v>
      </c>
      <c r="I134" s="167">
        <f t="shared" si="17"/>
        <v>0</v>
      </c>
      <c r="J134" s="167"/>
      <c r="K134" s="167">
        <f t="shared" si="17"/>
        <v>110000</v>
      </c>
      <c r="L134" s="119"/>
      <c r="M134" s="119"/>
      <c r="N134" s="119"/>
      <c r="O134" s="119"/>
      <c r="P134" s="75"/>
      <c r="AB134" s="2"/>
    </row>
    <row r="135" spans="1:28" ht="10.5" customHeight="1">
      <c r="A135" s="119"/>
      <c r="B135" s="119"/>
      <c r="C135" s="119"/>
      <c r="D135" s="119"/>
      <c r="E135" s="119"/>
      <c r="F135" s="119"/>
      <c r="G135" s="119"/>
      <c r="H135" s="119"/>
      <c r="I135" s="119"/>
      <c r="J135" s="119"/>
      <c r="K135" s="119"/>
      <c r="L135" s="119"/>
      <c r="M135" s="119"/>
      <c r="N135" s="119"/>
      <c r="O135" s="119"/>
      <c r="P135" s="75"/>
      <c r="AB135" s="2"/>
    </row>
    <row r="136" spans="1:28" ht="10.5" customHeight="1">
      <c r="A136" s="170" t="s">
        <v>727</v>
      </c>
      <c r="B136" s="119"/>
      <c r="C136" s="119"/>
      <c r="D136" s="119"/>
      <c r="E136" s="119"/>
      <c r="F136" s="119"/>
      <c r="G136" s="119"/>
      <c r="H136" s="119"/>
      <c r="I136" s="119"/>
      <c r="J136" s="119"/>
      <c r="K136" s="119"/>
      <c r="L136" s="119"/>
      <c r="M136" s="119"/>
      <c r="N136" s="119"/>
      <c r="O136" s="119"/>
      <c r="P136" s="75"/>
      <c r="AB136" s="2"/>
    </row>
    <row r="137" spans="1:28" ht="10.5" customHeight="1">
      <c r="A137" s="171" t="s">
        <v>538</v>
      </c>
      <c r="B137" s="119"/>
      <c r="C137" s="119"/>
      <c r="D137" s="119"/>
      <c r="E137" s="119"/>
      <c r="F137" s="119"/>
      <c r="G137" s="119"/>
      <c r="H137" s="119"/>
      <c r="I137" s="119"/>
      <c r="J137" s="119"/>
      <c r="K137" s="119">
        <f aca="true" t="shared" si="18" ref="K137:K142">SUM(E137:I137)</f>
        <v>0</v>
      </c>
      <c r="L137" s="119"/>
      <c r="M137" s="119"/>
      <c r="N137" s="119"/>
      <c r="O137" s="119"/>
      <c r="P137" s="75"/>
      <c r="AB137" s="2"/>
    </row>
    <row r="138" spans="1:28" ht="10.5" customHeight="1">
      <c r="A138" s="171" t="s">
        <v>534</v>
      </c>
      <c r="B138" s="119"/>
      <c r="C138" s="119"/>
      <c r="D138" s="119"/>
      <c r="E138" s="119"/>
      <c r="F138" s="119"/>
      <c r="G138" s="119"/>
      <c r="H138" s="119">
        <v>64578</v>
      </c>
      <c r="I138" s="119"/>
      <c r="J138" s="119"/>
      <c r="K138" s="119">
        <f t="shared" si="18"/>
        <v>64578</v>
      </c>
      <c r="L138" s="119"/>
      <c r="M138" s="119"/>
      <c r="N138" s="119"/>
      <c r="O138" s="119"/>
      <c r="P138" s="75"/>
      <c r="AB138" s="2"/>
    </row>
    <row r="139" spans="1:28" ht="10.5" customHeight="1">
      <c r="A139" s="171" t="s">
        <v>537</v>
      </c>
      <c r="B139" s="119"/>
      <c r="C139" s="119"/>
      <c r="D139" s="119"/>
      <c r="E139" s="119"/>
      <c r="F139" s="119"/>
      <c r="G139" s="119"/>
      <c r="H139" s="119"/>
      <c r="I139" s="119"/>
      <c r="J139" s="119"/>
      <c r="K139" s="119">
        <f t="shared" si="18"/>
        <v>0</v>
      </c>
      <c r="L139" s="119"/>
      <c r="M139" s="119"/>
      <c r="N139" s="119"/>
      <c r="O139" s="119"/>
      <c r="P139" s="75"/>
      <c r="AB139" s="2"/>
    </row>
    <row r="140" spans="1:28" ht="10.5" customHeight="1">
      <c r="A140" s="171" t="s">
        <v>17</v>
      </c>
      <c r="B140" s="119"/>
      <c r="C140" s="119"/>
      <c r="D140" s="119"/>
      <c r="E140" s="119"/>
      <c r="F140" s="119"/>
      <c r="G140" s="119"/>
      <c r="H140" s="119">
        <v>39740</v>
      </c>
      <c r="I140" s="119"/>
      <c r="J140" s="119"/>
      <c r="K140" s="119">
        <f t="shared" si="18"/>
        <v>39740</v>
      </c>
      <c r="L140" s="119"/>
      <c r="M140" s="119"/>
      <c r="N140" s="119"/>
      <c r="O140" s="119"/>
      <c r="P140" s="75"/>
      <c r="AB140" s="2"/>
    </row>
    <row r="141" spans="1:28" ht="10.5" customHeight="1">
      <c r="A141" s="171" t="s">
        <v>536</v>
      </c>
      <c r="B141" s="119"/>
      <c r="C141" s="119"/>
      <c r="D141" s="119"/>
      <c r="E141" s="119"/>
      <c r="F141" s="119"/>
      <c r="G141" s="119"/>
      <c r="H141" s="119">
        <v>51136</v>
      </c>
      <c r="I141" s="119"/>
      <c r="J141" s="119"/>
      <c r="K141" s="119">
        <f t="shared" si="18"/>
        <v>51136</v>
      </c>
      <c r="L141" s="119"/>
      <c r="M141" s="119"/>
      <c r="N141" s="119"/>
      <c r="O141" s="119"/>
      <c r="P141" s="75"/>
      <c r="AB141" s="2"/>
    </row>
    <row r="142" spans="1:28" ht="10.5" customHeight="1">
      <c r="A142" s="171" t="s">
        <v>18</v>
      </c>
      <c r="B142" s="119"/>
      <c r="C142" s="119"/>
      <c r="D142" s="119"/>
      <c r="E142" s="119"/>
      <c r="F142" s="119"/>
      <c r="G142" s="119"/>
      <c r="H142" s="119">
        <v>9935</v>
      </c>
      <c r="I142" s="119"/>
      <c r="J142" s="119"/>
      <c r="K142" s="119">
        <f t="shared" si="18"/>
        <v>9935</v>
      </c>
      <c r="L142" s="119"/>
      <c r="M142" s="119"/>
      <c r="N142" s="119"/>
      <c r="O142" s="119"/>
      <c r="P142" s="75"/>
      <c r="AB142" s="2"/>
    </row>
    <row r="143" spans="1:28" ht="10.5" customHeight="1">
      <c r="A143" s="119"/>
      <c r="B143" s="119"/>
      <c r="C143" s="119"/>
      <c r="D143" s="119"/>
      <c r="E143" s="167">
        <f aca="true" t="shared" si="19" ref="E143:K143">SUM(E137:E142)</f>
        <v>0</v>
      </c>
      <c r="F143" s="167">
        <f t="shared" si="19"/>
        <v>0</v>
      </c>
      <c r="G143" s="167">
        <f t="shared" si="19"/>
        <v>0</v>
      </c>
      <c r="H143" s="167">
        <f t="shared" si="19"/>
        <v>165389</v>
      </c>
      <c r="I143" s="167">
        <f t="shared" si="19"/>
        <v>0</v>
      </c>
      <c r="J143" s="167"/>
      <c r="K143" s="167">
        <f t="shared" si="19"/>
        <v>165389</v>
      </c>
      <c r="L143" s="119"/>
      <c r="M143" s="119"/>
      <c r="N143" s="119"/>
      <c r="O143" s="119"/>
      <c r="P143" s="75"/>
      <c r="AB143" s="2"/>
    </row>
    <row r="144" spans="1:28" ht="10.5" customHeight="1">
      <c r="A144" s="119"/>
      <c r="B144" s="119"/>
      <c r="C144" s="119"/>
      <c r="D144" s="119"/>
      <c r="E144" s="119"/>
      <c r="F144" s="119"/>
      <c r="G144" s="119"/>
      <c r="H144" s="119"/>
      <c r="I144" s="119"/>
      <c r="J144" s="119"/>
      <c r="K144" s="119"/>
      <c r="L144" s="119"/>
      <c r="M144" s="119"/>
      <c r="N144" s="119"/>
      <c r="O144" s="119"/>
      <c r="P144" s="75"/>
      <c r="AB144" s="2"/>
    </row>
    <row r="145" spans="1:28" ht="10.5" customHeight="1">
      <c r="A145" s="170" t="s">
        <v>728</v>
      </c>
      <c r="B145" s="119"/>
      <c r="C145" s="119"/>
      <c r="D145" s="119"/>
      <c r="E145" s="119"/>
      <c r="F145" s="119"/>
      <c r="G145" s="119"/>
      <c r="H145" s="119"/>
      <c r="I145" s="119"/>
      <c r="J145" s="119"/>
      <c r="K145" s="119"/>
      <c r="L145" s="119"/>
      <c r="M145" s="119"/>
      <c r="N145" s="119"/>
      <c r="O145" s="119"/>
      <c r="P145" s="75"/>
      <c r="AB145" s="2"/>
    </row>
    <row r="146" spans="1:28" ht="10.5" customHeight="1">
      <c r="A146" s="171" t="s">
        <v>730</v>
      </c>
      <c r="B146" s="119"/>
      <c r="C146" s="119"/>
      <c r="D146" s="119"/>
      <c r="E146" s="119"/>
      <c r="F146" s="119">
        <v>4968</v>
      </c>
      <c r="G146" s="119"/>
      <c r="H146" s="119"/>
      <c r="I146" s="119"/>
      <c r="J146" s="119"/>
      <c r="K146" s="119">
        <f aca="true" t="shared" si="20" ref="K146:K153">SUM(E146:I146)</f>
        <v>4968</v>
      </c>
      <c r="L146" s="119"/>
      <c r="M146" s="119"/>
      <c r="N146" s="119"/>
      <c r="O146" s="119"/>
      <c r="P146" s="75"/>
      <c r="AB146" s="2"/>
    </row>
    <row r="147" spans="1:28" ht="10.5" customHeight="1">
      <c r="A147" s="171" t="s">
        <v>729</v>
      </c>
      <c r="B147" s="119"/>
      <c r="C147" s="119"/>
      <c r="D147" s="119"/>
      <c r="E147" s="119"/>
      <c r="F147" s="119">
        <v>5000</v>
      </c>
      <c r="G147" s="119"/>
      <c r="H147" s="119"/>
      <c r="I147" s="119"/>
      <c r="J147" s="119"/>
      <c r="K147" s="119">
        <f t="shared" si="20"/>
        <v>5000</v>
      </c>
      <c r="L147" s="119"/>
      <c r="M147" s="119"/>
      <c r="N147" s="119"/>
      <c r="O147" s="119"/>
      <c r="P147" s="75"/>
      <c r="AB147" s="2"/>
    </row>
    <row r="148" spans="1:28" ht="10.5" customHeight="1">
      <c r="A148" s="171" t="s">
        <v>538</v>
      </c>
      <c r="B148" s="119"/>
      <c r="C148" s="119"/>
      <c r="D148" s="119"/>
      <c r="E148" s="119"/>
      <c r="G148" s="119">
        <f>+'fy 04 warrants'!I19/1000</f>
        <v>64133.89</v>
      </c>
      <c r="I148" s="119"/>
      <c r="J148" s="119"/>
      <c r="K148" s="119">
        <f t="shared" si="20"/>
        <v>64133.89</v>
      </c>
      <c r="L148" s="119"/>
      <c r="M148" s="119"/>
      <c r="N148" s="119"/>
      <c r="O148" s="119"/>
      <c r="P148" s="75"/>
      <c r="AB148" s="2"/>
    </row>
    <row r="149" spans="1:28" ht="10.5" customHeight="1">
      <c r="A149" s="171" t="s">
        <v>534</v>
      </c>
      <c r="B149" s="119"/>
      <c r="C149" s="119"/>
      <c r="D149" s="119"/>
      <c r="E149" s="119"/>
      <c r="F149" s="119"/>
      <c r="G149" s="119"/>
      <c r="H149" s="119">
        <f>+'fy 04 warrants'!I11/1000</f>
        <v>69137.468</v>
      </c>
      <c r="I149" s="119"/>
      <c r="J149" s="119"/>
      <c r="K149" s="119">
        <f t="shared" si="20"/>
        <v>69137.468</v>
      </c>
      <c r="L149" s="119"/>
      <c r="M149" s="119"/>
      <c r="N149" s="119"/>
      <c r="O149" s="119"/>
      <c r="P149" s="75"/>
      <c r="AB149" s="2"/>
    </row>
    <row r="150" spans="1:28" ht="10.5" customHeight="1">
      <c r="A150" s="171" t="s">
        <v>537</v>
      </c>
      <c r="B150" s="119"/>
      <c r="C150" s="119"/>
      <c r="D150" s="119"/>
      <c r="E150" s="119"/>
      <c r="F150" s="119"/>
      <c r="G150" s="119"/>
      <c r="H150" s="119"/>
      <c r="I150" s="119"/>
      <c r="J150" s="119"/>
      <c r="K150" s="119">
        <f t="shared" si="20"/>
        <v>0</v>
      </c>
      <c r="L150" s="119"/>
      <c r="M150" s="119"/>
      <c r="N150" s="119"/>
      <c r="O150" s="119"/>
      <c r="P150" s="75"/>
      <c r="AB150" s="2"/>
    </row>
    <row r="151" spans="1:28" ht="10.5" customHeight="1">
      <c r="A151" s="171" t="s">
        <v>17</v>
      </c>
      <c r="B151" s="119"/>
      <c r="C151" s="119"/>
      <c r="D151" s="119"/>
      <c r="E151" s="119"/>
      <c r="F151" s="119"/>
      <c r="G151" s="119"/>
      <c r="H151" s="119">
        <f>+'fy 04 warrants'!I7/1000</f>
        <v>29630.343</v>
      </c>
      <c r="I151" s="119"/>
      <c r="J151" s="119"/>
      <c r="K151" s="119">
        <f t="shared" si="20"/>
        <v>29630.343</v>
      </c>
      <c r="L151" s="119"/>
      <c r="M151" s="119"/>
      <c r="N151" s="119"/>
      <c r="O151" s="119"/>
      <c r="P151" s="75"/>
      <c r="AB151" s="2"/>
    </row>
    <row r="152" spans="1:28" ht="10.5" customHeight="1">
      <c r="A152" s="171" t="s">
        <v>536</v>
      </c>
      <c r="B152" s="119"/>
      <c r="C152" s="119"/>
      <c r="D152" s="119"/>
      <c r="E152" s="119"/>
      <c r="F152" s="119"/>
      <c r="G152" s="119"/>
      <c r="H152" s="119">
        <f>+'fy 04 warrants'!I13/1000</f>
        <v>49383.906</v>
      </c>
      <c r="I152" s="119"/>
      <c r="J152" s="119"/>
      <c r="K152" s="119">
        <f t="shared" si="20"/>
        <v>49383.906</v>
      </c>
      <c r="L152" s="119"/>
      <c r="M152" s="119"/>
      <c r="N152" s="119"/>
      <c r="O152" s="119"/>
      <c r="P152" s="75"/>
      <c r="AB152" s="2"/>
    </row>
    <row r="153" spans="1:28" ht="10.5" customHeight="1">
      <c r="A153" s="171" t="s">
        <v>18</v>
      </c>
      <c r="B153" s="119"/>
      <c r="C153" s="119"/>
      <c r="D153" s="119"/>
      <c r="E153" s="210"/>
      <c r="F153" s="210"/>
      <c r="G153" s="210"/>
      <c r="H153" s="210">
        <f>+'fy 04 warrants'!I9/1000</f>
        <v>7407.586</v>
      </c>
      <c r="I153" s="210"/>
      <c r="J153" s="210"/>
      <c r="K153" s="210">
        <f t="shared" si="20"/>
        <v>7407.586</v>
      </c>
      <c r="L153" s="119"/>
      <c r="M153" s="119"/>
      <c r="N153" s="119"/>
      <c r="O153" s="119"/>
      <c r="P153" s="75"/>
      <c r="AB153" s="2"/>
    </row>
    <row r="154" spans="1:28" ht="10.5" customHeight="1">
      <c r="A154" s="119"/>
      <c r="B154" s="119"/>
      <c r="C154" s="119"/>
      <c r="D154" s="119"/>
      <c r="E154" s="119"/>
      <c r="F154" s="119">
        <f>SUM(F146:F153)</f>
        <v>9968</v>
      </c>
      <c r="G154" s="119">
        <f>SUM(G146:G153)</f>
        <v>64133.89</v>
      </c>
      <c r="H154" s="119">
        <f>SUM(H148:H153)</f>
        <v>155559.303</v>
      </c>
      <c r="I154" s="119"/>
      <c r="J154" s="119"/>
      <c r="K154" s="119">
        <f>SUM(K146:K153)</f>
        <v>229661.19300000003</v>
      </c>
      <c r="L154" s="119"/>
      <c r="M154" s="119"/>
      <c r="N154" s="119"/>
      <c r="O154" s="119"/>
      <c r="P154" s="75"/>
      <c r="AB154" s="2"/>
    </row>
    <row r="155" spans="1:28" ht="10.5" customHeight="1">
      <c r="A155" s="119"/>
      <c r="B155" s="119"/>
      <c r="C155" s="119"/>
      <c r="D155" s="119"/>
      <c r="E155" s="119"/>
      <c r="F155" s="119"/>
      <c r="G155" s="119"/>
      <c r="H155" s="119"/>
      <c r="I155" s="119"/>
      <c r="J155" s="119"/>
      <c r="K155" s="119"/>
      <c r="L155" s="119"/>
      <c r="M155" s="119"/>
      <c r="N155" s="119"/>
      <c r="O155" s="119"/>
      <c r="P155" s="75"/>
      <c r="AB155" s="2"/>
    </row>
    <row r="156" spans="16:28" ht="10.5" customHeight="1">
      <c r="P156" s="75"/>
      <c r="AB156" s="2"/>
    </row>
    <row r="157" spans="16:28" ht="10.5" customHeight="1">
      <c r="P157" s="75"/>
      <c r="AB157" s="2"/>
    </row>
    <row r="158" spans="16:28" ht="10.5" customHeight="1">
      <c r="P158" s="75"/>
      <c r="AB158" s="2"/>
    </row>
    <row r="159" spans="16:28" ht="10.5" customHeight="1">
      <c r="P159" s="75"/>
      <c r="AB159" s="2"/>
    </row>
    <row r="160" spans="16:28" ht="12" customHeight="1">
      <c r="P160" s="75"/>
      <c r="AB160" s="2"/>
    </row>
    <row r="161" spans="16:28" ht="10.5" customHeight="1">
      <c r="P161" s="75"/>
      <c r="AB161" s="2"/>
    </row>
    <row r="162" spans="16:28" ht="10.5" customHeight="1">
      <c r="P162" s="75"/>
      <c r="AB162" s="2"/>
    </row>
    <row r="163" spans="16:28" ht="10.5" customHeight="1">
      <c r="P163" s="75"/>
      <c r="AB163" s="2"/>
    </row>
    <row r="164" spans="16:28" ht="10.5" customHeight="1">
      <c r="P164" s="75"/>
      <c r="AB164" s="2"/>
    </row>
    <row r="165" spans="16:28" ht="10.5" customHeight="1">
      <c r="P165" s="75"/>
      <c r="AB165" s="2"/>
    </row>
    <row r="166" spans="16:28" ht="10.5" customHeight="1">
      <c r="P166" s="75"/>
      <c r="AB166" s="2"/>
    </row>
    <row r="167" spans="16:28" ht="10.5" customHeight="1">
      <c r="P167" s="75"/>
      <c r="AB167" s="2"/>
    </row>
    <row r="168" spans="16:28" ht="10.5" customHeight="1">
      <c r="P168" s="75"/>
      <c r="AB168" s="2"/>
    </row>
    <row r="169" spans="16:28" ht="10.5" customHeight="1">
      <c r="P169" s="75"/>
      <c r="AB169" s="2"/>
    </row>
    <row r="170" spans="16:28" ht="10.5" customHeight="1">
      <c r="P170" s="75"/>
      <c r="AB170" s="2"/>
    </row>
    <row r="171" spans="16:28" ht="10.5" customHeight="1">
      <c r="P171" s="75"/>
      <c r="AB171" s="2"/>
    </row>
    <row r="172" spans="16:28" ht="10.5" customHeight="1">
      <c r="P172" s="75"/>
      <c r="AB172" s="2"/>
    </row>
    <row r="173" spans="16:28" ht="10.5" customHeight="1">
      <c r="P173" s="75"/>
      <c r="AB173" s="2"/>
    </row>
    <row r="174" spans="16:28" ht="10.5" customHeight="1">
      <c r="P174" s="75"/>
      <c r="AB174" s="2"/>
    </row>
    <row r="175" spans="16:28" ht="10.5" customHeight="1">
      <c r="P175" s="75"/>
      <c r="AB175" s="2"/>
    </row>
    <row r="176" spans="16:28" ht="10.5" customHeight="1">
      <c r="P176" s="75"/>
      <c r="AB176" s="2"/>
    </row>
    <row r="177" spans="16:28" ht="10.5" customHeight="1">
      <c r="P177" s="75"/>
      <c r="AB177" s="2"/>
    </row>
    <row r="178" spans="1:28" ht="10.5" customHeight="1">
      <c r="A178" s="105"/>
      <c r="B178" s="105"/>
      <c r="C178" s="105"/>
      <c r="D178" s="105"/>
      <c r="E178" s="105"/>
      <c r="F178" s="105"/>
      <c r="G178" s="105"/>
      <c r="H178" s="105"/>
      <c r="I178" s="105"/>
      <c r="J178" s="105"/>
      <c r="K178" s="104"/>
      <c r="L178" s="114"/>
      <c r="O178" s="114" t="s">
        <v>61</v>
      </c>
      <c r="P178" s="75" t="s">
        <v>543</v>
      </c>
      <c r="AB178" s="2" t="s">
        <v>543</v>
      </c>
    </row>
    <row r="179" spans="1:12" ht="10.5" customHeight="1">
      <c r="A179" s="76"/>
      <c r="B179" s="105"/>
      <c r="C179" s="105"/>
      <c r="D179" s="105"/>
      <c r="E179" s="105"/>
      <c r="F179" s="105"/>
      <c r="G179" s="105"/>
      <c r="H179" s="105"/>
      <c r="I179" s="105"/>
      <c r="J179" s="105"/>
      <c r="K179" s="105"/>
      <c r="L179" s="105"/>
    </row>
    <row r="180" spans="1:12" ht="12.75">
      <c r="A180" s="104" t="s">
        <v>492</v>
      </c>
      <c r="B180" s="104" t="s">
        <v>492</v>
      </c>
      <c r="C180" s="104" t="s">
        <v>492</v>
      </c>
      <c r="D180" s="104" t="s">
        <v>492</v>
      </c>
      <c r="E180" s="104" t="s">
        <v>492</v>
      </c>
      <c r="F180" s="104"/>
      <c r="G180" s="104" t="s">
        <v>492</v>
      </c>
      <c r="H180" s="104" t="s">
        <v>492</v>
      </c>
      <c r="I180" s="104" t="s">
        <v>492</v>
      </c>
      <c r="J180" s="104"/>
      <c r="K180" s="104" t="s">
        <v>492</v>
      </c>
      <c r="L180" s="104" t="s">
        <v>492</v>
      </c>
    </row>
    <row r="181" spans="1:12" ht="12.75">
      <c r="A181" s="104"/>
      <c r="B181" s="104"/>
      <c r="C181" s="104"/>
      <c r="D181" s="104"/>
      <c r="E181" s="104"/>
      <c r="F181" s="104"/>
      <c r="G181" s="104"/>
      <c r="H181" s="104"/>
      <c r="I181" s="104"/>
      <c r="J181" s="104"/>
      <c r="K181" s="104"/>
      <c r="L181" s="104"/>
    </row>
    <row r="182" spans="1:28" ht="10.5" customHeight="1">
      <c r="A182" s="124" t="s">
        <v>203</v>
      </c>
      <c r="B182" s="119"/>
      <c r="C182" s="119"/>
      <c r="D182" s="119"/>
      <c r="E182" s="119"/>
      <c r="F182" s="119"/>
      <c r="G182" s="119"/>
      <c r="H182" s="119"/>
      <c r="I182" s="119"/>
      <c r="J182" s="119"/>
      <c r="K182" s="119"/>
      <c r="L182" s="119"/>
      <c r="M182" s="119"/>
      <c r="N182" s="119"/>
      <c r="O182" s="119"/>
      <c r="P182" s="75" t="s">
        <v>543</v>
      </c>
      <c r="AB182" s="2" t="s">
        <v>543</v>
      </c>
    </row>
    <row r="183" spans="1:15" ht="12.75">
      <c r="A183" s="119" t="s">
        <v>84</v>
      </c>
      <c r="B183" s="119"/>
      <c r="C183" s="119"/>
      <c r="D183" s="119"/>
      <c r="E183" s="119"/>
      <c r="F183" s="119"/>
      <c r="G183" s="119"/>
      <c r="H183" s="119"/>
      <c r="I183" s="119"/>
      <c r="J183" s="119"/>
      <c r="K183" s="119"/>
      <c r="L183" s="119"/>
      <c r="M183" s="119"/>
      <c r="N183" s="119"/>
      <c r="O183" s="119"/>
    </row>
    <row r="184" spans="1:28" ht="10.5" customHeight="1">
      <c r="A184" s="119" t="s">
        <v>204</v>
      </c>
      <c r="B184" s="119"/>
      <c r="C184" s="119"/>
      <c r="D184" s="119"/>
      <c r="E184" s="119"/>
      <c r="F184" s="119"/>
      <c r="G184" s="119"/>
      <c r="H184" s="119"/>
      <c r="I184" s="119"/>
      <c r="J184" s="119"/>
      <c r="K184" s="119"/>
      <c r="L184" s="119"/>
      <c r="M184" s="119"/>
      <c r="N184" s="119"/>
      <c r="O184" s="119"/>
      <c r="P184" s="75" t="s">
        <v>543</v>
      </c>
      <c r="AB184" s="2" t="s">
        <v>543</v>
      </c>
    </row>
    <row r="185" spans="1:28" ht="10.5" customHeight="1">
      <c r="A185" s="124" t="s">
        <v>207</v>
      </c>
      <c r="B185" s="119"/>
      <c r="C185" s="119"/>
      <c r="D185" s="119"/>
      <c r="E185" s="119"/>
      <c r="F185" s="119"/>
      <c r="G185" s="119"/>
      <c r="H185" s="119"/>
      <c r="I185" s="119"/>
      <c r="J185" s="119"/>
      <c r="K185" s="119"/>
      <c r="L185" s="119"/>
      <c r="M185" s="119"/>
      <c r="N185" s="119"/>
      <c r="O185" s="119"/>
      <c r="P185" s="75" t="s">
        <v>543</v>
      </c>
      <c r="AB185" s="2" t="s">
        <v>543</v>
      </c>
    </row>
    <row r="186" spans="1:28" ht="10.5" customHeight="1">
      <c r="A186" s="119" t="s">
        <v>208</v>
      </c>
      <c r="B186" s="119"/>
      <c r="C186" s="119"/>
      <c r="D186" s="119"/>
      <c r="E186" s="119"/>
      <c r="F186" s="119"/>
      <c r="G186" s="119"/>
      <c r="H186" s="119"/>
      <c r="I186" s="119"/>
      <c r="J186" s="119"/>
      <c r="K186" s="119"/>
      <c r="L186" s="119"/>
      <c r="M186" s="119"/>
      <c r="N186" s="119"/>
      <c r="O186" s="119"/>
      <c r="P186" s="75" t="s">
        <v>543</v>
      </c>
      <c r="AB186" s="2" t="s">
        <v>543</v>
      </c>
    </row>
    <row r="187" spans="1:28" ht="10.5" customHeight="1">
      <c r="A187" s="124" t="s">
        <v>174</v>
      </c>
      <c r="B187" s="119"/>
      <c r="C187" s="119"/>
      <c r="D187" s="119"/>
      <c r="E187" s="119"/>
      <c r="F187" s="119"/>
      <c r="G187" s="119"/>
      <c r="H187" s="119"/>
      <c r="I187" s="119"/>
      <c r="J187" s="119"/>
      <c r="K187" s="119"/>
      <c r="L187" s="119"/>
      <c r="M187" s="119"/>
      <c r="N187" s="119"/>
      <c r="O187" s="119"/>
      <c r="P187" s="75" t="s">
        <v>543</v>
      </c>
      <c r="AB187" s="2" t="s">
        <v>543</v>
      </c>
    </row>
    <row r="188" spans="1:15" ht="10.5" customHeight="1">
      <c r="A188" s="124" t="s">
        <v>175</v>
      </c>
      <c r="B188" s="119"/>
      <c r="C188" s="119"/>
      <c r="D188" s="119"/>
      <c r="E188" s="119"/>
      <c r="F188" s="119"/>
      <c r="G188" s="119"/>
      <c r="H188" s="119"/>
      <c r="I188" s="119"/>
      <c r="J188" s="119"/>
      <c r="K188" s="119"/>
      <c r="L188" s="119"/>
      <c r="M188" s="119"/>
      <c r="N188" s="119"/>
      <c r="O188" s="119"/>
    </row>
    <row r="189" spans="1:15" ht="10.5" customHeight="1">
      <c r="A189" s="119" t="s">
        <v>172</v>
      </c>
      <c r="B189" s="119"/>
      <c r="C189" s="119"/>
      <c r="D189" s="119"/>
      <c r="E189" s="119"/>
      <c r="F189" s="119"/>
      <c r="G189" s="119"/>
      <c r="H189" s="119"/>
      <c r="I189" s="119"/>
      <c r="J189" s="119"/>
      <c r="K189" s="119"/>
      <c r="L189" s="119"/>
      <c r="M189" s="119"/>
      <c r="N189" s="119"/>
      <c r="O189" s="119"/>
    </row>
    <row r="190" spans="1:28" ht="10.5" customHeight="1">
      <c r="A190" s="124" t="s">
        <v>176</v>
      </c>
      <c r="B190" s="119"/>
      <c r="C190" s="119"/>
      <c r="D190" s="119"/>
      <c r="E190" s="119"/>
      <c r="F190" s="119"/>
      <c r="G190" s="119"/>
      <c r="H190" s="119"/>
      <c r="I190" s="119"/>
      <c r="J190" s="119"/>
      <c r="K190" s="119"/>
      <c r="L190" s="119"/>
      <c r="M190" s="119"/>
      <c r="N190" s="119"/>
      <c r="O190" s="119"/>
      <c r="P190" s="75" t="s">
        <v>543</v>
      </c>
      <c r="AB190" s="2" t="s">
        <v>543</v>
      </c>
    </row>
    <row r="191" spans="1:28" ht="10.5" customHeight="1">
      <c r="A191" s="124" t="s">
        <v>177</v>
      </c>
      <c r="B191" s="119"/>
      <c r="C191" s="119"/>
      <c r="D191" s="119"/>
      <c r="E191" s="119"/>
      <c r="F191" s="119"/>
      <c r="G191" s="119"/>
      <c r="H191" s="119"/>
      <c r="I191" s="119"/>
      <c r="J191" s="119"/>
      <c r="K191" s="119"/>
      <c r="L191" s="119"/>
      <c r="M191" s="119"/>
      <c r="N191" s="119"/>
      <c r="O191" s="119"/>
      <c r="P191" s="75" t="s">
        <v>543</v>
      </c>
      <c r="AB191" s="2" t="s">
        <v>543</v>
      </c>
    </row>
    <row r="192" spans="1:28" ht="10.5" customHeight="1">
      <c r="A192" s="119" t="s">
        <v>170</v>
      </c>
      <c r="B192" s="119"/>
      <c r="C192" s="119"/>
      <c r="D192" s="119"/>
      <c r="E192" s="119"/>
      <c r="F192" s="119"/>
      <c r="G192" s="119"/>
      <c r="H192" s="119"/>
      <c r="I192" s="119"/>
      <c r="J192" s="119"/>
      <c r="K192" s="119"/>
      <c r="L192" s="119"/>
      <c r="M192" s="119"/>
      <c r="N192" s="119"/>
      <c r="O192" s="119"/>
      <c r="P192" s="75" t="s">
        <v>543</v>
      </c>
      <c r="AB192" s="2" t="s">
        <v>543</v>
      </c>
    </row>
    <row r="193" spans="1:15" ht="10.5" customHeight="1">
      <c r="A193" s="124" t="s">
        <v>178</v>
      </c>
      <c r="B193" s="119"/>
      <c r="C193" s="119"/>
      <c r="D193" s="119"/>
      <c r="E193" s="119"/>
      <c r="F193" s="119"/>
      <c r="G193" s="119"/>
      <c r="H193" s="119"/>
      <c r="I193" s="119"/>
      <c r="J193" s="119"/>
      <c r="K193" s="119"/>
      <c r="L193" s="119"/>
      <c r="M193" s="119"/>
      <c r="N193" s="119"/>
      <c r="O193" s="119"/>
    </row>
    <row r="194" spans="1:15" ht="10.5" customHeight="1">
      <c r="A194" s="119" t="s">
        <v>171</v>
      </c>
      <c r="B194" s="119"/>
      <c r="C194" s="119"/>
      <c r="D194" s="119"/>
      <c r="E194" s="119"/>
      <c r="F194" s="119"/>
      <c r="G194" s="119"/>
      <c r="H194" s="119"/>
      <c r="I194" s="119"/>
      <c r="J194" s="119"/>
      <c r="K194" s="119"/>
      <c r="L194" s="119"/>
      <c r="M194" s="119"/>
      <c r="N194" s="119"/>
      <c r="O194" s="119"/>
    </row>
    <row r="195" spans="1:15" ht="10.5" customHeight="1">
      <c r="A195" s="119" t="s">
        <v>206</v>
      </c>
      <c r="B195" s="119"/>
      <c r="C195" s="119"/>
      <c r="D195" s="119"/>
      <c r="E195" s="119"/>
      <c r="F195" s="119"/>
      <c r="G195" s="119"/>
      <c r="H195" s="119"/>
      <c r="I195" s="119"/>
      <c r="J195" s="119"/>
      <c r="K195" s="119"/>
      <c r="L195" s="119"/>
      <c r="M195" s="119"/>
      <c r="N195" s="119"/>
      <c r="O195" s="119"/>
    </row>
    <row r="196" spans="1:15" ht="10.5" customHeight="1">
      <c r="A196" s="119" t="s">
        <v>205</v>
      </c>
      <c r="B196" s="119"/>
      <c r="C196" s="119"/>
      <c r="D196" s="119"/>
      <c r="E196" s="119"/>
      <c r="F196" s="119"/>
      <c r="G196" s="119"/>
      <c r="H196" s="119"/>
      <c r="I196" s="119"/>
      <c r="J196" s="119"/>
      <c r="K196" s="119"/>
      <c r="L196" s="119"/>
      <c r="M196" s="119"/>
      <c r="N196" s="119"/>
      <c r="O196" s="119"/>
    </row>
    <row r="197" spans="1:28" ht="10.5" customHeight="1">
      <c r="A197" s="119" t="s">
        <v>173</v>
      </c>
      <c r="B197" s="119"/>
      <c r="C197" s="119"/>
      <c r="D197" s="119"/>
      <c r="E197" s="119"/>
      <c r="F197" s="119"/>
      <c r="G197" s="119"/>
      <c r="H197" s="119"/>
      <c r="I197" s="119"/>
      <c r="J197" s="119"/>
      <c r="K197" s="119"/>
      <c r="L197" s="119"/>
      <c r="M197" s="119"/>
      <c r="N197" s="119"/>
      <c r="O197" s="119"/>
      <c r="P197" s="75" t="s">
        <v>543</v>
      </c>
      <c r="AB197" s="2" t="s">
        <v>543</v>
      </c>
    </row>
    <row r="198" spans="1:28" ht="10.5" customHeight="1">
      <c r="A198" s="124" t="s">
        <v>179</v>
      </c>
      <c r="B198" s="119"/>
      <c r="C198" s="119"/>
      <c r="D198" s="119"/>
      <c r="E198" s="119"/>
      <c r="F198" s="119"/>
      <c r="G198" s="119"/>
      <c r="H198" s="119"/>
      <c r="I198" s="119"/>
      <c r="J198" s="119"/>
      <c r="K198" s="119"/>
      <c r="L198" s="119"/>
      <c r="M198" s="119"/>
      <c r="N198" s="119"/>
      <c r="O198" s="119"/>
      <c r="P198" s="75" t="s">
        <v>543</v>
      </c>
      <c r="AB198" s="2" t="s">
        <v>543</v>
      </c>
    </row>
    <row r="200" spans="16:28" ht="10.5" customHeight="1">
      <c r="P200" s="75" t="s">
        <v>543</v>
      </c>
      <c r="AB200" s="2" t="s">
        <v>543</v>
      </c>
    </row>
    <row r="201" spans="16:28" ht="10.5" customHeight="1">
      <c r="P201" s="75" t="s">
        <v>543</v>
      </c>
      <c r="AB201" s="2" t="s">
        <v>543</v>
      </c>
    </row>
    <row r="202" spans="16:28" ht="10.5" customHeight="1">
      <c r="P202" s="75" t="s">
        <v>543</v>
      </c>
      <c r="AB202" s="2" t="s">
        <v>543</v>
      </c>
    </row>
    <row r="203" spans="16:28" ht="10.5" customHeight="1">
      <c r="P203" s="75" t="s">
        <v>543</v>
      </c>
      <c r="AB203" s="2" t="s">
        <v>543</v>
      </c>
    </row>
    <row r="204" spans="16:28" ht="10.5" customHeight="1">
      <c r="P204" s="75" t="s">
        <v>543</v>
      </c>
      <c r="AB204" s="2" t="s">
        <v>543</v>
      </c>
    </row>
    <row r="205" spans="16:28" ht="10.5" customHeight="1">
      <c r="P205" s="75" t="s">
        <v>543</v>
      </c>
      <c r="AB205" s="2" t="s">
        <v>543</v>
      </c>
    </row>
    <row r="206" spans="16:28" ht="10.5" customHeight="1">
      <c r="P206" s="75" t="s">
        <v>543</v>
      </c>
      <c r="AB206" s="2" t="s">
        <v>543</v>
      </c>
    </row>
    <row r="207" spans="16:28" ht="10.5" customHeight="1">
      <c r="P207" s="75" t="s">
        <v>543</v>
      </c>
      <c r="AB207" s="2" t="s">
        <v>543</v>
      </c>
    </row>
    <row r="208" spans="16:28" ht="10.5" customHeight="1">
      <c r="P208" s="75" t="s">
        <v>543</v>
      </c>
      <c r="AB208" s="2" t="s">
        <v>543</v>
      </c>
    </row>
    <row r="209" spans="16:28" ht="10.5" customHeight="1">
      <c r="P209" s="75" t="s">
        <v>543</v>
      </c>
      <c r="AB209" s="2" t="s">
        <v>543</v>
      </c>
    </row>
    <row r="210" spans="1:34" ht="10.5" customHeight="1">
      <c r="A210" s="106" t="s">
        <v>515</v>
      </c>
      <c r="B210" s="106" t="s">
        <v>515</v>
      </c>
      <c r="C210" s="106" t="s">
        <v>515</v>
      </c>
      <c r="D210" s="106" t="s">
        <v>515</v>
      </c>
      <c r="E210" s="106" t="s">
        <v>515</v>
      </c>
      <c r="F210" s="106"/>
      <c r="G210" s="106" t="s">
        <v>515</v>
      </c>
      <c r="H210" s="106" t="s">
        <v>515</v>
      </c>
      <c r="I210" s="106" t="s">
        <v>515</v>
      </c>
      <c r="J210" s="106"/>
      <c r="K210" s="106" t="s">
        <v>515</v>
      </c>
      <c r="L210" s="106" t="s">
        <v>515</v>
      </c>
      <c r="M210" s="106" t="s">
        <v>515</v>
      </c>
      <c r="N210" s="106" t="s">
        <v>515</v>
      </c>
      <c r="O210" s="106" t="s">
        <v>515</v>
      </c>
      <c r="P210" s="75" t="s">
        <v>543</v>
      </c>
      <c r="Q210" s="6" t="s">
        <v>515</v>
      </c>
      <c r="R210" s="6" t="s">
        <v>515</v>
      </c>
      <c r="S210" s="6" t="s">
        <v>515</v>
      </c>
      <c r="T210" s="6" t="s">
        <v>515</v>
      </c>
      <c r="U210" s="6" t="s">
        <v>515</v>
      </c>
      <c r="V210" s="6" t="s">
        <v>515</v>
      </c>
      <c r="W210" s="6" t="s">
        <v>515</v>
      </c>
      <c r="X210" s="6" t="s">
        <v>515</v>
      </c>
      <c r="Y210" s="6" t="s">
        <v>515</v>
      </c>
      <c r="Z210" s="6" t="s">
        <v>515</v>
      </c>
      <c r="AA210" s="6" t="s">
        <v>515</v>
      </c>
      <c r="AB210" s="2" t="s">
        <v>543</v>
      </c>
      <c r="AC210" s="6" t="s">
        <v>515</v>
      </c>
      <c r="AD210" s="6" t="s">
        <v>515</v>
      </c>
      <c r="AE210" s="6" t="s">
        <v>515</v>
      </c>
      <c r="AF210" s="6" t="s">
        <v>515</v>
      </c>
      <c r="AG210" s="6" t="s">
        <v>515</v>
      </c>
      <c r="AH210" s="6" t="s">
        <v>515</v>
      </c>
    </row>
    <row r="211" spans="16:29" ht="10.5" customHeight="1">
      <c r="P211" s="75" t="s">
        <v>543</v>
      </c>
      <c r="AB211" s="2" t="s">
        <v>543</v>
      </c>
      <c r="AC211" s="1" t="s">
        <v>518</v>
      </c>
    </row>
    <row r="212" spans="28:33" ht="10.5" customHeight="1">
      <c r="AB212" s="2" t="s">
        <v>543</v>
      </c>
      <c r="AF212" s="34" t="s">
        <v>519</v>
      </c>
      <c r="AG212" s="34" t="s">
        <v>520</v>
      </c>
    </row>
    <row r="213" spans="28:29" ht="9.75" customHeight="1">
      <c r="AB213" s="2" t="s">
        <v>543</v>
      </c>
      <c r="AC213" s="32" t="s">
        <v>521</v>
      </c>
    </row>
    <row r="214" spans="28:33" ht="9.75" customHeight="1">
      <c r="AB214" s="2" t="s">
        <v>543</v>
      </c>
      <c r="AC214" s="1" t="s">
        <v>522</v>
      </c>
      <c r="AF214" s="3">
        <v>28397684.79</v>
      </c>
      <c r="AG214" s="1" t="s">
        <v>523</v>
      </c>
    </row>
    <row r="215" spans="28:33" ht="9.75" customHeight="1">
      <c r="AB215" s="2" t="s">
        <v>543</v>
      </c>
      <c r="AC215" s="1" t="s">
        <v>524</v>
      </c>
      <c r="AF215" s="3">
        <v>-16000000</v>
      </c>
      <c r="AG215" s="1" t="s">
        <v>525</v>
      </c>
    </row>
    <row r="216" spans="28:33" ht="9.75" customHeight="1">
      <c r="AB216" s="2" t="s">
        <v>543</v>
      </c>
      <c r="AC216" s="1" t="s">
        <v>526</v>
      </c>
      <c r="AF216" s="3">
        <v>9759.85</v>
      </c>
      <c r="AG216" s="1" t="s">
        <v>527</v>
      </c>
    </row>
    <row r="217" spans="28:32" ht="9.75" customHeight="1">
      <c r="AB217" s="2" t="s">
        <v>543</v>
      </c>
      <c r="AC217" s="1" t="s">
        <v>528</v>
      </c>
      <c r="AF217" s="33">
        <f>SUM(AF214:AF216)</f>
        <v>12407444.639999999</v>
      </c>
    </row>
    <row r="218" spans="28:29" ht="9.75" customHeight="1">
      <c r="AB218" s="2" t="s">
        <v>543</v>
      </c>
      <c r="AC218" s="32" t="s">
        <v>529</v>
      </c>
    </row>
    <row r="219" spans="28:32" ht="9.75" customHeight="1">
      <c r="AB219" s="2" t="s">
        <v>543</v>
      </c>
      <c r="AC219" s="1" t="s">
        <v>522</v>
      </c>
      <c r="AF219" s="3">
        <v>109707203.99</v>
      </c>
    </row>
    <row r="220" spans="28:29" ht="9.75" customHeight="1">
      <c r="AB220" s="2" t="s">
        <v>543</v>
      </c>
      <c r="AC220" s="1" t="s">
        <v>524</v>
      </c>
    </row>
    <row r="221" spans="28:32" ht="9.75" customHeight="1">
      <c r="AB221" s="2" t="s">
        <v>543</v>
      </c>
      <c r="AC221" s="1" t="s">
        <v>326</v>
      </c>
      <c r="AF221" s="3">
        <v>-122114648.63</v>
      </c>
    </row>
    <row r="222" spans="28:32" ht="9.75" customHeight="1">
      <c r="AB222" s="2" t="s">
        <v>543</v>
      </c>
      <c r="AC222" s="1" t="s">
        <v>526</v>
      </c>
      <c r="AF222" s="3">
        <v>157130.84</v>
      </c>
    </row>
    <row r="223" spans="28:32" ht="9.75" customHeight="1">
      <c r="AB223" s="2" t="s">
        <v>543</v>
      </c>
      <c r="AC223" s="1" t="s">
        <v>327</v>
      </c>
      <c r="AF223" s="33">
        <f>SUM(AF217:AF222)</f>
        <v>157130.84</v>
      </c>
    </row>
    <row r="224" spans="28:29" ht="9.75" customHeight="1">
      <c r="AB224" s="2" t="s">
        <v>543</v>
      </c>
      <c r="AC224" s="32" t="s">
        <v>328</v>
      </c>
    </row>
    <row r="225" spans="28:32" ht="9.75" customHeight="1">
      <c r="AB225" s="2" t="s">
        <v>543</v>
      </c>
      <c r="AC225" s="1" t="s">
        <v>522</v>
      </c>
      <c r="AF225" s="3">
        <v>94849459.77</v>
      </c>
    </row>
    <row r="226" spans="28:29" ht="9.75" customHeight="1">
      <c r="AB226" s="2" t="s">
        <v>543</v>
      </c>
      <c r="AC226" s="1" t="s">
        <v>524</v>
      </c>
    </row>
    <row r="227" spans="28:32" ht="9.75" customHeight="1">
      <c r="AB227" s="2" t="s">
        <v>543</v>
      </c>
      <c r="AC227" s="1" t="s">
        <v>326</v>
      </c>
      <c r="AF227" s="3">
        <v>-95006590.61</v>
      </c>
    </row>
    <row r="228" spans="28:32" ht="9.75" customHeight="1">
      <c r="AB228" s="2" t="s">
        <v>543</v>
      </c>
      <c r="AC228" s="1" t="s">
        <v>526</v>
      </c>
      <c r="AF228" s="3">
        <v>64924.38</v>
      </c>
    </row>
    <row r="229" spans="28:32" ht="9.75" customHeight="1">
      <c r="AB229" s="2" t="s">
        <v>543</v>
      </c>
      <c r="AC229" s="1" t="s">
        <v>329</v>
      </c>
      <c r="AF229" s="33">
        <f>SUM(AF223:AF228)</f>
        <v>64924.38</v>
      </c>
    </row>
    <row r="230" spans="28:29" ht="9.75" customHeight="1">
      <c r="AB230" s="2" t="s">
        <v>543</v>
      </c>
      <c r="AC230" s="32" t="s">
        <v>330</v>
      </c>
    </row>
    <row r="231" spans="28:32" ht="9.75" customHeight="1">
      <c r="AB231" s="2" t="s">
        <v>543</v>
      </c>
      <c r="AC231" s="1" t="s">
        <v>522</v>
      </c>
      <c r="AF231" s="3">
        <v>103875434.94</v>
      </c>
    </row>
    <row r="232" spans="28:29" ht="9.75" customHeight="1">
      <c r="AB232" s="2" t="s">
        <v>543</v>
      </c>
      <c r="AC232" s="1" t="s">
        <v>524</v>
      </c>
    </row>
    <row r="233" spans="28:32" ht="9.75" customHeight="1">
      <c r="AB233" s="2" t="s">
        <v>543</v>
      </c>
      <c r="AC233" s="1" t="s">
        <v>326</v>
      </c>
      <c r="AF233" s="3">
        <v>-103940359.32</v>
      </c>
    </row>
    <row r="234" spans="28:32" ht="9.75" customHeight="1">
      <c r="AB234" s="2" t="s">
        <v>543</v>
      </c>
      <c r="AC234" s="1" t="s">
        <v>526</v>
      </c>
      <c r="AF234" s="3">
        <v>85921.76</v>
      </c>
    </row>
    <row r="235" spans="28:32" ht="9.75" customHeight="1">
      <c r="AB235" s="2" t="s">
        <v>543</v>
      </c>
      <c r="AC235" s="1" t="s">
        <v>331</v>
      </c>
      <c r="AF235" s="4" t="s">
        <v>332</v>
      </c>
    </row>
    <row r="236" spans="28:32" ht="9.75" customHeight="1">
      <c r="AB236" s="2" t="s">
        <v>543</v>
      </c>
      <c r="AC236" s="1" t="s">
        <v>333</v>
      </c>
      <c r="AF236" s="33">
        <f>SUM(AF229:AF235)</f>
        <v>85921.76</v>
      </c>
    </row>
    <row r="237" spans="28:29" ht="9.75" customHeight="1">
      <c r="AB237" s="2" t="s">
        <v>543</v>
      </c>
      <c r="AC237" s="32" t="s">
        <v>334</v>
      </c>
    </row>
    <row r="238" spans="28:32" ht="9.75" customHeight="1">
      <c r="AB238" s="2" t="s">
        <v>543</v>
      </c>
      <c r="AC238" s="1" t="s">
        <v>335</v>
      </c>
      <c r="AF238" s="3">
        <v>-85921.76</v>
      </c>
    </row>
    <row r="239" spans="28:32" ht="9.75" customHeight="1">
      <c r="AB239" s="2" t="s">
        <v>543</v>
      </c>
      <c r="AC239" s="1" t="s">
        <v>336</v>
      </c>
      <c r="AF239" s="3">
        <v>200000000</v>
      </c>
    </row>
    <row r="240" spans="28:32" ht="9.75" customHeight="1">
      <c r="AB240" s="2" t="s">
        <v>543</v>
      </c>
      <c r="AD240" s="1" t="s">
        <v>337</v>
      </c>
      <c r="AF240" s="4" t="s">
        <v>338</v>
      </c>
    </row>
    <row r="241" spans="28:32" ht="9.75" customHeight="1">
      <c r="AB241" s="2" t="s">
        <v>543</v>
      </c>
      <c r="AC241" s="1" t="s">
        <v>524</v>
      </c>
      <c r="AF241" s="3">
        <v>-111500000</v>
      </c>
    </row>
    <row r="242" spans="28:32" ht="9.75" customHeight="1">
      <c r="AB242" s="2" t="s">
        <v>543</v>
      </c>
      <c r="AC242" s="1" t="s">
        <v>526</v>
      </c>
      <c r="AF242" s="3">
        <v>19726.6</v>
      </c>
    </row>
    <row r="243" spans="28:32" ht="9.75" customHeight="1">
      <c r="AB243" s="2" t="s">
        <v>543</v>
      </c>
      <c r="AC243" s="1" t="s">
        <v>331</v>
      </c>
      <c r="AF243" s="4" t="s">
        <v>339</v>
      </c>
    </row>
    <row r="244" spans="28:32" ht="9.75" customHeight="1">
      <c r="AB244" s="2" t="s">
        <v>543</v>
      </c>
      <c r="AC244" s="1" t="s">
        <v>340</v>
      </c>
      <c r="AF244" s="33">
        <f>SUM(AF236:AF243)</f>
        <v>88519726.6</v>
      </c>
    </row>
    <row r="245" spans="28:32" ht="9.75" customHeight="1">
      <c r="AB245" s="2" t="s">
        <v>543</v>
      </c>
      <c r="AD245" s="1" t="s">
        <v>341</v>
      </c>
      <c r="AF245" s="4" t="s">
        <v>342</v>
      </c>
    </row>
    <row r="246" spans="28:32" ht="9.75" customHeight="1">
      <c r="AB246" s="2" t="s">
        <v>543</v>
      </c>
      <c r="AD246" s="1" t="s">
        <v>343</v>
      </c>
      <c r="AF246" s="4" t="s">
        <v>344</v>
      </c>
    </row>
    <row r="247" spans="28:29" ht="9.75" customHeight="1">
      <c r="AB247" s="2" t="s">
        <v>543</v>
      </c>
      <c r="AC247" s="32" t="s">
        <v>345</v>
      </c>
    </row>
    <row r="248" spans="28:32" ht="9.75" customHeight="1">
      <c r="AB248" s="2" t="s">
        <v>543</v>
      </c>
      <c r="AC248" s="1" t="s">
        <v>335</v>
      </c>
      <c r="AF248" s="3">
        <v>-19726.6</v>
      </c>
    </row>
    <row r="249" spans="28:32" ht="9.75" customHeight="1">
      <c r="AB249" s="2" t="s">
        <v>543</v>
      </c>
      <c r="AC249" s="1" t="s">
        <v>336</v>
      </c>
      <c r="AF249" s="3">
        <v>200000000</v>
      </c>
    </row>
    <row r="250" spans="28:32" ht="9.75" customHeight="1">
      <c r="AB250" s="2" t="s">
        <v>543</v>
      </c>
      <c r="AD250" s="1" t="s">
        <v>337</v>
      </c>
      <c r="AF250" s="4" t="s">
        <v>346</v>
      </c>
    </row>
    <row r="251" spans="28:32" ht="9.75" customHeight="1">
      <c r="AB251" s="2" t="s">
        <v>543</v>
      </c>
      <c r="AC251" s="1" t="s">
        <v>524</v>
      </c>
      <c r="AF251" s="3">
        <v>-131100000</v>
      </c>
    </row>
    <row r="252" spans="28:32" ht="9.75" customHeight="1">
      <c r="AB252" s="2" t="s">
        <v>543</v>
      </c>
      <c r="AC252" s="1" t="s">
        <v>526</v>
      </c>
      <c r="AF252" s="3">
        <v>40369.93</v>
      </c>
    </row>
    <row r="253" spans="28:32" ht="9.75" customHeight="1">
      <c r="AB253" s="2" t="s">
        <v>543</v>
      </c>
      <c r="AC253" s="1" t="s">
        <v>347</v>
      </c>
      <c r="AF253" s="33">
        <f>SUM(AF244:AF252)</f>
        <v>157440369.93</v>
      </c>
    </row>
    <row r="254" spans="28:32" ht="9.75" customHeight="1">
      <c r="AB254" s="2" t="s">
        <v>543</v>
      </c>
      <c r="AD254" s="1" t="s">
        <v>341</v>
      </c>
      <c r="AF254" s="4" t="s">
        <v>348</v>
      </c>
    </row>
    <row r="255" spans="28:32" ht="9.75" customHeight="1">
      <c r="AB255" s="2" t="s">
        <v>543</v>
      </c>
      <c r="AD255" s="1" t="s">
        <v>343</v>
      </c>
      <c r="AF255" s="4" t="s">
        <v>349</v>
      </c>
    </row>
    <row r="256" spans="28:29" ht="9.75" customHeight="1">
      <c r="AB256" s="2" t="s">
        <v>543</v>
      </c>
      <c r="AC256" s="32" t="s">
        <v>350</v>
      </c>
    </row>
    <row r="257" spans="28:32" ht="9.75" customHeight="1">
      <c r="AB257" s="2" t="s">
        <v>543</v>
      </c>
      <c r="AC257" s="1" t="s">
        <v>335</v>
      </c>
      <c r="AF257" s="3">
        <v>-40369.93</v>
      </c>
    </row>
    <row r="258" spans="28:32" ht="9.75" customHeight="1">
      <c r="AB258" s="2" t="s">
        <v>543</v>
      </c>
      <c r="AC258" s="1" t="s">
        <v>336</v>
      </c>
      <c r="AF258" s="3">
        <v>300000000</v>
      </c>
    </row>
    <row r="259" spans="28:32" ht="9.75" customHeight="1">
      <c r="AB259" s="2" t="s">
        <v>543</v>
      </c>
      <c r="AD259" s="1" t="s">
        <v>337</v>
      </c>
      <c r="AF259" s="4" t="s">
        <v>351</v>
      </c>
    </row>
    <row r="260" spans="28:32" ht="9.75" customHeight="1">
      <c r="AB260" s="2" t="s">
        <v>543</v>
      </c>
      <c r="AC260" s="1" t="s">
        <v>524</v>
      </c>
      <c r="AF260" s="3">
        <v>-357400000</v>
      </c>
    </row>
    <row r="261" spans="28:32" ht="9.75" customHeight="1">
      <c r="AB261" s="2" t="s">
        <v>543</v>
      </c>
      <c r="AC261" s="1" t="s">
        <v>526</v>
      </c>
      <c r="AF261" s="3">
        <v>827748.96</v>
      </c>
    </row>
    <row r="262" spans="28:32" ht="9.75" customHeight="1">
      <c r="AB262" s="2" t="s">
        <v>543</v>
      </c>
      <c r="AC262" s="1" t="s">
        <v>352</v>
      </c>
      <c r="AF262" s="33">
        <f>SUM(AF253:AF261)</f>
        <v>100827748.96</v>
      </c>
    </row>
    <row r="263" spans="28:32" ht="9.75" customHeight="1">
      <c r="AB263" s="2" t="s">
        <v>543</v>
      </c>
      <c r="AD263" s="1" t="s">
        <v>341</v>
      </c>
      <c r="AF263" s="4" t="s">
        <v>353</v>
      </c>
    </row>
    <row r="264" spans="28:32" ht="9.75" customHeight="1">
      <c r="AB264" s="2" t="s">
        <v>543</v>
      </c>
      <c r="AD264" s="1" t="s">
        <v>343</v>
      </c>
      <c r="AF264" s="4" t="s">
        <v>354</v>
      </c>
    </row>
    <row r="265" spans="28:29" ht="9.75" customHeight="1">
      <c r="AB265" s="2" t="s">
        <v>543</v>
      </c>
      <c r="AC265" s="32" t="s">
        <v>355</v>
      </c>
    </row>
    <row r="266" spans="28:32" ht="9.75" customHeight="1">
      <c r="AB266" s="2" t="s">
        <v>543</v>
      </c>
      <c r="AC266" s="1" t="s">
        <v>335</v>
      </c>
      <c r="AF266" s="3">
        <v>-827748.96</v>
      </c>
    </row>
    <row r="267" spans="28:32" ht="9.75" customHeight="1">
      <c r="AB267" s="2" t="s">
        <v>543</v>
      </c>
      <c r="AC267" s="1" t="s">
        <v>336</v>
      </c>
      <c r="AF267" s="3">
        <v>300000000</v>
      </c>
    </row>
    <row r="268" spans="28:32" ht="9.75" customHeight="1">
      <c r="AB268" s="2" t="s">
        <v>543</v>
      </c>
      <c r="AD268" s="1" t="s">
        <v>337</v>
      </c>
      <c r="AF268" s="4" t="s">
        <v>356</v>
      </c>
    </row>
    <row r="269" spans="28:32" ht="9.75" customHeight="1">
      <c r="AB269" s="2" t="s">
        <v>543</v>
      </c>
      <c r="AC269" s="1" t="s">
        <v>524</v>
      </c>
      <c r="AF269" s="3">
        <v>-361500000</v>
      </c>
    </row>
    <row r="270" spans="28:32" ht="9.75" customHeight="1">
      <c r="AB270" s="2" t="s">
        <v>543</v>
      </c>
      <c r="AC270" s="1" t="s">
        <v>526</v>
      </c>
      <c r="AF270" s="3">
        <v>7413.18</v>
      </c>
    </row>
    <row r="271" spans="28:32" ht="9.75" customHeight="1">
      <c r="AB271" s="2" t="s">
        <v>543</v>
      </c>
      <c r="AC271" s="1" t="s">
        <v>357</v>
      </c>
      <c r="AF271" s="33">
        <f>SUM(AF262:AF270)</f>
        <v>38507413.18</v>
      </c>
    </row>
    <row r="272" spans="28:32" ht="9.75" customHeight="1">
      <c r="AB272" s="2" t="s">
        <v>543</v>
      </c>
      <c r="AD272" s="1" t="s">
        <v>341</v>
      </c>
      <c r="AF272" s="4" t="s">
        <v>358</v>
      </c>
    </row>
    <row r="273" spans="28:32" ht="9.75" customHeight="1">
      <c r="AB273" s="2" t="s">
        <v>543</v>
      </c>
      <c r="AD273" s="1" t="s">
        <v>343</v>
      </c>
      <c r="AF273" s="4" t="s">
        <v>359</v>
      </c>
    </row>
    <row r="274" spans="28:29" ht="9.75" customHeight="1">
      <c r="AB274" s="2" t="s">
        <v>543</v>
      </c>
      <c r="AC274" s="32" t="s">
        <v>360</v>
      </c>
    </row>
    <row r="275" spans="28:32" ht="9.75" customHeight="1">
      <c r="AB275" s="2" t="s">
        <v>543</v>
      </c>
      <c r="AC275" s="1" t="s">
        <v>335</v>
      </c>
      <c r="AF275" s="3">
        <v>-7413.18</v>
      </c>
    </row>
    <row r="276" spans="28:32" ht="9.75" customHeight="1">
      <c r="AB276" s="2" t="s">
        <v>543</v>
      </c>
      <c r="AC276" s="1" t="s">
        <v>336</v>
      </c>
      <c r="AF276" s="3">
        <v>300000000</v>
      </c>
    </row>
    <row r="277" spans="28:32" ht="9.75" customHeight="1">
      <c r="AB277" s="2" t="s">
        <v>543</v>
      </c>
      <c r="AD277" s="1" t="s">
        <v>337</v>
      </c>
      <c r="AF277" s="4" t="s">
        <v>361</v>
      </c>
    </row>
    <row r="278" spans="28:32" ht="9.75" customHeight="1">
      <c r="AB278" s="2" t="s">
        <v>543</v>
      </c>
      <c r="AC278" s="1" t="s">
        <v>524</v>
      </c>
      <c r="AF278" s="3">
        <v>-300000000</v>
      </c>
    </row>
    <row r="279" spans="28:32" ht="9.75" customHeight="1">
      <c r="AB279" s="2" t="s">
        <v>543</v>
      </c>
      <c r="AC279" s="1" t="s">
        <v>526</v>
      </c>
      <c r="AF279" s="3">
        <v>24932.82</v>
      </c>
    </row>
    <row r="280" spans="28:33" ht="9.75" customHeight="1">
      <c r="AB280" s="2" t="s">
        <v>543</v>
      </c>
      <c r="AC280" s="1" t="s">
        <v>362</v>
      </c>
      <c r="AF280" s="33">
        <f>SUM(AF271:AF279)</f>
        <v>38524932.82</v>
      </c>
      <c r="AG280" s="1" t="s">
        <v>523</v>
      </c>
    </row>
    <row r="281" spans="28:33" ht="9.75" customHeight="1">
      <c r="AB281" s="2" t="s">
        <v>543</v>
      </c>
      <c r="AD281" s="1" t="s">
        <v>341</v>
      </c>
      <c r="AF281" s="4" t="s">
        <v>358</v>
      </c>
      <c r="AG281" s="1" t="s">
        <v>525</v>
      </c>
    </row>
    <row r="282" spans="28:33" ht="9.75" customHeight="1">
      <c r="AB282" s="2" t="s">
        <v>543</v>
      </c>
      <c r="AD282" s="1" t="s">
        <v>343</v>
      </c>
      <c r="AF282" s="4" t="s">
        <v>363</v>
      </c>
      <c r="AG282" s="1" t="s">
        <v>527</v>
      </c>
    </row>
    <row r="283" spans="28:29" ht="9.75" customHeight="1">
      <c r="AB283" s="2" t="s">
        <v>543</v>
      </c>
      <c r="AC283" s="32" t="s">
        <v>364</v>
      </c>
    </row>
    <row r="284" spans="28:32" ht="9.75" customHeight="1">
      <c r="AB284" s="2" t="s">
        <v>543</v>
      </c>
      <c r="AC284" s="1" t="s">
        <v>336</v>
      </c>
      <c r="AF284" s="3">
        <v>300000000</v>
      </c>
    </row>
    <row r="285" spans="28:33" ht="9.75" customHeight="1">
      <c r="AB285" s="2" t="s">
        <v>543</v>
      </c>
      <c r="AC285" s="1" t="s">
        <v>365</v>
      </c>
      <c r="AF285" s="3">
        <v>5953871.86</v>
      </c>
      <c r="AG285" s="1" t="s">
        <v>366</v>
      </c>
    </row>
    <row r="286" spans="28:33" ht="9.75" customHeight="1">
      <c r="AB286" s="2" t="s">
        <v>543</v>
      </c>
      <c r="AD286" s="1" t="s">
        <v>337</v>
      </c>
      <c r="AF286" s="4" t="s">
        <v>367</v>
      </c>
      <c r="AG286" s="1" t="s">
        <v>368</v>
      </c>
    </row>
    <row r="287" spans="28:33" ht="9.75" customHeight="1">
      <c r="AB287" s="2" t="s">
        <v>543</v>
      </c>
      <c r="AC287" s="1" t="s">
        <v>524</v>
      </c>
      <c r="AF287" s="3">
        <v>-76223000</v>
      </c>
      <c r="AG287" s="1" t="s">
        <v>369</v>
      </c>
    </row>
    <row r="288" spans="28:32" ht="9.75" customHeight="1">
      <c r="AB288" s="2" t="s">
        <v>543</v>
      </c>
      <c r="AC288" s="1" t="s">
        <v>526</v>
      </c>
      <c r="AF288" s="3">
        <v>39111.32</v>
      </c>
    </row>
    <row r="289" spans="28:32" ht="9.75" customHeight="1">
      <c r="AB289" s="2" t="s">
        <v>543</v>
      </c>
      <c r="AC289" s="1" t="s">
        <v>370</v>
      </c>
      <c r="AF289" s="33">
        <f>SUM(AF280:AF288)</f>
        <v>268294916</v>
      </c>
    </row>
    <row r="290" spans="28:32" ht="9.75" customHeight="1">
      <c r="AB290" s="2" t="s">
        <v>543</v>
      </c>
      <c r="AD290" s="1" t="s">
        <v>341</v>
      </c>
      <c r="AF290" s="4" t="s">
        <v>371</v>
      </c>
    </row>
    <row r="291" spans="28:32" ht="9.75" customHeight="1">
      <c r="AB291" s="2" t="s">
        <v>543</v>
      </c>
      <c r="AD291" s="1" t="s">
        <v>343</v>
      </c>
      <c r="AF291" s="4" t="s">
        <v>372</v>
      </c>
    </row>
    <row r="292" spans="28:29" ht="9.75" customHeight="1">
      <c r="AB292" s="2" t="s">
        <v>543</v>
      </c>
      <c r="AC292" s="32" t="s">
        <v>373</v>
      </c>
    </row>
    <row r="293" spans="28:32" ht="9.75" customHeight="1">
      <c r="AB293" s="2" t="s">
        <v>543</v>
      </c>
      <c r="AC293" s="1" t="s">
        <v>336</v>
      </c>
      <c r="AF293" s="3">
        <v>300000000</v>
      </c>
    </row>
    <row r="294" spans="28:33" ht="9.75" customHeight="1">
      <c r="AB294" s="2" t="s">
        <v>543</v>
      </c>
      <c r="AC294" s="1" t="s">
        <v>365</v>
      </c>
      <c r="AF294" s="3">
        <f>293982161.2-300000000</f>
        <v>-6017838.800000012</v>
      </c>
      <c r="AG294" s="1" t="s">
        <v>366</v>
      </c>
    </row>
    <row r="295" spans="28:33" ht="9.75" customHeight="1">
      <c r="AB295" s="2" t="s">
        <v>543</v>
      </c>
      <c r="AD295" s="1" t="s">
        <v>337</v>
      </c>
      <c r="AF295" s="4" t="s">
        <v>374</v>
      </c>
      <c r="AG295" s="1" t="s">
        <v>368</v>
      </c>
    </row>
    <row r="296" spans="28:33" ht="9.75" customHeight="1">
      <c r="AB296" s="2" t="s">
        <v>543</v>
      </c>
      <c r="AC296" s="1" t="s">
        <v>524</v>
      </c>
      <c r="AF296" s="3">
        <v>-307492000</v>
      </c>
      <c r="AG296" s="1" t="s">
        <v>369</v>
      </c>
    </row>
    <row r="297" spans="28:32" ht="9.75" customHeight="1">
      <c r="AB297" s="2" t="s">
        <v>543</v>
      </c>
      <c r="AC297" s="1" t="s">
        <v>526</v>
      </c>
      <c r="AF297" s="3">
        <v>95184.83</v>
      </c>
    </row>
    <row r="298" spans="28:32" ht="9.75" customHeight="1">
      <c r="AB298" s="2" t="s">
        <v>543</v>
      </c>
      <c r="AC298" s="1" t="s">
        <v>375</v>
      </c>
      <c r="AF298" s="33">
        <f>SUM(AF289:AF297)</f>
        <v>254880262.03000006</v>
      </c>
    </row>
    <row r="299" spans="28:32" ht="9.75" customHeight="1">
      <c r="AB299" s="2" t="s">
        <v>543</v>
      </c>
      <c r="AD299" s="1" t="s">
        <v>341</v>
      </c>
      <c r="AF299" s="4" t="s">
        <v>376</v>
      </c>
    </row>
    <row r="300" spans="28:32" ht="9.75" customHeight="1">
      <c r="AB300" s="2" t="s">
        <v>543</v>
      </c>
      <c r="AD300" s="1" t="s">
        <v>343</v>
      </c>
      <c r="AF300" s="4" t="s">
        <v>377</v>
      </c>
    </row>
    <row r="301" spans="28:29" ht="9.75" customHeight="1">
      <c r="AB301" s="2" t="s">
        <v>543</v>
      </c>
      <c r="AC301" s="32" t="s">
        <v>378</v>
      </c>
    </row>
    <row r="302" spans="28:32" ht="9.75" customHeight="1">
      <c r="AB302" s="2" t="s">
        <v>543</v>
      </c>
      <c r="AC302" s="1" t="s">
        <v>336</v>
      </c>
      <c r="AF302" s="3">
        <v>300000000</v>
      </c>
    </row>
    <row r="303" spans="28:33" ht="9.75" customHeight="1">
      <c r="AB303" s="2" t="s">
        <v>543</v>
      </c>
      <c r="AC303" s="1" t="s">
        <v>365</v>
      </c>
      <c r="AF303" s="3">
        <v>4192944.62</v>
      </c>
      <c r="AG303" s="1" t="s">
        <v>366</v>
      </c>
    </row>
    <row r="304" spans="28:33" ht="9.75" customHeight="1">
      <c r="AB304" s="2" t="s">
        <v>543</v>
      </c>
      <c r="AD304" s="1" t="s">
        <v>337</v>
      </c>
      <c r="AF304" s="4" t="s">
        <v>379</v>
      </c>
      <c r="AG304" s="1" t="s">
        <v>368</v>
      </c>
    </row>
    <row r="305" spans="28:33" ht="9.75" customHeight="1">
      <c r="AB305" s="2" t="s">
        <v>543</v>
      </c>
      <c r="AC305" s="1" t="s">
        <v>380</v>
      </c>
      <c r="AF305" s="3">
        <v>-316986000</v>
      </c>
      <c r="AG305" s="1" t="s">
        <v>369</v>
      </c>
    </row>
    <row r="306" spans="28:32" ht="9.75" customHeight="1">
      <c r="AB306" s="2" t="s">
        <v>543</v>
      </c>
      <c r="AC306" s="1" t="s">
        <v>381</v>
      </c>
      <c r="AF306" s="33">
        <f>SUM(AF298:AF305)</f>
        <v>242087206.6500001</v>
      </c>
    </row>
    <row r="307" spans="28:32" ht="9.75" customHeight="1">
      <c r="AB307" s="2" t="s">
        <v>543</v>
      </c>
      <c r="AD307" s="1" t="s">
        <v>341</v>
      </c>
      <c r="AF307" s="4" t="s">
        <v>382</v>
      </c>
    </row>
    <row r="308" spans="28:32" ht="9.75" customHeight="1">
      <c r="AB308" s="2" t="s">
        <v>543</v>
      </c>
      <c r="AD308" s="1" t="s">
        <v>343</v>
      </c>
      <c r="AF308" s="4" t="s">
        <v>383</v>
      </c>
    </row>
    <row r="309" spans="28:29" ht="9.75" customHeight="1">
      <c r="AB309" s="2" t="s">
        <v>543</v>
      </c>
      <c r="AC309" s="32" t="s">
        <v>384</v>
      </c>
    </row>
    <row r="310" spans="28:32" ht="9.75" customHeight="1">
      <c r="AB310" s="2" t="s">
        <v>543</v>
      </c>
      <c r="AC310" s="1" t="s">
        <v>336</v>
      </c>
      <c r="AF310" s="3">
        <v>75988000</v>
      </c>
    </row>
    <row r="311" spans="28:33" ht="9.75" customHeight="1">
      <c r="AB311" s="2" t="s">
        <v>543</v>
      </c>
      <c r="AC311" s="1" t="s">
        <v>365</v>
      </c>
      <c r="AF311" s="3">
        <f>91805694.13-75988000+0</f>
        <v>15817694.129999995</v>
      </c>
      <c r="AG311" s="1" t="s">
        <v>366</v>
      </c>
    </row>
    <row r="312" spans="28:33" ht="9.75" customHeight="1">
      <c r="AB312" s="2" t="s">
        <v>543</v>
      </c>
      <c r="AD312" s="1" t="s">
        <v>337</v>
      </c>
      <c r="AF312" s="4" t="s">
        <v>385</v>
      </c>
      <c r="AG312" s="1" t="s">
        <v>368</v>
      </c>
    </row>
    <row r="313" spans="28:33" ht="9.75" customHeight="1">
      <c r="AB313" s="2" t="s">
        <v>543</v>
      </c>
      <c r="AC313" s="1" t="s">
        <v>524</v>
      </c>
      <c r="AF313" s="3">
        <v>-75988000</v>
      </c>
      <c r="AG313" s="1" t="s">
        <v>369</v>
      </c>
    </row>
    <row r="314" spans="28:32" ht="9.75" customHeight="1">
      <c r="AB314" s="2" t="s">
        <v>543</v>
      </c>
      <c r="AC314" s="1" t="s">
        <v>526</v>
      </c>
      <c r="AF314" s="3">
        <v>118398.02</v>
      </c>
    </row>
    <row r="315" spans="28:32" ht="9.75" customHeight="1">
      <c r="AB315" s="2" t="s">
        <v>543</v>
      </c>
      <c r="AC315" s="1" t="s">
        <v>386</v>
      </c>
      <c r="AF315" s="33">
        <f>SUM(AF306:AF314)</f>
        <v>258023298.8000001</v>
      </c>
    </row>
    <row r="316" spans="28:32" ht="9.75" customHeight="1">
      <c r="AB316" s="2" t="s">
        <v>543</v>
      </c>
      <c r="AD316" s="1" t="s">
        <v>341</v>
      </c>
      <c r="AF316" s="4" t="s">
        <v>382</v>
      </c>
    </row>
    <row r="317" spans="28:32" ht="9.75" customHeight="1">
      <c r="AB317" s="2" t="s">
        <v>543</v>
      </c>
      <c r="AD317" s="1" t="s">
        <v>343</v>
      </c>
      <c r="AF317" s="4" t="s">
        <v>387</v>
      </c>
    </row>
    <row r="318" spans="28:29" ht="9.75" customHeight="1">
      <c r="AB318" s="2" t="s">
        <v>543</v>
      </c>
      <c r="AC318" s="32" t="s">
        <v>388</v>
      </c>
    </row>
    <row r="319" spans="28:32" ht="9.75" customHeight="1">
      <c r="AB319" s="2" t="s">
        <v>543</v>
      </c>
      <c r="AC319" s="1" t="s">
        <v>336</v>
      </c>
      <c r="AF319" s="3">
        <v>300000000</v>
      </c>
    </row>
    <row r="320" spans="28:33" ht="9.75" customHeight="1">
      <c r="AB320" s="2" t="s">
        <v>543</v>
      </c>
      <c r="AC320" s="1" t="s">
        <v>365</v>
      </c>
      <c r="AF320" s="3">
        <f>295068778.54-300000000</f>
        <v>-4931221.459999979</v>
      </c>
      <c r="AG320" s="1" t="s">
        <v>366</v>
      </c>
    </row>
    <row r="321" spans="28:33" ht="9.75" customHeight="1">
      <c r="AB321" s="2" t="s">
        <v>543</v>
      </c>
      <c r="AD321" s="1" t="s">
        <v>337</v>
      </c>
      <c r="AF321" s="4" t="s">
        <v>389</v>
      </c>
      <c r="AG321" s="1" t="s">
        <v>368</v>
      </c>
    </row>
    <row r="322" spans="28:33" ht="9.75" customHeight="1">
      <c r="AB322" s="2" t="s">
        <v>543</v>
      </c>
      <c r="AC322" s="1" t="s">
        <v>524</v>
      </c>
      <c r="AF322" s="3">
        <v>-537799000</v>
      </c>
      <c r="AG322" s="1" t="s">
        <v>369</v>
      </c>
    </row>
    <row r="323" spans="28:32" ht="9.75" customHeight="1">
      <c r="AB323" s="2" t="s">
        <v>543</v>
      </c>
      <c r="AC323" s="1" t="s">
        <v>526</v>
      </c>
      <c r="AF323" s="3">
        <v>51801.15</v>
      </c>
    </row>
    <row r="324" spans="28:32" ht="9.75" customHeight="1">
      <c r="AB324" s="2" t="s">
        <v>543</v>
      </c>
      <c r="AC324" s="1" t="s">
        <v>390</v>
      </c>
      <c r="AF324" s="33">
        <f>SUM(AF315:AF323)</f>
        <v>15344878.490000153</v>
      </c>
    </row>
    <row r="325" spans="28:32" ht="9.75" customHeight="1">
      <c r="AB325" s="2" t="s">
        <v>543</v>
      </c>
      <c r="AD325" s="1" t="s">
        <v>341</v>
      </c>
      <c r="AF325" s="4" t="s">
        <v>391</v>
      </c>
    </row>
    <row r="326" spans="28:32" ht="9.75" customHeight="1">
      <c r="AB326" s="2" t="s">
        <v>543</v>
      </c>
      <c r="AD326" s="1" t="s">
        <v>343</v>
      </c>
      <c r="AF326" s="4" t="s">
        <v>392</v>
      </c>
    </row>
    <row r="327" spans="28:29" ht="9.75" customHeight="1">
      <c r="AB327" s="2" t="s">
        <v>543</v>
      </c>
      <c r="AC327" s="32" t="s">
        <v>393</v>
      </c>
    </row>
    <row r="328" spans="28:29" ht="9.75" customHeight="1">
      <c r="AB328" s="2" t="s">
        <v>543</v>
      </c>
      <c r="AC328" s="1" t="s">
        <v>394</v>
      </c>
    </row>
    <row r="329" spans="28:32" ht="9.75" customHeight="1">
      <c r="AB329" s="2" t="s">
        <v>543</v>
      </c>
      <c r="AC329" s="1" t="s">
        <v>395</v>
      </c>
      <c r="AF329" s="3">
        <v>600000000</v>
      </c>
    </row>
    <row r="330" spans="28:32" ht="9.75" customHeight="1">
      <c r="AB330" s="2" t="s">
        <v>543</v>
      </c>
      <c r="AC330" s="1" t="s">
        <v>396</v>
      </c>
      <c r="AF330" s="3">
        <v>300000000</v>
      </c>
    </row>
    <row r="331" spans="28:33" ht="9.75" customHeight="1">
      <c r="AB331" s="2" t="s">
        <v>543</v>
      </c>
      <c r="AC331" s="1" t="s">
        <v>365</v>
      </c>
      <c r="AF331" s="3">
        <f>892961808.76-900000000</f>
        <v>-7038191.24000001</v>
      </c>
      <c r="AG331" s="1" t="s">
        <v>366</v>
      </c>
    </row>
    <row r="332" spans="28:33" ht="9.75" customHeight="1">
      <c r="AB332" s="2" t="s">
        <v>543</v>
      </c>
      <c r="AD332" s="1" t="s">
        <v>337</v>
      </c>
      <c r="AF332" s="4" t="s">
        <v>397</v>
      </c>
      <c r="AG332" s="1" t="s">
        <v>368</v>
      </c>
    </row>
    <row r="333" spans="28:33" ht="9.75" customHeight="1">
      <c r="AB333" s="2" t="s">
        <v>543</v>
      </c>
      <c r="AC333" s="1" t="s">
        <v>398</v>
      </c>
      <c r="AG333" s="1" t="s">
        <v>369</v>
      </c>
    </row>
    <row r="334" spans="28:32" ht="9.75" customHeight="1">
      <c r="AB334" s="2" t="s">
        <v>543</v>
      </c>
      <c r="AC334" s="1" t="s">
        <v>395</v>
      </c>
      <c r="AF334" s="3">
        <v>-600000000</v>
      </c>
    </row>
    <row r="335" spans="28:32" ht="9.75" customHeight="1">
      <c r="AB335" s="2" t="s">
        <v>543</v>
      </c>
      <c r="AC335" s="1" t="s">
        <v>396</v>
      </c>
      <c r="AF335" s="3">
        <v>-205000000</v>
      </c>
    </row>
    <row r="336" spans="28:32" ht="9.75" customHeight="1">
      <c r="AB336" s="2" t="s">
        <v>543</v>
      </c>
      <c r="AC336" s="1" t="s">
        <v>526</v>
      </c>
      <c r="AF336" s="3">
        <v>47026.54</v>
      </c>
    </row>
    <row r="337" spans="28:32" ht="9.75" customHeight="1">
      <c r="AB337" s="2" t="s">
        <v>543</v>
      </c>
      <c r="AC337" s="1" t="s">
        <v>399</v>
      </c>
      <c r="AF337" s="33">
        <f>SUM(AF324:AF336)</f>
        <v>103353713.79000013</v>
      </c>
    </row>
    <row r="338" spans="28:32" ht="9.75" customHeight="1">
      <c r="AB338" s="2" t="s">
        <v>543</v>
      </c>
      <c r="AD338" s="1" t="s">
        <v>341</v>
      </c>
      <c r="AF338" s="4" t="s">
        <v>400</v>
      </c>
    </row>
    <row r="339" spans="28:32" ht="9.75" customHeight="1">
      <c r="AB339" s="2" t="s">
        <v>543</v>
      </c>
      <c r="AD339" s="1" t="s">
        <v>343</v>
      </c>
      <c r="AF339" s="4" t="s">
        <v>401</v>
      </c>
    </row>
    <row r="340" spans="28:32" ht="9.75" customHeight="1">
      <c r="AB340" s="2" t="s">
        <v>543</v>
      </c>
      <c r="AC340" s="1" t="s">
        <v>395</v>
      </c>
      <c r="AF340" s="4" t="s">
        <v>402</v>
      </c>
    </row>
    <row r="341" spans="28:32" ht="9.75" customHeight="1">
      <c r="AB341" s="2" t="s">
        <v>543</v>
      </c>
      <c r="AC341" s="1" t="s">
        <v>396</v>
      </c>
      <c r="AF341" s="4" t="s">
        <v>403</v>
      </c>
    </row>
    <row r="342" spans="28:29" ht="9.75" customHeight="1">
      <c r="AB342" s="2" t="s">
        <v>543</v>
      </c>
      <c r="AC342" s="32" t="s">
        <v>404</v>
      </c>
    </row>
    <row r="343" spans="28:29" ht="9.75" customHeight="1">
      <c r="AB343" s="2" t="s">
        <v>543</v>
      </c>
      <c r="AC343" s="1" t="s">
        <v>405</v>
      </c>
    </row>
    <row r="344" spans="28:32" ht="9.75" customHeight="1">
      <c r="AB344" s="2" t="s">
        <v>543</v>
      </c>
      <c r="AC344" s="1" t="s">
        <v>395</v>
      </c>
      <c r="AF344" s="3">
        <v>750000000</v>
      </c>
    </row>
    <row r="345" spans="28:32" ht="9.75" customHeight="1">
      <c r="AB345" s="2" t="s">
        <v>543</v>
      </c>
      <c r="AC345" s="1" t="s">
        <v>396</v>
      </c>
      <c r="AF345" s="3">
        <v>150000000</v>
      </c>
    </row>
    <row r="346" spans="28:32" ht="9.75" customHeight="1">
      <c r="AB346" s="2" t="s">
        <v>543</v>
      </c>
      <c r="AC346" s="1" t="s">
        <v>406</v>
      </c>
      <c r="AF346" s="3">
        <v>-103306687.25</v>
      </c>
    </row>
    <row r="347" spans="28:33" ht="9.75" customHeight="1">
      <c r="AB347" s="2" t="s">
        <v>543</v>
      </c>
      <c r="AC347" s="1" t="s">
        <v>365</v>
      </c>
      <c r="AF347" s="3">
        <f>-100538609.77+103306687.25</f>
        <v>2768077.480000004</v>
      </c>
      <c r="AG347" s="1" t="s">
        <v>366</v>
      </c>
    </row>
    <row r="348" spans="28:33" ht="9.75" customHeight="1">
      <c r="AB348" s="2" t="s">
        <v>543</v>
      </c>
      <c r="AC348" s="1" t="s">
        <v>398</v>
      </c>
      <c r="AG348" s="1" t="s">
        <v>368</v>
      </c>
    </row>
    <row r="349" spans="28:33" ht="9.75" customHeight="1">
      <c r="AB349" s="2" t="s">
        <v>543</v>
      </c>
      <c r="AC349" s="1" t="s">
        <v>395</v>
      </c>
      <c r="AF349" s="3">
        <v>-634646000</v>
      </c>
      <c r="AG349" s="1" t="s">
        <v>369</v>
      </c>
    </row>
    <row r="350" spans="28:32" ht="9.75" customHeight="1">
      <c r="AB350" s="2" t="s">
        <v>543</v>
      </c>
      <c r="AC350" s="1" t="s">
        <v>396</v>
      </c>
      <c r="AF350" s="3">
        <v>-102379000</v>
      </c>
    </row>
    <row r="351" spans="28:32" ht="9.75" customHeight="1">
      <c r="AB351" s="2" t="s">
        <v>543</v>
      </c>
      <c r="AC351" s="1" t="s">
        <v>526</v>
      </c>
      <c r="AF351" s="3">
        <v>38376.08</v>
      </c>
    </row>
    <row r="352" spans="28:32" ht="9.75" customHeight="1">
      <c r="AB352" s="2" t="s">
        <v>543</v>
      </c>
      <c r="AC352" s="1" t="s">
        <v>407</v>
      </c>
      <c r="AF352" s="33">
        <f>SUM(AF337:AF351)</f>
        <v>165828480.1000001</v>
      </c>
    </row>
    <row r="353" spans="28:32" ht="9.75" customHeight="1">
      <c r="AB353" s="2" t="s">
        <v>543</v>
      </c>
      <c r="AD353" s="1" t="s">
        <v>341</v>
      </c>
      <c r="AF353" s="4" t="s">
        <v>408</v>
      </c>
    </row>
    <row r="354" spans="28:32" ht="9.75" customHeight="1">
      <c r="AB354" s="2" t="s">
        <v>543</v>
      </c>
      <c r="AD354" s="1" t="s">
        <v>343</v>
      </c>
      <c r="AF354" s="4" t="s">
        <v>409</v>
      </c>
    </row>
    <row r="355" spans="28:32" ht="9.75" customHeight="1">
      <c r="AB355" s="2" t="s">
        <v>543</v>
      </c>
      <c r="AC355" s="1" t="s">
        <v>395</v>
      </c>
      <c r="AF355" s="4" t="s">
        <v>410</v>
      </c>
    </row>
    <row r="356" spans="28:29" ht="9.75" customHeight="1">
      <c r="AB356" s="2" t="s">
        <v>543</v>
      </c>
      <c r="AC356" s="1" t="s">
        <v>396</v>
      </c>
    </row>
    <row r="357" spans="28:32" ht="9.75" customHeight="1">
      <c r="AB357" s="2" t="s">
        <v>543</v>
      </c>
      <c r="AC357" s="1" t="s">
        <v>411</v>
      </c>
      <c r="AF357" s="4" t="s">
        <v>412</v>
      </c>
    </row>
    <row r="358" spans="28:29" ht="9.75" customHeight="1">
      <c r="AB358" s="2" t="s">
        <v>543</v>
      </c>
      <c r="AC358" s="32" t="s">
        <v>413</v>
      </c>
    </row>
    <row r="359" spans="28:32" ht="9.75" customHeight="1">
      <c r="AB359" s="2" t="s">
        <v>543</v>
      </c>
      <c r="AC359" s="1" t="s">
        <v>414</v>
      </c>
      <c r="AF359" s="3">
        <v>900000000</v>
      </c>
    </row>
    <row r="360" spans="28:32" ht="9.75" customHeight="1">
      <c r="AB360" s="2" t="s">
        <v>543</v>
      </c>
      <c r="AC360" s="1" t="s">
        <v>415</v>
      </c>
      <c r="AF360" s="3">
        <v>103306687.25</v>
      </c>
    </row>
    <row r="361" spans="28:33" ht="9.75" customHeight="1">
      <c r="AB361" s="2" t="s">
        <v>543</v>
      </c>
      <c r="AC361" s="1" t="s">
        <v>365</v>
      </c>
      <c r="AF361" s="3">
        <f>93776764.07-103306687.25</f>
        <v>-9529923.180000007</v>
      </c>
      <c r="AG361" s="1" t="s">
        <v>366</v>
      </c>
    </row>
    <row r="362" spans="28:33" ht="9.75" customHeight="1">
      <c r="AB362" s="2" t="s">
        <v>543</v>
      </c>
      <c r="AC362" s="1" t="s">
        <v>524</v>
      </c>
      <c r="AF362" s="3">
        <v>-509194000</v>
      </c>
      <c r="AG362" s="1" t="s">
        <v>368</v>
      </c>
    </row>
    <row r="363" spans="28:33" ht="9.75" customHeight="1">
      <c r="AB363" s="2" t="s">
        <v>543</v>
      </c>
      <c r="AC363" s="1" t="s">
        <v>526</v>
      </c>
      <c r="AF363" s="3">
        <v>163150.88</v>
      </c>
      <c r="AG363" s="1" t="s">
        <v>369</v>
      </c>
    </row>
    <row r="364" spans="28:33" ht="9.75" customHeight="1">
      <c r="AB364" s="2" t="s">
        <v>543</v>
      </c>
      <c r="AC364" s="1" t="s">
        <v>416</v>
      </c>
      <c r="AF364" s="33">
        <f>SUM(AF352:AF363)</f>
        <v>650574395.0500001</v>
      </c>
      <c r="AG364" s="3">
        <f>AF364</f>
        <v>650574395.0500001</v>
      </c>
    </row>
    <row r="365" spans="28:32" ht="9.75" customHeight="1">
      <c r="AB365" s="2" t="s">
        <v>543</v>
      </c>
      <c r="AD365" s="1" t="s">
        <v>341</v>
      </c>
      <c r="AF365" s="4" t="s">
        <v>417</v>
      </c>
    </row>
    <row r="366" spans="28:32" ht="9.75" customHeight="1">
      <c r="AB366" s="2" t="s">
        <v>543</v>
      </c>
      <c r="AD366" s="1" t="s">
        <v>343</v>
      </c>
      <c r="AF366" s="4" t="s">
        <v>418</v>
      </c>
    </row>
    <row r="367" spans="28:33" ht="9.75" customHeight="1">
      <c r="AB367" s="2" t="s">
        <v>543</v>
      </c>
      <c r="AC367" s="1" t="s">
        <v>419</v>
      </c>
      <c r="AG367" s="3">
        <f>AF370</f>
        <v>665296.07</v>
      </c>
    </row>
    <row r="368" spans="28:33" ht="9.75" customHeight="1">
      <c r="AB368" s="2" t="s">
        <v>543</v>
      </c>
      <c r="AC368" s="1" t="s">
        <v>420</v>
      </c>
      <c r="AG368" s="33">
        <f>SUM(AG364:AG367)</f>
        <v>651239691.1200001</v>
      </c>
    </row>
    <row r="369" spans="28:29" ht="9.75" customHeight="1">
      <c r="AB369" s="2" t="s">
        <v>543</v>
      </c>
      <c r="AC369" s="32" t="s">
        <v>457</v>
      </c>
    </row>
    <row r="370" spans="28:32" ht="9.75" customHeight="1">
      <c r="AB370" s="2" t="s">
        <v>543</v>
      </c>
      <c r="AC370" s="1" t="s">
        <v>421</v>
      </c>
      <c r="AF370" s="3">
        <v>665296.07</v>
      </c>
    </row>
    <row r="371" spans="28:33" ht="9.75" customHeight="1">
      <c r="AB371" s="2" t="s">
        <v>543</v>
      </c>
      <c r="AC371" s="1" t="s">
        <v>414</v>
      </c>
      <c r="AF371" s="3">
        <v>900000000</v>
      </c>
      <c r="AG371" s="3">
        <f>AF371</f>
        <v>900000000</v>
      </c>
    </row>
    <row r="372" spans="28:29" ht="9.75" customHeight="1">
      <c r="AB372" s="2" t="s">
        <v>543</v>
      </c>
      <c r="AC372" s="1" t="s">
        <v>422</v>
      </c>
    </row>
    <row r="373" spans="28:34" ht="9.75" customHeight="1">
      <c r="AB373" s="2" t="s">
        <v>543</v>
      </c>
      <c r="AC373" s="1" t="s">
        <v>423</v>
      </c>
      <c r="AF373" s="3">
        <f>28719669.42-62261837.66</f>
        <v>-33542168.239999995</v>
      </c>
      <c r="AG373" s="3">
        <f>AF373</f>
        <v>-33542168.239999995</v>
      </c>
      <c r="AH373" s="1" t="s">
        <v>424</v>
      </c>
    </row>
    <row r="374" spans="28:33" ht="9.75" customHeight="1">
      <c r="AB374" s="2" t="s">
        <v>543</v>
      </c>
      <c r="AC374" s="1" t="s">
        <v>425</v>
      </c>
      <c r="AF374" s="4" t="s">
        <v>426</v>
      </c>
      <c r="AG374" s="4" t="s">
        <v>427</v>
      </c>
    </row>
    <row r="375" spans="28:33" ht="9.75" customHeight="1">
      <c r="AB375" s="2" t="s">
        <v>543</v>
      </c>
      <c r="AC375" s="1" t="s">
        <v>428</v>
      </c>
      <c r="AF375" s="3">
        <v>62261837.66</v>
      </c>
      <c r="AG375" s="3">
        <f>AF375</f>
        <v>62261837.66</v>
      </c>
    </row>
    <row r="376" spans="28:33" ht="9.75" customHeight="1">
      <c r="AB376" s="2" t="s">
        <v>543</v>
      </c>
      <c r="AC376" s="1" t="s">
        <v>380</v>
      </c>
      <c r="AF376" s="3">
        <v>-288593000</v>
      </c>
      <c r="AG376" s="3">
        <f>AF376</f>
        <v>-288593000</v>
      </c>
    </row>
    <row r="377" spans="28:33" ht="9.75" customHeight="1">
      <c r="AB377" s="2" t="s">
        <v>543</v>
      </c>
      <c r="AC377" s="1" t="s">
        <v>429</v>
      </c>
      <c r="AF377" s="33">
        <f>SUM(AF364:AF376)</f>
        <v>1291366360.5400002</v>
      </c>
      <c r="AG377" s="33">
        <f>SUM(AG368:AG376)</f>
        <v>1291366360.5400002</v>
      </c>
    </row>
    <row r="378" spans="28:32" ht="9.75" customHeight="1">
      <c r="AB378" s="2" t="s">
        <v>543</v>
      </c>
      <c r="AD378" s="1" t="s">
        <v>341</v>
      </c>
      <c r="AF378" s="4" t="s">
        <v>430</v>
      </c>
    </row>
    <row r="379" spans="28:32" ht="9.75" customHeight="1">
      <c r="AB379" s="2" t="s">
        <v>543</v>
      </c>
      <c r="AD379" s="1" t="s">
        <v>343</v>
      </c>
      <c r="AF379" s="4" t="s">
        <v>431</v>
      </c>
    </row>
    <row r="380" spans="28:33" ht="9.75" customHeight="1">
      <c r="AB380" s="2" t="s">
        <v>543</v>
      </c>
      <c r="AC380" s="1" t="s">
        <v>432</v>
      </c>
      <c r="AG380" s="3">
        <f>AF383</f>
        <v>-28719669.42</v>
      </c>
    </row>
    <row r="381" spans="28:33" ht="9.75" customHeight="1">
      <c r="AB381" s="2" t="s">
        <v>543</v>
      </c>
      <c r="AC381" s="1" t="s">
        <v>433</v>
      </c>
      <c r="AG381" s="33">
        <f>SUM(AG377:AG380)</f>
        <v>1262646691.1200001</v>
      </c>
    </row>
    <row r="382" spans="28:29" ht="9.75" customHeight="1">
      <c r="AB382" s="2" t="s">
        <v>543</v>
      </c>
      <c r="AC382" s="32" t="s">
        <v>434</v>
      </c>
    </row>
    <row r="383" spans="28:32" ht="9.75" customHeight="1">
      <c r="AB383" s="2" t="s">
        <v>543</v>
      </c>
      <c r="AC383" s="1" t="s">
        <v>435</v>
      </c>
      <c r="AF383" s="3">
        <v>-28719669.42</v>
      </c>
    </row>
    <row r="384" spans="28:33" ht="9.75" customHeight="1">
      <c r="AB384" s="2" t="s">
        <v>543</v>
      </c>
      <c r="AC384" s="1" t="s">
        <v>414</v>
      </c>
      <c r="AF384" s="3">
        <v>900000000</v>
      </c>
      <c r="AG384" s="3">
        <f>AF384</f>
        <v>900000000</v>
      </c>
    </row>
    <row r="385" spans="28:29" ht="9.75" customHeight="1">
      <c r="AB385" s="2" t="s">
        <v>543</v>
      </c>
      <c r="AC385" s="1" t="s">
        <v>422</v>
      </c>
    </row>
    <row r="386" spans="28:34" ht="9.75" customHeight="1">
      <c r="AB386" s="2" t="s">
        <v>543</v>
      </c>
      <c r="AC386" s="1" t="s">
        <v>423</v>
      </c>
      <c r="AF386" s="3">
        <v>-45320790.49</v>
      </c>
      <c r="AG386" s="3">
        <f>AF386</f>
        <v>-45320790.49</v>
      </c>
      <c r="AH386" s="1" t="s">
        <v>424</v>
      </c>
    </row>
    <row r="387" spans="28:33" ht="9.75" customHeight="1">
      <c r="AB387" s="2" t="s">
        <v>543</v>
      </c>
      <c r="AC387" s="1" t="s">
        <v>425</v>
      </c>
      <c r="AF387" s="4" t="s">
        <v>436</v>
      </c>
      <c r="AG387" s="4" t="s">
        <v>437</v>
      </c>
    </row>
    <row r="388" spans="28:33" ht="9.75" customHeight="1">
      <c r="AB388" s="2" t="s">
        <v>543</v>
      </c>
      <c r="AC388" s="1" t="s">
        <v>428</v>
      </c>
      <c r="AF388" s="3">
        <v>80086734.72</v>
      </c>
      <c r="AG388" s="3">
        <f>AF388</f>
        <v>80086734.72</v>
      </c>
    </row>
    <row r="389" spans="28:33" ht="9.75" customHeight="1">
      <c r="AB389" s="2" t="s">
        <v>543</v>
      </c>
      <c r="AC389" s="1" t="s">
        <v>380</v>
      </c>
      <c r="AF389" s="3">
        <v>-179927000</v>
      </c>
      <c r="AG389" s="3">
        <f>AF389</f>
        <v>-179927000</v>
      </c>
    </row>
    <row r="390" spans="28:33" ht="9.75" customHeight="1">
      <c r="AB390" s="2" t="s">
        <v>543</v>
      </c>
      <c r="AC390" s="1" t="s">
        <v>438</v>
      </c>
      <c r="AF390" s="33">
        <f>SUM(AF377:AF389)</f>
        <v>2017485635.35</v>
      </c>
      <c r="AG390" s="33">
        <f>SUM(AG381:AG389)</f>
        <v>2017485635.35</v>
      </c>
    </row>
    <row r="391" spans="28:32" ht="9.75" customHeight="1">
      <c r="AB391" s="2" t="s">
        <v>543</v>
      </c>
      <c r="AD391" s="1" t="s">
        <v>341</v>
      </c>
      <c r="AF391" s="4" t="s">
        <v>439</v>
      </c>
    </row>
    <row r="392" spans="28:32" ht="9.75" customHeight="1">
      <c r="AB392" s="2" t="s">
        <v>543</v>
      </c>
      <c r="AD392" s="1" t="s">
        <v>343</v>
      </c>
      <c r="AF392" s="4" t="s">
        <v>440</v>
      </c>
    </row>
    <row r="393" spans="28:33" ht="9.75" customHeight="1">
      <c r="AB393" s="2" t="s">
        <v>543</v>
      </c>
      <c r="AC393" s="1" t="s">
        <v>432</v>
      </c>
      <c r="AG393" s="3">
        <f>AF396</f>
        <v>-34765944.23</v>
      </c>
    </row>
    <row r="394" spans="28:33" ht="9.75" customHeight="1">
      <c r="AB394" s="2" t="s">
        <v>543</v>
      </c>
      <c r="AC394" s="1" t="s">
        <v>441</v>
      </c>
      <c r="AG394" s="33">
        <f>SUM(AG390:AG393)</f>
        <v>1982719691.12</v>
      </c>
    </row>
    <row r="395" spans="28:29" ht="9.75" customHeight="1">
      <c r="AB395" s="2" t="s">
        <v>543</v>
      </c>
      <c r="AC395" s="32" t="s">
        <v>442</v>
      </c>
    </row>
    <row r="396" spans="28:32" ht="9.75" customHeight="1">
      <c r="AB396" s="2" t="s">
        <v>543</v>
      </c>
      <c r="AC396" s="1" t="s">
        <v>443</v>
      </c>
      <c r="AF396" s="3">
        <v>-34765944.23</v>
      </c>
    </row>
    <row r="397" spans="28:33" ht="9.75" customHeight="1">
      <c r="AB397" s="2" t="s">
        <v>543</v>
      </c>
      <c r="AC397" s="1" t="s">
        <v>414</v>
      </c>
      <c r="AF397" s="3">
        <v>900000000</v>
      </c>
      <c r="AG397" s="3">
        <f>AF397</f>
        <v>900000000</v>
      </c>
    </row>
    <row r="398" spans="28:29" ht="9.75" customHeight="1">
      <c r="AB398" s="2" t="s">
        <v>543</v>
      </c>
      <c r="AC398" s="1" t="s">
        <v>422</v>
      </c>
    </row>
    <row r="399" spans="28:34" ht="9.75" customHeight="1">
      <c r="AB399" s="2" t="s">
        <v>543</v>
      </c>
      <c r="AC399" s="1" t="s">
        <v>423</v>
      </c>
      <c r="AF399" s="3">
        <v>-50541015.61</v>
      </c>
      <c r="AG399" s="3">
        <f>AF399</f>
        <v>-50541015.61</v>
      </c>
      <c r="AH399" s="1" t="s">
        <v>424</v>
      </c>
    </row>
    <row r="400" spans="28:33" ht="9.75" customHeight="1">
      <c r="AB400" s="2" t="s">
        <v>543</v>
      </c>
      <c r="AC400" s="1" t="s">
        <v>425</v>
      </c>
      <c r="AF400" s="4" t="s">
        <v>444</v>
      </c>
      <c r="AG400" s="4" t="s">
        <v>445</v>
      </c>
    </row>
    <row r="401" spans="28:33" ht="9.75" customHeight="1">
      <c r="AB401" s="2" t="s">
        <v>543</v>
      </c>
      <c r="AC401" s="1" t="s">
        <v>428</v>
      </c>
      <c r="AF401" s="3">
        <v>53173160.07</v>
      </c>
      <c r="AG401" s="3">
        <f>AF401</f>
        <v>53173160.07</v>
      </c>
    </row>
    <row r="402" spans="28:33" ht="9.75" customHeight="1">
      <c r="AB402" s="2" t="s">
        <v>543</v>
      </c>
      <c r="AC402" s="1" t="s">
        <v>380</v>
      </c>
      <c r="AF402" s="3">
        <v>-335093000</v>
      </c>
      <c r="AG402" s="3">
        <f>AF402</f>
        <v>-335093000</v>
      </c>
    </row>
    <row r="403" spans="28:33" ht="9.75" customHeight="1">
      <c r="AB403" s="2" t="s">
        <v>543</v>
      </c>
      <c r="AC403" s="1" t="s">
        <v>446</v>
      </c>
      <c r="AF403" s="33">
        <f>SUM(AF390:AF402)</f>
        <v>2550258835.58</v>
      </c>
      <c r="AG403" s="33">
        <f>SUM(AG394:AG402)</f>
        <v>2550258835.58</v>
      </c>
    </row>
    <row r="404" spans="28:32" ht="9.75" customHeight="1">
      <c r="AB404" s="2" t="s">
        <v>543</v>
      </c>
      <c r="AD404" s="1" t="s">
        <v>341</v>
      </c>
      <c r="AF404" s="4" t="s">
        <v>447</v>
      </c>
    </row>
    <row r="405" spans="28:32" ht="9.75" customHeight="1">
      <c r="AB405" s="2" t="s">
        <v>543</v>
      </c>
      <c r="AD405" s="1" t="s">
        <v>343</v>
      </c>
      <c r="AF405" s="4" t="s">
        <v>448</v>
      </c>
    </row>
    <row r="406" spans="28:29" ht="9.75" customHeight="1">
      <c r="AB406" s="2" t="s">
        <v>543</v>
      </c>
      <c r="AC406" s="1" t="s">
        <v>432</v>
      </c>
    </row>
    <row r="407" spans="28:29" ht="9.75" customHeight="1">
      <c r="AB407" s="2" t="s">
        <v>543</v>
      </c>
      <c r="AC407" s="1" t="s">
        <v>449</v>
      </c>
    </row>
    <row r="408" spans="28:33" ht="9.75" customHeight="1">
      <c r="AB408" s="2" t="s">
        <v>543</v>
      </c>
      <c r="AC408" s="1" t="s">
        <v>450</v>
      </c>
      <c r="AG408" s="3">
        <f>AF413</f>
        <v>-23265448.3</v>
      </c>
    </row>
    <row r="409" spans="28:33" ht="9.75" customHeight="1">
      <c r="AB409" s="2" t="s">
        <v>543</v>
      </c>
      <c r="AC409" s="1" t="s">
        <v>451</v>
      </c>
      <c r="AG409" s="33">
        <f>SUM(AG403:AG408)</f>
        <v>2526993387.2799997</v>
      </c>
    </row>
    <row r="410" spans="28:29" ht="9.75" customHeight="1">
      <c r="AB410" s="2" t="s">
        <v>543</v>
      </c>
      <c r="AC410" s="32" t="s">
        <v>452</v>
      </c>
    </row>
    <row r="411" spans="28:29" ht="9.75" customHeight="1">
      <c r="AB411" s="2" t="s">
        <v>543</v>
      </c>
      <c r="AC411" s="1" t="s">
        <v>453</v>
      </c>
    </row>
    <row r="412" spans="28:29" ht="9.75" customHeight="1">
      <c r="AB412" s="2" t="s">
        <v>543</v>
      </c>
      <c r="AC412" s="1" t="s">
        <v>449</v>
      </c>
    </row>
    <row r="413" spans="28:32" ht="9.75" customHeight="1">
      <c r="AB413" s="2" t="s">
        <v>543</v>
      </c>
      <c r="AC413" s="1" t="s">
        <v>450</v>
      </c>
      <c r="AF413" s="3">
        <v>-23265448.3</v>
      </c>
    </row>
    <row r="414" spans="28:33" ht="9.75" customHeight="1">
      <c r="AB414" s="2" t="s">
        <v>543</v>
      </c>
      <c r="AC414" s="1" t="s">
        <v>414</v>
      </c>
      <c r="AF414" s="3">
        <v>900000000</v>
      </c>
      <c r="AG414" s="3">
        <f>AF414</f>
        <v>900000000</v>
      </c>
    </row>
    <row r="415" spans="28:29" ht="9.75" customHeight="1">
      <c r="AB415" s="2" t="s">
        <v>543</v>
      </c>
      <c r="AC415" s="1" t="s">
        <v>422</v>
      </c>
    </row>
    <row r="416" spans="28:34" ht="9.75" customHeight="1">
      <c r="AB416" s="2" t="s">
        <v>543</v>
      </c>
      <c r="AC416" s="1" t="s">
        <v>423</v>
      </c>
      <c r="AF416" s="3">
        <v>-87313264.15</v>
      </c>
      <c r="AG416" s="3">
        <f>AF416</f>
        <v>-87313264.15</v>
      </c>
      <c r="AH416" s="1" t="s">
        <v>424</v>
      </c>
    </row>
    <row r="417" spans="28:33" ht="9.75" customHeight="1">
      <c r="AB417" s="2" t="s">
        <v>543</v>
      </c>
      <c r="AC417" s="1" t="s">
        <v>425</v>
      </c>
      <c r="AF417" s="4" t="s">
        <v>454</v>
      </c>
      <c r="AG417" s="4" t="s">
        <v>455</v>
      </c>
    </row>
    <row r="418" spans="28:33" ht="9.75" customHeight="1">
      <c r="AB418" s="2" t="s">
        <v>543</v>
      </c>
      <c r="AC418" s="1" t="s">
        <v>428</v>
      </c>
      <c r="AF418" s="3">
        <v>90382877.36</v>
      </c>
      <c r="AG418" s="3">
        <f>AF418</f>
        <v>90382877.36</v>
      </c>
    </row>
    <row r="419" spans="28:33" ht="9.75" customHeight="1">
      <c r="AB419" s="2" t="s">
        <v>543</v>
      </c>
      <c r="AC419" s="1" t="s">
        <v>524</v>
      </c>
      <c r="AF419" s="3">
        <f>-230390000-25500000-46000000</f>
        <v>-301890000</v>
      </c>
      <c r="AG419" s="3">
        <f>AF419</f>
        <v>-301890000</v>
      </c>
    </row>
    <row r="420" spans="28:33" ht="9.75" customHeight="1">
      <c r="AB420" s="2" t="s">
        <v>543</v>
      </c>
      <c r="AC420" s="1" t="s">
        <v>526</v>
      </c>
      <c r="AF420" s="3">
        <v>782552.84</v>
      </c>
      <c r="AG420" s="3">
        <f>AF420</f>
        <v>782552.84</v>
      </c>
    </row>
    <row r="421" spans="28:33" ht="9.75" customHeight="1">
      <c r="AB421" s="2" t="s">
        <v>543</v>
      </c>
      <c r="AC421" s="1" t="s">
        <v>456</v>
      </c>
      <c r="AF421" s="33">
        <f>SUM(AF403:AF420)</f>
        <v>3128955553.33</v>
      </c>
      <c r="AG421" s="33">
        <f>SUM(AG409:AG420)</f>
        <v>3128955553.33</v>
      </c>
    </row>
    <row r="422" spans="28:32" ht="9.75" customHeight="1">
      <c r="AB422" s="2" t="s">
        <v>543</v>
      </c>
      <c r="AD422" s="1" t="s">
        <v>341</v>
      </c>
      <c r="AF422" s="4" t="s">
        <v>209</v>
      </c>
    </row>
    <row r="423" spans="28:32" ht="9.75" customHeight="1">
      <c r="AB423" s="2" t="s">
        <v>543</v>
      </c>
      <c r="AD423" s="1" t="s">
        <v>343</v>
      </c>
      <c r="AF423" s="4" t="s">
        <v>210</v>
      </c>
    </row>
    <row r="424" spans="28:33" ht="9.75" customHeight="1">
      <c r="AB424" s="2" t="s">
        <v>543</v>
      </c>
      <c r="AC424" s="1" t="s">
        <v>432</v>
      </c>
      <c r="AG424" s="3">
        <f>AF427</f>
        <v>-3069613.21</v>
      </c>
    </row>
    <row r="425" spans="28:33" ht="9.75" customHeight="1">
      <c r="AB425" s="2" t="s">
        <v>543</v>
      </c>
      <c r="AC425" s="1" t="s">
        <v>211</v>
      </c>
      <c r="AG425" s="33">
        <f>SUM(AG421:AG424)</f>
        <v>3125885940.12</v>
      </c>
    </row>
    <row r="426" spans="28:29" ht="9.75" customHeight="1">
      <c r="AB426" s="2" t="s">
        <v>543</v>
      </c>
      <c r="AC426" s="32" t="s">
        <v>212</v>
      </c>
    </row>
    <row r="427" spans="28:32" ht="9.75" customHeight="1">
      <c r="AB427" s="2" t="s">
        <v>543</v>
      </c>
      <c r="AC427" s="1" t="s">
        <v>453</v>
      </c>
      <c r="AF427" s="3">
        <v>-3069613.21</v>
      </c>
    </row>
    <row r="428" spans="28:29" ht="9.75" customHeight="1">
      <c r="AB428" s="2" t="s">
        <v>543</v>
      </c>
      <c r="AC428" s="1" t="s">
        <v>213</v>
      </c>
    </row>
    <row r="429" spans="28:33" ht="9.75" customHeight="1">
      <c r="AB429" s="2" t="s">
        <v>543</v>
      </c>
      <c r="AC429" s="1" t="s">
        <v>214</v>
      </c>
      <c r="AF429" s="3">
        <f>23265448.3-2632144.46</f>
        <v>20633303.84</v>
      </c>
      <c r="AG429" s="3">
        <f>AF429</f>
        <v>20633303.84</v>
      </c>
    </row>
    <row r="430" spans="28:33" ht="9.75" customHeight="1">
      <c r="AB430" s="2" t="s">
        <v>543</v>
      </c>
      <c r="AC430" s="1" t="s">
        <v>414</v>
      </c>
      <c r="AF430" s="3">
        <v>900000000</v>
      </c>
      <c r="AG430" s="3">
        <f>AF430</f>
        <v>900000000</v>
      </c>
    </row>
    <row r="431" spans="28:29" ht="9.75" customHeight="1">
      <c r="AB431" s="2" t="s">
        <v>543</v>
      </c>
      <c r="AC431" s="1" t="s">
        <v>422</v>
      </c>
    </row>
    <row r="432" spans="28:34" ht="9.75" customHeight="1">
      <c r="AB432" s="2" t="s">
        <v>543</v>
      </c>
      <c r="AC432" s="1" t="s">
        <v>423</v>
      </c>
      <c r="AF432" s="3">
        <v>-133284492.5</v>
      </c>
      <c r="AG432" s="3">
        <f>AF432</f>
        <v>-133284492.5</v>
      </c>
      <c r="AH432" s="1" t="s">
        <v>424</v>
      </c>
    </row>
    <row r="433" spans="28:33" ht="9.75" customHeight="1">
      <c r="AB433" s="2" t="s">
        <v>543</v>
      </c>
      <c r="AC433" s="1" t="s">
        <v>425</v>
      </c>
      <c r="AF433" s="4" t="s">
        <v>215</v>
      </c>
      <c r="AG433" s="4" t="s">
        <v>216</v>
      </c>
    </row>
    <row r="434" spans="28:33" ht="9.75" customHeight="1">
      <c r="AB434" s="2" t="s">
        <v>543</v>
      </c>
      <c r="AC434" s="1" t="s">
        <v>428</v>
      </c>
      <c r="AF434" s="3">
        <v>250700917.83</v>
      </c>
      <c r="AG434" s="3">
        <f>AF434</f>
        <v>250700917.83</v>
      </c>
    </row>
    <row r="435" spans="28:33" ht="9.75" customHeight="1">
      <c r="AB435" s="2" t="s">
        <v>543</v>
      </c>
      <c r="AC435" s="1" t="s">
        <v>524</v>
      </c>
      <c r="AF435" s="3">
        <f>-256732000-29880000</f>
        <v>-286612000</v>
      </c>
      <c r="AG435" s="3">
        <f>AF435</f>
        <v>-286612000</v>
      </c>
    </row>
    <row r="436" spans="28:33" ht="9.75" customHeight="1">
      <c r="AB436" s="2" t="s">
        <v>543</v>
      </c>
      <c r="AC436" s="1" t="s">
        <v>526</v>
      </c>
      <c r="AF436" s="3">
        <v>1037762.77</v>
      </c>
      <c r="AG436" s="3">
        <f>AF436</f>
        <v>1037762.77</v>
      </c>
    </row>
    <row r="437" spans="28:33" ht="9.75" customHeight="1">
      <c r="AB437" s="2" t="s">
        <v>543</v>
      </c>
      <c r="AC437" s="1" t="s">
        <v>217</v>
      </c>
      <c r="AF437" s="33">
        <f>SUM(AF421:AF436)</f>
        <v>3878361432.06</v>
      </c>
      <c r="AG437" s="33">
        <f>SUM(AG425:AG436)</f>
        <v>3878361432.06</v>
      </c>
    </row>
    <row r="438" spans="28:32" ht="9.75" customHeight="1">
      <c r="AB438" s="2" t="s">
        <v>543</v>
      </c>
      <c r="AD438" s="1" t="s">
        <v>341</v>
      </c>
      <c r="AF438" s="4" t="s">
        <v>218</v>
      </c>
    </row>
    <row r="439" spans="28:32" ht="9.75" customHeight="1">
      <c r="AB439" s="2" t="s">
        <v>543</v>
      </c>
      <c r="AD439" s="1" t="s">
        <v>343</v>
      </c>
      <c r="AF439" s="4" t="s">
        <v>219</v>
      </c>
    </row>
    <row r="440" spans="28:33" ht="9.75" customHeight="1">
      <c r="AB440" s="2" t="s">
        <v>543</v>
      </c>
      <c r="AC440" s="1" t="s">
        <v>432</v>
      </c>
      <c r="AG440" s="3">
        <f>AF443</f>
        <v>-117416425.33000001</v>
      </c>
    </row>
    <row r="441" spans="28:33" ht="9.75" customHeight="1">
      <c r="AB441" s="2" t="s">
        <v>543</v>
      </c>
      <c r="AC441" s="1" t="s">
        <v>220</v>
      </c>
      <c r="AG441" s="33">
        <f>SUM(AG437:AG440)</f>
        <v>3760945006.73</v>
      </c>
    </row>
    <row r="442" spans="28:29" ht="9.75" customHeight="1">
      <c r="AB442" s="2" t="s">
        <v>543</v>
      </c>
      <c r="AC442" s="32" t="s">
        <v>221</v>
      </c>
    </row>
    <row r="443" spans="28:32" ht="9.75" customHeight="1">
      <c r="AB443" s="2" t="s">
        <v>543</v>
      </c>
      <c r="AC443" s="1" t="s">
        <v>222</v>
      </c>
      <c r="AF443" s="3">
        <f>-(AF432+AF434)</f>
        <v>-117416425.33000001</v>
      </c>
    </row>
    <row r="444" spans="28:33" ht="9.75" customHeight="1">
      <c r="AB444" s="2" t="s">
        <v>543</v>
      </c>
      <c r="AC444" s="1" t="s">
        <v>414</v>
      </c>
      <c r="AF444" s="3">
        <v>900000000</v>
      </c>
      <c r="AG444" s="3">
        <f>AF444</f>
        <v>900000000</v>
      </c>
    </row>
    <row r="445" spans="28:29" ht="9.75" customHeight="1">
      <c r="AB445" s="2" t="s">
        <v>543</v>
      </c>
      <c r="AC445" s="1" t="s">
        <v>422</v>
      </c>
    </row>
    <row r="446" spans="28:34" ht="9.75" customHeight="1">
      <c r="AB446" s="2" t="s">
        <v>543</v>
      </c>
      <c r="AC446" s="1" t="s">
        <v>423</v>
      </c>
      <c r="AF446" s="3">
        <v>-27359755.65</v>
      </c>
      <c r="AG446" s="3">
        <f>AF446</f>
        <v>-27359755.65</v>
      </c>
      <c r="AH446" s="1" t="s">
        <v>424</v>
      </c>
    </row>
    <row r="447" spans="28:33" ht="9.75" customHeight="1">
      <c r="AB447" s="2" t="s">
        <v>543</v>
      </c>
      <c r="AC447" s="1" t="s">
        <v>425</v>
      </c>
      <c r="AF447" s="4" t="s">
        <v>223</v>
      </c>
      <c r="AG447" s="4" t="s">
        <v>224</v>
      </c>
    </row>
    <row r="448" spans="28:33" ht="9.75" customHeight="1">
      <c r="AB448" s="2" t="s">
        <v>543</v>
      </c>
      <c r="AC448" s="1" t="s">
        <v>428</v>
      </c>
      <c r="AF448" s="3">
        <v>93448868.22</v>
      </c>
      <c r="AG448" s="3">
        <f>AF448</f>
        <v>93448868.22</v>
      </c>
    </row>
    <row r="449" spans="28:33" ht="9.75" customHeight="1">
      <c r="AB449" s="2" t="s">
        <v>543</v>
      </c>
      <c r="AC449" s="1" t="s">
        <v>524</v>
      </c>
      <c r="AF449" s="3">
        <f>-168651980+7252000-6809000</f>
        <v>-168208980</v>
      </c>
      <c r="AG449" s="3">
        <f>AF449</f>
        <v>-168208980</v>
      </c>
    </row>
    <row r="450" spans="28:33" ht="9.75" customHeight="1">
      <c r="AB450" s="2" t="s">
        <v>543</v>
      </c>
      <c r="AC450" s="1" t="s">
        <v>526</v>
      </c>
      <c r="AF450" s="3">
        <v>3945.03</v>
      </c>
      <c r="AG450" s="3">
        <f>AF450</f>
        <v>3945.03</v>
      </c>
    </row>
    <row r="451" spans="28:33" ht="9.75" customHeight="1">
      <c r="AB451" s="2" t="s">
        <v>543</v>
      </c>
      <c r="AC451" s="1" t="s">
        <v>225</v>
      </c>
      <c r="AF451" s="33">
        <f>SUM(AF437:AF450)</f>
        <v>4558829084.33</v>
      </c>
      <c r="AG451" s="33">
        <f>SUM(AG441:AG450)</f>
        <v>4558829084.33</v>
      </c>
    </row>
    <row r="452" spans="28:32" ht="9.75" customHeight="1">
      <c r="AB452" s="2" t="s">
        <v>543</v>
      </c>
      <c r="AD452" s="1" t="s">
        <v>341</v>
      </c>
      <c r="AF452" s="4" t="s">
        <v>226</v>
      </c>
    </row>
    <row r="453" spans="28:32" ht="9.75" customHeight="1">
      <c r="AB453" s="2" t="s">
        <v>543</v>
      </c>
      <c r="AD453" s="1" t="s">
        <v>343</v>
      </c>
      <c r="AF453" s="4" t="s">
        <v>227</v>
      </c>
    </row>
    <row r="454" spans="28:33" ht="9.75" customHeight="1">
      <c r="AB454" s="2" t="s">
        <v>543</v>
      </c>
      <c r="AC454" s="1" t="s">
        <v>432</v>
      </c>
      <c r="AG454" s="3">
        <f>AF457</f>
        <v>-66089112.57</v>
      </c>
    </row>
    <row r="455" spans="28:33" ht="9.75" customHeight="1">
      <c r="AB455" s="2" t="s">
        <v>543</v>
      </c>
      <c r="AC455" s="1" t="s">
        <v>228</v>
      </c>
      <c r="AG455" s="33">
        <f>SUM(AG451:AG454)</f>
        <v>4492739971.76</v>
      </c>
    </row>
    <row r="456" spans="28:29" ht="9.75" customHeight="1">
      <c r="AB456" s="2" t="s">
        <v>543</v>
      </c>
      <c r="AC456" s="32" t="s">
        <v>229</v>
      </c>
    </row>
    <row r="457" spans="28:32" ht="9.75" customHeight="1">
      <c r="AB457" s="2" t="s">
        <v>543</v>
      </c>
      <c r="AC457" s="1" t="s">
        <v>230</v>
      </c>
      <c r="AF457" s="3">
        <f>-(AF446+AF448)</f>
        <v>-66089112.57</v>
      </c>
    </row>
    <row r="458" spans="28:33" ht="9.75" customHeight="1">
      <c r="AB458" s="2" t="s">
        <v>543</v>
      </c>
      <c r="AC458" s="1" t="s">
        <v>414</v>
      </c>
      <c r="AF458" s="3">
        <v>900000000</v>
      </c>
      <c r="AG458" s="3">
        <f>AF458</f>
        <v>900000000</v>
      </c>
    </row>
    <row r="459" spans="28:29" ht="9.75" customHeight="1">
      <c r="AB459" s="2" t="s">
        <v>543</v>
      </c>
      <c r="AC459" s="1" t="s">
        <v>422</v>
      </c>
    </row>
    <row r="460" spans="28:34" ht="9.75" customHeight="1">
      <c r="AB460" s="2" t="s">
        <v>543</v>
      </c>
      <c r="AC460" s="1" t="s">
        <v>423</v>
      </c>
      <c r="AF460" s="3">
        <v>-10335277.41</v>
      </c>
      <c r="AG460" s="3">
        <f>AF460</f>
        <v>-10335277.41</v>
      </c>
      <c r="AH460" s="1" t="s">
        <v>424</v>
      </c>
    </row>
    <row r="461" spans="28:33" ht="9.75" customHeight="1">
      <c r="AB461" s="2" t="s">
        <v>543</v>
      </c>
      <c r="AC461" s="1" t="s">
        <v>425</v>
      </c>
      <c r="AF461" s="4" t="s">
        <v>231</v>
      </c>
      <c r="AG461" s="4" t="s">
        <v>232</v>
      </c>
    </row>
    <row r="462" spans="28:33" ht="9.75" customHeight="1">
      <c r="AB462" s="2" t="s">
        <v>543</v>
      </c>
      <c r="AC462" s="1" t="s">
        <v>428</v>
      </c>
      <c r="AF462" s="3">
        <v>47908024.31</v>
      </c>
      <c r="AG462" s="3">
        <f>AF462</f>
        <v>47908024.31</v>
      </c>
    </row>
    <row r="463" spans="28:33" ht="9.75" customHeight="1">
      <c r="AB463" s="2" t="s">
        <v>543</v>
      </c>
      <c r="AC463" s="1" t="s">
        <v>380</v>
      </c>
      <c r="AF463" s="3">
        <v>-210626000</v>
      </c>
      <c r="AG463" s="3">
        <f>AF463</f>
        <v>-210626000</v>
      </c>
    </row>
    <row r="464" spans="28:33" ht="9.75" customHeight="1">
      <c r="AB464" s="2" t="s">
        <v>543</v>
      </c>
      <c r="AC464" s="1" t="s">
        <v>233</v>
      </c>
      <c r="AF464" s="33">
        <f>SUM(AF451:AF463)</f>
        <v>5219686718.660001</v>
      </c>
      <c r="AG464" s="33">
        <f>SUM(AG455:AG463)</f>
        <v>5219686718.660001</v>
      </c>
    </row>
    <row r="465" spans="28:32" ht="9.75" customHeight="1">
      <c r="AB465" s="2" t="s">
        <v>543</v>
      </c>
      <c r="AD465" s="1" t="s">
        <v>341</v>
      </c>
      <c r="AF465" s="4" t="s">
        <v>234</v>
      </c>
    </row>
    <row r="466" spans="28:32" ht="9.75" customHeight="1">
      <c r="AB466" s="2" t="s">
        <v>543</v>
      </c>
      <c r="AD466" s="1" t="s">
        <v>343</v>
      </c>
      <c r="AF466" s="4" t="s">
        <v>235</v>
      </c>
    </row>
    <row r="467" spans="28:33" ht="9.75" customHeight="1">
      <c r="AB467" s="2" t="s">
        <v>543</v>
      </c>
      <c r="AC467" s="1" t="s">
        <v>432</v>
      </c>
      <c r="AG467" s="3">
        <f>AF470</f>
        <v>-37572746.900000006</v>
      </c>
    </row>
    <row r="468" spans="28:33" ht="9.75" customHeight="1">
      <c r="AB468" s="2" t="s">
        <v>543</v>
      </c>
      <c r="AC468" s="1" t="s">
        <v>236</v>
      </c>
      <c r="AG468" s="33">
        <f>SUM(AG464:AG467)</f>
        <v>5182113971.760001</v>
      </c>
    </row>
    <row r="469" spans="28:29" ht="9.75" customHeight="1">
      <c r="AB469" s="2" t="s">
        <v>543</v>
      </c>
      <c r="AC469" s="32" t="s">
        <v>237</v>
      </c>
    </row>
    <row r="470" spans="28:32" ht="9.75" customHeight="1">
      <c r="AB470" s="2" t="s">
        <v>543</v>
      </c>
      <c r="AC470" s="1" t="s">
        <v>238</v>
      </c>
      <c r="AF470" s="3">
        <f>-(AF460+AF462)</f>
        <v>-37572746.900000006</v>
      </c>
    </row>
    <row r="471" spans="28:33" ht="9.75" customHeight="1">
      <c r="AB471" s="2" t="s">
        <v>543</v>
      </c>
      <c r="AC471" s="1" t="s">
        <v>414</v>
      </c>
      <c r="AF471" s="3">
        <v>900000000</v>
      </c>
      <c r="AG471" s="3">
        <f>AF471</f>
        <v>900000000</v>
      </c>
    </row>
    <row r="472" spans="28:29" ht="9.75" customHeight="1">
      <c r="AB472" s="2" t="s">
        <v>543</v>
      </c>
      <c r="AC472" s="1" t="s">
        <v>422</v>
      </c>
    </row>
    <row r="473" spans="28:34" ht="9.75" customHeight="1">
      <c r="AB473" s="2" t="s">
        <v>543</v>
      </c>
      <c r="AC473" s="1" t="s">
        <v>423</v>
      </c>
      <c r="AF473" s="3">
        <v>-2666020.64</v>
      </c>
      <c r="AG473" s="3">
        <f>AF473</f>
        <v>-2666020.64</v>
      </c>
      <c r="AH473" s="1" t="s">
        <v>424</v>
      </c>
    </row>
    <row r="474" spans="28:33" ht="9.75" customHeight="1">
      <c r="AB474" s="2" t="s">
        <v>543</v>
      </c>
      <c r="AC474" s="1" t="s">
        <v>425</v>
      </c>
      <c r="AF474" s="4" t="s">
        <v>239</v>
      </c>
      <c r="AG474" s="4" t="s">
        <v>240</v>
      </c>
    </row>
    <row r="475" spans="28:33" ht="9.75" customHeight="1">
      <c r="AB475" s="2" t="s">
        <v>543</v>
      </c>
      <c r="AC475" s="1" t="s">
        <v>428</v>
      </c>
      <c r="AF475" s="3">
        <v>39160060.23</v>
      </c>
      <c r="AG475" s="3">
        <f>AF475</f>
        <v>39160060.23</v>
      </c>
    </row>
    <row r="476" spans="28:33" ht="9.75" customHeight="1">
      <c r="AB476" s="2" t="s">
        <v>543</v>
      </c>
      <c r="AC476" s="1" t="s">
        <v>380</v>
      </c>
      <c r="AF476" s="3">
        <v>-170464000</v>
      </c>
      <c r="AG476" s="3">
        <f>AF476</f>
        <v>-170464000</v>
      </c>
    </row>
    <row r="477" spans="28:33" ht="9.75" customHeight="1">
      <c r="AB477" s="2" t="s">
        <v>543</v>
      </c>
      <c r="AC477" s="1" t="s">
        <v>241</v>
      </c>
      <c r="AF477" s="33">
        <f>SUM(AF464:AF476)</f>
        <v>5948144011.35</v>
      </c>
      <c r="AG477" s="33">
        <f>SUM(AG468:AG476)</f>
        <v>5948144011.35</v>
      </c>
    </row>
    <row r="478" spans="28:32" ht="9.75" customHeight="1">
      <c r="AB478" s="2" t="s">
        <v>543</v>
      </c>
      <c r="AD478" s="1" t="s">
        <v>341</v>
      </c>
      <c r="AF478" s="4" t="s">
        <v>242</v>
      </c>
    </row>
    <row r="479" spans="28:32" ht="9.75" customHeight="1">
      <c r="AB479" s="2" t="s">
        <v>543</v>
      </c>
      <c r="AD479" s="1" t="s">
        <v>343</v>
      </c>
      <c r="AF479" s="4" t="s">
        <v>243</v>
      </c>
    </row>
    <row r="480" spans="28:33" ht="9.75" customHeight="1">
      <c r="AB480" s="2" t="s">
        <v>543</v>
      </c>
      <c r="AC480" s="1" t="s">
        <v>432</v>
      </c>
      <c r="AG480" s="3">
        <f>AF483</f>
        <v>-36494039.589999996</v>
      </c>
    </row>
    <row r="481" spans="28:33" ht="9.75" customHeight="1">
      <c r="AB481" s="2" t="s">
        <v>543</v>
      </c>
      <c r="AC481" s="1" t="s">
        <v>244</v>
      </c>
      <c r="AG481" s="33">
        <f>SUM(AG477:AG480)</f>
        <v>5911649971.76</v>
      </c>
    </row>
    <row r="482" spans="28:29" ht="9.75" customHeight="1">
      <c r="AB482" s="2" t="s">
        <v>543</v>
      </c>
      <c r="AC482" s="32" t="s">
        <v>245</v>
      </c>
    </row>
    <row r="483" spans="28:32" ht="9.75" customHeight="1">
      <c r="AB483" s="2" t="s">
        <v>543</v>
      </c>
      <c r="AC483" s="1" t="s">
        <v>246</v>
      </c>
      <c r="AF483" s="3">
        <f>-(AF473+AF475)</f>
        <v>-36494039.589999996</v>
      </c>
    </row>
    <row r="484" spans="28:33" ht="9.75" customHeight="1">
      <c r="AB484" s="2" t="s">
        <v>543</v>
      </c>
      <c r="AC484" s="1" t="s">
        <v>414</v>
      </c>
      <c r="AF484" s="3">
        <v>900000000</v>
      </c>
      <c r="AG484" s="3">
        <f>AF484</f>
        <v>900000000</v>
      </c>
    </row>
    <row r="485" spans="28:29" ht="9.75" customHeight="1">
      <c r="AB485" s="2" t="s">
        <v>543</v>
      </c>
      <c r="AC485" s="1" t="s">
        <v>422</v>
      </c>
    </row>
    <row r="486" spans="28:34" ht="9.75" customHeight="1">
      <c r="AB486" s="2" t="s">
        <v>543</v>
      </c>
      <c r="AC486" s="1" t="s">
        <v>423</v>
      </c>
      <c r="AF486" s="3">
        <v>-745343.03</v>
      </c>
      <c r="AG486" s="3">
        <f>AF486</f>
        <v>-745343.03</v>
      </c>
      <c r="AH486" s="1" t="s">
        <v>424</v>
      </c>
    </row>
    <row r="487" spans="28:33" ht="9.75" customHeight="1">
      <c r="AB487" s="2" t="s">
        <v>543</v>
      </c>
      <c r="AC487" s="1" t="s">
        <v>425</v>
      </c>
      <c r="AF487" s="4" t="s">
        <v>247</v>
      </c>
      <c r="AG487" s="4" t="s">
        <v>248</v>
      </c>
    </row>
    <row r="488" spans="28:33" ht="9.75" customHeight="1">
      <c r="AB488" s="2" t="s">
        <v>543</v>
      </c>
      <c r="AC488" s="1" t="s">
        <v>428</v>
      </c>
      <c r="AF488" s="3">
        <v>55409239.6</v>
      </c>
      <c r="AG488" s="3">
        <f>AF488</f>
        <v>55409239.6</v>
      </c>
    </row>
    <row r="489" spans="28:33" ht="9.75" customHeight="1">
      <c r="AB489" s="2" t="s">
        <v>543</v>
      </c>
      <c r="AC489" s="1" t="s">
        <v>380</v>
      </c>
      <c r="AF489" s="3">
        <v>-206233000</v>
      </c>
      <c r="AG489" s="3">
        <f>AF489</f>
        <v>-206233000</v>
      </c>
    </row>
    <row r="490" spans="28:33" ht="9.75" customHeight="1">
      <c r="AB490" s="2" t="s">
        <v>543</v>
      </c>
      <c r="AC490" s="1" t="s">
        <v>249</v>
      </c>
      <c r="AF490" s="33">
        <f>SUM(AF477:AF489)</f>
        <v>6660080868.330001</v>
      </c>
      <c r="AG490" s="33">
        <f>SUM(AG481:AG489)</f>
        <v>6660080868.330001</v>
      </c>
    </row>
    <row r="491" spans="28:32" ht="9.75" customHeight="1">
      <c r="AB491" s="2" t="s">
        <v>543</v>
      </c>
      <c r="AD491" s="1" t="s">
        <v>341</v>
      </c>
      <c r="AF491" s="4" t="s">
        <v>250</v>
      </c>
    </row>
    <row r="492" spans="28:32" ht="9.75" customHeight="1">
      <c r="AB492" s="2" t="s">
        <v>543</v>
      </c>
      <c r="AD492" s="1" t="s">
        <v>343</v>
      </c>
      <c r="AF492" s="4" t="s">
        <v>251</v>
      </c>
    </row>
    <row r="493" spans="28:33" ht="9.75" customHeight="1">
      <c r="AB493" s="2" t="s">
        <v>543</v>
      </c>
      <c r="AC493" s="1" t="s">
        <v>432</v>
      </c>
      <c r="AG493" s="3">
        <f>AF496</f>
        <v>-54663896.57</v>
      </c>
    </row>
    <row r="494" spans="28:33" ht="9.75" customHeight="1">
      <c r="AB494" s="2" t="s">
        <v>543</v>
      </c>
      <c r="AC494" s="1" t="s">
        <v>252</v>
      </c>
      <c r="AG494" s="33">
        <f>SUM(AG490:AG493)</f>
        <v>6605416971.760001</v>
      </c>
    </row>
    <row r="495" spans="28:29" ht="9.75" customHeight="1">
      <c r="AB495" s="2" t="s">
        <v>543</v>
      </c>
      <c r="AC495" s="32" t="s">
        <v>253</v>
      </c>
    </row>
    <row r="496" spans="28:32" ht="9.75" customHeight="1">
      <c r="AB496" s="2" t="s">
        <v>543</v>
      </c>
      <c r="AC496" s="1" t="s">
        <v>254</v>
      </c>
      <c r="AF496" s="3">
        <f>-(AF486+AF488)</f>
        <v>-54663896.57</v>
      </c>
    </row>
    <row r="497" spans="28:33" ht="9.75" customHeight="1">
      <c r="AB497" s="2" t="s">
        <v>543</v>
      </c>
      <c r="AC497" s="1" t="s">
        <v>414</v>
      </c>
      <c r="AF497" s="3">
        <v>900000000</v>
      </c>
      <c r="AG497" s="3">
        <f>AF497</f>
        <v>900000000</v>
      </c>
    </row>
    <row r="498" spans="28:29" ht="9.75" customHeight="1">
      <c r="AB498" s="2" t="s">
        <v>543</v>
      </c>
      <c r="AC498" s="1" t="s">
        <v>422</v>
      </c>
    </row>
    <row r="499" spans="28:34" ht="9.75" customHeight="1">
      <c r="AB499" s="2" t="s">
        <v>543</v>
      </c>
      <c r="AC499" s="1" t="s">
        <v>423</v>
      </c>
      <c r="AF499" s="3">
        <v>-1570930.79</v>
      </c>
      <c r="AG499" s="3">
        <f>AF499</f>
        <v>-1570930.79</v>
      </c>
      <c r="AH499" s="1" t="s">
        <v>424</v>
      </c>
    </row>
    <row r="500" spans="28:33" ht="9.75" customHeight="1">
      <c r="AB500" s="2" t="s">
        <v>543</v>
      </c>
      <c r="AC500" s="1" t="s">
        <v>425</v>
      </c>
      <c r="AF500" s="4" t="s">
        <v>255</v>
      </c>
      <c r="AG500" s="4" t="s">
        <v>256</v>
      </c>
    </row>
    <row r="501" spans="28:33" ht="9.75" customHeight="1">
      <c r="AB501" s="2" t="s">
        <v>543</v>
      </c>
      <c r="AC501" s="1" t="s">
        <v>428</v>
      </c>
      <c r="AF501" s="3">
        <v>16571020.79</v>
      </c>
      <c r="AG501" s="3">
        <f>AF501</f>
        <v>16571020.79</v>
      </c>
    </row>
    <row r="502" spans="28:33" ht="9.75" customHeight="1">
      <c r="AB502" s="2" t="s">
        <v>543</v>
      </c>
      <c r="AC502" s="1" t="s">
        <v>524</v>
      </c>
      <c r="AF502" s="3">
        <v>-231481000</v>
      </c>
      <c r="AG502" s="3">
        <f>AF502</f>
        <v>-231481000</v>
      </c>
    </row>
    <row r="503" spans="28:33" ht="9.75" customHeight="1">
      <c r="AB503" s="2" t="s">
        <v>543</v>
      </c>
      <c r="AC503" s="1" t="s">
        <v>526</v>
      </c>
      <c r="AF503" s="3">
        <v>749.93</v>
      </c>
      <c r="AG503" s="3">
        <f>AF503</f>
        <v>749.93</v>
      </c>
    </row>
    <row r="504" spans="28:33" ht="9.75" customHeight="1">
      <c r="AB504" s="2" t="s">
        <v>543</v>
      </c>
      <c r="AC504" s="1" t="s">
        <v>257</v>
      </c>
      <c r="AF504" s="33">
        <f>SUM(AF490:AF503)</f>
        <v>7288936811.6900015</v>
      </c>
      <c r="AG504" s="33">
        <f>SUM(AG494:AG503)</f>
        <v>7288936811.6900015</v>
      </c>
    </row>
    <row r="505" spans="28:32" ht="9.75" customHeight="1">
      <c r="AB505" s="2" t="s">
        <v>543</v>
      </c>
      <c r="AD505" s="1" t="s">
        <v>341</v>
      </c>
      <c r="AF505" s="4" t="s">
        <v>258</v>
      </c>
    </row>
    <row r="506" spans="28:32" ht="9.75" customHeight="1">
      <c r="AB506" s="2" t="s">
        <v>543</v>
      </c>
      <c r="AD506" s="1" t="s">
        <v>343</v>
      </c>
      <c r="AF506" s="4" t="s">
        <v>259</v>
      </c>
    </row>
    <row r="507" spans="28:33" ht="9.75" customHeight="1">
      <c r="AB507" s="2" t="s">
        <v>543</v>
      </c>
      <c r="AC507" s="1" t="s">
        <v>432</v>
      </c>
      <c r="AG507" s="3">
        <f>AF510</f>
        <v>-15000090</v>
      </c>
    </row>
    <row r="508" spans="28:33" ht="9.75" customHeight="1">
      <c r="AB508" s="2" t="s">
        <v>543</v>
      </c>
      <c r="AC508" s="1" t="s">
        <v>260</v>
      </c>
      <c r="AG508" s="33">
        <f>SUM(AG504:AG507)</f>
        <v>7273936721.6900015</v>
      </c>
    </row>
    <row r="509" spans="28:29" ht="9.75" customHeight="1">
      <c r="AB509" s="2" t="s">
        <v>543</v>
      </c>
      <c r="AC509" s="32" t="s">
        <v>472</v>
      </c>
    </row>
    <row r="510" spans="28:32" ht="9.75" customHeight="1">
      <c r="AB510" s="2" t="s">
        <v>543</v>
      </c>
      <c r="AC510" s="1" t="s">
        <v>261</v>
      </c>
      <c r="AF510" s="3">
        <f>-(AF499+AF501)</f>
        <v>-15000090</v>
      </c>
    </row>
    <row r="511" spans="28:33" ht="9.75" customHeight="1">
      <c r="AB511" s="2" t="s">
        <v>543</v>
      </c>
      <c r="AC511" s="1" t="s">
        <v>414</v>
      </c>
      <c r="AF511" s="3">
        <v>900000000</v>
      </c>
      <c r="AG511" s="3">
        <f>AF511</f>
        <v>900000000</v>
      </c>
    </row>
    <row r="512" spans="28:33" ht="9.75" customHeight="1">
      <c r="AB512" s="2" t="s">
        <v>543</v>
      </c>
      <c r="AC512" s="1" t="s">
        <v>428</v>
      </c>
      <c r="AF512" s="3">
        <f>-AG517</f>
        <v>12074491.1</v>
      </c>
      <c r="AG512" s="3">
        <f>AF512</f>
        <v>12074491.1</v>
      </c>
    </row>
    <row r="513" spans="28:33" ht="9.75" customHeight="1">
      <c r="AB513" s="2" t="s">
        <v>543</v>
      </c>
      <c r="AC513" s="1" t="s">
        <v>380</v>
      </c>
      <c r="AF513" s="3">
        <v>-341670750</v>
      </c>
      <c r="AG513" s="3">
        <f>AF513</f>
        <v>-341670750</v>
      </c>
    </row>
    <row r="514" spans="28:33" ht="9.75" customHeight="1">
      <c r="AB514" s="2" t="s">
        <v>543</v>
      </c>
      <c r="AC514" s="1" t="s">
        <v>262</v>
      </c>
      <c r="AF514" s="33">
        <f>SUM(AF504:AF513)</f>
        <v>7844340462.790002</v>
      </c>
      <c r="AG514" s="33">
        <f>SUM(AG508:AG513)</f>
        <v>7844340462.790002</v>
      </c>
    </row>
    <row r="515" spans="28:32" ht="9.75" customHeight="1">
      <c r="AB515" s="2" t="s">
        <v>543</v>
      </c>
      <c r="AD515" s="1" t="s">
        <v>341</v>
      </c>
      <c r="AF515" s="4" t="s">
        <v>263</v>
      </c>
    </row>
    <row r="516" spans="28:32" ht="9.75" customHeight="1">
      <c r="AB516" s="2" t="s">
        <v>543</v>
      </c>
      <c r="AD516" s="1" t="s">
        <v>343</v>
      </c>
      <c r="AF516" s="4" t="s">
        <v>264</v>
      </c>
    </row>
    <row r="517" spans="28:33" ht="9.75" customHeight="1">
      <c r="AB517" s="2" t="s">
        <v>543</v>
      </c>
      <c r="AC517" s="1" t="s">
        <v>432</v>
      </c>
      <c r="AG517" s="3">
        <v>-12074491.1</v>
      </c>
    </row>
    <row r="518" spans="28:33" ht="9.75" customHeight="1">
      <c r="AB518" s="2" t="s">
        <v>543</v>
      </c>
      <c r="AC518" s="1" t="s">
        <v>265</v>
      </c>
      <c r="AG518" s="33">
        <f>SUM(AG514:AG517)</f>
        <v>7832265971.6900015</v>
      </c>
    </row>
    <row r="519" spans="28:29" ht="9.75" customHeight="1">
      <c r="AB519" s="2" t="s">
        <v>543</v>
      </c>
      <c r="AC519" s="32" t="s">
        <v>266</v>
      </c>
    </row>
    <row r="520" spans="28:32" ht="9.75" customHeight="1">
      <c r="AB520" s="2" t="s">
        <v>543</v>
      </c>
      <c r="AC520" s="1" t="s">
        <v>267</v>
      </c>
      <c r="AF520" s="3">
        <v>-12074491.1</v>
      </c>
    </row>
    <row r="521" spans="28:33" ht="9.75" customHeight="1">
      <c r="AB521" s="2" t="s">
        <v>543</v>
      </c>
      <c r="AC521" s="1" t="s">
        <v>414</v>
      </c>
      <c r="AF521" s="3">
        <v>900000000</v>
      </c>
      <c r="AG521" s="3">
        <f>AF521</f>
        <v>900000000</v>
      </c>
    </row>
    <row r="522" spans="28:33" ht="9.75" customHeight="1">
      <c r="AB522" s="2" t="s">
        <v>543</v>
      </c>
      <c r="AC522" s="1" t="s">
        <v>428</v>
      </c>
      <c r="AF522" s="3">
        <f>27773882.81+1000000</f>
        <v>28773882.81</v>
      </c>
      <c r="AG522" s="3">
        <f>AF522</f>
        <v>28773882.81</v>
      </c>
    </row>
    <row r="523" spans="28:33" ht="9.75" customHeight="1">
      <c r="AB523" s="2" t="s">
        <v>543</v>
      </c>
      <c r="AC523" s="1" t="s">
        <v>380</v>
      </c>
      <c r="AF523" s="3">
        <v>-317391829</v>
      </c>
      <c r="AG523" s="3">
        <f>AF523</f>
        <v>-317391829</v>
      </c>
    </row>
    <row r="524" spans="28:33" ht="9.75" customHeight="1">
      <c r="AB524" s="2" t="s">
        <v>543</v>
      </c>
      <c r="AC524" s="1" t="s">
        <v>268</v>
      </c>
      <c r="AF524" s="33">
        <f>SUM(AF514:AF523)</f>
        <v>8443648025.500002</v>
      </c>
      <c r="AG524" s="33">
        <f>SUM(AG518:AG523)</f>
        <v>8443648025.500002</v>
      </c>
    </row>
    <row r="525" spans="28:32" ht="9.75" customHeight="1">
      <c r="AB525" s="2" t="s">
        <v>543</v>
      </c>
      <c r="AD525" s="1" t="s">
        <v>341</v>
      </c>
      <c r="AF525" s="4" t="s">
        <v>269</v>
      </c>
    </row>
    <row r="526" spans="28:32" ht="9.75" customHeight="1">
      <c r="AB526" s="2" t="s">
        <v>543</v>
      </c>
      <c r="AD526" s="1" t="s">
        <v>343</v>
      </c>
      <c r="AF526" s="4" t="s">
        <v>270</v>
      </c>
    </row>
    <row r="527" spans="28:33" ht="9.75" customHeight="1">
      <c r="AB527" s="2" t="s">
        <v>543</v>
      </c>
      <c r="AC527" s="1" t="s">
        <v>271</v>
      </c>
      <c r="AG527" s="3">
        <f>-AF522</f>
        <v>-28773882.81</v>
      </c>
    </row>
    <row r="528" spans="28:33" ht="9.75" customHeight="1">
      <c r="AB528" s="2" t="s">
        <v>543</v>
      </c>
      <c r="AC528" s="1" t="s">
        <v>272</v>
      </c>
      <c r="AG528" s="33">
        <f>SUM(AG524:AG527)</f>
        <v>8414874142.6900015</v>
      </c>
    </row>
    <row r="529" spans="28:29" ht="9.75" customHeight="1">
      <c r="AB529" s="2" t="s">
        <v>543</v>
      </c>
      <c r="AC529" s="32" t="s">
        <v>273</v>
      </c>
    </row>
    <row r="530" spans="28:29" ht="9.75" customHeight="1">
      <c r="AB530" s="2" t="s">
        <v>543</v>
      </c>
      <c r="AC530" s="1" t="s">
        <v>274</v>
      </c>
    </row>
    <row r="531" spans="28:32" ht="9.75" customHeight="1">
      <c r="AB531" s="2" t="s">
        <v>543</v>
      </c>
      <c r="AC531" s="1" t="s">
        <v>275</v>
      </c>
      <c r="AF531" s="4" t="s">
        <v>474</v>
      </c>
    </row>
    <row r="532" spans="28:33" ht="9.75" customHeight="1">
      <c r="AB532" s="2" t="s">
        <v>543</v>
      </c>
      <c r="AC532" s="1" t="s">
        <v>414</v>
      </c>
      <c r="AF532" s="3">
        <v>900000000</v>
      </c>
      <c r="AG532" s="3">
        <f>AF532</f>
        <v>900000000</v>
      </c>
    </row>
    <row r="533" spans="28:33" ht="9.75" customHeight="1">
      <c r="AB533" s="2" t="s">
        <v>543</v>
      </c>
      <c r="AC533" s="1" t="s">
        <v>428</v>
      </c>
      <c r="AF533" s="3">
        <v>6008315</v>
      </c>
      <c r="AG533" s="3">
        <f>AF533</f>
        <v>6008315</v>
      </c>
    </row>
    <row r="534" spans="28:33" ht="9.75" customHeight="1">
      <c r="AB534" s="2" t="s">
        <v>543</v>
      </c>
      <c r="AC534" s="1" t="s">
        <v>380</v>
      </c>
      <c r="AF534" s="3">
        <v>-283652286</v>
      </c>
      <c r="AG534" s="3">
        <f>AF534</f>
        <v>-283652286</v>
      </c>
    </row>
    <row r="535" spans="28:33" ht="9.75" customHeight="1">
      <c r="AB535" s="2" t="s">
        <v>543</v>
      </c>
      <c r="AC535" s="1" t="s">
        <v>276</v>
      </c>
      <c r="AF535" s="33">
        <f>SUM(AF524:AF534)</f>
        <v>9066004054.500002</v>
      </c>
      <c r="AG535" s="33">
        <f>SUM(AG528:AG534)</f>
        <v>9037230171.690002</v>
      </c>
    </row>
    <row r="536" spans="28:32" ht="9.75" customHeight="1">
      <c r="AB536" s="2" t="s">
        <v>543</v>
      </c>
      <c r="AD536" s="1" t="s">
        <v>341</v>
      </c>
      <c r="AF536" s="4" t="s">
        <v>277</v>
      </c>
    </row>
    <row r="537" spans="28:32" ht="9.75" customHeight="1">
      <c r="AB537" s="2" t="s">
        <v>543</v>
      </c>
      <c r="AD537" s="1" t="s">
        <v>343</v>
      </c>
      <c r="AF537" s="4" t="s">
        <v>278</v>
      </c>
    </row>
    <row r="538" spans="28:33" ht="9.75" customHeight="1">
      <c r="AB538" s="2" t="s">
        <v>543</v>
      </c>
      <c r="AC538" s="1" t="s">
        <v>271</v>
      </c>
      <c r="AG538" s="3">
        <f>-AF533</f>
        <v>-6008315</v>
      </c>
    </row>
    <row r="539" spans="28:33" ht="9.75" customHeight="1">
      <c r="AB539" s="2" t="s">
        <v>543</v>
      </c>
      <c r="AC539" s="1" t="s">
        <v>279</v>
      </c>
      <c r="AG539" s="33">
        <f>SUM(AG535:AG538)</f>
        <v>9031221856.690002</v>
      </c>
    </row>
    <row r="540" spans="28:29" ht="9.75" customHeight="1">
      <c r="AB540" s="2" t="s">
        <v>543</v>
      </c>
      <c r="AC540" s="32" t="s">
        <v>280</v>
      </c>
    </row>
    <row r="541" spans="28:32" ht="9.75" customHeight="1">
      <c r="AB541" s="2" t="s">
        <v>543</v>
      </c>
      <c r="AC541" s="1" t="s">
        <v>281</v>
      </c>
      <c r="AF541" s="3">
        <v>-28773882.81</v>
      </c>
    </row>
    <row r="542" spans="28:32" ht="9.75" customHeight="1">
      <c r="AB542" s="2" t="s">
        <v>543</v>
      </c>
      <c r="AC542" s="1" t="s">
        <v>282</v>
      </c>
      <c r="AF542" s="3">
        <f>AG538</f>
        <v>-6008315</v>
      </c>
    </row>
    <row r="543" spans="28:33" ht="9.75" customHeight="1">
      <c r="AB543" s="2" t="s">
        <v>543</v>
      </c>
      <c r="AC543" s="1" t="s">
        <v>414</v>
      </c>
      <c r="AF543" s="3">
        <v>900000000</v>
      </c>
      <c r="AG543" s="3">
        <f>AF543</f>
        <v>900000000</v>
      </c>
    </row>
    <row r="544" spans="28:34" ht="9.75" customHeight="1">
      <c r="AB544" s="2" t="s">
        <v>543</v>
      </c>
      <c r="AC544" s="1" t="s">
        <v>283</v>
      </c>
      <c r="AF544" s="4" t="s">
        <v>284</v>
      </c>
      <c r="AG544" s="4" t="s">
        <v>284</v>
      </c>
      <c r="AH544" s="1" t="s">
        <v>424</v>
      </c>
    </row>
    <row r="545" spans="28:33" ht="9.75" customHeight="1">
      <c r="AB545" s="2" t="s">
        <v>543</v>
      </c>
      <c r="AC545" s="1" t="s">
        <v>285</v>
      </c>
      <c r="AF545" s="3">
        <v>-1000000</v>
      </c>
      <c r="AG545" s="3">
        <v>-1000000</v>
      </c>
    </row>
    <row r="546" spans="28:33" ht="9.75" customHeight="1">
      <c r="AB546" s="2" t="s">
        <v>543</v>
      </c>
      <c r="AC546" s="1" t="s">
        <v>286</v>
      </c>
      <c r="AF546" s="3">
        <v>-9589</v>
      </c>
      <c r="AG546" s="3">
        <v>-9589</v>
      </c>
    </row>
    <row r="547" spans="28:33" ht="9.75" customHeight="1">
      <c r="AB547" s="2" t="s">
        <v>543</v>
      </c>
      <c r="AC547" s="1" t="s">
        <v>287</v>
      </c>
      <c r="AF547" s="3">
        <v>-2000000</v>
      </c>
      <c r="AG547" s="3">
        <v>-2000000</v>
      </c>
    </row>
    <row r="548" spans="28:33" ht="9.75" customHeight="1">
      <c r="AB548" s="2" t="s">
        <v>543</v>
      </c>
      <c r="AC548" s="1" t="s">
        <v>425</v>
      </c>
      <c r="AF548" s="4" t="s">
        <v>288</v>
      </c>
      <c r="AG548" s="4" t="s">
        <v>289</v>
      </c>
    </row>
    <row r="549" spans="28:33" ht="9.75" customHeight="1">
      <c r="AB549" s="2" t="s">
        <v>543</v>
      </c>
      <c r="AC549" s="1" t="s">
        <v>428</v>
      </c>
      <c r="AF549" s="3">
        <v>3011753</v>
      </c>
      <c r="AG549" s="3">
        <f>AF549</f>
        <v>3011753</v>
      </c>
    </row>
    <row r="550" spans="28:33" ht="9.75" customHeight="1">
      <c r="AB550" s="2" t="s">
        <v>543</v>
      </c>
      <c r="AC550" s="1" t="s">
        <v>380</v>
      </c>
      <c r="AF550" s="3">
        <v>-255551000</v>
      </c>
      <c r="AG550" s="3">
        <f>AF550</f>
        <v>-255551000</v>
      </c>
    </row>
    <row r="551" spans="28:33" ht="9.75" customHeight="1">
      <c r="AB551" s="2" t="s">
        <v>543</v>
      </c>
      <c r="AC551" s="1" t="s">
        <v>290</v>
      </c>
      <c r="AF551" s="33">
        <f>SUM(AF535:AF550)</f>
        <v>9675673020.690002</v>
      </c>
      <c r="AG551" s="33">
        <f>SUM(AG539:AG550)</f>
        <v>9675673020.690002</v>
      </c>
    </row>
    <row r="552" spans="28:32" ht="9.75" customHeight="1">
      <c r="AB552" s="2" t="s">
        <v>543</v>
      </c>
      <c r="AD552" s="1" t="s">
        <v>341</v>
      </c>
      <c r="AF552" s="4" t="s">
        <v>291</v>
      </c>
    </row>
    <row r="553" spans="28:32" ht="9.75" customHeight="1">
      <c r="AB553" s="2" t="s">
        <v>543</v>
      </c>
      <c r="AD553" s="1" t="s">
        <v>343</v>
      </c>
      <c r="AF553" s="4" t="s">
        <v>292</v>
      </c>
    </row>
    <row r="554" spans="28:33" ht="9.75" customHeight="1">
      <c r="AB554" s="2" t="s">
        <v>543</v>
      </c>
      <c r="AC554" s="1" t="s">
        <v>271</v>
      </c>
      <c r="AG554" s="3">
        <f>3009589-3011753</f>
        <v>-2164</v>
      </c>
    </row>
    <row r="555" spans="28:33" ht="9.75" customHeight="1">
      <c r="AB555" s="2" t="s">
        <v>543</v>
      </c>
      <c r="AC555" s="1" t="s">
        <v>293</v>
      </c>
      <c r="AG555" s="33">
        <f>SUM(AG551:AG554)</f>
        <v>9675670856.690002</v>
      </c>
    </row>
    <row r="556" spans="28:29" ht="9.75" customHeight="1">
      <c r="AB556" s="2" t="s">
        <v>543</v>
      </c>
      <c r="AC556" s="32" t="s">
        <v>294</v>
      </c>
    </row>
    <row r="557" spans="28:29" ht="9.75" customHeight="1">
      <c r="AB557" s="2" t="s">
        <v>543</v>
      </c>
      <c r="AC557" s="1" t="s">
        <v>295</v>
      </c>
    </row>
    <row r="558" spans="28:32" ht="9.75" customHeight="1">
      <c r="AB558" s="2" t="s">
        <v>543</v>
      </c>
      <c r="AC558" s="1" t="s">
        <v>296</v>
      </c>
      <c r="AF558" s="4" t="s">
        <v>477</v>
      </c>
    </row>
    <row r="559" spans="28:33" ht="9.75" customHeight="1">
      <c r="AB559" s="2" t="s">
        <v>543</v>
      </c>
      <c r="AC559" s="1" t="s">
        <v>414</v>
      </c>
      <c r="AF559" s="3">
        <v>900000000</v>
      </c>
      <c r="AG559" s="3">
        <f>AF559</f>
        <v>900000000</v>
      </c>
    </row>
    <row r="560" spans="28:34" ht="9.75" customHeight="1">
      <c r="AB560" s="2" t="s">
        <v>543</v>
      </c>
      <c r="AC560" s="1" t="s">
        <v>297</v>
      </c>
      <c r="AF560" s="3">
        <v>-3012763</v>
      </c>
      <c r="AG560" s="3">
        <v>-3012763</v>
      </c>
      <c r="AH560" s="1" t="s">
        <v>424</v>
      </c>
    </row>
    <row r="561" spans="28:33" ht="9.75" customHeight="1">
      <c r="AB561" s="2" t="s">
        <v>543</v>
      </c>
      <c r="AC561" s="1" t="s">
        <v>425</v>
      </c>
      <c r="AF561" s="4" t="s">
        <v>298</v>
      </c>
      <c r="AG561" s="4" t="s">
        <v>298</v>
      </c>
    </row>
    <row r="562" spans="28:33" ht="9.75" customHeight="1">
      <c r="AB562" s="2" t="s">
        <v>543</v>
      </c>
      <c r="AC562" s="1" t="s">
        <v>428</v>
      </c>
      <c r="AF562" s="3">
        <f>2011113.01+1000000</f>
        <v>3011113.01</v>
      </c>
      <c r="AG562" s="3">
        <f>2011113.01+1000000</f>
        <v>3011113.01</v>
      </c>
    </row>
    <row r="563" spans="28:33" ht="9.75" customHeight="1">
      <c r="AB563" s="2" t="s">
        <v>543</v>
      </c>
      <c r="AC563" s="1" t="s">
        <v>380</v>
      </c>
      <c r="AF563" s="3">
        <v>-216795067</v>
      </c>
      <c r="AG563" s="3">
        <v>-216795067</v>
      </c>
    </row>
    <row r="564" spans="28:33" ht="9.75" customHeight="1">
      <c r="AB564" s="2" t="s">
        <v>543</v>
      </c>
      <c r="AC564" s="1" t="s">
        <v>299</v>
      </c>
      <c r="AF564" s="33">
        <f>SUM(AF551:AF563)</f>
        <v>10358876303.700003</v>
      </c>
      <c r="AG564" s="33">
        <f>SUM(AG555:AG563)</f>
        <v>10358874139.700003</v>
      </c>
    </row>
    <row r="565" spans="28:32" ht="9.75" customHeight="1">
      <c r="AB565" s="2" t="s">
        <v>543</v>
      </c>
      <c r="AD565" s="1" t="s">
        <v>341</v>
      </c>
      <c r="AF565" s="4" t="s">
        <v>300</v>
      </c>
    </row>
    <row r="566" spans="28:32" ht="9.75" customHeight="1">
      <c r="AB566" s="2" t="s">
        <v>543</v>
      </c>
      <c r="AD566" s="1" t="s">
        <v>343</v>
      </c>
      <c r="AF566" s="4" t="s">
        <v>301</v>
      </c>
    </row>
    <row r="567" spans="28:33" ht="9.75" customHeight="1">
      <c r="AB567" s="2" t="s">
        <v>543</v>
      </c>
      <c r="AC567" s="1" t="s">
        <v>302</v>
      </c>
      <c r="AG567" s="3">
        <f>3012763-3011113.01</f>
        <v>1649.9900000002235</v>
      </c>
    </row>
    <row r="568" spans="28:33" ht="9.75" customHeight="1">
      <c r="AB568" s="2" t="s">
        <v>543</v>
      </c>
      <c r="AC568" s="1" t="s">
        <v>303</v>
      </c>
      <c r="AG568" s="33">
        <f>SUM(AG564:AG567)</f>
        <v>10358875789.690002</v>
      </c>
    </row>
    <row r="569" spans="28:29" ht="9.75" customHeight="1">
      <c r="AB569" s="2" t="s">
        <v>543</v>
      </c>
      <c r="AC569" s="32" t="s">
        <v>304</v>
      </c>
    </row>
    <row r="570" spans="28:32" ht="9.75" customHeight="1">
      <c r="AB570" s="2" t="s">
        <v>543</v>
      </c>
      <c r="AC570" s="1" t="s">
        <v>305</v>
      </c>
      <c r="AF570" s="3">
        <v>-2164</v>
      </c>
    </row>
    <row r="571" spans="28:29" ht="9.75" customHeight="1">
      <c r="AB571" s="2" t="s">
        <v>543</v>
      </c>
      <c r="AC571" s="1" t="s">
        <v>306</v>
      </c>
    </row>
    <row r="572" spans="28:32" ht="9.75" customHeight="1">
      <c r="AB572" s="2" t="s">
        <v>543</v>
      </c>
      <c r="AC572" s="1" t="s">
        <v>307</v>
      </c>
      <c r="AF572" s="3">
        <v>1649</v>
      </c>
    </row>
    <row r="573" spans="28:32" ht="9.75" customHeight="1">
      <c r="AB573" s="2" t="s">
        <v>543</v>
      </c>
      <c r="AC573" s="1" t="s">
        <v>308</v>
      </c>
      <c r="AF573" s="4" t="s">
        <v>309</v>
      </c>
    </row>
    <row r="574" spans="28:33" ht="9.75" customHeight="1">
      <c r="AB574" s="2" t="s">
        <v>543</v>
      </c>
      <c r="AC574" s="1" t="s">
        <v>414</v>
      </c>
      <c r="AF574" s="3">
        <v>900000000</v>
      </c>
      <c r="AG574" s="3">
        <f>AF574</f>
        <v>900000000</v>
      </c>
    </row>
    <row r="575" spans="28:34" ht="9.75" customHeight="1">
      <c r="AB575" s="2" t="s">
        <v>543</v>
      </c>
      <c r="AC575" s="1" t="s">
        <v>310</v>
      </c>
      <c r="AF575" s="3">
        <v>-3093751</v>
      </c>
      <c r="AG575" s="3">
        <v>-3093751</v>
      </c>
      <c r="AH575" s="1" t="s">
        <v>424</v>
      </c>
    </row>
    <row r="576" spans="28:33" ht="9.75" customHeight="1">
      <c r="AB576" s="2" t="s">
        <v>543</v>
      </c>
      <c r="AC576" s="1" t="s">
        <v>425</v>
      </c>
      <c r="AF576" s="4" t="s">
        <v>311</v>
      </c>
      <c r="AG576" s="4" t="s">
        <v>312</v>
      </c>
    </row>
    <row r="577" spans="28:33" ht="9.75" customHeight="1">
      <c r="AB577" s="2" t="s">
        <v>543</v>
      </c>
      <c r="AC577" s="1" t="s">
        <v>428</v>
      </c>
      <c r="AF577" s="3">
        <f>10099699.18+1000000</f>
        <v>11099699.18</v>
      </c>
      <c r="AG577" s="3">
        <f>10099699.18+1000000</f>
        <v>11099699.18</v>
      </c>
    </row>
    <row r="578" spans="28:33" ht="9.75" customHeight="1">
      <c r="AB578" s="2" t="s">
        <v>543</v>
      </c>
      <c r="AC578" s="1" t="s">
        <v>380</v>
      </c>
      <c r="AF578" s="3">
        <v>-138073000</v>
      </c>
      <c r="AG578" s="3">
        <v>-138073000</v>
      </c>
    </row>
    <row r="579" spans="28:33" ht="9.75" customHeight="1">
      <c r="AB579" s="2" t="s">
        <v>543</v>
      </c>
      <c r="AC579" s="1" t="s">
        <v>313</v>
      </c>
      <c r="AF579" s="33">
        <f>SUM(AF564:AF578)</f>
        <v>11128808736.880003</v>
      </c>
      <c r="AG579" s="33">
        <f>SUM(AG568:AG578)</f>
        <v>11128808737.870003</v>
      </c>
    </row>
    <row r="580" spans="28:32" ht="9.75" customHeight="1">
      <c r="AB580" s="2" t="s">
        <v>543</v>
      </c>
      <c r="AD580" s="1" t="s">
        <v>341</v>
      </c>
      <c r="AF580" s="4" t="s">
        <v>314</v>
      </c>
    </row>
    <row r="581" spans="28:32" ht="9.75" customHeight="1">
      <c r="AB581" s="2" t="s">
        <v>543</v>
      </c>
      <c r="AD581" s="1" t="s">
        <v>343</v>
      </c>
      <c r="AF581" s="4" t="s">
        <v>315</v>
      </c>
    </row>
    <row r="582" spans="28:33" ht="9.75" customHeight="1">
      <c r="AB582" s="2" t="s">
        <v>543</v>
      </c>
      <c r="AC582" s="1" t="s">
        <v>316</v>
      </c>
      <c r="AG582" s="3">
        <f>3093751-11099699.18</f>
        <v>-8005948.18</v>
      </c>
    </row>
    <row r="583" spans="28:33" ht="9.75" customHeight="1">
      <c r="AB583" s="2" t="s">
        <v>543</v>
      </c>
      <c r="AC583" s="1" t="s">
        <v>317</v>
      </c>
      <c r="AG583" s="33">
        <f>SUM(AG579:AG582)</f>
        <v>11120802789.690002</v>
      </c>
    </row>
    <row r="584" spans="28:29" ht="9.75" customHeight="1">
      <c r="AB584" s="2" t="s">
        <v>543</v>
      </c>
      <c r="AC584" s="32" t="s">
        <v>318</v>
      </c>
    </row>
    <row r="585" spans="28:29" ht="9.75" customHeight="1">
      <c r="AB585" s="2" t="s">
        <v>543</v>
      </c>
      <c r="AC585" s="1" t="s">
        <v>319</v>
      </c>
    </row>
    <row r="586" spans="28:32" ht="9.75" customHeight="1">
      <c r="AB586" s="2" t="s">
        <v>543</v>
      </c>
      <c r="AC586" s="1" t="s">
        <v>320</v>
      </c>
      <c r="AF586" s="3">
        <v>0.99</v>
      </c>
    </row>
    <row r="587" spans="28:32" ht="9.75" customHeight="1">
      <c r="AB587" s="2" t="s">
        <v>543</v>
      </c>
      <c r="AC587" s="1" t="s">
        <v>321</v>
      </c>
      <c r="AF587" s="3">
        <f>AG582</f>
        <v>-8005948.18</v>
      </c>
    </row>
    <row r="588" spans="28:32" ht="9.75" customHeight="1">
      <c r="AB588" s="2" t="s">
        <v>543</v>
      </c>
      <c r="AC588" s="1" t="s">
        <v>317</v>
      </c>
      <c r="AF588" s="33">
        <f>SUM(AF579:AF587)</f>
        <v>11120802789.690002</v>
      </c>
    </row>
    <row r="589" ht="9.75" customHeight="1">
      <c r="AB589" s="2" t="s">
        <v>543</v>
      </c>
    </row>
    <row r="590" spans="28:29" ht="9.75" customHeight="1">
      <c r="AB590" s="2" t="s">
        <v>543</v>
      </c>
      <c r="AC590" s="1" t="s">
        <v>322</v>
      </c>
    </row>
    <row r="591" spans="28:29" ht="9.75" customHeight="1">
      <c r="AB591" s="2" t="s">
        <v>543</v>
      </c>
      <c r="AC591" s="1" t="s">
        <v>323</v>
      </c>
    </row>
    <row r="592" spans="28:29" ht="9.75" customHeight="1">
      <c r="AB592" s="2" t="s">
        <v>543</v>
      </c>
      <c r="AC592" s="1" t="s">
        <v>324</v>
      </c>
    </row>
    <row r="593" spans="28:33" ht="9.75" customHeight="1">
      <c r="AB593" s="2" t="s">
        <v>543</v>
      </c>
      <c r="AG593" s="4" t="s">
        <v>325</v>
      </c>
    </row>
    <row r="594" ht="9.75" customHeight="1"/>
  </sheetData>
  <mergeCells count="1">
    <mergeCell ref="A2:O2"/>
  </mergeCells>
  <printOptions horizontalCentered="1"/>
  <pageMargins left="0.25" right="0.25" top="0.75" bottom="0.5" header="0.5" footer="0.5"/>
  <pageSetup horizontalDpi="300" verticalDpi="300" orientation="portrait" scale="77" r:id="rId2"/>
  <rowBreaks count="1" manualBreakCount="1">
    <brk id="105" max="255" man="1"/>
  </rowBreaks>
  <colBreaks count="1" manualBreakCount="1">
    <brk id="15" max="65535" man="1"/>
  </colBreaks>
  <drawing r:id="rId1"/>
</worksheet>
</file>

<file path=xl/worksheets/sheet10.xml><?xml version="1.0" encoding="utf-8"?>
<worksheet xmlns="http://schemas.openxmlformats.org/spreadsheetml/2006/main" xmlns:r="http://schemas.openxmlformats.org/officeDocument/2006/relationships">
  <sheetPr transitionEvaluation="1" transitionEntry="1"/>
  <dimension ref="A1:J89"/>
  <sheetViews>
    <sheetView zoomScale="79" zoomScaleNormal="79" workbookViewId="0" topLeftCell="A27">
      <selection activeCell="C61" sqref="C61"/>
    </sheetView>
  </sheetViews>
  <sheetFormatPr defaultColWidth="8.7109375" defaultRowHeight="10.5" customHeight="1"/>
  <cols>
    <col min="1" max="1" width="38.7109375" style="74" customWidth="1"/>
    <col min="2" max="7" width="8.7109375" style="74" customWidth="1"/>
    <col min="8" max="8" width="11.421875" style="74" customWidth="1"/>
    <col min="9" max="14" width="8.7109375" style="74" customWidth="1"/>
    <col min="15" max="25" width="8.7109375" style="0" customWidth="1"/>
    <col min="26" max="16384" width="8.8515625" style="0" customWidth="1"/>
  </cols>
  <sheetData>
    <row r="1" spans="1:7" ht="10.5" customHeight="1">
      <c r="A1" s="161" t="s">
        <v>39</v>
      </c>
      <c r="G1" s="158" t="s">
        <v>48</v>
      </c>
    </row>
    <row r="2" ht="10.5" customHeight="1">
      <c r="A2" s="161"/>
    </row>
    <row r="3" spans="2:7" ht="10.5" customHeight="1">
      <c r="B3" s="157" t="s">
        <v>116</v>
      </c>
      <c r="C3" s="157" t="s">
        <v>123</v>
      </c>
      <c r="D3" s="157" t="s">
        <v>115</v>
      </c>
      <c r="E3" s="157" t="s">
        <v>117</v>
      </c>
      <c r="F3" s="157" t="s">
        <v>33</v>
      </c>
      <c r="G3" s="157" t="s">
        <v>98</v>
      </c>
    </row>
    <row r="4" spans="1:7" ht="10.5" customHeight="1">
      <c r="A4" s="154" t="s">
        <v>138</v>
      </c>
      <c r="B4" s="128"/>
      <c r="C4" s="128"/>
      <c r="D4" s="128"/>
      <c r="E4" s="128"/>
      <c r="F4" s="128"/>
      <c r="G4" s="128"/>
    </row>
    <row r="5" spans="1:7" ht="10.5" customHeight="1">
      <c r="A5" s="74" t="s">
        <v>139</v>
      </c>
      <c r="B5" s="128"/>
      <c r="C5" s="128"/>
      <c r="D5" s="128"/>
      <c r="E5" s="128"/>
      <c r="F5" s="128"/>
      <c r="G5" s="128"/>
    </row>
    <row r="6" spans="1:7" ht="10.5" customHeight="1">
      <c r="A6" s="74" t="s">
        <v>142</v>
      </c>
      <c r="B6" s="128"/>
      <c r="C6" s="128"/>
      <c r="D6" s="128"/>
      <c r="E6" s="128"/>
      <c r="F6" s="128"/>
      <c r="G6" s="128"/>
    </row>
    <row r="7" spans="1:7" ht="10.5" customHeight="1">
      <c r="A7" s="74" t="s">
        <v>141</v>
      </c>
      <c r="B7" s="128"/>
      <c r="C7" s="128"/>
      <c r="D7" s="128"/>
      <c r="E7" s="128"/>
      <c r="F7" s="128"/>
      <c r="G7" s="128"/>
    </row>
    <row r="8" spans="1:8" ht="10.5" customHeight="1">
      <c r="A8" s="74" t="s">
        <v>106</v>
      </c>
      <c r="B8" s="128"/>
      <c r="C8" s="128"/>
      <c r="D8" s="128">
        <f>250000+10000</f>
        <v>260000</v>
      </c>
      <c r="E8" s="128">
        <f>65000</f>
        <v>65000</v>
      </c>
      <c r="F8" s="128"/>
      <c r="G8" s="74">
        <f>SUM(B8:F8)</f>
        <v>325000</v>
      </c>
      <c r="H8" s="74" t="s">
        <v>140</v>
      </c>
    </row>
    <row r="9" spans="1:6" ht="10.5" customHeight="1">
      <c r="A9" s="74" t="s">
        <v>145</v>
      </c>
      <c r="B9" s="128">
        <f>2000+1400</f>
        <v>3400</v>
      </c>
      <c r="C9" s="128">
        <v>1100</v>
      </c>
      <c r="D9" s="128"/>
      <c r="E9" s="128"/>
      <c r="F9" s="128"/>
    </row>
    <row r="10" spans="1:7" ht="10.5" customHeight="1">
      <c r="A10" s="74" t="s">
        <v>107</v>
      </c>
      <c r="B10" s="128">
        <f>59650-20000-2000+67415-1400</f>
        <v>103665</v>
      </c>
      <c r="C10" s="128">
        <f>52965-20000+41730-1100</f>
        <v>73595</v>
      </c>
      <c r="D10" s="128">
        <f>26500-10000+23740</f>
        <v>40240</v>
      </c>
      <c r="E10" s="128">
        <f>51750-10000+38250</f>
        <v>80000</v>
      </c>
      <c r="F10" s="128"/>
      <c r="G10" s="74">
        <f>SUM(B10:F10)</f>
        <v>297500</v>
      </c>
    </row>
    <row r="11" spans="1:7" ht="10.5" customHeight="1">
      <c r="A11" s="74" t="s">
        <v>108</v>
      </c>
      <c r="B11" s="155">
        <f>SUM(B7:B10)</f>
        <v>107065</v>
      </c>
      <c r="C11" s="155">
        <f>SUM(C7:C10)</f>
        <v>74695</v>
      </c>
      <c r="D11" s="155">
        <f>SUM(D7:D10)</f>
        <v>300240</v>
      </c>
      <c r="E11" s="155">
        <f>SUM(E7:E10)</f>
        <v>145000</v>
      </c>
      <c r="F11" s="155"/>
      <c r="G11" s="155">
        <f>SUM(B11:F11)</f>
        <v>627000</v>
      </c>
    </row>
    <row r="12" spans="1:7" ht="10.5" customHeight="1">
      <c r="A12" s="161" t="s">
        <v>159</v>
      </c>
      <c r="B12" s="159"/>
      <c r="C12" s="159"/>
      <c r="D12" s="159"/>
      <c r="E12" s="159">
        <v>12000</v>
      </c>
      <c r="F12" s="159"/>
      <c r="G12" s="159"/>
    </row>
    <row r="13" spans="1:7" ht="10.5" customHeight="1">
      <c r="A13" s="74" t="s">
        <v>144</v>
      </c>
      <c r="B13" s="128">
        <v>20000</v>
      </c>
      <c r="C13" s="128">
        <v>20000</v>
      </c>
      <c r="D13" s="128">
        <v>10000</v>
      </c>
      <c r="E13" s="128">
        <v>10000</v>
      </c>
      <c r="F13" s="128"/>
      <c r="G13" s="128"/>
    </row>
    <row r="14" spans="1:7" ht="10.5" customHeight="1">
      <c r="A14" s="74" t="s">
        <v>143</v>
      </c>
      <c r="B14" s="155">
        <f>SUM(B11:B13)</f>
        <v>127065</v>
      </c>
      <c r="C14" s="155">
        <f>SUM(C11:C13)</f>
        <v>94695</v>
      </c>
      <c r="D14" s="155">
        <f>SUM(D11:D13)</f>
        <v>310240</v>
      </c>
      <c r="E14" s="155">
        <f>SUM(E11:E13)</f>
        <v>167000</v>
      </c>
      <c r="F14" s="155"/>
      <c r="G14" s="155">
        <f>SUM(B14:F14)</f>
        <v>699000</v>
      </c>
    </row>
    <row r="15" spans="1:7" ht="10.5" customHeight="1">
      <c r="A15" s="161" t="s">
        <v>24</v>
      </c>
      <c r="B15" s="128">
        <f>142290+1000</f>
        <v>143290</v>
      </c>
      <c r="C15" s="128">
        <v>62632</v>
      </c>
      <c r="D15" s="128">
        <v>11200</v>
      </c>
      <c r="E15" s="128">
        <v>52976</v>
      </c>
      <c r="F15" s="128"/>
      <c r="G15" s="74">
        <f>SUM(B15:F15)</f>
        <v>270098</v>
      </c>
    </row>
    <row r="16" spans="1:7" ht="10.5" customHeight="1">
      <c r="A16" s="74" t="s">
        <v>114</v>
      </c>
      <c r="B16" s="155">
        <f aca="true" t="shared" si="0" ref="B16:G16">SUM(B14:B15)</f>
        <v>270355</v>
      </c>
      <c r="C16" s="155">
        <f t="shared" si="0"/>
        <v>157327</v>
      </c>
      <c r="D16" s="155">
        <f t="shared" si="0"/>
        <v>321440</v>
      </c>
      <c r="E16" s="155">
        <f t="shared" si="0"/>
        <v>219976</v>
      </c>
      <c r="F16" s="155">
        <f t="shared" si="0"/>
        <v>0</v>
      </c>
      <c r="G16" s="155">
        <f t="shared" si="0"/>
        <v>969098</v>
      </c>
    </row>
    <row r="17" spans="2:7" ht="10.5" customHeight="1">
      <c r="B17" s="128"/>
      <c r="C17" s="128"/>
      <c r="D17" s="128"/>
      <c r="E17" s="128"/>
      <c r="F17" s="128"/>
      <c r="G17" s="128"/>
    </row>
    <row r="18" spans="1:7" ht="10.5" customHeight="1">
      <c r="A18" s="162" t="s">
        <v>25</v>
      </c>
      <c r="B18" s="128">
        <v>147915</v>
      </c>
      <c r="C18" s="128">
        <v>47792</v>
      </c>
      <c r="D18" s="128">
        <v>14591</v>
      </c>
      <c r="E18" s="128">
        <v>117918</v>
      </c>
      <c r="F18" s="128"/>
      <c r="G18" s="74">
        <f>SUM(B18:F18)</f>
        <v>328216</v>
      </c>
    </row>
    <row r="19" spans="2:7" ht="10.5" customHeight="1">
      <c r="B19" s="128"/>
      <c r="C19" s="128"/>
      <c r="D19" s="128"/>
      <c r="E19" s="128"/>
      <c r="F19" s="128"/>
      <c r="G19" s="128"/>
    </row>
    <row r="20" ht="10.5" customHeight="1">
      <c r="A20" s="154" t="s">
        <v>97</v>
      </c>
    </row>
    <row r="21" ht="10.5" customHeight="1">
      <c r="A21" s="74" t="s">
        <v>136</v>
      </c>
    </row>
    <row r="22" ht="10.5" customHeight="1">
      <c r="A22" s="74" t="s">
        <v>137</v>
      </c>
    </row>
    <row r="23" spans="1:8" ht="10.5" customHeight="1">
      <c r="A23" s="74" t="s">
        <v>106</v>
      </c>
      <c r="B23" s="74">
        <f>35000</f>
        <v>35000</v>
      </c>
      <c r="C23" s="74">
        <f>2000</f>
        <v>2000</v>
      </c>
      <c r="D23" s="74">
        <f>5000+19500</f>
        <v>24500</v>
      </c>
      <c r="E23" s="74">
        <f>61000</f>
        <v>61000</v>
      </c>
      <c r="G23" s="74">
        <f>SUM(B23:F23)</f>
        <v>122500</v>
      </c>
      <c r="H23" s="74" t="s">
        <v>131</v>
      </c>
    </row>
    <row r="24" spans="1:8" ht="10.5" customHeight="1">
      <c r="A24" s="74" t="s">
        <v>104</v>
      </c>
      <c r="E24" s="74">
        <v>5000</v>
      </c>
      <c r="G24" s="74">
        <f aca="true" t="shared" si="1" ref="G24:G30">SUM(B24:F24)</f>
        <v>5000</v>
      </c>
      <c r="H24" s="74" t="s">
        <v>132</v>
      </c>
    </row>
    <row r="25" spans="1:7" ht="10.5" customHeight="1">
      <c r="A25" s="74" t="s">
        <v>107</v>
      </c>
      <c r="B25" s="74">
        <v>6075</v>
      </c>
      <c r="C25" s="74">
        <v>8175</v>
      </c>
      <c r="D25" s="74">
        <v>5750</v>
      </c>
      <c r="E25" s="74">
        <v>15000</v>
      </c>
      <c r="G25" s="74">
        <f t="shared" si="1"/>
        <v>35000</v>
      </c>
    </row>
    <row r="26" spans="1:7" ht="10.5" customHeight="1">
      <c r="A26" s="74" t="s">
        <v>108</v>
      </c>
      <c r="B26" s="155">
        <f>SUM(B23:B25)</f>
        <v>41075</v>
      </c>
      <c r="C26" s="155">
        <f>SUM(C23:C25)</f>
        <v>10175</v>
      </c>
      <c r="D26" s="155">
        <f>SUM(D23:D25)</f>
        <v>30250</v>
      </c>
      <c r="E26" s="155">
        <f>SUM(E23:E25)</f>
        <v>81000</v>
      </c>
      <c r="F26" s="155"/>
      <c r="G26" s="155">
        <f>SUM(B26:F26)</f>
        <v>162500</v>
      </c>
    </row>
    <row r="27" spans="1:7" ht="10.5" customHeight="1">
      <c r="A27" s="74" t="s">
        <v>120</v>
      </c>
      <c r="B27" s="74">
        <v>20000</v>
      </c>
      <c r="G27" s="74">
        <f t="shared" si="1"/>
        <v>20000</v>
      </c>
    </row>
    <row r="28" spans="1:7" ht="10.5" customHeight="1">
      <c r="A28" s="74" t="s">
        <v>109</v>
      </c>
      <c r="B28" s="74">
        <v>10000</v>
      </c>
      <c r="G28" s="74">
        <f t="shared" si="1"/>
        <v>10000</v>
      </c>
    </row>
    <row r="29" spans="1:7" ht="10.5" customHeight="1">
      <c r="A29" s="74" t="s">
        <v>105</v>
      </c>
      <c r="B29" s="74">
        <v>5000</v>
      </c>
      <c r="G29" s="74">
        <f t="shared" si="1"/>
        <v>5000</v>
      </c>
    </row>
    <row r="30" spans="1:7" ht="10.5" customHeight="1">
      <c r="A30" s="74" t="s">
        <v>113</v>
      </c>
      <c r="B30" s="155">
        <f>SUM(B26:B29)</f>
        <v>76075</v>
      </c>
      <c r="C30" s="155">
        <f>SUM(C26:C29)</f>
        <v>10175</v>
      </c>
      <c r="D30" s="155">
        <f>SUM(D26:D29)</f>
        <v>30250</v>
      </c>
      <c r="E30" s="155">
        <f>SUM(E26:E29)</f>
        <v>81000</v>
      </c>
      <c r="F30" s="155"/>
      <c r="G30" s="155">
        <f t="shared" si="1"/>
        <v>197500</v>
      </c>
    </row>
    <row r="31" spans="1:7" ht="10.5" customHeight="1">
      <c r="A31" s="161" t="s">
        <v>26</v>
      </c>
      <c r="B31" s="74">
        <v>120700</v>
      </c>
      <c r="C31" s="74">
        <v>50513</v>
      </c>
      <c r="D31" s="74">
        <v>15500</v>
      </c>
      <c r="E31" s="74">
        <v>79575</v>
      </c>
      <c r="G31" s="74">
        <f aca="true" t="shared" si="2" ref="G31:G36">SUM(B31:F31)</f>
        <v>266288</v>
      </c>
    </row>
    <row r="32" spans="1:7" ht="10.5" customHeight="1">
      <c r="A32" s="74" t="s">
        <v>99</v>
      </c>
      <c r="E32" s="74">
        <v>-73</v>
      </c>
      <c r="G32" s="74">
        <f t="shared" si="2"/>
        <v>-73</v>
      </c>
    </row>
    <row r="33" spans="1:7" ht="10.5" customHeight="1">
      <c r="A33" s="74" t="s">
        <v>146</v>
      </c>
      <c r="E33" s="74">
        <v>-73</v>
      </c>
      <c r="G33" s="74">
        <f t="shared" si="2"/>
        <v>-73</v>
      </c>
    </row>
    <row r="34" spans="1:8" ht="10.5" customHeight="1">
      <c r="A34" s="74" t="s">
        <v>128</v>
      </c>
      <c r="C34" s="74">
        <v>1250</v>
      </c>
      <c r="G34" s="74">
        <f t="shared" si="2"/>
        <v>1250</v>
      </c>
      <c r="H34" s="156" t="s">
        <v>129</v>
      </c>
    </row>
    <row r="35" spans="1:7" ht="10.5" customHeight="1">
      <c r="A35" s="74" t="s">
        <v>118</v>
      </c>
      <c r="D35" s="74">
        <v>2000</v>
      </c>
      <c r="G35" s="74">
        <f t="shared" si="2"/>
        <v>2000</v>
      </c>
    </row>
    <row r="36" spans="1:7" ht="10.5" customHeight="1">
      <c r="A36" s="74" t="s">
        <v>114</v>
      </c>
      <c r="B36" s="155">
        <f>SUM(B30:B35)</f>
        <v>196775</v>
      </c>
      <c r="C36" s="155">
        <f>SUM(C30:C35)</f>
        <v>61938</v>
      </c>
      <c r="D36" s="155">
        <f>SUM(D30:D35)</f>
        <v>47750</v>
      </c>
      <c r="E36" s="155">
        <f>SUM(E30:E35)</f>
        <v>160429</v>
      </c>
      <c r="F36" s="155">
        <f>SUM(F30:F35)</f>
        <v>0</v>
      </c>
      <c r="G36" s="155">
        <f t="shared" si="2"/>
        <v>466892</v>
      </c>
    </row>
    <row r="37" spans="1:5" ht="10.5" customHeight="1">
      <c r="A37" s="161" t="s">
        <v>5</v>
      </c>
      <c r="E37" s="128"/>
    </row>
    <row r="38" spans="2:5" ht="10.5" customHeight="1">
      <c r="B38" s="74">
        <f>+B36+C36+D36</f>
        <v>306463</v>
      </c>
      <c r="E38" s="128"/>
    </row>
    <row r="39" ht="10.5" customHeight="1">
      <c r="A39" s="162" t="s">
        <v>29</v>
      </c>
    </row>
    <row r="40" ht="10.5" customHeight="1">
      <c r="A40" s="177" t="s">
        <v>44</v>
      </c>
    </row>
    <row r="41" spans="1:7" ht="10.5" customHeight="1">
      <c r="A41" s="161" t="s">
        <v>46</v>
      </c>
      <c r="B41" s="159"/>
      <c r="C41" s="159"/>
      <c r="D41" s="159"/>
      <c r="E41" s="159"/>
      <c r="F41" s="159"/>
      <c r="G41" s="159"/>
    </row>
    <row r="42" ht="10.5" customHeight="1">
      <c r="A42" s="161" t="s">
        <v>45</v>
      </c>
    </row>
    <row r="43" spans="1:7" ht="10.5" customHeight="1">
      <c r="A43" s="74" t="s">
        <v>119</v>
      </c>
      <c r="B43" s="74">
        <v>55075</v>
      </c>
      <c r="C43" s="74">
        <v>58655</v>
      </c>
      <c r="D43" s="74">
        <v>16270</v>
      </c>
      <c r="E43" s="74">
        <v>49000</v>
      </c>
      <c r="G43" s="74">
        <f aca="true" t="shared" si="3" ref="G43:G59">SUM(B43:F43)</f>
        <v>179000</v>
      </c>
    </row>
    <row r="44" ht="10.5" customHeight="1">
      <c r="A44" s="74" t="s">
        <v>134</v>
      </c>
    </row>
    <row r="45" spans="1:8" ht="10.5" customHeight="1">
      <c r="A45" s="74" t="s">
        <v>133</v>
      </c>
      <c r="B45" s="74">
        <v>-121</v>
      </c>
      <c r="C45" s="74">
        <v>-129</v>
      </c>
      <c r="D45" s="74">
        <v>-36</v>
      </c>
      <c r="E45" s="74">
        <v>-108</v>
      </c>
      <c r="G45" s="74">
        <f t="shared" si="3"/>
        <v>-394</v>
      </c>
      <c r="H45" s="156"/>
    </row>
    <row r="46" spans="1:7" ht="10.5" customHeight="1">
      <c r="A46" s="74" t="s">
        <v>120</v>
      </c>
      <c r="B46" s="74">
        <v>50000</v>
      </c>
      <c r="G46" s="74">
        <f t="shared" si="3"/>
        <v>50000</v>
      </c>
    </row>
    <row r="47" spans="1:7" ht="10.5" customHeight="1">
      <c r="A47" s="74" t="s">
        <v>100</v>
      </c>
      <c r="B47" s="74">
        <v>-110</v>
      </c>
      <c r="G47" s="74">
        <f t="shared" si="3"/>
        <v>-110</v>
      </c>
    </row>
    <row r="48" spans="1:10" ht="10.5" customHeight="1">
      <c r="A48" s="74" t="s">
        <v>110</v>
      </c>
      <c r="B48" s="74">
        <v>50000</v>
      </c>
      <c r="C48" s="74">
        <v>25000</v>
      </c>
      <c r="D48" s="74">
        <v>25000</v>
      </c>
      <c r="E48" s="74">
        <f>20000+30000</f>
        <v>50000</v>
      </c>
      <c r="G48" s="74">
        <f t="shared" si="3"/>
        <v>150000</v>
      </c>
      <c r="H48" s="74">
        <f>+G48+G49</f>
        <v>149670</v>
      </c>
      <c r="I48" s="74">
        <f>+B48+B49</f>
        <v>49890</v>
      </c>
      <c r="J48" s="74">
        <f>+H48-I48</f>
        <v>99780</v>
      </c>
    </row>
    <row r="49" spans="1:7" ht="10.5" customHeight="1">
      <c r="A49" s="74" t="s">
        <v>100</v>
      </c>
      <c r="B49" s="74">
        <v>-110</v>
      </c>
      <c r="C49" s="74">
        <v>-55</v>
      </c>
      <c r="D49" s="74">
        <v>-55</v>
      </c>
      <c r="E49" s="74">
        <v>-110</v>
      </c>
      <c r="G49" s="74">
        <f t="shared" si="3"/>
        <v>-330</v>
      </c>
    </row>
    <row r="50" spans="1:7" ht="10.5" customHeight="1">
      <c r="A50" s="161" t="s">
        <v>30</v>
      </c>
      <c r="C50" s="74">
        <f>78000+20000+50000</f>
        <v>148000</v>
      </c>
      <c r="E50" s="74">
        <f>20000+30000</f>
        <v>50000</v>
      </c>
      <c r="G50" s="74">
        <f t="shared" si="3"/>
        <v>198000</v>
      </c>
    </row>
    <row r="51" spans="1:7" ht="10.5" customHeight="1">
      <c r="A51" s="74" t="s">
        <v>111</v>
      </c>
      <c r="F51" s="74">
        <v>20000</v>
      </c>
      <c r="G51" s="74">
        <f t="shared" si="3"/>
        <v>20000</v>
      </c>
    </row>
    <row r="52" spans="1:7" ht="10.5" customHeight="1">
      <c r="A52" s="74" t="s">
        <v>100</v>
      </c>
      <c r="C52" s="74">
        <v>-326</v>
      </c>
      <c r="E52" s="74">
        <v>-110</v>
      </c>
      <c r="F52" s="74">
        <v>-44</v>
      </c>
      <c r="G52" s="74">
        <f t="shared" si="3"/>
        <v>-480</v>
      </c>
    </row>
    <row r="53" spans="1:8" ht="10.5" customHeight="1">
      <c r="A53" s="74" t="s">
        <v>121</v>
      </c>
      <c r="B53" s="74">
        <v>20000</v>
      </c>
      <c r="G53" s="74">
        <f t="shared" si="3"/>
        <v>20000</v>
      </c>
      <c r="H53" s="74">
        <f>+G53+G54</f>
        <v>19956</v>
      </c>
    </row>
    <row r="54" spans="1:7" ht="10.5" customHeight="1">
      <c r="A54" s="74" t="s">
        <v>100</v>
      </c>
      <c r="B54" s="74">
        <v>-44</v>
      </c>
      <c r="G54" s="74">
        <f t="shared" si="3"/>
        <v>-44</v>
      </c>
    </row>
    <row r="55" spans="1:7" ht="10.5" customHeight="1">
      <c r="A55" s="74" t="s">
        <v>130</v>
      </c>
      <c r="B55" s="74">
        <v>15000</v>
      </c>
      <c r="G55" s="74">
        <f t="shared" si="3"/>
        <v>15000</v>
      </c>
    </row>
    <row r="56" spans="1:7" ht="10.5" customHeight="1">
      <c r="A56" s="74" t="s">
        <v>112</v>
      </c>
      <c r="E56" s="74">
        <v>4000</v>
      </c>
      <c r="G56" s="74">
        <f t="shared" si="3"/>
        <v>4000</v>
      </c>
    </row>
    <row r="57" spans="1:8" ht="10.5" customHeight="1">
      <c r="A57" s="74" t="s">
        <v>101</v>
      </c>
      <c r="D57" s="74">
        <v>50000</v>
      </c>
      <c r="G57" s="74">
        <f t="shared" si="3"/>
        <v>50000</v>
      </c>
      <c r="H57" s="74">
        <f>+G57+G58</f>
        <v>49848</v>
      </c>
    </row>
    <row r="58" spans="1:7" ht="10.5" customHeight="1">
      <c r="A58" s="74" t="s">
        <v>100</v>
      </c>
      <c r="B58" s="74">
        <v>-33</v>
      </c>
      <c r="D58" s="74">
        <v>-110</v>
      </c>
      <c r="E58" s="74">
        <v>-9</v>
      </c>
      <c r="G58" s="74">
        <f t="shared" si="3"/>
        <v>-152</v>
      </c>
    </row>
    <row r="59" spans="1:7" ht="10.5" customHeight="1">
      <c r="A59" s="74" t="s">
        <v>102</v>
      </c>
      <c r="B59" s="155">
        <f>SUM(B41:B58)</f>
        <v>189657</v>
      </c>
      <c r="C59" s="155">
        <f>SUM(C41:C58)</f>
        <v>231145</v>
      </c>
      <c r="D59" s="155">
        <f>SUM(D41:D58)</f>
        <v>91069</v>
      </c>
      <c r="E59" s="155">
        <f>SUM(E41:E58)</f>
        <v>152663</v>
      </c>
      <c r="F59" s="155">
        <f>SUM(F41:F58)</f>
        <v>19956</v>
      </c>
      <c r="G59" s="155">
        <f t="shared" si="3"/>
        <v>684490</v>
      </c>
    </row>
    <row r="60" spans="1:7" ht="10.5" customHeight="1">
      <c r="A60" s="161" t="s">
        <v>27</v>
      </c>
      <c r="B60" s="74">
        <v>110540</v>
      </c>
      <c r="C60" s="74">
        <v>62800</v>
      </c>
      <c r="D60" s="74">
        <v>31100</v>
      </c>
      <c r="E60" s="74">
        <v>102205</v>
      </c>
      <c r="G60" s="74">
        <f>SUM(B60:F60)</f>
        <v>306645</v>
      </c>
    </row>
    <row r="61" spans="1:7" ht="10.5" customHeight="1">
      <c r="A61" s="74" t="s">
        <v>122</v>
      </c>
      <c r="B61" s="74">
        <v>-243</v>
      </c>
      <c r="C61" s="74">
        <v>-138</v>
      </c>
      <c r="D61" s="74">
        <v>-68</v>
      </c>
      <c r="E61" s="74">
        <v>-225</v>
      </c>
      <c r="G61" s="74">
        <f>SUM(B61:F61)</f>
        <v>-674</v>
      </c>
    </row>
    <row r="62" ht="10.5" customHeight="1">
      <c r="A62" s="161" t="s">
        <v>28</v>
      </c>
    </row>
    <row r="63" spans="1:7" ht="10.5" customHeight="1">
      <c r="A63" s="74" t="s">
        <v>23</v>
      </c>
      <c r="D63" s="74">
        <v>5000</v>
      </c>
      <c r="G63" s="74">
        <f>SUM(B63:F63)</f>
        <v>5000</v>
      </c>
    </row>
    <row r="64" spans="1:7" ht="10.5" customHeight="1">
      <c r="A64" s="161" t="s">
        <v>47</v>
      </c>
      <c r="D64" s="74">
        <v>-11</v>
      </c>
      <c r="G64" s="74">
        <f>SUM(B64:F64)</f>
        <v>-11</v>
      </c>
    </row>
    <row r="65" spans="1:8" ht="10.5" customHeight="1">
      <c r="A65" s="74" t="s">
        <v>103</v>
      </c>
      <c r="B65" s="155">
        <f>SUM(B59:B64)</f>
        <v>299954</v>
      </c>
      <c r="C65" s="155">
        <f>SUM(C59:C64)</f>
        <v>293807</v>
      </c>
      <c r="D65" s="155">
        <f>SUM(D59:D64)</f>
        <v>127090</v>
      </c>
      <c r="E65" s="155">
        <f>SUM(E59:E64)</f>
        <v>254643</v>
      </c>
      <c r="F65" s="155">
        <f>SUM(F59:F64)</f>
        <v>19956</v>
      </c>
      <c r="G65" s="155">
        <f>SUM(B65:F65)</f>
        <v>995450</v>
      </c>
      <c r="H65" s="74" t="s">
        <v>43</v>
      </c>
    </row>
    <row r="66" spans="1:7" ht="10.5" customHeight="1">
      <c r="A66" s="161" t="s">
        <v>40</v>
      </c>
      <c r="G66" s="158" t="s">
        <v>36</v>
      </c>
    </row>
    <row r="68" spans="2:7" ht="10.5" customHeight="1">
      <c r="B68" s="157" t="s">
        <v>116</v>
      </c>
      <c r="C68" s="157" t="s">
        <v>123</v>
      </c>
      <c r="D68" s="157" t="s">
        <v>115</v>
      </c>
      <c r="E68" s="157" t="s">
        <v>117</v>
      </c>
      <c r="F68" s="157" t="s">
        <v>33</v>
      </c>
      <c r="G68" s="157" t="s">
        <v>98</v>
      </c>
    </row>
    <row r="69" spans="1:6" ht="10.5" customHeight="1">
      <c r="A69" s="162" t="s">
        <v>81</v>
      </c>
      <c r="B69" s="159"/>
      <c r="C69" s="159"/>
      <c r="D69" s="159"/>
      <c r="E69" s="159"/>
      <c r="F69" s="159"/>
    </row>
    <row r="70" spans="1:8" ht="10.5" customHeight="1">
      <c r="A70" s="161" t="s">
        <v>31</v>
      </c>
      <c r="B70" s="159">
        <f>274117-250</f>
        <v>273867</v>
      </c>
      <c r="C70" s="159">
        <v>99135</v>
      </c>
      <c r="D70" s="159">
        <f>49920-6</f>
        <v>49914</v>
      </c>
      <c r="E70" s="159">
        <v>149742</v>
      </c>
      <c r="F70" s="159"/>
      <c r="G70" s="74">
        <f>SUM(B70:F70)</f>
        <v>572658</v>
      </c>
      <c r="H70" s="161"/>
    </row>
    <row r="71" spans="1:7" ht="10.5" customHeight="1">
      <c r="A71" s="161" t="s">
        <v>30</v>
      </c>
      <c r="B71" s="159"/>
      <c r="C71" s="159">
        <f>85000+10000+40000-25000-200</f>
        <v>109800</v>
      </c>
      <c r="D71" s="159"/>
      <c r="E71" s="159"/>
      <c r="F71" s="159"/>
      <c r="G71" s="74">
        <f>SUM(B71:F71)</f>
        <v>109800</v>
      </c>
    </row>
    <row r="72" spans="1:8" ht="10.5" customHeight="1">
      <c r="A72" s="161" t="s">
        <v>34</v>
      </c>
      <c r="B72" s="155">
        <f>SUM(B70:B71)</f>
        <v>273867</v>
      </c>
      <c r="C72" s="155">
        <f>SUM(C70:C71)</f>
        <v>208935</v>
      </c>
      <c r="D72" s="155">
        <f>SUM(D70:D71)</f>
        <v>49914</v>
      </c>
      <c r="E72" s="155">
        <f>SUM(E70:E71)</f>
        <v>149742</v>
      </c>
      <c r="F72" s="155">
        <f>SUM(F70:F71)</f>
        <v>0</v>
      </c>
      <c r="G72" s="155">
        <f>SUM(B72:F72)</f>
        <v>682458</v>
      </c>
      <c r="H72" s="74">
        <f>+'FY02Warrants'!G24</f>
        <v>682458000</v>
      </c>
    </row>
    <row r="73" spans="1:7" ht="10.5" customHeight="1">
      <c r="A73" s="161"/>
      <c r="B73" s="159"/>
      <c r="C73" s="159"/>
      <c r="D73" s="159"/>
      <c r="E73" s="159"/>
      <c r="F73" s="159"/>
      <c r="G73" s="159"/>
    </row>
    <row r="74" spans="1:7" ht="10.5" customHeight="1">
      <c r="A74" s="162" t="s">
        <v>32</v>
      </c>
      <c r="B74" s="159"/>
      <c r="C74" s="159"/>
      <c r="D74" s="159"/>
      <c r="E74" s="159"/>
      <c r="F74" s="159"/>
      <c r="G74" s="159"/>
    </row>
    <row r="75" spans="1:7" ht="10.5" customHeight="1">
      <c r="A75" s="161" t="s">
        <v>31</v>
      </c>
      <c r="B75" s="159">
        <v>286647</v>
      </c>
      <c r="C75" s="159">
        <v>71127</v>
      </c>
      <c r="D75" s="159">
        <v>44686</v>
      </c>
      <c r="E75" s="159">
        <v>131104</v>
      </c>
      <c r="F75" s="159"/>
      <c r="G75" s="74">
        <f>SUM(B75:F75)</f>
        <v>533564</v>
      </c>
    </row>
    <row r="76" spans="1:7" ht="10.5" customHeight="1">
      <c r="A76" s="161" t="s">
        <v>30</v>
      </c>
      <c r="B76" s="159"/>
      <c r="C76" s="159">
        <f>60000+43560+10000+91000+50000</f>
        <v>254560</v>
      </c>
      <c r="D76" s="159"/>
      <c r="E76" s="159"/>
      <c r="F76" s="159"/>
      <c r="G76" s="74">
        <f>SUM(B76:F76)</f>
        <v>254560</v>
      </c>
    </row>
    <row r="77" spans="1:7" ht="10.5" customHeight="1">
      <c r="A77" s="74" t="s">
        <v>112</v>
      </c>
      <c r="B77" s="159"/>
      <c r="C77" s="159"/>
      <c r="D77" s="159"/>
      <c r="E77" s="159">
        <f>69873+50536</f>
        <v>120409</v>
      </c>
      <c r="F77" s="159"/>
      <c r="G77" s="74">
        <f>SUM(B77:F77)</f>
        <v>120409</v>
      </c>
    </row>
    <row r="78" spans="1:6" ht="10.5" customHeight="1">
      <c r="A78" s="161" t="s">
        <v>37</v>
      </c>
      <c r="B78" s="159"/>
      <c r="C78" s="159"/>
      <c r="D78" s="159"/>
      <c r="E78" s="159"/>
      <c r="F78" s="159"/>
    </row>
    <row r="79" spans="1:7" ht="10.5" customHeight="1">
      <c r="A79" s="161" t="s">
        <v>38</v>
      </c>
      <c r="B79" s="159"/>
      <c r="C79" s="159"/>
      <c r="D79" s="159"/>
      <c r="E79" s="159"/>
      <c r="F79" s="159">
        <v>3000</v>
      </c>
      <c r="G79" s="74">
        <f>SUM(B79:F79)</f>
        <v>3000</v>
      </c>
    </row>
    <row r="80" spans="1:7" ht="10.5" customHeight="1">
      <c r="A80" s="161" t="s">
        <v>35</v>
      </c>
      <c r="B80" s="155">
        <f>SUM(B75:B79)</f>
        <v>286647</v>
      </c>
      <c r="C80" s="155">
        <f>SUM(C75:C79)</f>
        <v>325687</v>
      </c>
      <c r="D80" s="155">
        <f>SUM(D75:D79)</f>
        <v>44686</v>
      </c>
      <c r="E80" s="155">
        <f>SUM(E75:E79)</f>
        <v>251513</v>
      </c>
      <c r="F80" s="155">
        <f>SUM(F75:F79)</f>
        <v>3000</v>
      </c>
      <c r="G80" s="155">
        <f>SUM(B80:F80)</f>
        <v>911533</v>
      </c>
    </row>
    <row r="81" spans="1:7" ht="10.5" customHeight="1">
      <c r="A81" s="161"/>
      <c r="B81" s="159"/>
      <c r="C81" s="159"/>
      <c r="D81" s="159"/>
      <c r="E81" s="159"/>
      <c r="F81" s="159"/>
      <c r="G81" s="159"/>
    </row>
    <row r="82" spans="1:7" ht="10.5" customHeight="1">
      <c r="A82" s="161"/>
      <c r="B82" s="159"/>
      <c r="C82" s="159"/>
      <c r="D82" s="159"/>
      <c r="E82" s="159"/>
      <c r="F82" s="159"/>
      <c r="G82" s="159"/>
    </row>
    <row r="84" ht="10.5" customHeight="1">
      <c r="A84" s="74" t="s">
        <v>124</v>
      </c>
    </row>
    <row r="86" spans="1:5" ht="10.5" customHeight="1">
      <c r="A86" s="74" t="s">
        <v>125</v>
      </c>
      <c r="B86" s="157" t="s">
        <v>116</v>
      </c>
      <c r="C86" s="157" t="s">
        <v>123</v>
      </c>
      <c r="D86" s="157" t="s">
        <v>115</v>
      </c>
      <c r="E86" s="157" t="s">
        <v>117</v>
      </c>
    </row>
    <row r="87" ht="10.5" customHeight="1">
      <c r="A87" s="74" t="s">
        <v>126</v>
      </c>
    </row>
    <row r="88" ht="10.5" customHeight="1">
      <c r="A88" s="74" t="s">
        <v>127</v>
      </c>
    </row>
    <row r="89" ht="10.5" customHeight="1">
      <c r="A89" s="74" t="s">
        <v>135</v>
      </c>
    </row>
  </sheetData>
  <printOptions horizontalCentered="1"/>
  <pageMargins left="0.75" right="0.75" top="0.75" bottom="0.5" header="0.5" footer="0.5"/>
  <pageSetup horizontalDpi="300" verticalDpi="300" orientation="portrait" scale="99" r:id="rId2"/>
  <rowBreaks count="1" manualBreakCount="1">
    <brk id="65" max="255" man="1"/>
  </rowBreaks>
  <colBreaks count="1" manualBreakCount="1">
    <brk id="13" max="65535" man="1"/>
  </colBreaks>
  <drawing r:id="rId1"/>
</worksheet>
</file>

<file path=xl/worksheets/sheet11.xml><?xml version="1.0" encoding="utf-8"?>
<worksheet xmlns="http://schemas.openxmlformats.org/spreadsheetml/2006/main" xmlns:r="http://schemas.openxmlformats.org/officeDocument/2006/relationships">
  <sheetPr transitionEvaluation="1" transitionEntry="1"/>
  <dimension ref="A1:H46"/>
  <sheetViews>
    <sheetView zoomScale="79" zoomScaleNormal="79" workbookViewId="0" topLeftCell="A1">
      <selection activeCell="A1" sqref="A1:D1"/>
    </sheetView>
  </sheetViews>
  <sheetFormatPr defaultColWidth="8.7109375" defaultRowHeight="10.5" customHeight="1"/>
  <cols>
    <col min="1" max="3" width="13.421875" style="74" customWidth="1"/>
    <col min="4" max="4" width="13.7109375" style="74" customWidth="1"/>
    <col min="5" max="5" width="8.7109375" style="74" customWidth="1"/>
    <col min="6" max="7" width="11.7109375" style="74" customWidth="1"/>
    <col min="8" max="8" width="12.7109375" style="74" customWidth="1"/>
    <col min="9" max="10" width="8.7109375" style="74" customWidth="1"/>
    <col min="11" max="21" width="8.7109375" style="0" customWidth="1"/>
    <col min="22" max="16384" width="8.8515625" style="0" customWidth="1"/>
  </cols>
  <sheetData>
    <row r="1" spans="1:4" ht="10.5" customHeight="1">
      <c r="A1" s="231" t="s">
        <v>158</v>
      </c>
      <c r="B1" s="231"/>
      <c r="C1" s="231"/>
      <c r="D1" s="231"/>
    </row>
    <row r="2" spans="1:5" ht="10.5" customHeight="1">
      <c r="A2" s="231" t="s">
        <v>157</v>
      </c>
      <c r="B2" s="231"/>
      <c r="C2" s="231"/>
      <c r="D2" s="231"/>
      <c r="E2" s="74" t="s">
        <v>156</v>
      </c>
    </row>
    <row r="3" spans="1:6" ht="10.5" customHeight="1">
      <c r="A3" s="231" t="s">
        <v>197</v>
      </c>
      <c r="B3" s="231"/>
      <c r="C3" s="231"/>
      <c r="D3" s="231"/>
      <c r="F3" s="74" t="s">
        <v>155</v>
      </c>
    </row>
    <row r="4" ht="10.5" customHeight="1">
      <c r="F4" s="74" t="s">
        <v>154</v>
      </c>
    </row>
    <row r="5" spans="1:8" ht="10.5" customHeight="1">
      <c r="A5" s="154" t="s">
        <v>152</v>
      </c>
      <c r="B5" s="157" t="s">
        <v>194</v>
      </c>
      <c r="C5" s="157" t="s">
        <v>148</v>
      </c>
      <c r="D5" s="157" t="s">
        <v>153</v>
      </c>
      <c r="F5" s="157" t="s">
        <v>194</v>
      </c>
      <c r="G5" s="157" t="s">
        <v>148</v>
      </c>
      <c r="H5" s="157" t="s">
        <v>153</v>
      </c>
    </row>
    <row r="6" spans="1:8" ht="10.5" customHeight="1">
      <c r="A6" s="156" t="s">
        <v>623</v>
      </c>
      <c r="B6" s="119">
        <v>10375</v>
      </c>
      <c r="C6" s="119">
        <v>62</v>
      </c>
      <c r="D6" s="74">
        <f>B6+C6</f>
        <v>10437</v>
      </c>
      <c r="F6" s="119">
        <v>10375</v>
      </c>
      <c r="G6" s="119">
        <v>62</v>
      </c>
      <c r="H6" s="74">
        <f>F6+G6</f>
        <v>10437</v>
      </c>
    </row>
    <row r="7" spans="1:8" ht="10.5" customHeight="1">
      <c r="A7" s="156" t="s">
        <v>626</v>
      </c>
      <c r="B7" s="119">
        <v>82409</v>
      </c>
      <c r="C7" s="119">
        <v>1277</v>
      </c>
      <c r="D7" s="74">
        <f aca="true" t="shared" si="0" ref="D7:D43">B7+C7</f>
        <v>83686</v>
      </c>
      <c r="F7" s="119">
        <v>82408.718</v>
      </c>
      <c r="G7" s="119">
        <v>1277</v>
      </c>
      <c r="H7" s="74">
        <f aca="true" t="shared" si="1" ref="H7:H43">F7+G7</f>
        <v>83685.718</v>
      </c>
    </row>
    <row r="8" spans="1:8" ht="10.5" customHeight="1">
      <c r="A8" s="156" t="s">
        <v>628</v>
      </c>
      <c r="B8" s="119">
        <v>56531</v>
      </c>
      <c r="C8" s="119">
        <v>2269</v>
      </c>
      <c r="D8" s="74">
        <f t="shared" si="0"/>
        <v>58800</v>
      </c>
      <c r="F8" s="119">
        <v>56531.09</v>
      </c>
      <c r="G8" s="119">
        <v>2269</v>
      </c>
      <c r="H8" s="74">
        <f t="shared" si="1"/>
        <v>58800.09</v>
      </c>
    </row>
    <row r="9" spans="1:8" ht="10.5" customHeight="1">
      <c r="A9" s="156" t="s">
        <v>630</v>
      </c>
      <c r="B9" s="119">
        <v>61520</v>
      </c>
      <c r="C9" s="119">
        <v>2518</v>
      </c>
      <c r="D9" s="74">
        <f t="shared" si="0"/>
        <v>64038</v>
      </c>
      <c r="F9" s="119">
        <v>61520.321</v>
      </c>
      <c r="G9" s="119">
        <v>2518</v>
      </c>
      <c r="H9" s="74">
        <f t="shared" si="1"/>
        <v>64038.321</v>
      </c>
    </row>
    <row r="10" spans="1:8" ht="10.5" customHeight="1">
      <c r="A10" s="156" t="s">
        <v>636</v>
      </c>
      <c r="B10" s="119">
        <v>44938</v>
      </c>
      <c r="C10" s="119">
        <v>2571</v>
      </c>
      <c r="D10" s="74">
        <f t="shared" si="0"/>
        <v>47509</v>
      </c>
      <c r="F10" s="119">
        <v>44938</v>
      </c>
      <c r="G10" s="119">
        <v>2571</v>
      </c>
      <c r="H10" s="74">
        <f t="shared" si="1"/>
        <v>47509</v>
      </c>
    </row>
    <row r="11" spans="1:8" ht="10.5" customHeight="1">
      <c r="A11" s="156" t="s">
        <v>643</v>
      </c>
      <c r="B11" s="119">
        <v>61832</v>
      </c>
      <c r="C11" s="119">
        <v>3112</v>
      </c>
      <c r="D11" s="74">
        <f t="shared" si="0"/>
        <v>64944</v>
      </c>
      <c r="F11" s="119">
        <v>61832</v>
      </c>
      <c r="G11" s="119">
        <v>3112</v>
      </c>
      <c r="H11" s="74">
        <f t="shared" si="1"/>
        <v>64944</v>
      </c>
    </row>
    <row r="12" spans="1:8" ht="10.5" customHeight="1">
      <c r="A12" s="156" t="s">
        <v>645</v>
      </c>
      <c r="B12" s="119">
        <v>185239</v>
      </c>
      <c r="C12" s="119">
        <v>3935</v>
      </c>
      <c r="D12" s="74">
        <f t="shared" si="0"/>
        <v>189174</v>
      </c>
      <c r="F12" s="119">
        <v>185239</v>
      </c>
      <c r="G12" s="119">
        <v>3935</v>
      </c>
      <c r="H12" s="74">
        <f t="shared" si="1"/>
        <v>189174</v>
      </c>
    </row>
    <row r="13" spans="1:8" ht="10.5" customHeight="1">
      <c r="A13" s="156" t="s">
        <v>647</v>
      </c>
      <c r="B13" s="119">
        <v>255000</v>
      </c>
      <c r="C13" s="119">
        <v>4313</v>
      </c>
      <c r="D13" s="74">
        <f t="shared" si="0"/>
        <v>259313</v>
      </c>
      <c r="F13" s="119">
        <v>255000</v>
      </c>
      <c r="G13" s="119">
        <v>4313</v>
      </c>
      <c r="H13" s="74">
        <f t="shared" si="1"/>
        <v>259313</v>
      </c>
    </row>
    <row r="14" spans="1:8" ht="10.5" customHeight="1">
      <c r="A14" s="156" t="s">
        <v>649</v>
      </c>
      <c r="B14" s="119">
        <v>181800</v>
      </c>
      <c r="C14" s="119">
        <v>4788</v>
      </c>
      <c r="D14" s="74">
        <f t="shared" si="0"/>
        <v>186588</v>
      </c>
      <c r="F14" s="119">
        <v>181800</v>
      </c>
      <c r="G14" s="119">
        <v>4788</v>
      </c>
      <c r="H14" s="74">
        <f t="shared" si="1"/>
        <v>186588</v>
      </c>
    </row>
    <row r="15" spans="1:8" ht="10.5" customHeight="1">
      <c r="A15" s="156" t="s">
        <v>652</v>
      </c>
      <c r="B15" s="119">
        <v>65767</v>
      </c>
      <c r="C15" s="119">
        <v>4976</v>
      </c>
      <c r="D15" s="74">
        <f t="shared" si="0"/>
        <v>70743</v>
      </c>
      <c r="F15" s="119">
        <v>65767</v>
      </c>
      <c r="G15" s="119">
        <v>4976</v>
      </c>
      <c r="H15" s="74">
        <f t="shared" si="1"/>
        <v>70743</v>
      </c>
    </row>
    <row r="16" spans="1:8" ht="10.5" customHeight="1">
      <c r="A16" s="156" t="s">
        <v>654</v>
      </c>
      <c r="B16" s="119">
        <v>179880</v>
      </c>
      <c r="C16" s="119">
        <v>5912</v>
      </c>
      <c r="D16" s="74">
        <f t="shared" si="0"/>
        <v>185792</v>
      </c>
      <c r="F16" s="119">
        <v>179880</v>
      </c>
      <c r="G16" s="119">
        <v>5912</v>
      </c>
      <c r="H16" s="74">
        <f t="shared" si="1"/>
        <v>185792</v>
      </c>
    </row>
    <row r="17" spans="1:8" ht="10.5" customHeight="1">
      <c r="A17" s="156" t="s">
        <v>656</v>
      </c>
      <c r="B17" s="119">
        <v>175739</v>
      </c>
      <c r="C17" s="119">
        <v>5660</v>
      </c>
      <c r="D17" s="74">
        <f t="shared" si="0"/>
        <v>181399</v>
      </c>
      <c r="F17" s="119">
        <v>175739</v>
      </c>
      <c r="G17" s="119">
        <v>5660</v>
      </c>
      <c r="H17" s="74">
        <f t="shared" si="1"/>
        <v>181399</v>
      </c>
    </row>
    <row r="18" spans="1:8" ht="10.5" customHeight="1">
      <c r="A18" s="74" t="s">
        <v>151</v>
      </c>
      <c r="B18" s="119">
        <v>43925</v>
      </c>
      <c r="C18" s="119">
        <v>1427</v>
      </c>
      <c r="D18" s="74">
        <f t="shared" si="0"/>
        <v>45352</v>
      </c>
      <c r="F18" s="119">
        <v>43925</v>
      </c>
      <c r="G18" s="119">
        <v>1427</v>
      </c>
      <c r="H18" s="74">
        <f t="shared" si="1"/>
        <v>45352</v>
      </c>
    </row>
    <row r="19" spans="1:8" ht="10.5" customHeight="1">
      <c r="A19" s="156" t="s">
        <v>661</v>
      </c>
      <c r="B19" s="119">
        <v>175315</v>
      </c>
      <c r="C19" s="119">
        <v>6198</v>
      </c>
      <c r="D19" s="74">
        <f t="shared" si="0"/>
        <v>181513</v>
      </c>
      <c r="F19" s="119">
        <v>175315</v>
      </c>
      <c r="G19" s="119">
        <v>6198</v>
      </c>
      <c r="H19" s="74">
        <f t="shared" si="1"/>
        <v>181513</v>
      </c>
    </row>
    <row r="20" spans="1:8" ht="10.5" customHeight="1">
      <c r="A20" s="156" t="s">
        <v>663</v>
      </c>
      <c r="B20" s="119">
        <v>305694</v>
      </c>
      <c r="C20" s="119">
        <v>8426</v>
      </c>
      <c r="D20" s="74">
        <f t="shared" si="0"/>
        <v>314120</v>
      </c>
      <c r="F20" s="119">
        <v>305694</v>
      </c>
      <c r="G20" s="119">
        <v>8426</v>
      </c>
      <c r="H20" s="74">
        <f t="shared" si="1"/>
        <v>314120</v>
      </c>
    </row>
    <row r="21" spans="1:8" ht="10.5" customHeight="1">
      <c r="A21" s="156" t="s">
        <v>665</v>
      </c>
      <c r="B21" s="119">
        <v>369602</v>
      </c>
      <c r="C21" s="119">
        <v>6647</v>
      </c>
      <c r="D21" s="74">
        <f t="shared" si="0"/>
        <v>376249</v>
      </c>
      <c r="F21" s="119">
        <v>369602</v>
      </c>
      <c r="G21" s="119">
        <v>6647</v>
      </c>
      <c r="H21" s="74">
        <f t="shared" si="1"/>
        <v>376249</v>
      </c>
    </row>
    <row r="22" spans="1:8" ht="10.5" customHeight="1">
      <c r="A22" s="156" t="s">
        <v>667</v>
      </c>
      <c r="B22" s="119">
        <v>299703</v>
      </c>
      <c r="C22" s="119">
        <v>6951</v>
      </c>
      <c r="D22" s="74">
        <f t="shared" si="0"/>
        <v>306654</v>
      </c>
      <c r="F22" s="119">
        <v>299703</v>
      </c>
      <c r="G22" s="119">
        <v>6951</v>
      </c>
      <c r="H22" s="74">
        <f t="shared" si="1"/>
        <v>306654</v>
      </c>
    </row>
    <row r="23" spans="1:8" ht="10.5" customHeight="1">
      <c r="A23" s="156" t="s">
        <v>669</v>
      </c>
      <c r="B23" s="119">
        <v>173745</v>
      </c>
      <c r="C23" s="119">
        <v>6566</v>
      </c>
      <c r="D23" s="74">
        <f t="shared" si="0"/>
        <v>180311</v>
      </c>
      <c r="F23" s="119">
        <v>173745</v>
      </c>
      <c r="G23" s="119">
        <v>6566</v>
      </c>
      <c r="H23" s="74">
        <f t="shared" si="1"/>
        <v>180311</v>
      </c>
    </row>
    <row r="24" spans="1:8" ht="10.5" customHeight="1">
      <c r="A24" s="156" t="s">
        <v>672</v>
      </c>
      <c r="B24" s="119">
        <v>0</v>
      </c>
      <c r="C24" s="119">
        <v>4381</v>
      </c>
      <c r="D24" s="74">
        <f t="shared" si="0"/>
        <v>4381</v>
      </c>
      <c r="F24" s="119">
        <v>0</v>
      </c>
      <c r="G24" s="119">
        <v>4381</v>
      </c>
      <c r="H24" s="74">
        <f t="shared" si="1"/>
        <v>4381</v>
      </c>
    </row>
    <row r="25" spans="1:8" ht="10.5" customHeight="1">
      <c r="A25" s="156" t="s">
        <v>458</v>
      </c>
      <c r="B25" s="119">
        <v>110619</v>
      </c>
      <c r="C25" s="119">
        <v>4381</v>
      </c>
      <c r="D25" s="74">
        <f t="shared" si="0"/>
        <v>115000</v>
      </c>
      <c r="F25" s="119">
        <v>110619</v>
      </c>
      <c r="G25" s="119">
        <v>4381</v>
      </c>
      <c r="H25" s="74">
        <f t="shared" si="1"/>
        <v>115000</v>
      </c>
    </row>
    <row r="26" spans="1:8" ht="10.5" customHeight="1">
      <c r="A26" s="156" t="s">
        <v>461</v>
      </c>
      <c r="B26" s="119">
        <v>72919</v>
      </c>
      <c r="C26" s="119">
        <v>2081</v>
      </c>
      <c r="D26" s="74">
        <f t="shared" si="0"/>
        <v>75000</v>
      </c>
      <c r="F26" s="119">
        <v>72919</v>
      </c>
      <c r="G26" s="119">
        <v>2081</v>
      </c>
      <c r="H26" s="74">
        <f t="shared" si="1"/>
        <v>75000</v>
      </c>
    </row>
    <row r="27" spans="1:8" ht="10.5" customHeight="1">
      <c r="A27" s="156" t="s">
        <v>463</v>
      </c>
      <c r="B27" s="119">
        <v>71853</v>
      </c>
      <c r="C27" s="119">
        <v>1629</v>
      </c>
      <c r="D27" s="74">
        <f t="shared" si="0"/>
        <v>73482</v>
      </c>
      <c r="F27" s="119">
        <v>71853</v>
      </c>
      <c r="G27" s="119">
        <v>1629</v>
      </c>
      <c r="H27" s="74">
        <f t="shared" si="1"/>
        <v>73482</v>
      </c>
    </row>
    <row r="28" spans="1:8" ht="10.5" customHeight="1">
      <c r="A28" s="156" t="s">
        <v>465</v>
      </c>
      <c r="B28" s="119">
        <v>45993</v>
      </c>
      <c r="C28" s="119">
        <v>1570</v>
      </c>
      <c r="D28" s="74">
        <f t="shared" si="0"/>
        <v>47563</v>
      </c>
      <c r="F28" s="119">
        <f>48350-290.1-2067</f>
        <v>45992.9</v>
      </c>
      <c r="G28" s="119">
        <f>1650-9.9-70</f>
        <v>1570.1</v>
      </c>
      <c r="H28" s="74">
        <f t="shared" si="1"/>
        <v>47563</v>
      </c>
    </row>
    <row r="29" spans="1:8" ht="10.5" customHeight="1">
      <c r="A29" s="156" t="s">
        <v>466</v>
      </c>
      <c r="B29" s="119">
        <v>32700</v>
      </c>
      <c r="C29" s="119">
        <v>2270</v>
      </c>
      <c r="D29" s="74">
        <f t="shared" si="0"/>
        <v>34970</v>
      </c>
      <c r="F29" s="119">
        <v>32700</v>
      </c>
      <c r="G29" s="119">
        <v>2270</v>
      </c>
      <c r="H29" s="74">
        <f t="shared" si="1"/>
        <v>34970</v>
      </c>
    </row>
    <row r="30" spans="1:8" ht="10.5" customHeight="1">
      <c r="A30" s="156" t="s">
        <v>467</v>
      </c>
      <c r="B30" s="119">
        <v>16567</v>
      </c>
      <c r="C30" s="119">
        <v>3419</v>
      </c>
      <c r="D30" s="74">
        <f t="shared" si="0"/>
        <v>19986</v>
      </c>
      <c r="F30" s="119">
        <v>16567</v>
      </c>
      <c r="G30" s="119">
        <v>3419</v>
      </c>
      <c r="H30" s="74">
        <f t="shared" si="1"/>
        <v>19986</v>
      </c>
    </row>
    <row r="31" spans="1:8" ht="10.5" customHeight="1">
      <c r="A31" s="156" t="s">
        <v>468</v>
      </c>
      <c r="B31" s="119">
        <v>16700</v>
      </c>
      <c r="C31" s="119">
        <v>3300</v>
      </c>
      <c r="D31" s="74">
        <f t="shared" si="0"/>
        <v>20000</v>
      </c>
      <c r="F31" s="119">
        <v>16700</v>
      </c>
      <c r="G31" s="119">
        <v>3300</v>
      </c>
      <c r="H31" s="74">
        <f t="shared" si="1"/>
        <v>20000</v>
      </c>
    </row>
    <row r="32" spans="1:8" ht="10.5" customHeight="1">
      <c r="A32" s="156" t="s">
        <v>469</v>
      </c>
      <c r="B32" s="119">
        <v>16501</v>
      </c>
      <c r="C32" s="119">
        <v>3261</v>
      </c>
      <c r="D32" s="74">
        <f t="shared" si="0"/>
        <v>19762</v>
      </c>
      <c r="F32" s="119">
        <v>16501</v>
      </c>
      <c r="G32" s="119">
        <v>3261</v>
      </c>
      <c r="H32" s="74">
        <f t="shared" si="1"/>
        <v>19762</v>
      </c>
    </row>
    <row r="33" spans="1:8" ht="10.5" customHeight="1">
      <c r="A33" s="156" t="s">
        <v>470</v>
      </c>
      <c r="B33" s="119">
        <f>30000-157</f>
        <v>29843</v>
      </c>
      <c r="C33" s="119">
        <f>3400-18</f>
        <v>3382</v>
      </c>
      <c r="D33" s="74">
        <f t="shared" si="0"/>
        <v>33225</v>
      </c>
      <c r="F33" s="119">
        <f>30000-157</f>
        <v>29843</v>
      </c>
      <c r="G33" s="119">
        <f>3400-18</f>
        <v>3382</v>
      </c>
      <c r="H33" s="74">
        <f t="shared" si="1"/>
        <v>33225</v>
      </c>
    </row>
    <row r="34" spans="1:8" ht="10.5" customHeight="1">
      <c r="A34" s="156" t="s">
        <v>471</v>
      </c>
      <c r="B34" s="119">
        <f>20000-252</f>
        <v>19748</v>
      </c>
      <c r="C34" s="119">
        <f>3500-44</f>
        <v>3456</v>
      </c>
      <c r="D34" s="74">
        <f t="shared" si="0"/>
        <v>23204</v>
      </c>
      <c r="F34" s="119">
        <f>20000-252</f>
        <v>19748</v>
      </c>
      <c r="G34" s="119">
        <f>3500-44</f>
        <v>3456</v>
      </c>
      <c r="H34" s="74">
        <f t="shared" si="1"/>
        <v>23204</v>
      </c>
    </row>
    <row r="35" spans="1:8" ht="10.5" customHeight="1">
      <c r="A35" s="156" t="s">
        <v>473</v>
      </c>
      <c r="B35" s="119">
        <f>25000-212.5+0.5</f>
        <v>24788</v>
      </c>
      <c r="C35" s="119">
        <v>3427</v>
      </c>
      <c r="D35" s="74">
        <f t="shared" si="0"/>
        <v>28215</v>
      </c>
      <c r="F35" s="119">
        <f>25000-212.5</f>
        <v>24787.5</v>
      </c>
      <c r="G35" s="119">
        <f>3456-29.376</f>
        <v>3426.624</v>
      </c>
      <c r="H35" s="74">
        <f t="shared" si="1"/>
        <v>28214.124</v>
      </c>
    </row>
    <row r="36" spans="1:8" ht="10.5" customHeight="1">
      <c r="A36" s="156" t="s">
        <v>475</v>
      </c>
      <c r="B36" s="119">
        <v>24750</v>
      </c>
      <c r="C36" s="119">
        <v>3303</v>
      </c>
      <c r="D36" s="74">
        <f t="shared" si="0"/>
        <v>28053</v>
      </c>
      <c r="F36" s="119">
        <v>24750</v>
      </c>
      <c r="G36" s="119">
        <v>3303</v>
      </c>
      <c r="H36" s="74">
        <f t="shared" si="1"/>
        <v>28053</v>
      </c>
    </row>
    <row r="37" spans="1:8" ht="10.5" customHeight="1">
      <c r="A37" s="156" t="s">
        <v>476</v>
      </c>
      <c r="B37" s="119">
        <v>24703</v>
      </c>
      <c r="C37" s="119">
        <v>3244</v>
      </c>
      <c r="D37" s="74">
        <f t="shared" si="0"/>
        <v>27947</v>
      </c>
      <c r="F37" s="119">
        <v>24703</v>
      </c>
      <c r="G37" s="119">
        <v>3244</v>
      </c>
      <c r="H37" s="74">
        <f t="shared" si="1"/>
        <v>27947</v>
      </c>
    </row>
    <row r="38" spans="1:8" ht="10.5" customHeight="1">
      <c r="A38" s="156" t="s">
        <v>478</v>
      </c>
      <c r="B38" s="119">
        <v>0</v>
      </c>
      <c r="C38" s="119">
        <v>1500</v>
      </c>
      <c r="D38" s="74">
        <f t="shared" si="0"/>
        <v>1500</v>
      </c>
      <c r="F38" s="119">
        <v>0</v>
      </c>
      <c r="G38" s="119">
        <v>1500</v>
      </c>
      <c r="H38" s="74">
        <f t="shared" si="1"/>
        <v>1500</v>
      </c>
    </row>
    <row r="39" spans="1:8" ht="10.5" customHeight="1">
      <c r="A39" s="156" t="s">
        <v>479</v>
      </c>
      <c r="B39" s="119">
        <v>0</v>
      </c>
      <c r="C39" s="119">
        <v>1500</v>
      </c>
      <c r="D39" s="74">
        <f t="shared" si="0"/>
        <v>1500</v>
      </c>
      <c r="F39" s="119">
        <v>0</v>
      </c>
      <c r="G39" s="119">
        <v>1500</v>
      </c>
      <c r="H39" s="74">
        <f t="shared" si="1"/>
        <v>1500</v>
      </c>
    </row>
    <row r="40" spans="1:8" ht="10.5" customHeight="1">
      <c r="A40" s="156" t="s">
        <v>482</v>
      </c>
      <c r="B40" s="119">
        <v>0</v>
      </c>
      <c r="C40" s="119">
        <v>1000</v>
      </c>
      <c r="D40" s="74">
        <f t="shared" si="0"/>
        <v>1000</v>
      </c>
      <c r="F40" s="119">
        <v>0</v>
      </c>
      <c r="G40" s="119">
        <v>1000</v>
      </c>
      <c r="H40" s="74">
        <f t="shared" si="1"/>
        <v>1000</v>
      </c>
    </row>
    <row r="41" spans="1:8" ht="10.5" customHeight="1">
      <c r="A41" s="156" t="s">
        <v>167</v>
      </c>
      <c r="B41" s="130">
        <v>0</v>
      </c>
      <c r="C41" s="119">
        <v>500</v>
      </c>
      <c r="D41" s="74">
        <f t="shared" si="0"/>
        <v>500</v>
      </c>
      <c r="F41" s="130">
        <v>0</v>
      </c>
      <c r="G41" s="119">
        <v>500</v>
      </c>
      <c r="H41" s="74">
        <f t="shared" si="1"/>
        <v>500</v>
      </c>
    </row>
    <row r="42" spans="1:8" ht="10.5" customHeight="1">
      <c r="A42" s="156" t="s">
        <v>86</v>
      </c>
      <c r="B42" s="74">
        <f>20000+20000</f>
        <v>40000</v>
      </c>
      <c r="C42" s="74">
        <v>1000</v>
      </c>
      <c r="D42" s="74">
        <f t="shared" si="0"/>
        <v>41000</v>
      </c>
      <c r="F42" s="74">
        <f>20000+20000</f>
        <v>40000</v>
      </c>
      <c r="G42" s="159">
        <v>1000</v>
      </c>
      <c r="H42" s="74">
        <f t="shared" si="1"/>
        <v>41000</v>
      </c>
    </row>
    <row r="43" spans="1:8" ht="10.5" customHeight="1">
      <c r="A43" s="156" t="s">
        <v>147</v>
      </c>
      <c r="B43" s="154">
        <f>39000-86+50000-110</f>
        <v>88804</v>
      </c>
      <c r="C43" s="154">
        <f>1500-3</f>
        <v>1497</v>
      </c>
      <c r="D43" s="154">
        <f t="shared" si="0"/>
        <v>90301</v>
      </c>
      <c r="F43" s="154">
        <f>39000-86+50000-110</f>
        <v>88804</v>
      </c>
      <c r="G43" s="160">
        <f>1500-3</f>
        <v>1497</v>
      </c>
      <c r="H43" s="74">
        <f t="shared" si="1"/>
        <v>90301</v>
      </c>
    </row>
    <row r="44" spans="1:8" ht="10.5" customHeight="1">
      <c r="A44" s="74" t="s">
        <v>149</v>
      </c>
      <c r="B44" s="74">
        <f>SUM(B6:B43)</f>
        <v>3365502</v>
      </c>
      <c r="C44" s="74">
        <f>SUM(C6:C43)</f>
        <v>127709</v>
      </c>
      <c r="D44" s="74">
        <f>SUM(D6:D43)</f>
        <v>3493211</v>
      </c>
      <c r="F44" s="74">
        <f>SUM(F6:F43)</f>
        <v>3365501.5289999996</v>
      </c>
      <c r="G44" s="159">
        <f>SUM(G6:G43)</f>
        <v>127708.724</v>
      </c>
      <c r="H44" s="74">
        <f>SUM(H6:H43)</f>
        <v>3493210.2529999996</v>
      </c>
    </row>
    <row r="46" ht="10.5" customHeight="1">
      <c r="D46" s="128" t="s">
        <v>150</v>
      </c>
    </row>
  </sheetData>
  <mergeCells count="3">
    <mergeCell ref="A1:D1"/>
    <mergeCell ref="A2:D2"/>
    <mergeCell ref="A3:D3"/>
  </mergeCells>
  <printOptions horizontalCentered="1"/>
  <pageMargins left="0.75" right="0.75" top="0.75" bottom="0.5" header="0.5" footer="0.5"/>
  <pageSetup horizontalDpi="300" verticalDpi="300" orientation="portrait" scale="139" r:id="rId2"/>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sheetPr transitionEvaluation="1" transitionEntry="1"/>
  <dimension ref="A1:J70"/>
  <sheetViews>
    <sheetView workbookViewId="0" topLeftCell="A1">
      <selection activeCell="A1" sqref="A1:F1"/>
    </sheetView>
  </sheetViews>
  <sheetFormatPr defaultColWidth="8.7109375" defaultRowHeight="12" customHeight="1"/>
  <cols>
    <col min="1" max="1" width="6.00390625" style="74" customWidth="1"/>
    <col min="2" max="4" width="8.00390625" style="128" customWidth="1"/>
    <col min="5" max="5" width="8.00390625" style="74" customWidth="1"/>
    <col min="6" max="6" width="9.7109375" style="74" customWidth="1"/>
    <col min="7" max="7" width="2.7109375" style="0" customWidth="1"/>
    <col min="8" max="8" width="4.7109375" style="0" customWidth="1"/>
    <col min="9" max="10" width="13.7109375" style="0" customWidth="1"/>
    <col min="11" max="11" width="3.7109375" style="0" customWidth="1"/>
    <col min="12" max="16384" width="8.8515625" style="0" customWidth="1"/>
  </cols>
  <sheetData>
    <row r="1" spans="1:6" s="149" customFormat="1" ht="12" customHeight="1">
      <c r="A1" s="232" t="s">
        <v>198</v>
      </c>
      <c r="B1" s="232"/>
      <c r="C1" s="232"/>
      <c r="D1" s="232"/>
      <c r="E1" s="232"/>
      <c r="F1" s="232"/>
    </row>
    <row r="2" spans="1:6" s="149" customFormat="1" ht="12" customHeight="1">
      <c r="A2" s="232" t="s">
        <v>199</v>
      </c>
      <c r="B2" s="232"/>
      <c r="C2" s="232"/>
      <c r="D2" s="232"/>
      <c r="E2" s="232"/>
      <c r="F2" s="232"/>
    </row>
    <row r="3" spans="1:6" s="149" customFormat="1" ht="12" customHeight="1">
      <c r="A3" s="232" t="s">
        <v>197</v>
      </c>
      <c r="B3" s="232"/>
      <c r="C3" s="232"/>
      <c r="D3" s="232"/>
      <c r="E3" s="232"/>
      <c r="F3" s="232"/>
    </row>
    <row r="4" spans="1:6" s="149" customFormat="1" ht="12" customHeight="1" thickBot="1">
      <c r="A4" s="76"/>
      <c r="B4" s="129"/>
      <c r="C4" s="129"/>
      <c r="D4" s="129"/>
      <c r="E4" s="76"/>
      <c r="F4" s="131" t="s">
        <v>202</v>
      </c>
    </row>
    <row r="5" spans="1:6" ht="12.75" customHeight="1">
      <c r="A5" s="142"/>
      <c r="B5" s="234"/>
      <c r="C5" s="234"/>
      <c r="D5" s="237"/>
      <c r="E5" s="238"/>
      <c r="F5" s="143" t="s">
        <v>555</v>
      </c>
    </row>
    <row r="6" spans="1:6" ht="12" customHeight="1">
      <c r="A6" s="133" t="s">
        <v>564</v>
      </c>
      <c r="B6" s="233" t="s">
        <v>194</v>
      </c>
      <c r="C6" s="233"/>
      <c r="D6" s="235" t="s">
        <v>201</v>
      </c>
      <c r="E6" s="236"/>
      <c r="F6" s="144" t="s">
        <v>196</v>
      </c>
    </row>
    <row r="7" spans="1:6" ht="12" customHeight="1">
      <c r="A7" s="134" t="s">
        <v>590</v>
      </c>
      <c r="B7" s="132" t="s">
        <v>192</v>
      </c>
      <c r="C7" s="138" t="s">
        <v>191</v>
      </c>
      <c r="D7" s="132" t="s">
        <v>192</v>
      </c>
      <c r="E7" s="138" t="s">
        <v>191</v>
      </c>
      <c r="F7" s="141" t="s">
        <v>195</v>
      </c>
    </row>
    <row r="8" spans="1:6" ht="3" customHeight="1">
      <c r="A8" s="135"/>
      <c r="B8" s="112"/>
      <c r="C8" s="139"/>
      <c r="D8" s="112"/>
      <c r="E8" s="140"/>
      <c r="F8" s="145"/>
    </row>
    <row r="9" spans="1:6" ht="12" customHeight="1">
      <c r="A9" s="136" t="s">
        <v>672</v>
      </c>
      <c r="B9" s="112">
        <v>0</v>
      </c>
      <c r="C9" s="140">
        <v>0</v>
      </c>
      <c r="D9" s="112">
        <v>4564</v>
      </c>
      <c r="E9" s="140">
        <v>4381</v>
      </c>
      <c r="F9" s="145">
        <v>0</v>
      </c>
    </row>
    <row r="10" spans="1:6" ht="12" customHeight="1">
      <c r="A10" s="136" t="s">
        <v>458</v>
      </c>
      <c r="B10" s="112">
        <v>0</v>
      </c>
      <c r="C10" s="140">
        <v>110619</v>
      </c>
      <c r="D10" s="112">
        <v>0</v>
      </c>
      <c r="E10" s="140">
        <v>4381</v>
      </c>
      <c r="F10" s="145">
        <v>0</v>
      </c>
    </row>
    <row r="11" spans="1:6" ht="12" customHeight="1">
      <c r="A11" s="136" t="s">
        <v>461</v>
      </c>
      <c r="B11" s="112">
        <v>0</v>
      </c>
      <c r="C11" s="140">
        <v>72919</v>
      </c>
      <c r="D11" s="112">
        <v>0</v>
      </c>
      <c r="E11" s="140">
        <v>2081</v>
      </c>
      <c r="F11" s="145">
        <v>2300</v>
      </c>
    </row>
    <row r="12" spans="1:6" ht="12" customHeight="1">
      <c r="A12" s="136" t="s">
        <v>463</v>
      </c>
      <c r="B12" s="112">
        <v>0</v>
      </c>
      <c r="C12" s="140">
        <v>71853</v>
      </c>
      <c r="D12" s="112">
        <v>0</v>
      </c>
      <c r="E12" s="140">
        <v>1629</v>
      </c>
      <c r="F12" s="145">
        <v>318</v>
      </c>
    </row>
    <row r="13" spans="1:6" ht="12" customHeight="1">
      <c r="A13" s="136" t="s">
        <v>465</v>
      </c>
      <c r="B13" s="112">
        <v>0</v>
      </c>
      <c r="C13" s="140">
        <f>48350-290.1-2067</f>
        <v>45992.9</v>
      </c>
      <c r="D13" s="112">
        <v>1275</v>
      </c>
      <c r="E13" s="140">
        <f>1650-9.9-70</f>
        <v>1570.1</v>
      </c>
      <c r="F13" s="145">
        <v>852</v>
      </c>
    </row>
    <row r="14" spans="1:6" ht="12" customHeight="1">
      <c r="A14" s="150" t="s">
        <v>200</v>
      </c>
      <c r="B14" s="112">
        <v>-35901</v>
      </c>
      <c r="C14" s="140">
        <v>0</v>
      </c>
      <c r="D14" s="112">
        <v>0</v>
      </c>
      <c r="E14" s="140">
        <v>0</v>
      </c>
      <c r="F14" s="145"/>
    </row>
    <row r="15" spans="1:6" ht="12" customHeight="1">
      <c r="A15" s="136" t="s">
        <v>466</v>
      </c>
      <c r="B15" s="112">
        <v>0</v>
      </c>
      <c r="C15" s="140">
        <v>32700</v>
      </c>
      <c r="D15" s="112">
        <v>2270</v>
      </c>
      <c r="E15" s="140">
        <v>2270</v>
      </c>
      <c r="F15" s="145">
        <v>893</v>
      </c>
    </row>
    <row r="16" spans="1:6" ht="12" customHeight="1">
      <c r="A16" s="150" t="s">
        <v>200</v>
      </c>
      <c r="B16" s="112">
        <v>-32700</v>
      </c>
      <c r="C16" s="140">
        <v>0</v>
      </c>
      <c r="D16" s="112">
        <v>0</v>
      </c>
      <c r="E16" s="140">
        <v>0</v>
      </c>
      <c r="F16" s="145"/>
    </row>
    <row r="17" spans="1:6" ht="12" customHeight="1">
      <c r="A17" s="136" t="s">
        <v>467</v>
      </c>
      <c r="B17" s="112">
        <v>0</v>
      </c>
      <c r="C17" s="140">
        <v>16567</v>
      </c>
      <c r="D17" s="112">
        <v>3419</v>
      </c>
      <c r="E17" s="140">
        <v>3419</v>
      </c>
      <c r="F17" s="145">
        <v>27</v>
      </c>
    </row>
    <row r="18" spans="1:6" ht="12" customHeight="1">
      <c r="A18" s="136" t="s">
        <v>468</v>
      </c>
      <c r="B18" s="112">
        <v>0</v>
      </c>
      <c r="C18" s="140">
        <v>16700</v>
      </c>
      <c r="D18" s="112">
        <v>3383</v>
      </c>
      <c r="E18" s="140">
        <v>3300</v>
      </c>
      <c r="F18" s="145">
        <v>357</v>
      </c>
    </row>
    <row r="19" spans="1:6" ht="12" customHeight="1">
      <c r="A19" s="136" t="s">
        <v>469</v>
      </c>
      <c r="B19" s="112">
        <v>0</v>
      </c>
      <c r="C19" s="140">
        <v>16501</v>
      </c>
      <c r="D19" s="112">
        <v>3383</v>
      </c>
      <c r="E19" s="140">
        <v>3261</v>
      </c>
      <c r="F19" s="145">
        <v>406</v>
      </c>
    </row>
    <row r="20" spans="1:6" ht="12" customHeight="1">
      <c r="A20" s="136" t="s">
        <v>470</v>
      </c>
      <c r="B20" s="112">
        <v>0</v>
      </c>
      <c r="C20" s="140">
        <f>30000-157</f>
        <v>29843</v>
      </c>
      <c r="D20" s="112">
        <v>3300</v>
      </c>
      <c r="E20" s="140">
        <f>3400-18</f>
        <v>3382</v>
      </c>
      <c r="F20" s="145">
        <v>23</v>
      </c>
    </row>
    <row r="21" spans="1:6" ht="12" customHeight="1">
      <c r="A21" s="136" t="s">
        <v>471</v>
      </c>
      <c r="B21" s="112">
        <v>30000</v>
      </c>
      <c r="C21" s="140">
        <f>20000-252</f>
        <v>19748</v>
      </c>
      <c r="D21" s="112">
        <v>3500</v>
      </c>
      <c r="E21" s="140">
        <f>3500-44</f>
        <v>3456</v>
      </c>
      <c r="F21" s="145">
        <v>14</v>
      </c>
    </row>
    <row r="22" spans="1:6" ht="12" customHeight="1">
      <c r="A22" s="136" t="s">
        <v>473</v>
      </c>
      <c r="B22" s="112">
        <v>56450</v>
      </c>
      <c r="C22" s="140">
        <f>25000-212.5</f>
        <v>24787.5</v>
      </c>
      <c r="D22" s="112">
        <v>3550</v>
      </c>
      <c r="E22" s="140">
        <f>3456-29.376</f>
        <v>3426.624</v>
      </c>
      <c r="F22" s="145">
        <v>75</v>
      </c>
    </row>
    <row r="23" spans="1:6" ht="12" customHeight="1">
      <c r="A23" s="136" t="s">
        <v>475</v>
      </c>
      <c r="B23" s="112">
        <v>24750</v>
      </c>
      <c r="C23" s="140">
        <v>24750</v>
      </c>
      <c r="D23" s="112">
        <v>3303</v>
      </c>
      <c r="E23" s="140">
        <v>3303</v>
      </c>
      <c r="F23" s="145">
        <v>9</v>
      </c>
    </row>
    <row r="24" spans="1:6" ht="12" customHeight="1">
      <c r="A24" s="136" t="s">
        <v>476</v>
      </c>
      <c r="B24" s="112">
        <v>24750</v>
      </c>
      <c r="C24" s="140">
        <v>24703</v>
      </c>
      <c r="D24" s="112">
        <v>3250</v>
      </c>
      <c r="E24" s="140">
        <v>3244</v>
      </c>
      <c r="F24" s="145">
        <v>415</v>
      </c>
    </row>
    <row r="25" spans="1:6" ht="12" customHeight="1">
      <c r="A25" s="136" t="s">
        <v>478</v>
      </c>
      <c r="B25" s="112">
        <v>25000</v>
      </c>
      <c r="C25" s="140">
        <v>0</v>
      </c>
      <c r="D25" s="112">
        <v>3000</v>
      </c>
      <c r="E25" s="140">
        <v>1500</v>
      </c>
      <c r="F25" s="145">
        <v>80</v>
      </c>
    </row>
    <row r="26" spans="1:6" ht="12" customHeight="1">
      <c r="A26" s="136" t="s">
        <v>479</v>
      </c>
      <c r="B26" s="112">
        <v>0</v>
      </c>
      <c r="C26" s="140">
        <v>0</v>
      </c>
      <c r="D26" s="112">
        <v>1500</v>
      </c>
      <c r="E26" s="140">
        <v>1500</v>
      </c>
      <c r="F26" s="145">
        <v>0</v>
      </c>
    </row>
    <row r="27" spans="1:6" ht="12" customHeight="1">
      <c r="A27" s="137" t="s">
        <v>482</v>
      </c>
      <c r="B27" s="112">
        <v>0</v>
      </c>
      <c r="C27" s="140">
        <v>0</v>
      </c>
      <c r="D27" s="127">
        <v>1000</v>
      </c>
      <c r="E27" s="140">
        <v>1000</v>
      </c>
      <c r="F27" s="145">
        <v>0</v>
      </c>
    </row>
    <row r="28" spans="1:6" ht="12" customHeight="1">
      <c r="A28" s="152" t="s">
        <v>167</v>
      </c>
      <c r="B28" s="112">
        <v>0</v>
      </c>
      <c r="C28" s="140">
        <v>0</v>
      </c>
      <c r="D28" s="112">
        <v>1000</v>
      </c>
      <c r="E28" s="140">
        <v>500</v>
      </c>
      <c r="F28" s="145">
        <v>0</v>
      </c>
    </row>
    <row r="29" spans="1:6" ht="12" customHeight="1" thickBot="1">
      <c r="A29" s="151"/>
      <c r="B29" s="146"/>
      <c r="C29" s="147"/>
      <c r="D29" s="146"/>
      <c r="E29" s="147"/>
      <c r="F29" s="148"/>
    </row>
    <row r="30" spans="1:6" ht="3" customHeight="1">
      <c r="A30" s="119"/>
      <c r="B30" s="130"/>
      <c r="C30" s="119"/>
      <c r="D30" s="130"/>
      <c r="E30" s="119"/>
      <c r="F30" s="119"/>
    </row>
    <row r="31" spans="1:6" ht="12" customHeight="1">
      <c r="A31" s="119"/>
      <c r="B31" s="130"/>
      <c r="C31" s="119"/>
      <c r="D31" s="130"/>
      <c r="E31" s="119"/>
      <c r="F31" s="119"/>
    </row>
    <row r="32" spans="1:6" ht="12" customHeight="1">
      <c r="A32" s="119"/>
      <c r="B32" s="130"/>
      <c r="C32" s="119"/>
      <c r="D32" s="130"/>
      <c r="E32" s="119"/>
      <c r="F32" s="119"/>
    </row>
    <row r="33" spans="1:6" ht="12" customHeight="1">
      <c r="A33" s="119"/>
      <c r="B33" s="130"/>
      <c r="C33" s="119"/>
      <c r="D33" s="130"/>
      <c r="E33" s="119"/>
      <c r="F33" s="119"/>
    </row>
    <row r="34" spans="1:6" ht="7.5" customHeight="1">
      <c r="A34" s="119"/>
      <c r="B34" s="130"/>
      <c r="C34" s="119"/>
      <c r="D34" s="130"/>
      <c r="E34" s="119"/>
      <c r="F34" s="119"/>
    </row>
    <row r="35" spans="1:6" ht="4.5" customHeight="1">
      <c r="A35" s="119"/>
      <c r="B35" s="130"/>
      <c r="C35" s="119"/>
      <c r="D35" s="130"/>
      <c r="E35" s="119"/>
      <c r="F35" s="119"/>
    </row>
    <row r="41" spans="1:6" ht="12" customHeight="1">
      <c r="A41" s="105"/>
      <c r="C41" s="105"/>
      <c r="E41" s="105"/>
      <c r="F41" s="105"/>
    </row>
    <row r="42" spans="1:6" ht="12" customHeight="1">
      <c r="A42" s="94" t="s">
        <v>623</v>
      </c>
      <c r="B42" s="112"/>
      <c r="C42" s="91">
        <v>10375</v>
      </c>
      <c r="D42" s="112"/>
      <c r="E42" s="92">
        <v>62</v>
      </c>
      <c r="F42" s="92">
        <v>0</v>
      </c>
    </row>
    <row r="43" spans="1:6" ht="12" customHeight="1">
      <c r="A43" s="94" t="s">
        <v>626</v>
      </c>
      <c r="B43" s="112"/>
      <c r="C43" s="91">
        <v>82408.718</v>
      </c>
      <c r="D43" s="112"/>
      <c r="E43" s="92">
        <v>1277</v>
      </c>
      <c r="F43" s="92">
        <v>0</v>
      </c>
    </row>
    <row r="44" spans="1:6" ht="12" customHeight="1">
      <c r="A44" s="94" t="s">
        <v>628</v>
      </c>
      <c r="B44" s="112"/>
      <c r="C44" s="91">
        <v>56531.09</v>
      </c>
      <c r="D44" s="112"/>
      <c r="E44" s="92">
        <v>2269</v>
      </c>
      <c r="F44" s="92">
        <v>0</v>
      </c>
    </row>
    <row r="45" spans="1:6" ht="12" customHeight="1">
      <c r="A45" s="94" t="s">
        <v>630</v>
      </c>
      <c r="B45" s="112"/>
      <c r="C45" s="91">
        <v>61520.321</v>
      </c>
      <c r="D45" s="112"/>
      <c r="E45" s="92">
        <v>2518</v>
      </c>
      <c r="F45" s="92">
        <v>0</v>
      </c>
    </row>
    <row r="46" spans="1:6" ht="12" customHeight="1">
      <c r="A46" s="94" t="s">
        <v>636</v>
      </c>
      <c r="B46" s="112"/>
      <c r="C46" s="91">
        <v>44938</v>
      </c>
      <c r="D46" s="112"/>
      <c r="E46" s="92">
        <v>2571</v>
      </c>
      <c r="F46" s="92">
        <v>0</v>
      </c>
    </row>
    <row r="47" spans="1:6" ht="12" customHeight="1">
      <c r="A47" s="94" t="s">
        <v>643</v>
      </c>
      <c r="B47" s="112"/>
      <c r="C47" s="91">
        <v>61832</v>
      </c>
      <c r="D47" s="112"/>
      <c r="E47" s="92">
        <v>3112</v>
      </c>
      <c r="F47" s="92">
        <v>0</v>
      </c>
    </row>
    <row r="48" spans="1:6" ht="12" customHeight="1">
      <c r="A48" s="94" t="s">
        <v>645</v>
      </c>
      <c r="B48" s="112"/>
      <c r="C48" s="91">
        <v>185239</v>
      </c>
      <c r="D48" s="112"/>
      <c r="E48" s="92">
        <v>3935</v>
      </c>
      <c r="F48" s="92">
        <v>0</v>
      </c>
    </row>
    <row r="49" spans="1:6" ht="12" customHeight="1">
      <c r="A49" s="94" t="s">
        <v>647</v>
      </c>
      <c r="B49" s="112"/>
      <c r="C49" s="91">
        <v>255000</v>
      </c>
      <c r="D49" s="112"/>
      <c r="E49" s="92">
        <v>4313</v>
      </c>
      <c r="F49" s="92">
        <v>0</v>
      </c>
    </row>
    <row r="50" spans="1:6" ht="12" customHeight="1">
      <c r="A50" s="94" t="s">
        <v>649</v>
      </c>
      <c r="B50" s="112"/>
      <c r="C50" s="91">
        <v>181800</v>
      </c>
      <c r="D50" s="112"/>
      <c r="E50" s="92">
        <v>4788</v>
      </c>
      <c r="F50" s="92">
        <v>0</v>
      </c>
    </row>
    <row r="51" spans="1:6" ht="12" customHeight="1">
      <c r="A51" s="94" t="s">
        <v>652</v>
      </c>
      <c r="B51" s="112"/>
      <c r="C51" s="91">
        <v>65767</v>
      </c>
      <c r="D51" s="112"/>
      <c r="E51" s="92">
        <v>4976</v>
      </c>
      <c r="F51" s="92">
        <v>0</v>
      </c>
    </row>
    <row r="52" spans="1:6" ht="12" customHeight="1">
      <c r="A52" s="94" t="s">
        <v>654</v>
      </c>
      <c r="B52" s="112"/>
      <c r="C52" s="91">
        <v>179880</v>
      </c>
      <c r="D52" s="112"/>
      <c r="E52" s="92">
        <v>5912</v>
      </c>
      <c r="F52" s="92">
        <v>0</v>
      </c>
    </row>
    <row r="53" spans="1:6" ht="12" customHeight="1">
      <c r="A53" s="94" t="s">
        <v>656</v>
      </c>
      <c r="B53" s="112"/>
      <c r="C53" s="91">
        <v>175739</v>
      </c>
      <c r="D53" s="112"/>
      <c r="E53" s="92">
        <v>5660</v>
      </c>
      <c r="F53" s="92">
        <v>0</v>
      </c>
    </row>
    <row r="54" spans="1:6" ht="12" customHeight="1">
      <c r="A54" s="94" t="s">
        <v>659</v>
      </c>
      <c r="B54" s="112"/>
      <c r="C54" s="91">
        <v>43925</v>
      </c>
      <c r="D54" s="112"/>
      <c r="E54" s="92">
        <v>1427</v>
      </c>
      <c r="F54" s="92">
        <v>0</v>
      </c>
    </row>
    <row r="55" spans="1:6" ht="12" customHeight="1">
      <c r="A55" s="94" t="s">
        <v>661</v>
      </c>
      <c r="B55" s="112"/>
      <c r="C55" s="91">
        <v>175315</v>
      </c>
      <c r="D55" s="112"/>
      <c r="E55" s="92">
        <v>6198</v>
      </c>
      <c r="F55" s="92">
        <v>0</v>
      </c>
    </row>
    <row r="56" spans="1:6" ht="12" customHeight="1">
      <c r="A56" s="94" t="s">
        <v>663</v>
      </c>
      <c r="B56" s="112"/>
      <c r="C56" s="91">
        <v>305694</v>
      </c>
      <c r="D56" s="112"/>
      <c r="E56" s="92">
        <v>8426</v>
      </c>
      <c r="F56" s="92">
        <v>0</v>
      </c>
    </row>
    <row r="57" spans="1:6" ht="12" customHeight="1">
      <c r="A57" s="94" t="s">
        <v>665</v>
      </c>
      <c r="B57" s="112"/>
      <c r="C57" s="91">
        <v>369602</v>
      </c>
      <c r="D57" s="112"/>
      <c r="E57" s="92">
        <v>6647</v>
      </c>
      <c r="F57" s="92">
        <v>0</v>
      </c>
    </row>
    <row r="58" spans="1:6" ht="12" customHeight="1">
      <c r="A58" s="94" t="s">
        <v>667</v>
      </c>
      <c r="B58" s="112"/>
      <c r="C58" s="91">
        <v>299703</v>
      </c>
      <c r="D58" s="112"/>
      <c r="E58" s="92">
        <v>6951</v>
      </c>
      <c r="F58" s="92">
        <v>0</v>
      </c>
    </row>
    <row r="59" spans="1:6" ht="12" customHeight="1">
      <c r="A59" s="94" t="s">
        <v>193</v>
      </c>
      <c r="B59" s="112"/>
      <c r="C59" s="91"/>
      <c r="D59" s="112"/>
      <c r="E59" s="92"/>
      <c r="F59" s="92"/>
    </row>
    <row r="60" spans="1:6" ht="12" customHeight="1">
      <c r="A60" s="94" t="s">
        <v>669</v>
      </c>
      <c r="B60" s="112">
        <v>149587</v>
      </c>
      <c r="C60" s="91">
        <v>173745</v>
      </c>
      <c r="D60" s="112">
        <v>6924</v>
      </c>
      <c r="E60" s="92">
        <v>6566</v>
      </c>
      <c r="F60" s="92">
        <v>0</v>
      </c>
    </row>
    <row r="61" spans="1:6" ht="12" customHeight="1">
      <c r="A61" s="94" t="s">
        <v>193</v>
      </c>
      <c r="B61" s="112">
        <v>-145000</v>
      </c>
      <c r="C61" s="91">
        <v>-55000</v>
      </c>
      <c r="D61" s="112"/>
      <c r="E61" s="92"/>
      <c r="F61" s="92"/>
    </row>
    <row r="62" ht="12" customHeight="1">
      <c r="C62" s="74"/>
    </row>
    <row r="70" ht="12" customHeight="1">
      <c r="J70" s="4"/>
    </row>
  </sheetData>
  <mergeCells count="7">
    <mergeCell ref="A1:F1"/>
    <mergeCell ref="B6:C6"/>
    <mergeCell ref="B5:C5"/>
    <mergeCell ref="D6:E6"/>
    <mergeCell ref="D5:E5"/>
    <mergeCell ref="A2:F2"/>
    <mergeCell ref="A3:F3"/>
  </mergeCells>
  <printOptions horizontalCentered="1" verticalCentered="1"/>
  <pageMargins left="0.75" right="0.75" top="0.5" bottom="0.5" header="0.5" footer="0.5"/>
  <pageSetup horizontalDpi="300" verticalDpi="300" orientation="portrait" scale="175" r:id="rId2"/>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O505"/>
  <sheetViews>
    <sheetView zoomScale="79" zoomScaleNormal="79" workbookViewId="0" topLeftCell="A3">
      <pane ySplit="1350" topLeftCell="BM23" activePane="bottomLeft" state="split"/>
      <selection pane="topLeft" activeCell="E7" sqref="E7"/>
      <selection pane="bottomLeft" activeCell="G59" sqref="G59"/>
    </sheetView>
  </sheetViews>
  <sheetFormatPr defaultColWidth="8.7109375" defaultRowHeight="12.75"/>
  <cols>
    <col min="1" max="1" width="7.57421875" style="59" customWidth="1"/>
    <col min="2" max="2" width="15.00390625" style="35" customWidth="1"/>
    <col min="3" max="3" width="13.8515625" style="35" customWidth="1"/>
    <col min="4" max="4" width="13.28125" style="35" customWidth="1"/>
    <col min="5" max="5" width="16.28125" style="35" customWidth="1"/>
    <col min="6" max="7" width="16.00390625" style="35" customWidth="1"/>
    <col min="8" max="8" width="12.00390625" style="35" customWidth="1"/>
    <col min="9" max="9" width="16.00390625" style="35" customWidth="1"/>
    <col min="10" max="10" width="2.7109375" style="0" customWidth="1"/>
    <col min="11" max="11" width="4.7109375" style="0" customWidth="1"/>
    <col min="12" max="12" width="19.140625" style="0" customWidth="1"/>
    <col min="13" max="13" width="13.7109375" style="0" customWidth="1"/>
    <col min="14" max="14" width="3.7109375" style="0" customWidth="1"/>
    <col min="15" max="16384" width="8.8515625" style="0" customWidth="1"/>
  </cols>
  <sheetData>
    <row r="1" ht="12.75">
      <c r="A1" s="69"/>
    </row>
    <row r="2" spans="1:9" ht="10.5" customHeight="1">
      <c r="A2" s="58" t="s">
        <v>165</v>
      </c>
      <c r="B2" s="36"/>
      <c r="C2" s="36"/>
      <c r="D2" s="36"/>
      <c r="E2" s="36"/>
      <c r="F2" s="36"/>
      <c r="G2" s="36"/>
      <c r="H2" s="36"/>
      <c r="I2" s="36"/>
    </row>
    <row r="3" ht="10.5" customHeight="1"/>
    <row r="4" spans="1:9" ht="12" customHeight="1">
      <c r="A4" s="60"/>
      <c r="B4" s="38" t="s">
        <v>547</v>
      </c>
      <c r="C4" s="38" t="s">
        <v>548</v>
      </c>
      <c r="D4" s="38" t="s">
        <v>549</v>
      </c>
      <c r="E4" s="38" t="s">
        <v>550</v>
      </c>
      <c r="F4" s="42"/>
      <c r="G4" s="49" t="s">
        <v>551</v>
      </c>
      <c r="H4" s="37"/>
      <c r="I4" s="38" t="s">
        <v>552</v>
      </c>
    </row>
    <row r="5" spans="1:9" ht="12" customHeight="1">
      <c r="A5" s="61" t="s">
        <v>564</v>
      </c>
      <c r="B5" s="55" t="s">
        <v>565</v>
      </c>
      <c r="C5" s="55" t="s">
        <v>566</v>
      </c>
      <c r="D5" s="55" t="s">
        <v>567</v>
      </c>
      <c r="E5" s="55" t="s">
        <v>568</v>
      </c>
      <c r="F5" s="55" t="s">
        <v>569</v>
      </c>
      <c r="G5" s="38" t="s">
        <v>570</v>
      </c>
      <c r="H5" s="38" t="s">
        <v>571</v>
      </c>
      <c r="I5" s="55" t="s">
        <v>572</v>
      </c>
    </row>
    <row r="6" spans="1:9" ht="26.25" customHeight="1">
      <c r="A6" s="62" t="s">
        <v>590</v>
      </c>
      <c r="B6" s="73" t="s">
        <v>591</v>
      </c>
      <c r="C6" s="73" t="s">
        <v>592</v>
      </c>
      <c r="D6" s="73" t="s">
        <v>593</v>
      </c>
      <c r="E6" s="223" t="s">
        <v>813</v>
      </c>
      <c r="F6" s="39" t="s">
        <v>594</v>
      </c>
      <c r="G6" s="39" t="s">
        <v>595</v>
      </c>
      <c r="H6" s="39" t="s">
        <v>596</v>
      </c>
      <c r="I6" s="39" t="s">
        <v>597</v>
      </c>
    </row>
    <row r="7" spans="1:9" ht="10.5" customHeight="1">
      <c r="A7" s="63"/>
      <c r="B7" s="40"/>
      <c r="C7" s="40"/>
      <c r="D7" s="40"/>
      <c r="E7" s="40"/>
      <c r="F7" s="40"/>
      <c r="G7" s="40"/>
      <c r="H7" s="40"/>
      <c r="I7" s="40"/>
    </row>
    <row r="8" spans="1:9" ht="10.5" customHeight="1">
      <c r="A8" s="64" t="s">
        <v>622</v>
      </c>
      <c r="B8" s="40"/>
      <c r="C8" s="40"/>
      <c r="D8" s="40"/>
      <c r="E8" s="40"/>
      <c r="F8" s="40"/>
      <c r="G8" s="40"/>
      <c r="H8" s="40"/>
      <c r="I8" s="40"/>
    </row>
    <row r="9" spans="1:9" ht="10.5" customHeight="1">
      <c r="A9" s="65" t="s">
        <v>623</v>
      </c>
      <c r="B9" s="41">
        <v>22038929.41</v>
      </c>
      <c r="C9" s="41">
        <v>4400000</v>
      </c>
      <c r="D9" s="41">
        <f>633551.58+1325203.8</f>
        <v>1958755.38</v>
      </c>
      <c r="E9" s="41">
        <v>0</v>
      </c>
      <c r="F9" s="41">
        <f>SUM(B9:E9)</f>
        <v>28397684.79</v>
      </c>
      <c r="G9" s="41">
        <v>16000000</v>
      </c>
      <c r="H9" s="41">
        <v>-9759.85</v>
      </c>
      <c r="I9" s="41">
        <f>F9-G9-H9</f>
        <v>12407444.639999999</v>
      </c>
    </row>
    <row r="10" spans="1:9" ht="10.5" customHeight="1">
      <c r="A10" s="65" t="s">
        <v>626</v>
      </c>
      <c r="B10" s="41">
        <v>74296093</v>
      </c>
      <c r="C10" s="41">
        <v>27607662.01</v>
      </c>
      <c r="D10" s="41">
        <f>2819413.56+4984035.42</f>
        <v>7803448.98</v>
      </c>
      <c r="E10" s="41">
        <v>0</v>
      </c>
      <c r="F10" s="41">
        <f>SUM(B10:E10)</f>
        <v>109707203.99000001</v>
      </c>
      <c r="G10" s="41">
        <v>122114648.63</v>
      </c>
      <c r="H10" s="41">
        <v>-157130.84</v>
      </c>
      <c r="I10" s="41">
        <f>I9+F10-G10-H10</f>
        <v>157130.8400000149</v>
      </c>
    </row>
    <row r="11" spans="1:9" ht="10.5" customHeight="1">
      <c r="A11" s="65" t="s">
        <v>628</v>
      </c>
      <c r="B11" s="41">
        <v>54096703.16</v>
      </c>
      <c r="C11" s="41">
        <v>31347930.87</v>
      </c>
      <c r="D11" s="41">
        <f>3795978.49+5608847.25</f>
        <v>9404825.74</v>
      </c>
      <c r="E11" s="41">
        <v>0</v>
      </c>
      <c r="F11" s="41">
        <f>SUM(B11:E11)</f>
        <v>94849459.77</v>
      </c>
      <c r="G11" s="41">
        <v>95006590.61</v>
      </c>
      <c r="H11" s="41">
        <v>-64924.38</v>
      </c>
      <c r="I11" s="41">
        <f>I10+F11-G11-H11</f>
        <v>64924.3800000149</v>
      </c>
    </row>
    <row r="12" spans="1:9" ht="10.5" customHeight="1">
      <c r="A12" s="65" t="s">
        <v>630</v>
      </c>
      <c r="B12" s="41">
        <v>64100544.58</v>
      </c>
      <c r="C12" s="41">
        <v>28831083.72</v>
      </c>
      <c r="D12" s="41">
        <f>4846247.56+6097559.08</f>
        <v>10943806.64</v>
      </c>
      <c r="E12" s="41">
        <v>0</v>
      </c>
      <c r="F12" s="41">
        <f>SUM(B12:E12)</f>
        <v>103875434.94</v>
      </c>
      <c r="G12" s="41">
        <v>103940359.32</v>
      </c>
      <c r="H12" s="41">
        <v>-85921.76</v>
      </c>
      <c r="I12" s="41">
        <f>I11+F12-G12-H12</f>
        <v>85921.7600000149</v>
      </c>
    </row>
    <row r="13" spans="1:9" ht="10.5" customHeight="1">
      <c r="A13" s="66" t="s">
        <v>632</v>
      </c>
      <c r="C13" s="40"/>
      <c r="D13" s="40"/>
      <c r="E13" s="40"/>
      <c r="F13" s="54" t="s">
        <v>633</v>
      </c>
      <c r="G13" s="54" t="s">
        <v>633</v>
      </c>
      <c r="H13" s="40"/>
      <c r="I13" s="40"/>
    </row>
    <row r="14" spans="1:9" ht="10.5" customHeight="1">
      <c r="A14" s="65" t="s">
        <v>636</v>
      </c>
      <c r="B14" s="41">
        <v>34993686.06</v>
      </c>
      <c r="C14" s="41">
        <v>26956706.82</v>
      </c>
      <c r="D14" s="41">
        <f>4763832.48+6326552.54</f>
        <v>11090385.02</v>
      </c>
      <c r="E14" s="41">
        <v>126873300.34</v>
      </c>
      <c r="F14" s="41">
        <f>SUM(B14:E14)</f>
        <v>199914078.24</v>
      </c>
      <c r="G14" s="41">
        <v>111500000</v>
      </c>
      <c r="H14" s="41">
        <v>-19726.6</v>
      </c>
      <c r="I14" s="41">
        <f>I12+F14-G14-H14</f>
        <v>88519726.60000002</v>
      </c>
    </row>
    <row r="15" spans="1:9" ht="10.5" customHeight="1">
      <c r="A15" s="66" t="s">
        <v>632</v>
      </c>
      <c r="C15" s="40"/>
      <c r="D15" s="40"/>
      <c r="E15" s="40"/>
      <c r="F15" s="53" t="s">
        <v>638</v>
      </c>
      <c r="G15" s="53" t="s">
        <v>638</v>
      </c>
      <c r="H15" s="40"/>
      <c r="I15" s="40"/>
    </row>
    <row r="16" spans="1:9" ht="10.5" customHeight="1">
      <c r="A16" s="65" t="s">
        <v>643</v>
      </c>
      <c r="B16" s="41">
        <v>56034357.4</v>
      </c>
      <c r="C16" s="41">
        <v>26790518.48</v>
      </c>
      <c r="D16" s="41">
        <f>3913371.36+5359821.71</f>
        <v>9273193.07</v>
      </c>
      <c r="E16" s="41">
        <v>107882204.45</v>
      </c>
      <c r="F16" s="41">
        <f aca="true" t="shared" si="0" ref="F16:F47">SUM(B16:E16)</f>
        <v>199980273.39999998</v>
      </c>
      <c r="G16" s="41">
        <v>131100000</v>
      </c>
      <c r="H16" s="41">
        <v>-40369.93</v>
      </c>
      <c r="I16" s="41">
        <f>I14+F16-G16-H16</f>
        <v>157440369.93</v>
      </c>
    </row>
    <row r="17" spans="1:9" ht="10.5" customHeight="1">
      <c r="A17" s="65" t="s">
        <v>645</v>
      </c>
      <c r="B17" s="41">
        <v>47581546.91</v>
      </c>
      <c r="C17" s="41">
        <v>26048707.23</v>
      </c>
      <c r="D17" s="41">
        <f>5692303.9+10544981.12</f>
        <v>16237285.02</v>
      </c>
      <c r="E17" s="41">
        <f>201353193.51+8738897.4</f>
        <v>210092090.91</v>
      </c>
      <c r="F17" s="41">
        <f t="shared" si="0"/>
        <v>299959630.07</v>
      </c>
      <c r="G17" s="41">
        <v>357400000</v>
      </c>
      <c r="H17" s="41">
        <v>-827748.96</v>
      </c>
      <c r="I17" s="41">
        <f aca="true" t="shared" si="1" ref="I17:I48">I16+F17-G17-H17</f>
        <v>100827748.96</v>
      </c>
    </row>
    <row r="18" spans="1:9" ht="10.5" customHeight="1">
      <c r="A18" s="65" t="s">
        <v>647</v>
      </c>
      <c r="B18" s="41">
        <v>38101681.38</v>
      </c>
      <c r="C18" s="41">
        <v>25113558.57</v>
      </c>
      <c r="D18" s="41">
        <f>2614984.77+9664958.03</f>
        <v>12279942.799999999</v>
      </c>
      <c r="E18" s="41">
        <v>223677068.29</v>
      </c>
      <c r="F18" s="41">
        <f t="shared" si="0"/>
        <v>299172251.03999996</v>
      </c>
      <c r="G18" s="41">
        <v>361500000</v>
      </c>
      <c r="H18" s="41">
        <v>-7413.18</v>
      </c>
      <c r="I18" s="41">
        <f t="shared" si="1"/>
        <v>38507413.17999994</v>
      </c>
    </row>
    <row r="19" spans="1:9" ht="10.5" customHeight="1">
      <c r="A19" s="65" t="s">
        <v>649</v>
      </c>
      <c r="B19" s="41">
        <v>49883172.24</v>
      </c>
      <c r="C19" s="41">
        <v>26126288.66</v>
      </c>
      <c r="D19" s="41">
        <v>0</v>
      </c>
      <c r="E19" s="41">
        <v>223983125.92</v>
      </c>
      <c r="F19" s="41">
        <f t="shared" si="0"/>
        <v>299992586.82</v>
      </c>
      <c r="G19" s="41">
        <v>300000000</v>
      </c>
      <c r="H19" s="41">
        <v>-24932.82</v>
      </c>
      <c r="I19" s="41">
        <f t="shared" si="1"/>
        <v>38524932.81999994</v>
      </c>
    </row>
    <row r="20" spans="1:9" ht="10.5" customHeight="1">
      <c r="A20" s="65" t="s">
        <v>652</v>
      </c>
      <c r="B20" s="41">
        <v>35582283.79</v>
      </c>
      <c r="C20" s="41">
        <v>26483670.36</v>
      </c>
      <c r="D20" s="41">
        <v>0</v>
      </c>
      <c r="E20" s="41">
        <v>243887917.71</v>
      </c>
      <c r="F20" s="41">
        <f t="shared" si="0"/>
        <v>305953871.86</v>
      </c>
      <c r="G20" s="41">
        <v>76223000</v>
      </c>
      <c r="H20" s="41">
        <v>-39111.32</v>
      </c>
      <c r="I20" s="41">
        <f t="shared" si="1"/>
        <v>268294915.99999994</v>
      </c>
    </row>
    <row r="21" spans="1:9" ht="10.5" customHeight="1">
      <c r="A21" s="65" t="s">
        <v>654</v>
      </c>
      <c r="B21" s="41">
        <v>21495344.09</v>
      </c>
      <c r="C21" s="41">
        <v>25161788.13</v>
      </c>
      <c r="D21" s="41">
        <v>0</v>
      </c>
      <c r="E21" s="41">
        <v>247325028.98</v>
      </c>
      <c r="F21" s="41">
        <f t="shared" si="0"/>
        <v>293982161.2</v>
      </c>
      <c r="G21" s="41">
        <v>307492000</v>
      </c>
      <c r="H21" s="41">
        <v>-95184.83</v>
      </c>
      <c r="I21" s="41">
        <f t="shared" si="1"/>
        <v>254880262.02999994</v>
      </c>
    </row>
    <row r="22" spans="1:9" ht="10.5" customHeight="1">
      <c r="A22" s="65" t="s">
        <v>656</v>
      </c>
      <c r="B22" s="41">
        <v>300362.62</v>
      </c>
      <c r="C22" s="41">
        <v>27251265.93</v>
      </c>
      <c r="D22" s="41">
        <v>0</v>
      </c>
      <c r="E22" s="41">
        <v>276641316.07</v>
      </c>
      <c r="F22" s="41">
        <f t="shared" si="0"/>
        <v>304192944.62</v>
      </c>
      <c r="G22" s="41">
        <v>316986000</v>
      </c>
      <c r="H22" s="41">
        <v>0</v>
      </c>
      <c r="I22" s="41">
        <f t="shared" si="1"/>
        <v>242087206.64999998</v>
      </c>
    </row>
    <row r="23" spans="1:9" ht="10.5" customHeight="1">
      <c r="A23" s="65" t="s">
        <v>166</v>
      </c>
      <c r="B23" s="41">
        <v>44234374.65</v>
      </c>
      <c r="C23" s="41">
        <v>5672995.52</v>
      </c>
      <c r="D23" s="41">
        <v>0</v>
      </c>
      <c r="E23" s="41">
        <v>41898323.96</v>
      </c>
      <c r="F23" s="41">
        <f t="shared" si="0"/>
        <v>91805694.13</v>
      </c>
      <c r="G23" s="41">
        <v>75988000</v>
      </c>
      <c r="H23" s="41">
        <v>-118398.02</v>
      </c>
      <c r="I23" s="41">
        <f t="shared" si="1"/>
        <v>258023298.79999998</v>
      </c>
    </row>
    <row r="24" spans="1:9" ht="10.5" customHeight="1">
      <c r="A24" s="65" t="s">
        <v>661</v>
      </c>
      <c r="B24" s="41">
        <v>33825397.34</v>
      </c>
      <c r="C24" s="41">
        <v>28903516.02</v>
      </c>
      <c r="D24" s="41">
        <v>0</v>
      </c>
      <c r="E24" s="41">
        <v>232339865.18</v>
      </c>
      <c r="F24" s="41">
        <f t="shared" si="0"/>
        <v>295068778.54</v>
      </c>
      <c r="G24" s="41">
        <v>537799000</v>
      </c>
      <c r="H24" s="41">
        <v>-51801.15</v>
      </c>
      <c r="I24" s="41">
        <f t="shared" si="1"/>
        <v>15344878.490000034</v>
      </c>
    </row>
    <row r="25" spans="1:9" ht="10.5" customHeight="1">
      <c r="A25" s="65" t="s">
        <v>663</v>
      </c>
      <c r="B25" s="41">
        <v>29012542.69</v>
      </c>
      <c r="C25" s="41">
        <v>30520719.94</v>
      </c>
      <c r="D25" s="41">
        <v>0</v>
      </c>
      <c r="E25" s="41">
        <v>833428546.13</v>
      </c>
      <c r="F25" s="41">
        <f t="shared" si="0"/>
        <v>892961808.76</v>
      </c>
      <c r="G25" s="41">
        <v>805000000</v>
      </c>
      <c r="H25" s="41">
        <v>-47026.54</v>
      </c>
      <c r="I25" s="41">
        <f t="shared" si="1"/>
        <v>103353713.79</v>
      </c>
    </row>
    <row r="26" spans="1:9" ht="10.5" customHeight="1">
      <c r="A26" s="65" t="s">
        <v>665</v>
      </c>
      <c r="B26" s="41">
        <v>28266381.34</v>
      </c>
      <c r="C26" s="41">
        <v>29980572.13</v>
      </c>
      <c r="D26" s="41">
        <v>0</v>
      </c>
      <c r="E26" s="41">
        <v>741214436.76</v>
      </c>
      <c r="F26" s="41">
        <f t="shared" si="0"/>
        <v>799461390.23</v>
      </c>
      <c r="G26" s="41">
        <v>737025000</v>
      </c>
      <c r="H26" s="41">
        <v>-38376.08</v>
      </c>
      <c r="I26" s="41">
        <f t="shared" si="1"/>
        <v>165828480.1</v>
      </c>
    </row>
    <row r="27" spans="1:9" ht="10.5" customHeight="1">
      <c r="A27" s="65" t="s">
        <v>667</v>
      </c>
      <c r="B27" s="41">
        <v>63336245.95</v>
      </c>
      <c r="C27" s="41">
        <v>29857175.87</v>
      </c>
      <c r="D27" s="41">
        <v>0</v>
      </c>
      <c r="E27" s="41">
        <v>900583342.25</v>
      </c>
      <c r="F27" s="41">
        <f t="shared" si="0"/>
        <v>993776764.07</v>
      </c>
      <c r="G27" s="41">
        <v>509194000</v>
      </c>
      <c r="H27" s="41">
        <v>-163150.88</v>
      </c>
      <c r="I27" s="41">
        <f t="shared" si="1"/>
        <v>650574395.0500001</v>
      </c>
    </row>
    <row r="28" spans="1:9" ht="10.5" customHeight="1">
      <c r="A28" s="65" t="s">
        <v>669</v>
      </c>
      <c r="B28" s="41">
        <v>35979139.97</v>
      </c>
      <c r="C28" s="41">
        <v>12308148.8</v>
      </c>
      <c r="D28" s="41">
        <v>13974548.89</v>
      </c>
      <c r="E28" s="41">
        <v>867123127.83</v>
      </c>
      <c r="F28" s="41">
        <f t="shared" si="0"/>
        <v>929384965.49</v>
      </c>
      <c r="G28" s="41">
        <v>288593000</v>
      </c>
      <c r="H28" s="41">
        <v>0</v>
      </c>
      <c r="I28" s="41">
        <f t="shared" si="1"/>
        <v>1291366360.54</v>
      </c>
    </row>
    <row r="29" spans="1:9" ht="10.5" customHeight="1">
      <c r="A29" s="65" t="s">
        <v>672</v>
      </c>
      <c r="B29" s="41">
        <v>26188355.26</v>
      </c>
      <c r="C29" s="41">
        <v>30300000</v>
      </c>
      <c r="D29" s="41">
        <v>23598379.46</v>
      </c>
      <c r="E29" s="41">
        <v>825959540.09</v>
      </c>
      <c r="F29" s="41">
        <f t="shared" si="0"/>
        <v>906046274.8100001</v>
      </c>
      <c r="G29" s="41">
        <v>179927000</v>
      </c>
      <c r="H29" s="41">
        <v>0</v>
      </c>
      <c r="I29" s="41">
        <f t="shared" si="1"/>
        <v>2017485635.35</v>
      </c>
    </row>
    <row r="30" spans="1:9" ht="10.5" customHeight="1">
      <c r="A30" s="65" t="s">
        <v>458</v>
      </c>
      <c r="B30" s="41">
        <v>187249.42</v>
      </c>
      <c r="C30" s="41">
        <v>24085000</v>
      </c>
      <c r="D30" s="41">
        <v>28900910.65</v>
      </c>
      <c r="E30" s="41">
        <v>814693040.16</v>
      </c>
      <c r="F30" s="41">
        <f t="shared" si="0"/>
        <v>867866200.23</v>
      </c>
      <c r="G30" s="41">
        <v>335093000</v>
      </c>
      <c r="H30" s="41">
        <v>0</v>
      </c>
      <c r="I30" s="41">
        <f t="shared" si="1"/>
        <v>2550258835.58</v>
      </c>
    </row>
    <row r="31" spans="1:9" ht="10.5" customHeight="1">
      <c r="A31" s="65" t="s">
        <v>461</v>
      </c>
      <c r="B31" s="41">
        <v>252070.05</v>
      </c>
      <c r="C31" s="41">
        <v>56241000</v>
      </c>
      <c r="D31" s="41">
        <v>33889807.31</v>
      </c>
      <c r="E31" s="41">
        <v>789421287.55</v>
      </c>
      <c r="F31" s="41">
        <f t="shared" si="0"/>
        <v>879804164.91</v>
      </c>
      <c r="G31" s="41">
        <v>301890000</v>
      </c>
      <c r="H31" s="41">
        <v>-782552.84</v>
      </c>
      <c r="I31" s="41">
        <f t="shared" si="1"/>
        <v>3128955553.33</v>
      </c>
    </row>
    <row r="32" spans="1:9" ht="10.5" customHeight="1">
      <c r="A32" s="65" t="s">
        <v>463</v>
      </c>
      <c r="B32" s="41">
        <v>220155550.81</v>
      </c>
      <c r="C32" s="41">
        <v>1000000</v>
      </c>
      <c r="D32" s="41">
        <v>29545367.02</v>
      </c>
      <c r="E32" s="41">
        <v>784279198.13</v>
      </c>
      <c r="F32" s="41">
        <f t="shared" si="0"/>
        <v>1034980115.96</v>
      </c>
      <c r="G32" s="41">
        <v>286612000</v>
      </c>
      <c r="H32" s="41">
        <v>-1037762.77</v>
      </c>
      <c r="I32" s="41">
        <f t="shared" si="1"/>
        <v>3878361432.06</v>
      </c>
    </row>
    <row r="33" spans="1:9" ht="10.5" customHeight="1">
      <c r="A33" s="65" t="s">
        <v>465</v>
      </c>
      <c r="B33" s="41">
        <v>62890736.22</v>
      </c>
      <c r="C33" s="41">
        <v>1000000</v>
      </c>
      <c r="D33" s="41">
        <v>29558132</v>
      </c>
      <c r="E33" s="41">
        <v>755223819.02</v>
      </c>
      <c r="F33" s="41">
        <f t="shared" si="0"/>
        <v>848672687.24</v>
      </c>
      <c r="G33" s="41">
        <v>168208980</v>
      </c>
      <c r="H33" s="41">
        <v>-3945.03</v>
      </c>
      <c r="I33" s="41">
        <f t="shared" si="1"/>
        <v>4558829084.33</v>
      </c>
    </row>
    <row r="34" spans="1:9" ht="10.5" customHeight="1">
      <c r="A34" s="65" t="s">
        <v>466</v>
      </c>
      <c r="B34" s="41">
        <v>32442478.75</v>
      </c>
      <c r="C34" s="41">
        <v>1000000</v>
      </c>
      <c r="D34" s="41">
        <v>14465545.56</v>
      </c>
      <c r="E34" s="41">
        <v>823575610.02</v>
      </c>
      <c r="F34" s="41">
        <f t="shared" si="0"/>
        <v>871483634.3299999</v>
      </c>
      <c r="G34" s="41">
        <v>210626000</v>
      </c>
      <c r="H34" s="41">
        <v>0</v>
      </c>
      <c r="I34" s="41">
        <f t="shared" si="1"/>
        <v>5219686718.66</v>
      </c>
    </row>
    <row r="35" spans="1:9" ht="10.5" customHeight="1">
      <c r="A35" s="65" t="s">
        <v>467</v>
      </c>
      <c r="B35" s="41">
        <v>36743338.8</v>
      </c>
      <c r="C35" s="41">
        <v>1000000</v>
      </c>
      <c r="D35" s="41">
        <v>1416721.43</v>
      </c>
      <c r="E35" s="41">
        <v>859761232.46</v>
      </c>
      <c r="F35" s="41">
        <f t="shared" si="0"/>
        <v>898921292.69</v>
      </c>
      <c r="G35" s="41">
        <v>170464000</v>
      </c>
      <c r="H35" s="41">
        <v>0</v>
      </c>
      <c r="I35" s="41">
        <f t="shared" si="1"/>
        <v>5948144011.35</v>
      </c>
    </row>
    <row r="36" spans="1:9" ht="10.5" customHeight="1">
      <c r="A36" s="65" t="s">
        <v>468</v>
      </c>
      <c r="B36" s="41">
        <v>54678950.72</v>
      </c>
      <c r="C36" s="41">
        <v>1000000</v>
      </c>
      <c r="D36" s="41">
        <v>-269711.12</v>
      </c>
      <c r="E36" s="41">
        <v>862760617.38</v>
      </c>
      <c r="F36" s="41">
        <f t="shared" si="0"/>
        <v>918169856.98</v>
      </c>
      <c r="G36" s="41">
        <v>206233000</v>
      </c>
      <c r="H36" s="41">
        <v>0</v>
      </c>
      <c r="I36" s="41">
        <f t="shared" si="1"/>
        <v>6660080868.33</v>
      </c>
    </row>
    <row r="37" spans="1:9" ht="10.5" customHeight="1">
      <c r="A37" s="65" t="s">
        <v>469</v>
      </c>
      <c r="B37" s="41">
        <v>15045545.5</v>
      </c>
      <c r="C37" s="41">
        <v>1000000</v>
      </c>
      <c r="D37" s="41">
        <v>525475.29</v>
      </c>
      <c r="E37" s="41">
        <f>561777752.66+281987419.98</f>
        <v>843765172.64</v>
      </c>
      <c r="F37" s="41">
        <f t="shared" si="0"/>
        <v>860336193.43</v>
      </c>
      <c r="G37" s="41">
        <v>231481000</v>
      </c>
      <c r="H37" s="41">
        <v>-749.93</v>
      </c>
      <c r="I37" s="41">
        <f t="shared" si="1"/>
        <v>7288936811.690001</v>
      </c>
    </row>
    <row r="38" spans="1:9" ht="10.5" customHeight="1">
      <c r="A38" s="65" t="s">
        <v>470</v>
      </c>
      <c r="B38" s="41">
        <v>11074491.1</v>
      </c>
      <c r="C38" s="41">
        <v>1000000</v>
      </c>
      <c r="D38" s="41">
        <v>0</v>
      </c>
      <c r="E38" s="41">
        <f>288887167.64+596112742.36</f>
        <v>884999910</v>
      </c>
      <c r="F38" s="41">
        <f t="shared" si="0"/>
        <v>897074401.1</v>
      </c>
      <c r="G38" s="41">
        <v>341670750</v>
      </c>
      <c r="H38" s="41">
        <v>0</v>
      </c>
      <c r="I38" s="41">
        <f t="shared" si="1"/>
        <v>7844340462.790001</v>
      </c>
    </row>
    <row r="39" spans="1:9" ht="10.5" customHeight="1">
      <c r="A39" s="65" t="s">
        <v>471</v>
      </c>
      <c r="B39" s="41">
        <v>27773882.81</v>
      </c>
      <c r="C39" s="41">
        <v>1000000</v>
      </c>
      <c r="D39" s="41">
        <v>0</v>
      </c>
      <c r="E39" s="41">
        <f>4771642.17+883153866.73</f>
        <v>887925508.9</v>
      </c>
      <c r="F39" s="41">
        <f t="shared" si="0"/>
        <v>916699391.7099999</v>
      </c>
      <c r="G39" s="41">
        <f>11073719+306318110</f>
        <v>317391829</v>
      </c>
      <c r="H39" s="41">
        <v>0</v>
      </c>
      <c r="I39" s="41">
        <f t="shared" si="1"/>
        <v>8443648025.5</v>
      </c>
    </row>
    <row r="40" spans="1:9" ht="10.5" customHeight="1">
      <c r="A40" s="65" t="s">
        <v>473</v>
      </c>
      <c r="B40" s="41">
        <v>5008315</v>
      </c>
      <c r="C40" s="41">
        <v>1000000</v>
      </c>
      <c r="D40" s="41">
        <v>0</v>
      </c>
      <c r="E40" s="41">
        <f>662845.16+899337154.84</f>
        <v>900000000</v>
      </c>
      <c r="F40" s="41">
        <f t="shared" si="0"/>
        <v>906008315</v>
      </c>
      <c r="G40" s="41">
        <f>27773997.91+2000000+253878288.09</f>
        <v>283652286</v>
      </c>
      <c r="H40" s="41">
        <v>0</v>
      </c>
      <c r="I40" s="41">
        <f t="shared" si="1"/>
        <v>9066004054.5</v>
      </c>
    </row>
    <row r="41" spans="1:9" ht="10.5" customHeight="1">
      <c r="A41" s="65" t="s">
        <v>475</v>
      </c>
      <c r="B41" s="41">
        <v>2011753</v>
      </c>
      <c r="C41" s="41">
        <v>1000000</v>
      </c>
      <c r="D41" s="41">
        <v>0</v>
      </c>
      <c r="E41" s="41">
        <f>358918749.72+503289463.47</f>
        <v>862208213.19</v>
      </c>
      <c r="F41" s="41">
        <f t="shared" si="0"/>
        <v>865219966.19</v>
      </c>
      <c r="G41" s="41">
        <v>255551000</v>
      </c>
      <c r="H41" s="41">
        <v>0</v>
      </c>
      <c r="I41" s="41">
        <f t="shared" si="1"/>
        <v>9675673020.69</v>
      </c>
    </row>
    <row r="42" spans="1:9" ht="10.5" customHeight="1">
      <c r="A42" s="65" t="s">
        <v>476</v>
      </c>
      <c r="B42" s="41">
        <v>2011113.01</v>
      </c>
      <c r="C42" s="41">
        <v>1000000</v>
      </c>
      <c r="D42" s="41">
        <v>0</v>
      </c>
      <c r="E42" s="41">
        <f>264194201.3+632793035.7</f>
        <v>896987237</v>
      </c>
      <c r="F42" s="41">
        <f t="shared" si="0"/>
        <v>899998350.01</v>
      </c>
      <c r="G42" s="41">
        <v>216795067</v>
      </c>
      <c r="H42" s="41">
        <v>0</v>
      </c>
      <c r="I42" s="41">
        <f t="shared" si="1"/>
        <v>10358876303.7</v>
      </c>
    </row>
    <row r="43" spans="1:9" ht="10.5" customHeight="1">
      <c r="A43" s="65" t="s">
        <v>478</v>
      </c>
      <c r="B43" s="41">
        <v>10099699.18</v>
      </c>
      <c r="C43" s="41">
        <v>1000000</v>
      </c>
      <c r="D43" s="41">
        <v>0</v>
      </c>
      <c r="E43" s="41">
        <f>541236194.86+355669539.14</f>
        <v>896905734</v>
      </c>
      <c r="F43" s="41">
        <f t="shared" si="0"/>
        <v>908005433.18</v>
      </c>
      <c r="G43" s="41">
        <f>138200000-127000</f>
        <v>138073000</v>
      </c>
      <c r="H43" s="41">
        <v>0</v>
      </c>
      <c r="I43" s="41">
        <f t="shared" si="1"/>
        <v>11128808736.880001</v>
      </c>
    </row>
    <row r="44" spans="1:9" ht="10.5" customHeight="1">
      <c r="A44" s="115" t="s">
        <v>479</v>
      </c>
      <c r="B44" s="41">
        <f>2023032</f>
        <v>2023032</v>
      </c>
      <c r="C44" s="41">
        <v>1000000</v>
      </c>
      <c r="D44" s="41">
        <v>0</v>
      </c>
      <c r="E44" s="41">
        <v>888973252.81</v>
      </c>
      <c r="F44" s="41">
        <f t="shared" si="0"/>
        <v>891996284.81</v>
      </c>
      <c r="G44" s="41">
        <f>149379000+10000000</f>
        <v>159379000</v>
      </c>
      <c r="H44" s="41">
        <v>0</v>
      </c>
      <c r="I44" s="41">
        <f t="shared" si="1"/>
        <v>11861426021.69</v>
      </c>
    </row>
    <row r="45" spans="1:9" ht="10.5" customHeight="1">
      <c r="A45" s="65" t="s">
        <v>482</v>
      </c>
      <c r="B45" s="41">
        <v>1022087</v>
      </c>
      <c r="C45" s="41">
        <v>1000000</v>
      </c>
      <c r="D45" s="41">
        <v>0</v>
      </c>
      <c r="E45" s="41">
        <v>896977768</v>
      </c>
      <c r="F45" s="41">
        <f t="shared" si="0"/>
        <v>898999855</v>
      </c>
      <c r="G45" s="41">
        <f>930848000+38250000</f>
        <v>969098000</v>
      </c>
      <c r="H45" s="41">
        <v>0</v>
      </c>
      <c r="I45" s="41">
        <f t="shared" si="1"/>
        <v>11791327876.69</v>
      </c>
    </row>
    <row r="46" spans="1:9" ht="10.5" customHeight="1">
      <c r="A46" s="65">
        <v>1999</v>
      </c>
      <c r="B46" s="41">
        <v>7998664.8</v>
      </c>
      <c r="C46" s="41">
        <v>1000000</v>
      </c>
      <c r="D46" s="41">
        <v>0</v>
      </c>
      <c r="E46" s="41">
        <v>898977913</v>
      </c>
      <c r="F46" s="41">
        <f t="shared" si="0"/>
        <v>907976577.8</v>
      </c>
      <c r="G46" s="41">
        <f>366466000-38250000</f>
        <v>328216000</v>
      </c>
      <c r="H46" s="41">
        <v>0</v>
      </c>
      <c r="I46" s="41">
        <f t="shared" si="1"/>
        <v>12371088454.49</v>
      </c>
    </row>
    <row r="47" spans="1:9" ht="10.5" customHeight="1">
      <c r="A47" s="65">
        <v>2000</v>
      </c>
      <c r="B47" s="41">
        <v>2006528.78</v>
      </c>
      <c r="C47" s="41">
        <v>1000000</v>
      </c>
      <c r="D47" s="41">
        <v>0</v>
      </c>
      <c r="E47" s="41">
        <f>523231919.75+368789415.45</f>
        <v>892021335.2</v>
      </c>
      <c r="F47" s="41">
        <f t="shared" si="0"/>
        <v>895027863.98</v>
      </c>
      <c r="G47" s="41">
        <f>15998658.14+4000000+367464341.86+79429000</f>
        <v>466892000</v>
      </c>
      <c r="H47" s="41">
        <v>0</v>
      </c>
      <c r="I47" s="41">
        <f t="shared" si="1"/>
        <v>12799224318.47</v>
      </c>
    </row>
    <row r="48" spans="1:12" ht="10.5" customHeight="1">
      <c r="A48" s="65">
        <v>2001</v>
      </c>
      <c r="B48" s="41">
        <v>2000720</v>
      </c>
      <c r="C48" s="41">
        <v>1000000</v>
      </c>
      <c r="D48" s="41">
        <v>0</v>
      </c>
      <c r="E48" s="41">
        <f>569285153.18+327208318.04</f>
        <v>896493471.22</v>
      </c>
      <c r="F48" s="41">
        <f>SUM(B48:E48)</f>
        <v>899494191.22</v>
      </c>
      <c r="G48" s="41">
        <f>+'FY02Warrants'!D24</f>
        <v>682458000</v>
      </c>
      <c r="H48" s="41">
        <v>0</v>
      </c>
      <c r="I48" s="41">
        <f t="shared" si="1"/>
        <v>13016260509.689999</v>
      </c>
      <c r="L48" s="191">
        <f>-3993138.89-1000000+8320626468.06+4540783008.52</f>
        <v>12856416337.69</v>
      </c>
    </row>
    <row r="49" spans="1:12" ht="10.5" customHeight="1">
      <c r="A49" s="65" t="s">
        <v>63</v>
      </c>
      <c r="B49" s="41"/>
      <c r="C49" s="41"/>
      <c r="D49" s="41"/>
      <c r="E49" s="41"/>
      <c r="F49" s="41"/>
      <c r="G49" s="41"/>
      <c r="H49" s="41"/>
      <c r="I49" s="41">
        <f>8320626468.06+4540783008.52-3993138.89-1000000</f>
        <v>12856416337.690002</v>
      </c>
      <c r="L49" s="191">
        <f>+L50-I50</f>
        <v>0.3999977111816406</v>
      </c>
    </row>
    <row r="50" spans="1:12" ht="10.5" customHeight="1">
      <c r="A50" s="65">
        <v>2002</v>
      </c>
      <c r="B50" s="41">
        <v>2000000</v>
      </c>
      <c r="C50" s="41">
        <v>1000000</v>
      </c>
      <c r="D50" s="41">
        <v>0</v>
      </c>
      <c r="E50" s="41">
        <f>46655819.24+849823460.76</f>
        <v>896479280</v>
      </c>
      <c r="F50" s="41">
        <f>SUM(B50:E50)</f>
        <v>899479280</v>
      </c>
      <c r="G50" s="41">
        <f>+'FY02Warrants'!G50</f>
        <v>677233149</v>
      </c>
      <c r="H50" s="41">
        <f>+'FY02Warrants'!F44</f>
        <v>0</v>
      </c>
      <c r="I50" s="41">
        <f>+B50+C50+D50+E50-G50+I49+H50</f>
        <v>13078662468.690002</v>
      </c>
      <c r="L50" s="191">
        <f>2000000+7830573148.81+5241089320.28+5000000</f>
        <v>13078662469.09</v>
      </c>
    </row>
    <row r="51" spans="1:13" ht="10.5" customHeight="1">
      <c r="A51" s="65">
        <v>2003</v>
      </c>
      <c r="B51" s="41">
        <v>3411040</v>
      </c>
      <c r="C51" s="41">
        <v>1000000</v>
      </c>
      <c r="D51" s="41"/>
      <c r="E51" s="41">
        <v>898999960</v>
      </c>
      <c r="F51" s="41">
        <f>SUM(B51:E51)</f>
        <v>903411000</v>
      </c>
      <c r="G51" s="41">
        <f>395921378+132945202</f>
        <v>528866580</v>
      </c>
      <c r="H51" s="41">
        <f>-980000-5000000</f>
        <v>-5980000</v>
      </c>
      <c r="I51" s="41">
        <f>+B51+C51+D51+E51-G51+I50+H51</f>
        <v>13447226888.690002</v>
      </c>
      <c r="L51" s="191">
        <f>5411040+1000000+8333651730.41+5107164118.28</f>
        <v>13447226888.689999</v>
      </c>
      <c r="M51">
        <f>+L51-I51</f>
        <v>0</v>
      </c>
    </row>
    <row r="52" spans="1:13" ht="10.5" customHeight="1">
      <c r="A52" s="65">
        <v>2004</v>
      </c>
      <c r="B52" s="41">
        <v>2105000</v>
      </c>
      <c r="C52" s="41">
        <v>1000000</v>
      </c>
      <c r="D52" s="41"/>
      <c r="E52" s="41">
        <f>494071084.12+402928955.88</f>
        <v>897000040</v>
      </c>
      <c r="F52" s="41">
        <f>SUM(B52:E52)</f>
        <v>900105040</v>
      </c>
      <c r="G52" s="41">
        <v>488113487</v>
      </c>
      <c r="H52" s="41">
        <v>0</v>
      </c>
      <c r="I52" s="41">
        <f>+B52+C52+D52+E52-G52+I51+H52</f>
        <v>13859218441.690002</v>
      </c>
      <c r="L52" s="191">
        <f>7516040+2000000+8470106297.53+5379596104.16</f>
        <v>13859218441.689999</v>
      </c>
      <c r="M52">
        <f>+L52-I52</f>
        <v>0</v>
      </c>
    </row>
    <row r="53" spans="1:13" ht="10.5" customHeight="1">
      <c r="A53" s="65">
        <v>2005</v>
      </c>
      <c r="B53" s="41">
        <v>5543211</v>
      </c>
      <c r="C53" s="41">
        <v>1000000</v>
      </c>
      <c r="D53" s="41"/>
      <c r="E53" s="41">
        <f>528563622.31+368201166.69</f>
        <v>896764789</v>
      </c>
      <c r="F53" s="41">
        <f>SUM(B53:E53)</f>
        <v>903308000</v>
      </c>
      <c r="G53" s="41">
        <f>+'fy 05 warrants'!G28</f>
        <v>459009383</v>
      </c>
      <c r="H53" s="41">
        <v>0</v>
      </c>
      <c r="I53" s="41">
        <f>+B53+C53+D53+E53-G53+I52+H53</f>
        <v>14303517058.690002</v>
      </c>
      <c r="L53" s="191">
        <f>13059251+3000000+8657801147.84+5629656659.85</f>
        <v>14303517058.69</v>
      </c>
      <c r="M53">
        <f>+L53-I53</f>
        <v>0</v>
      </c>
    </row>
    <row r="54" spans="1:13" ht="10.5" customHeight="1">
      <c r="A54" s="65">
        <v>2006</v>
      </c>
      <c r="B54" s="41">
        <v>6866061.95</v>
      </c>
      <c r="C54" s="41">
        <v>1000000</v>
      </c>
      <c r="D54" s="41"/>
      <c r="E54" s="41">
        <f>898303940.05</f>
        <v>898303940.05</v>
      </c>
      <c r="F54" s="41">
        <f>SUM(B54:E54)</f>
        <v>906170002</v>
      </c>
      <c r="G54" s="41">
        <f>+'fy06 warrants'!H35</f>
        <v>361866176.34000003</v>
      </c>
      <c r="H54" s="41">
        <v>-5413000</v>
      </c>
      <c r="I54" s="41">
        <f>+B54+C54+D54+E54-G54+I53+H54</f>
        <v>14842407884.350002</v>
      </c>
      <c r="L54" s="191">
        <f>19925312.95+4000000+9292649436.55+5525833134.85</f>
        <v>14842407884.35</v>
      </c>
      <c r="M54">
        <f>+L54-I54</f>
        <v>0</v>
      </c>
    </row>
    <row r="55" spans="1:13" ht="10.5" customHeight="1">
      <c r="A55" s="65">
        <v>2007</v>
      </c>
      <c r="B55" s="41">
        <v>2069000</v>
      </c>
      <c r="C55" s="41">
        <v>1000000</v>
      </c>
      <c r="D55" s="41"/>
      <c r="E55" s="41">
        <f>294201994.56+598628033.44</f>
        <v>892830028</v>
      </c>
      <c r="F55" s="41">
        <f>SUM(B55:E55)</f>
        <v>895899028</v>
      </c>
      <c r="G55" s="41">
        <f>+'fy07 warrants'!H35-0.34</f>
        <v>366146494.00000006</v>
      </c>
      <c r="H55" s="41"/>
      <c r="I55" s="41">
        <f>+B55+C55+D55+E55-G55+I54+H55</f>
        <v>15372160418.350002</v>
      </c>
      <c r="L55" s="191">
        <f>21994312.95+5000000+9319176862.11+6025989243.29</f>
        <v>15372160418.350002</v>
      </c>
      <c r="M55">
        <f>+L55-I55</f>
        <v>0</v>
      </c>
    </row>
    <row r="56" spans="1:12" ht="13.5" customHeight="1">
      <c r="A56" s="65"/>
      <c r="B56" s="41"/>
      <c r="C56" s="41"/>
      <c r="D56" s="41"/>
      <c r="E56" s="41"/>
      <c r="F56" s="41"/>
      <c r="G56" s="41"/>
      <c r="H56" s="41"/>
      <c r="I56" s="41"/>
      <c r="L56" s="191"/>
    </row>
    <row r="57" spans="1:9" ht="12" customHeight="1">
      <c r="A57" s="65" t="s">
        <v>480</v>
      </c>
      <c r="B57" s="43">
        <f aca="true" t="shared" si="2" ref="B57:I57">SUM(B9:B56)</f>
        <v>1276767661.74</v>
      </c>
      <c r="C57" s="43">
        <f t="shared" si="2"/>
        <v>572988309.06</v>
      </c>
      <c r="D57" s="43">
        <f t="shared" si="2"/>
        <v>254596819.14000002</v>
      </c>
      <c r="E57" s="43">
        <f t="shared" si="2"/>
        <v>27819237592.600002</v>
      </c>
      <c r="F57" s="43">
        <f t="shared" si="2"/>
        <v>29923590382.539997</v>
      </c>
      <c r="G57" s="43">
        <f t="shared" si="2"/>
        <v>14383808779.9</v>
      </c>
      <c r="H57" s="43">
        <f t="shared" si="2"/>
        <v>-15008987.71</v>
      </c>
      <c r="I57" s="43"/>
    </row>
    <row r="58" spans="1:9" s="254" customFormat="1" ht="10.5" customHeight="1">
      <c r="A58" s="252" t="s">
        <v>790</v>
      </c>
      <c r="B58" s="253">
        <v>2000000</v>
      </c>
      <c r="C58" s="253">
        <v>1000000</v>
      </c>
      <c r="D58" s="253"/>
      <c r="E58" s="253">
        <v>897000000</v>
      </c>
      <c r="F58" s="253">
        <f>SUM(B58:E58)</f>
        <v>900000000</v>
      </c>
      <c r="G58" s="253">
        <f>+'fy08 warrants'!E17</f>
        <v>255652617</v>
      </c>
      <c r="H58" s="253"/>
      <c r="I58" s="253">
        <f>+I55+F58-G58+H58</f>
        <v>16016507801.350002</v>
      </c>
    </row>
    <row r="59" spans="1:15" s="254" customFormat="1" ht="10.5" customHeight="1">
      <c r="A59" s="252" t="s">
        <v>811</v>
      </c>
      <c r="B59" s="253">
        <v>2000000</v>
      </c>
      <c r="C59" s="253">
        <v>1000000</v>
      </c>
      <c r="D59" s="253"/>
      <c r="E59" s="253">
        <v>897000000</v>
      </c>
      <c r="F59" s="253">
        <f>SUM(B59:E59)</f>
        <v>900000000</v>
      </c>
      <c r="G59" s="226">
        <f>+(approps!B77+approps!B76)*1000</f>
        <v>354037000</v>
      </c>
      <c r="H59" s="253"/>
      <c r="I59" s="253">
        <f>+I58+F59-G59+H59</f>
        <v>16562470801.350002</v>
      </c>
      <c r="L59" s="255" t="s">
        <v>814</v>
      </c>
      <c r="M59" s="255"/>
      <c r="N59" s="255"/>
      <c r="O59" s="255"/>
    </row>
    <row r="60" spans="1:9" s="254" customFormat="1" ht="10.5" customHeight="1">
      <c r="A60" s="252"/>
      <c r="B60" s="253"/>
      <c r="C60" s="253"/>
      <c r="D60" s="253"/>
      <c r="E60" s="253"/>
      <c r="F60" s="253"/>
      <c r="G60" s="253"/>
      <c r="H60" s="253"/>
      <c r="I60" s="253"/>
    </row>
    <row r="61" spans="1:9" ht="10.5" customHeight="1">
      <c r="A61" s="63"/>
      <c r="B61" s="40"/>
      <c r="C61" s="40"/>
      <c r="D61" s="40"/>
      <c r="E61" s="40"/>
      <c r="F61" s="40"/>
      <c r="G61" s="40"/>
      <c r="H61" s="40"/>
      <c r="I61" s="40"/>
    </row>
    <row r="62" spans="1:9" ht="12" customHeight="1">
      <c r="A62" s="65" t="s">
        <v>553</v>
      </c>
      <c r="B62" s="43">
        <f aca="true" t="shared" si="3" ref="B62:H62">SUM(B57:B61)</f>
        <v>1280767661.74</v>
      </c>
      <c r="C62" s="43">
        <f t="shared" si="3"/>
        <v>574988309.06</v>
      </c>
      <c r="D62" s="43">
        <f t="shared" si="3"/>
        <v>254596819.14000002</v>
      </c>
      <c r="E62" s="43">
        <f t="shared" si="3"/>
        <v>29613237592.600002</v>
      </c>
      <c r="F62" s="43">
        <f t="shared" si="3"/>
        <v>31723590382.539997</v>
      </c>
      <c r="G62" s="43">
        <f t="shared" si="3"/>
        <v>14993498396.9</v>
      </c>
      <c r="H62" s="43">
        <f t="shared" si="3"/>
        <v>-15008987.71</v>
      </c>
      <c r="I62" s="40"/>
    </row>
    <row r="63" spans="1:9" ht="10.5" customHeight="1" thickBot="1">
      <c r="A63" s="67"/>
      <c r="B63" s="44"/>
      <c r="C63" s="44"/>
      <c r="D63" s="44"/>
      <c r="E63" s="44"/>
      <c r="F63" s="44"/>
      <c r="G63" s="44"/>
      <c r="H63" s="44"/>
      <c r="I63" s="44"/>
    </row>
    <row r="64" spans="1:9" ht="10.5" customHeight="1" thickTop="1">
      <c r="A64" s="63"/>
      <c r="B64" s="40"/>
      <c r="C64" s="40"/>
      <c r="D64" s="40"/>
      <c r="E64" s="40"/>
      <c r="F64" s="40"/>
      <c r="G64" s="40"/>
      <c r="H64" s="40"/>
      <c r="I64" s="40"/>
    </row>
    <row r="65" spans="1:9" ht="10.5" customHeight="1">
      <c r="A65" s="173" t="s">
        <v>4</v>
      </c>
      <c r="E65" s="40"/>
      <c r="F65" s="40"/>
      <c r="G65" s="40"/>
      <c r="H65" s="40"/>
      <c r="I65" s="40"/>
    </row>
    <row r="66" spans="1:9" ht="10.5" customHeight="1">
      <c r="A66" s="65" t="s">
        <v>663</v>
      </c>
      <c r="B66" s="41">
        <v>0</v>
      </c>
      <c r="C66" s="41">
        <v>0</v>
      </c>
      <c r="D66" s="41">
        <v>0</v>
      </c>
      <c r="E66" s="41">
        <v>300000000</v>
      </c>
      <c r="F66" s="41">
        <f>SUM(B66:E66)</f>
        <v>300000000</v>
      </c>
      <c r="G66" s="41">
        <v>205000000</v>
      </c>
      <c r="H66" s="41">
        <v>0</v>
      </c>
      <c r="I66" s="41">
        <f>I65+F66-G66-H66</f>
        <v>95000000</v>
      </c>
    </row>
    <row r="67" spans="1:9" ht="10.5" customHeight="1">
      <c r="A67" s="65" t="s">
        <v>665</v>
      </c>
      <c r="B67" s="41">
        <v>0</v>
      </c>
      <c r="C67" s="41">
        <v>0</v>
      </c>
      <c r="D67" s="41">
        <v>0</v>
      </c>
      <c r="E67" s="41">
        <v>150000000</v>
      </c>
      <c r="F67" s="41">
        <f>SUM(B67:E67)</f>
        <v>150000000</v>
      </c>
      <c r="G67" s="41">
        <v>102379000</v>
      </c>
      <c r="H67" s="41">
        <v>0</v>
      </c>
      <c r="I67" s="41">
        <f>I66+F67-G67-H67</f>
        <v>142621000</v>
      </c>
    </row>
    <row r="68" spans="1:9" ht="12" customHeight="1">
      <c r="A68" s="65" t="s">
        <v>553</v>
      </c>
      <c r="B68" s="43">
        <f aca="true" t="shared" si="4" ref="B68:H68">B66+B67</f>
        <v>0</v>
      </c>
      <c r="C68" s="43">
        <f t="shared" si="4"/>
        <v>0</v>
      </c>
      <c r="D68" s="43">
        <f t="shared" si="4"/>
        <v>0</v>
      </c>
      <c r="E68" s="43">
        <f t="shared" si="4"/>
        <v>450000000</v>
      </c>
      <c r="F68" s="43">
        <f t="shared" si="4"/>
        <v>450000000</v>
      </c>
      <c r="G68" s="43">
        <f t="shared" si="4"/>
        <v>307379000</v>
      </c>
      <c r="H68" s="43">
        <f t="shared" si="4"/>
        <v>0</v>
      </c>
      <c r="I68" s="40"/>
    </row>
    <row r="69" spans="1:9" ht="10.5" customHeight="1">
      <c r="A69" s="66" t="s">
        <v>488</v>
      </c>
      <c r="I69" s="40"/>
    </row>
    <row r="70" spans="1:9" ht="10.5" customHeight="1">
      <c r="A70" s="68"/>
      <c r="B70" s="45"/>
      <c r="C70" s="45"/>
      <c r="D70" s="45"/>
      <c r="E70" s="45"/>
      <c r="F70" s="45"/>
      <c r="G70" s="45"/>
      <c r="H70" s="45"/>
      <c r="I70" s="45"/>
    </row>
    <row r="71" spans="1:9" ht="10.5" customHeight="1">
      <c r="A71" s="117"/>
      <c r="B71" s="118"/>
      <c r="C71" s="118"/>
      <c r="D71" s="118"/>
      <c r="E71" s="118"/>
      <c r="F71" s="118"/>
      <c r="G71" s="118"/>
      <c r="H71" s="118"/>
      <c r="I71" s="118"/>
    </row>
    <row r="72" spans="1:9" ht="10.5" customHeight="1">
      <c r="A72" s="125" t="s">
        <v>169</v>
      </c>
      <c r="B72" s="118"/>
      <c r="C72" s="118"/>
      <c r="D72" s="118"/>
      <c r="E72" s="118"/>
      <c r="F72" s="118"/>
      <c r="G72" s="118"/>
      <c r="H72" s="118"/>
      <c r="I72" s="118"/>
    </row>
    <row r="73" spans="1:9" ht="10.5" customHeight="1">
      <c r="A73" s="126" t="s">
        <v>91</v>
      </c>
      <c r="B73" s="118"/>
      <c r="C73" s="118"/>
      <c r="D73" s="118"/>
      <c r="E73" s="118"/>
      <c r="F73" s="118"/>
      <c r="G73" s="118"/>
      <c r="H73" s="118"/>
      <c r="I73" s="118"/>
    </row>
    <row r="74" spans="1:9" ht="10.5" customHeight="1">
      <c r="A74" s="117" t="s">
        <v>89</v>
      </c>
      <c r="B74" s="118"/>
      <c r="C74" s="118"/>
      <c r="D74" s="118"/>
      <c r="E74" s="118"/>
      <c r="F74" s="118"/>
      <c r="G74" s="118"/>
      <c r="H74" s="118"/>
      <c r="I74" s="118"/>
    </row>
    <row r="75" spans="1:9" ht="10.5" customHeight="1">
      <c r="A75" s="172" t="s">
        <v>530</v>
      </c>
      <c r="B75" s="118"/>
      <c r="C75" s="118"/>
      <c r="D75" s="118"/>
      <c r="E75" s="118"/>
      <c r="F75" s="118"/>
      <c r="G75" s="118"/>
      <c r="H75" s="118"/>
      <c r="I75" s="118"/>
    </row>
    <row r="76" spans="1:9" ht="10.5" customHeight="1">
      <c r="A76" s="172" t="s">
        <v>531</v>
      </c>
      <c r="B76" s="118"/>
      <c r="C76" s="118"/>
      <c r="D76" s="118"/>
      <c r="E76" s="118"/>
      <c r="F76" s="118"/>
      <c r="G76" s="118"/>
      <c r="H76" s="118"/>
      <c r="I76" s="118"/>
    </row>
    <row r="77" spans="1:9" ht="10.5" customHeight="1">
      <c r="A77" s="126" t="s">
        <v>180</v>
      </c>
      <c r="B77" s="118"/>
      <c r="C77" s="118"/>
      <c r="D77" s="118"/>
      <c r="E77" s="118"/>
      <c r="F77" s="118"/>
      <c r="G77" s="118"/>
      <c r="H77" s="118"/>
      <c r="I77" s="118"/>
    </row>
    <row r="78" spans="1:9" ht="10.5" customHeight="1">
      <c r="A78" s="117" t="s">
        <v>731</v>
      </c>
      <c r="B78" s="118"/>
      <c r="C78" s="118"/>
      <c r="D78" s="118"/>
      <c r="E78" s="118"/>
      <c r="F78" s="118"/>
      <c r="G78" s="118"/>
      <c r="H78" s="118"/>
      <c r="I78" s="118"/>
    </row>
    <row r="79" spans="1:9" ht="10.5" customHeight="1">
      <c r="A79" s="126" t="s">
        <v>85</v>
      </c>
      <c r="B79" s="118"/>
      <c r="C79" s="118"/>
      <c r="D79" s="118"/>
      <c r="E79" s="118"/>
      <c r="F79" s="118"/>
      <c r="G79" s="118"/>
      <c r="H79" s="118"/>
      <c r="I79" s="118"/>
    </row>
    <row r="80" spans="1:9" ht="10.5" customHeight="1">
      <c r="A80" s="117" t="s">
        <v>181</v>
      </c>
      <c r="B80" s="118"/>
      <c r="C80" s="118"/>
      <c r="D80" s="118"/>
      <c r="E80" s="118"/>
      <c r="F80" s="118"/>
      <c r="G80" s="118"/>
      <c r="H80" s="118"/>
      <c r="I80" s="118"/>
    </row>
    <row r="81" spans="1:9" ht="10.5" customHeight="1">
      <c r="A81" s="117" t="s">
        <v>182</v>
      </c>
      <c r="B81" s="118"/>
      <c r="C81" s="118"/>
      <c r="D81" s="118"/>
      <c r="E81" s="118"/>
      <c r="F81" s="118"/>
      <c r="G81" s="118"/>
      <c r="H81" s="118"/>
      <c r="I81" s="118"/>
    </row>
    <row r="82" spans="1:9" ht="10.5" customHeight="1">
      <c r="A82" s="126" t="s">
        <v>183</v>
      </c>
      <c r="B82" s="118"/>
      <c r="C82" s="118"/>
      <c r="D82" s="118"/>
      <c r="E82" s="118"/>
      <c r="F82" s="118"/>
      <c r="G82" s="118"/>
      <c r="H82" s="118"/>
      <c r="I82" s="118"/>
    </row>
    <row r="83" spans="1:9" ht="10.5" customHeight="1">
      <c r="A83" s="126" t="s">
        <v>184</v>
      </c>
      <c r="B83" s="118"/>
      <c r="C83" s="118"/>
      <c r="D83" s="118"/>
      <c r="E83" s="118"/>
      <c r="F83" s="118"/>
      <c r="G83" s="118"/>
      <c r="H83" s="118"/>
      <c r="I83" s="118"/>
    </row>
    <row r="84" spans="1:9" ht="10.5" customHeight="1">
      <c r="A84" s="117" t="s">
        <v>185</v>
      </c>
      <c r="B84" s="118"/>
      <c r="C84" s="118"/>
      <c r="D84" s="118"/>
      <c r="E84" s="118"/>
      <c r="F84" s="118"/>
      <c r="G84" s="118"/>
      <c r="H84" s="118"/>
      <c r="I84" s="118"/>
    </row>
    <row r="85" spans="1:9" ht="10.5" customHeight="1">
      <c r="A85" s="117" t="s">
        <v>186</v>
      </c>
      <c r="B85" s="118"/>
      <c r="C85" s="118"/>
      <c r="D85" s="118"/>
      <c r="E85" s="118"/>
      <c r="F85" s="118"/>
      <c r="G85" s="118"/>
      <c r="H85" s="118"/>
      <c r="I85" s="118"/>
    </row>
    <row r="86" spans="1:9" ht="10.5" customHeight="1">
      <c r="A86" s="126" t="s">
        <v>190</v>
      </c>
      <c r="B86" s="118"/>
      <c r="C86" s="118"/>
      <c r="D86" s="118"/>
      <c r="E86" s="118"/>
      <c r="F86" s="118"/>
      <c r="G86" s="118"/>
      <c r="H86" s="118"/>
      <c r="I86" s="118"/>
    </row>
    <row r="87" spans="1:9" ht="10.5" customHeight="1">
      <c r="A87" s="117" t="s">
        <v>187</v>
      </c>
      <c r="B87" s="118"/>
      <c r="C87" s="118"/>
      <c r="D87" s="118"/>
      <c r="E87" s="118"/>
      <c r="F87" s="118"/>
      <c r="G87" s="118"/>
      <c r="H87" s="118"/>
      <c r="I87" s="118"/>
    </row>
    <row r="88" spans="1:9" ht="10.5" customHeight="1">
      <c r="A88" s="117" t="s">
        <v>188</v>
      </c>
      <c r="B88" s="118"/>
      <c r="C88" s="118"/>
      <c r="D88" s="118"/>
      <c r="E88" s="118"/>
      <c r="F88" s="118"/>
      <c r="G88" s="118"/>
      <c r="H88" s="118"/>
      <c r="I88" s="118"/>
    </row>
    <row r="89" spans="1:9" ht="9.75" customHeight="1">
      <c r="A89" s="117"/>
      <c r="B89" s="118"/>
      <c r="C89" s="118"/>
      <c r="D89" s="118"/>
      <c r="E89" s="118"/>
      <c r="F89" s="118"/>
      <c r="G89" s="118"/>
      <c r="H89" s="118"/>
      <c r="I89" s="118"/>
    </row>
    <row r="90" spans="7:9" ht="10.5" customHeight="1">
      <c r="G90" s="50"/>
      <c r="H90" s="36"/>
      <c r="I90" s="116"/>
    </row>
    <row r="91" ht="10.5" customHeight="1"/>
    <row r="92" spans="1:9" ht="12.75">
      <c r="A92" s="57" t="s">
        <v>491</v>
      </c>
      <c r="B92" s="46" t="s">
        <v>492</v>
      </c>
      <c r="C92" s="46" t="s">
        <v>492</v>
      </c>
      <c r="D92" s="46" t="s">
        <v>492</v>
      </c>
      <c r="E92" s="46" t="s">
        <v>492</v>
      </c>
      <c r="F92" s="46" t="s">
        <v>492</v>
      </c>
      <c r="G92" s="46" t="s">
        <v>492</v>
      </c>
      <c r="H92" s="46" t="s">
        <v>492</v>
      </c>
      <c r="I92" s="46" t="s">
        <v>492</v>
      </c>
    </row>
    <row r="93" spans="1:9" ht="12.75">
      <c r="A93" s="57" t="s">
        <v>189</v>
      </c>
      <c r="B93" s="46"/>
      <c r="C93" s="46"/>
      <c r="D93" s="46"/>
      <c r="E93" s="46"/>
      <c r="F93" s="46"/>
      <c r="G93" s="46"/>
      <c r="H93" s="46"/>
      <c r="I93" s="46"/>
    </row>
    <row r="94" spans="1:7" ht="10.5" customHeight="1">
      <c r="A94" s="57" t="s">
        <v>493</v>
      </c>
      <c r="B94" s="36"/>
      <c r="C94" s="36"/>
      <c r="D94" s="36"/>
      <c r="E94" s="36"/>
      <c r="F94" s="36"/>
      <c r="G94" s="36"/>
    </row>
    <row r="95" spans="1:7" ht="12.75">
      <c r="A95" s="57" t="s">
        <v>168</v>
      </c>
      <c r="B95" s="36"/>
      <c r="C95" s="36"/>
      <c r="D95" s="36"/>
      <c r="E95" s="36"/>
      <c r="F95" s="36"/>
      <c r="G95" s="36"/>
    </row>
    <row r="96" spans="1:9" ht="10.5" customHeight="1">
      <c r="A96" s="69" t="s">
        <v>494</v>
      </c>
      <c r="B96" s="36"/>
      <c r="C96" s="36"/>
      <c r="D96" s="36"/>
      <c r="E96" s="36"/>
      <c r="F96" s="36"/>
      <c r="G96" s="36"/>
      <c r="H96" s="46" t="s">
        <v>495</v>
      </c>
      <c r="I96" s="36"/>
    </row>
    <row r="97" spans="1:9" ht="10.5" customHeight="1">
      <c r="A97" s="69" t="s">
        <v>496</v>
      </c>
      <c r="B97" s="36"/>
      <c r="C97" s="36"/>
      <c r="D97" s="36"/>
      <c r="E97" s="36"/>
      <c r="F97" s="36"/>
      <c r="G97" s="36"/>
      <c r="H97" s="46" t="s">
        <v>495</v>
      </c>
      <c r="I97" s="36"/>
    </row>
    <row r="98" spans="1:9" ht="10.5" customHeight="1">
      <c r="A98" s="69" t="s">
        <v>497</v>
      </c>
      <c r="B98" s="36"/>
      <c r="C98" s="36"/>
      <c r="D98" s="36"/>
      <c r="E98" s="36"/>
      <c r="F98" s="36"/>
      <c r="G98" s="36"/>
      <c r="H98" s="46" t="s">
        <v>495</v>
      </c>
      <c r="I98" s="36"/>
    </row>
    <row r="99" spans="1:9" ht="10.5" customHeight="1">
      <c r="A99" s="69" t="s">
        <v>498</v>
      </c>
      <c r="B99" s="36"/>
      <c r="C99" s="36"/>
      <c r="D99" s="36"/>
      <c r="E99" s="36"/>
      <c r="F99" s="36"/>
      <c r="G99" s="36"/>
      <c r="H99" s="46" t="s">
        <v>495</v>
      </c>
      <c r="I99" s="36"/>
    </row>
    <row r="100" spans="1:9" ht="10.5" customHeight="1">
      <c r="A100" s="69" t="s">
        <v>499</v>
      </c>
      <c r="B100" s="36"/>
      <c r="C100" s="36"/>
      <c r="D100" s="36"/>
      <c r="E100" s="36"/>
      <c r="F100" s="36"/>
      <c r="G100" s="36"/>
      <c r="H100" s="46" t="s">
        <v>495</v>
      </c>
      <c r="I100" s="36"/>
    </row>
    <row r="101" spans="1:9" ht="10.5" customHeight="1">
      <c r="A101" s="70"/>
      <c r="B101" s="36"/>
      <c r="C101" s="36"/>
      <c r="D101" s="36"/>
      <c r="E101" s="36"/>
      <c r="F101" s="36"/>
      <c r="G101" s="36"/>
      <c r="H101" s="46" t="s">
        <v>495</v>
      </c>
      <c r="I101" s="36"/>
    </row>
    <row r="102" spans="1:7" ht="10.5" customHeight="1">
      <c r="A102" s="57" t="s">
        <v>500</v>
      </c>
      <c r="G102" s="51">
        <f>I43</f>
        <v>11128808736.880001</v>
      </c>
    </row>
    <row r="103" ht="10.5" customHeight="1"/>
    <row r="104" ht="10.5" customHeight="1">
      <c r="A104" s="71" t="s">
        <v>501</v>
      </c>
    </row>
    <row r="105" spans="1:6" ht="10.5" customHeight="1">
      <c r="A105" s="57" t="s">
        <v>502</v>
      </c>
      <c r="F105" s="51">
        <v>1649.99</v>
      </c>
    </row>
    <row r="106" spans="1:6" ht="10.5" customHeight="1">
      <c r="A106" s="57" t="s">
        <v>503</v>
      </c>
      <c r="F106" s="51">
        <v>-1649</v>
      </c>
    </row>
    <row r="107" spans="1:7" ht="10.5" customHeight="1">
      <c r="A107" s="57" t="s">
        <v>504</v>
      </c>
      <c r="F107" s="52">
        <f>F105+F106</f>
        <v>0.9900000000000091</v>
      </c>
      <c r="G107" s="51">
        <v>0.99</v>
      </c>
    </row>
    <row r="108" ht="10.5" customHeight="1"/>
    <row r="109" ht="10.5" customHeight="1">
      <c r="A109" s="71" t="s">
        <v>505</v>
      </c>
    </row>
    <row r="110" ht="10.5" customHeight="1">
      <c r="A110" s="57" t="s">
        <v>506</v>
      </c>
    </row>
    <row r="111" ht="12.75">
      <c r="A111" s="57" t="s">
        <v>507</v>
      </c>
    </row>
    <row r="112" spans="1:6" ht="10.5" customHeight="1">
      <c r="A112" s="57" t="s">
        <v>508</v>
      </c>
      <c r="F112" s="51">
        <v>-3093751</v>
      </c>
    </row>
    <row r="113" ht="10.5" customHeight="1"/>
    <row r="114" spans="1:6" ht="10.5" customHeight="1">
      <c r="A114" s="57" t="s">
        <v>509</v>
      </c>
      <c r="F114" s="51">
        <v>11099699.18</v>
      </c>
    </row>
    <row r="115" spans="6:9" ht="10.5" customHeight="1">
      <c r="F115" s="56" t="s">
        <v>510</v>
      </c>
      <c r="H115" s="47"/>
      <c r="I115" s="47"/>
    </row>
    <row r="116" spans="1:6" ht="10.5" customHeight="1">
      <c r="A116" s="57" t="s">
        <v>511</v>
      </c>
      <c r="F116" s="47"/>
    </row>
    <row r="117" spans="1:7" ht="10.5" customHeight="1">
      <c r="A117" s="57" t="s">
        <v>512</v>
      </c>
      <c r="F117" s="51">
        <f>F112+F114</f>
        <v>8005948.18</v>
      </c>
      <c r="G117" s="51">
        <f>-F117</f>
        <v>-8005948.18</v>
      </c>
    </row>
    <row r="118" ht="10.5" customHeight="1"/>
    <row r="119" spans="1:7" ht="10.5" customHeight="1">
      <c r="A119" s="57" t="s">
        <v>513</v>
      </c>
      <c r="G119" s="52">
        <f>G102+G107+G117</f>
        <v>11120802789.69</v>
      </c>
    </row>
    <row r="120" ht="10.5" customHeight="1"/>
    <row r="121" spans="6:9" ht="10.5" customHeight="1">
      <c r="F121" s="46" t="s">
        <v>514</v>
      </c>
      <c r="G121" s="36"/>
      <c r="H121" s="46" t="s">
        <v>495</v>
      </c>
      <c r="I121" s="36"/>
    </row>
    <row r="122" spans="1:14" ht="10.5" customHeight="1">
      <c r="A122" s="72" t="s">
        <v>515</v>
      </c>
      <c r="B122" s="46" t="s">
        <v>516</v>
      </c>
      <c r="F122" s="48" t="s">
        <v>515</v>
      </c>
      <c r="G122" s="48" t="s">
        <v>515</v>
      </c>
      <c r="H122" s="48" t="s">
        <v>515</v>
      </c>
      <c r="I122" s="48" t="s">
        <v>515</v>
      </c>
      <c r="J122" s="6" t="s">
        <v>515</v>
      </c>
      <c r="K122" s="6" t="s">
        <v>515</v>
      </c>
      <c r="L122" s="6" t="s">
        <v>515</v>
      </c>
      <c r="M122" s="6" t="s">
        <v>515</v>
      </c>
      <c r="N122" s="6" t="s">
        <v>515</v>
      </c>
    </row>
    <row r="123" spans="1:5" ht="10.5" customHeight="1">
      <c r="A123" s="57" t="s">
        <v>517</v>
      </c>
      <c r="E123" s="51"/>
    </row>
    <row r="124" spans="5:13" ht="10.5" customHeight="1">
      <c r="E124" s="51"/>
      <c r="L124" s="34" t="s">
        <v>519</v>
      </c>
      <c r="M124" s="34" t="s">
        <v>520</v>
      </c>
    </row>
    <row r="125" ht="9.75" customHeight="1"/>
    <row r="126" spans="12:13" ht="9.75" customHeight="1">
      <c r="L126" s="3">
        <v>28397684.79</v>
      </c>
      <c r="M126" s="1" t="s">
        <v>523</v>
      </c>
    </row>
    <row r="127" spans="12:13" ht="9.75" customHeight="1">
      <c r="L127" s="3">
        <v>-16000000</v>
      </c>
      <c r="M127" s="1" t="s">
        <v>525</v>
      </c>
    </row>
    <row r="128" spans="12:13" ht="9.75" customHeight="1">
      <c r="L128" s="3">
        <v>9759.85</v>
      </c>
      <c r="M128" s="1" t="s">
        <v>527</v>
      </c>
    </row>
    <row r="129" ht="9.75" customHeight="1">
      <c r="L129" s="33">
        <f>SUM(L126:L128)</f>
        <v>12407444.639999999</v>
      </c>
    </row>
    <row r="130" ht="9.75" customHeight="1"/>
    <row r="131" ht="9.75" customHeight="1">
      <c r="L131" s="3">
        <v>109707203.99</v>
      </c>
    </row>
    <row r="132" ht="9.75" customHeight="1"/>
    <row r="133" ht="9.75" customHeight="1">
      <c r="L133" s="3">
        <v>-122114648.63</v>
      </c>
    </row>
    <row r="134" ht="9.75" customHeight="1">
      <c r="L134" s="3">
        <v>157130.84</v>
      </c>
    </row>
    <row r="135" ht="9.75" customHeight="1">
      <c r="L135" s="33">
        <f>SUM(L129:L134)</f>
        <v>157130.84</v>
      </c>
    </row>
    <row r="136" ht="9.75" customHeight="1"/>
    <row r="137" ht="9.75" customHeight="1">
      <c r="L137" s="3">
        <v>94849459.77</v>
      </c>
    </row>
    <row r="138" ht="9.75" customHeight="1"/>
    <row r="139" ht="9.75" customHeight="1">
      <c r="L139" s="3">
        <v>-95006590.61</v>
      </c>
    </row>
    <row r="140" ht="9.75" customHeight="1">
      <c r="L140" s="3">
        <v>64924.38</v>
      </c>
    </row>
    <row r="141" ht="9.75" customHeight="1">
      <c r="L141" s="33">
        <f>SUM(L135:L140)</f>
        <v>64924.38</v>
      </c>
    </row>
    <row r="142" ht="9.75" customHeight="1"/>
    <row r="143" ht="9.75" customHeight="1">
      <c r="L143" s="3">
        <v>103875434.94</v>
      </c>
    </row>
    <row r="144" ht="9.75" customHeight="1"/>
    <row r="145" ht="9.75" customHeight="1">
      <c r="L145" s="3">
        <v>-103940359.32</v>
      </c>
    </row>
    <row r="146" ht="9.75" customHeight="1">
      <c r="L146" s="3">
        <v>85921.76</v>
      </c>
    </row>
    <row r="147" ht="9.75" customHeight="1">
      <c r="L147" s="4" t="s">
        <v>332</v>
      </c>
    </row>
    <row r="148" ht="9.75" customHeight="1">
      <c r="L148" s="33">
        <f>SUM(L141:L147)</f>
        <v>85921.76</v>
      </c>
    </row>
    <row r="149" ht="9.75" customHeight="1"/>
    <row r="150" ht="9.75" customHeight="1">
      <c r="L150" s="3">
        <v>-85921.76</v>
      </c>
    </row>
    <row r="151" ht="9.75" customHeight="1">
      <c r="L151" s="3">
        <v>200000000</v>
      </c>
    </row>
    <row r="152" spans="10:12" ht="9.75" customHeight="1">
      <c r="J152" s="1" t="s">
        <v>337</v>
      </c>
      <c r="L152" s="4" t="s">
        <v>338</v>
      </c>
    </row>
    <row r="153" ht="9.75" customHeight="1">
      <c r="L153" s="3">
        <v>-111500000</v>
      </c>
    </row>
    <row r="154" ht="9.75" customHeight="1">
      <c r="L154" s="3">
        <v>19726.6</v>
      </c>
    </row>
    <row r="155" ht="9.75" customHeight="1">
      <c r="L155" s="4" t="s">
        <v>339</v>
      </c>
    </row>
    <row r="156" ht="9.75" customHeight="1">
      <c r="L156" s="33">
        <f>SUM(L148:L155)</f>
        <v>88519726.6</v>
      </c>
    </row>
    <row r="157" spans="10:12" ht="9.75" customHeight="1">
      <c r="J157" s="1" t="s">
        <v>341</v>
      </c>
      <c r="L157" s="4" t="s">
        <v>342</v>
      </c>
    </row>
    <row r="158" spans="10:12" ht="9.75" customHeight="1">
      <c r="J158" s="1" t="s">
        <v>343</v>
      </c>
      <c r="L158" s="4" t="s">
        <v>344</v>
      </c>
    </row>
    <row r="159" ht="9.75" customHeight="1"/>
    <row r="160" ht="9.75" customHeight="1">
      <c r="L160" s="3">
        <v>-19726.6</v>
      </c>
    </row>
    <row r="161" ht="9.75" customHeight="1">
      <c r="L161" s="3">
        <v>200000000</v>
      </c>
    </row>
    <row r="162" spans="10:12" ht="9.75" customHeight="1">
      <c r="J162" s="1" t="s">
        <v>337</v>
      </c>
      <c r="L162" s="4" t="s">
        <v>346</v>
      </c>
    </row>
    <row r="163" ht="9.75" customHeight="1">
      <c r="L163" s="3">
        <v>-131100000</v>
      </c>
    </row>
    <row r="164" ht="9.75" customHeight="1">
      <c r="L164" s="3">
        <v>40369.93</v>
      </c>
    </row>
    <row r="165" ht="9.75" customHeight="1">
      <c r="L165" s="33">
        <f>SUM(L156:L164)</f>
        <v>157440369.93</v>
      </c>
    </row>
    <row r="166" spans="10:12" ht="9.75" customHeight="1">
      <c r="J166" s="1" t="s">
        <v>341</v>
      </c>
      <c r="L166" s="4" t="s">
        <v>348</v>
      </c>
    </row>
    <row r="167" spans="10:12" ht="9.75" customHeight="1">
      <c r="J167" s="1" t="s">
        <v>343</v>
      </c>
      <c r="L167" s="4" t="s">
        <v>349</v>
      </c>
    </row>
    <row r="168" ht="9.75" customHeight="1"/>
    <row r="169" ht="9.75" customHeight="1">
      <c r="L169" s="3">
        <v>-40369.93</v>
      </c>
    </row>
    <row r="170" ht="9.75" customHeight="1">
      <c r="L170" s="3">
        <v>300000000</v>
      </c>
    </row>
    <row r="171" spans="10:12" ht="9.75" customHeight="1">
      <c r="J171" s="1" t="s">
        <v>337</v>
      </c>
      <c r="L171" s="4" t="s">
        <v>351</v>
      </c>
    </row>
    <row r="172" ht="9.75" customHeight="1">
      <c r="L172" s="3">
        <v>-357400000</v>
      </c>
    </row>
    <row r="173" ht="9.75" customHeight="1">
      <c r="L173" s="3">
        <v>827748.96</v>
      </c>
    </row>
    <row r="174" ht="9.75" customHeight="1">
      <c r="L174" s="33">
        <f>SUM(L165:L173)</f>
        <v>100827748.96</v>
      </c>
    </row>
    <row r="175" spans="10:12" ht="9.75" customHeight="1">
      <c r="J175" s="1" t="s">
        <v>341</v>
      </c>
      <c r="L175" s="4" t="s">
        <v>353</v>
      </c>
    </row>
    <row r="176" spans="10:12" ht="9.75" customHeight="1">
      <c r="J176" s="1" t="s">
        <v>343</v>
      </c>
      <c r="L176" s="4" t="s">
        <v>354</v>
      </c>
    </row>
    <row r="177" ht="9.75" customHeight="1"/>
    <row r="178" ht="9.75" customHeight="1">
      <c r="L178" s="3">
        <v>-827748.96</v>
      </c>
    </row>
    <row r="179" ht="9.75" customHeight="1">
      <c r="L179" s="3">
        <v>300000000</v>
      </c>
    </row>
    <row r="180" spans="10:12" ht="9.75" customHeight="1">
      <c r="J180" s="1" t="s">
        <v>337</v>
      </c>
      <c r="L180" s="4" t="s">
        <v>356</v>
      </c>
    </row>
    <row r="181" ht="9.75" customHeight="1">
      <c r="L181" s="3">
        <v>-361500000</v>
      </c>
    </row>
    <row r="182" ht="9.75" customHeight="1">
      <c r="L182" s="3">
        <v>7413.18</v>
      </c>
    </row>
    <row r="183" ht="9.75" customHeight="1">
      <c r="L183" s="33">
        <f>SUM(L174:L182)</f>
        <v>38507413.18</v>
      </c>
    </row>
    <row r="184" spans="10:12" ht="9.75" customHeight="1">
      <c r="J184" s="1" t="s">
        <v>341</v>
      </c>
      <c r="L184" s="4" t="s">
        <v>358</v>
      </c>
    </row>
    <row r="185" spans="10:12" ht="9.75" customHeight="1">
      <c r="J185" s="1" t="s">
        <v>343</v>
      </c>
      <c r="L185" s="4" t="s">
        <v>359</v>
      </c>
    </row>
    <row r="186" ht="9.75" customHeight="1"/>
    <row r="187" ht="9.75" customHeight="1">
      <c r="L187" s="3">
        <v>-7413.18</v>
      </c>
    </row>
    <row r="188" ht="9.75" customHeight="1">
      <c r="L188" s="3">
        <v>300000000</v>
      </c>
    </row>
    <row r="189" spans="10:12" ht="9.75" customHeight="1">
      <c r="J189" s="1" t="s">
        <v>337</v>
      </c>
      <c r="L189" s="4" t="s">
        <v>361</v>
      </c>
    </row>
    <row r="190" ht="9.75" customHeight="1">
      <c r="L190" s="3">
        <v>-300000000</v>
      </c>
    </row>
    <row r="191" ht="9.75" customHeight="1">
      <c r="L191" s="3">
        <v>24932.82</v>
      </c>
    </row>
    <row r="192" spans="12:13" ht="9.75" customHeight="1">
      <c r="L192" s="33">
        <f>SUM(L183:L191)</f>
        <v>38524932.82</v>
      </c>
      <c r="M192" s="1" t="s">
        <v>523</v>
      </c>
    </row>
    <row r="193" spans="10:13" ht="9.75" customHeight="1">
      <c r="J193" s="1" t="s">
        <v>341</v>
      </c>
      <c r="L193" s="4" t="s">
        <v>358</v>
      </c>
      <c r="M193" s="1" t="s">
        <v>525</v>
      </c>
    </row>
    <row r="194" spans="10:13" ht="9.75" customHeight="1">
      <c r="J194" s="1" t="s">
        <v>343</v>
      </c>
      <c r="L194" s="4" t="s">
        <v>363</v>
      </c>
      <c r="M194" s="1" t="s">
        <v>527</v>
      </c>
    </row>
    <row r="195" ht="9.75" customHeight="1"/>
    <row r="196" ht="9.75" customHeight="1">
      <c r="L196" s="3">
        <v>300000000</v>
      </c>
    </row>
    <row r="197" spans="12:13" ht="9.75" customHeight="1">
      <c r="L197" s="3">
        <v>5953871.86</v>
      </c>
      <c r="M197" s="1" t="s">
        <v>366</v>
      </c>
    </row>
    <row r="198" spans="10:13" ht="9.75" customHeight="1">
      <c r="J198" s="1" t="s">
        <v>337</v>
      </c>
      <c r="L198" s="4" t="s">
        <v>367</v>
      </c>
      <c r="M198" s="1" t="s">
        <v>368</v>
      </c>
    </row>
    <row r="199" spans="12:13" ht="9.75" customHeight="1">
      <c r="L199" s="3">
        <v>-76223000</v>
      </c>
      <c r="M199" s="1" t="s">
        <v>369</v>
      </c>
    </row>
    <row r="200" ht="9.75" customHeight="1">
      <c r="L200" s="3">
        <v>39111.32</v>
      </c>
    </row>
    <row r="201" ht="9.75" customHeight="1">
      <c r="L201" s="33">
        <f>SUM(L192:L200)</f>
        <v>268294916</v>
      </c>
    </row>
    <row r="202" spans="10:12" ht="9.75" customHeight="1">
      <c r="J202" s="1" t="s">
        <v>341</v>
      </c>
      <c r="L202" s="4" t="s">
        <v>371</v>
      </c>
    </row>
    <row r="203" spans="10:12" ht="9.75" customHeight="1">
      <c r="J203" s="1" t="s">
        <v>343</v>
      </c>
      <c r="L203" s="4" t="s">
        <v>372</v>
      </c>
    </row>
    <row r="204" ht="9.75" customHeight="1"/>
    <row r="205" ht="9.75" customHeight="1">
      <c r="L205" s="3">
        <v>300000000</v>
      </c>
    </row>
    <row r="206" spans="12:13" ht="9.75" customHeight="1">
      <c r="L206" s="3">
        <f>293982161.2-300000000</f>
        <v>-6017838.800000012</v>
      </c>
      <c r="M206" s="1" t="s">
        <v>366</v>
      </c>
    </row>
    <row r="207" spans="10:13" ht="9.75" customHeight="1">
      <c r="J207" s="1" t="s">
        <v>337</v>
      </c>
      <c r="L207" s="4" t="s">
        <v>374</v>
      </c>
      <c r="M207" s="1" t="s">
        <v>368</v>
      </c>
    </row>
    <row r="208" spans="12:13" ht="9.75" customHeight="1">
      <c r="L208" s="3">
        <v>-307492000</v>
      </c>
      <c r="M208" s="1" t="s">
        <v>369</v>
      </c>
    </row>
    <row r="209" ht="9.75" customHeight="1">
      <c r="L209" s="3">
        <v>95184.83</v>
      </c>
    </row>
    <row r="210" ht="9.75" customHeight="1">
      <c r="L210" s="33">
        <f>SUM(L201:L209)</f>
        <v>254880262.03000006</v>
      </c>
    </row>
    <row r="211" spans="10:12" ht="9.75" customHeight="1">
      <c r="J211" s="1" t="s">
        <v>341</v>
      </c>
      <c r="L211" s="4" t="s">
        <v>376</v>
      </c>
    </row>
    <row r="212" spans="10:12" ht="9.75" customHeight="1">
      <c r="J212" s="1" t="s">
        <v>343</v>
      </c>
      <c r="L212" s="4" t="s">
        <v>377</v>
      </c>
    </row>
    <row r="213" ht="9.75" customHeight="1"/>
    <row r="214" ht="9.75" customHeight="1">
      <c r="L214" s="3">
        <v>300000000</v>
      </c>
    </row>
    <row r="215" spans="12:13" ht="9.75" customHeight="1">
      <c r="L215" s="3">
        <v>4192944.62</v>
      </c>
      <c r="M215" s="1" t="s">
        <v>366</v>
      </c>
    </row>
    <row r="216" spans="10:13" ht="9.75" customHeight="1">
      <c r="J216" s="1" t="s">
        <v>337</v>
      </c>
      <c r="L216" s="4" t="s">
        <v>379</v>
      </c>
      <c r="M216" s="1" t="s">
        <v>368</v>
      </c>
    </row>
    <row r="217" spans="12:13" ht="9.75" customHeight="1">
      <c r="L217" s="3">
        <v>-316986000</v>
      </c>
      <c r="M217" s="1" t="s">
        <v>369</v>
      </c>
    </row>
    <row r="218" ht="9.75" customHeight="1">
      <c r="L218" s="33">
        <f>SUM(L210:L217)</f>
        <v>242087206.6500001</v>
      </c>
    </row>
    <row r="219" spans="10:12" ht="9.75" customHeight="1">
      <c r="J219" s="1" t="s">
        <v>341</v>
      </c>
      <c r="L219" s="4" t="s">
        <v>382</v>
      </c>
    </row>
    <row r="220" spans="10:12" ht="9.75" customHeight="1">
      <c r="J220" s="1" t="s">
        <v>343</v>
      </c>
      <c r="L220" s="4" t="s">
        <v>383</v>
      </c>
    </row>
    <row r="221" ht="9.75" customHeight="1"/>
    <row r="222" ht="9.75" customHeight="1">
      <c r="L222" s="3">
        <v>75988000</v>
      </c>
    </row>
    <row r="223" spans="12:13" ht="9.75" customHeight="1">
      <c r="L223" s="3">
        <f>91805694.13-75988000+0</f>
        <v>15817694.129999995</v>
      </c>
      <c r="M223" s="1" t="s">
        <v>366</v>
      </c>
    </row>
    <row r="224" spans="10:13" ht="9.75" customHeight="1">
      <c r="J224" s="1" t="s">
        <v>337</v>
      </c>
      <c r="L224" s="4" t="s">
        <v>385</v>
      </c>
      <c r="M224" s="1" t="s">
        <v>368</v>
      </c>
    </row>
    <row r="225" spans="12:13" ht="9.75" customHeight="1">
      <c r="L225" s="3">
        <v>-75988000</v>
      </c>
      <c r="M225" s="1" t="s">
        <v>369</v>
      </c>
    </row>
    <row r="226" ht="9.75" customHeight="1">
      <c r="L226" s="3">
        <v>118398.02</v>
      </c>
    </row>
    <row r="227" ht="9.75" customHeight="1">
      <c r="L227" s="33">
        <f>SUM(L218:L226)</f>
        <v>258023298.8000001</v>
      </c>
    </row>
    <row r="228" spans="10:12" ht="9.75" customHeight="1">
      <c r="J228" s="1" t="s">
        <v>341</v>
      </c>
      <c r="L228" s="4" t="s">
        <v>382</v>
      </c>
    </row>
    <row r="229" spans="10:12" ht="9.75" customHeight="1">
      <c r="J229" s="1" t="s">
        <v>343</v>
      </c>
      <c r="L229" s="4" t="s">
        <v>387</v>
      </c>
    </row>
    <row r="230" ht="9.75" customHeight="1"/>
    <row r="231" ht="9.75" customHeight="1">
      <c r="L231" s="3">
        <v>300000000</v>
      </c>
    </row>
    <row r="232" spans="12:13" ht="9.75" customHeight="1">
      <c r="L232" s="3">
        <f>295068778.54-300000000</f>
        <v>-4931221.459999979</v>
      </c>
      <c r="M232" s="1" t="s">
        <v>366</v>
      </c>
    </row>
    <row r="233" spans="10:13" ht="9.75" customHeight="1">
      <c r="J233" s="1" t="s">
        <v>337</v>
      </c>
      <c r="L233" s="4" t="s">
        <v>389</v>
      </c>
      <c r="M233" s="1" t="s">
        <v>368</v>
      </c>
    </row>
    <row r="234" spans="12:13" ht="9.75" customHeight="1">
      <c r="L234" s="3">
        <v>-537799000</v>
      </c>
      <c r="M234" s="1" t="s">
        <v>369</v>
      </c>
    </row>
    <row r="235" ht="9.75" customHeight="1">
      <c r="L235" s="3">
        <v>51801.15</v>
      </c>
    </row>
    <row r="236" ht="9.75" customHeight="1">
      <c r="L236" s="33">
        <f>SUM(L227:L235)</f>
        <v>15344878.490000153</v>
      </c>
    </row>
    <row r="237" spans="10:12" ht="9.75" customHeight="1">
      <c r="J237" s="1" t="s">
        <v>341</v>
      </c>
      <c r="L237" s="4" t="s">
        <v>391</v>
      </c>
    </row>
    <row r="238" spans="10:12" ht="9.75" customHeight="1">
      <c r="J238" s="1" t="s">
        <v>343</v>
      </c>
      <c r="L238" s="4" t="s">
        <v>392</v>
      </c>
    </row>
    <row r="239" ht="9.75" customHeight="1"/>
    <row r="240" ht="9.75" customHeight="1"/>
    <row r="241" ht="9.75" customHeight="1">
      <c r="L241" s="3">
        <v>600000000</v>
      </c>
    </row>
    <row r="242" ht="9.75" customHeight="1">
      <c r="L242" s="3">
        <v>300000000</v>
      </c>
    </row>
    <row r="243" spans="12:13" ht="9.75" customHeight="1">
      <c r="L243" s="3">
        <f>892961808.76-900000000</f>
        <v>-7038191.24000001</v>
      </c>
      <c r="M243" s="1" t="s">
        <v>366</v>
      </c>
    </row>
    <row r="244" spans="10:13" ht="9.75" customHeight="1">
      <c r="J244" s="1" t="s">
        <v>337</v>
      </c>
      <c r="L244" s="4" t="s">
        <v>397</v>
      </c>
      <c r="M244" s="1" t="s">
        <v>368</v>
      </c>
    </row>
    <row r="245" ht="9.75" customHeight="1">
      <c r="M245" s="1" t="s">
        <v>369</v>
      </c>
    </row>
    <row r="246" ht="9.75" customHeight="1">
      <c r="L246" s="3">
        <v>-600000000</v>
      </c>
    </row>
    <row r="247" ht="9.75" customHeight="1">
      <c r="L247" s="3">
        <v>-205000000</v>
      </c>
    </row>
    <row r="248" ht="9.75" customHeight="1">
      <c r="L248" s="3">
        <v>47026.54</v>
      </c>
    </row>
    <row r="249" ht="9.75" customHeight="1">
      <c r="L249" s="33">
        <f>SUM(L236:L248)</f>
        <v>103353713.79000013</v>
      </c>
    </row>
    <row r="250" spans="10:12" ht="9.75" customHeight="1">
      <c r="J250" s="1" t="s">
        <v>341</v>
      </c>
      <c r="L250" s="4" t="s">
        <v>400</v>
      </c>
    </row>
    <row r="251" spans="10:12" ht="9.75" customHeight="1">
      <c r="J251" s="1" t="s">
        <v>343</v>
      </c>
      <c r="L251" s="4" t="s">
        <v>401</v>
      </c>
    </row>
    <row r="252" ht="9.75" customHeight="1">
      <c r="L252" s="4" t="s">
        <v>402</v>
      </c>
    </row>
    <row r="253" ht="9.75" customHeight="1">
      <c r="L253" s="4" t="s">
        <v>403</v>
      </c>
    </row>
    <row r="254" ht="9.75" customHeight="1"/>
    <row r="255" ht="9.75" customHeight="1"/>
    <row r="256" ht="9.75" customHeight="1">
      <c r="L256" s="3">
        <v>750000000</v>
      </c>
    </row>
    <row r="257" ht="9.75" customHeight="1">
      <c r="L257" s="3">
        <v>150000000</v>
      </c>
    </row>
    <row r="258" ht="9.75" customHeight="1">
      <c r="L258" s="3">
        <v>-103306687.25</v>
      </c>
    </row>
    <row r="259" spans="12:13" ht="9.75" customHeight="1">
      <c r="L259" s="3">
        <f>-100538609.77+103306687.25</f>
        <v>2768077.480000004</v>
      </c>
      <c r="M259" s="1" t="s">
        <v>366</v>
      </c>
    </row>
    <row r="260" ht="9.75" customHeight="1">
      <c r="M260" s="1" t="s">
        <v>368</v>
      </c>
    </row>
    <row r="261" spans="12:13" ht="9.75" customHeight="1">
      <c r="L261" s="3">
        <v>-634646000</v>
      </c>
      <c r="M261" s="1" t="s">
        <v>369</v>
      </c>
    </row>
    <row r="262" ht="9.75" customHeight="1">
      <c r="L262" s="3">
        <v>-102379000</v>
      </c>
    </row>
    <row r="263" ht="9.75" customHeight="1">
      <c r="L263" s="3">
        <v>38376.08</v>
      </c>
    </row>
    <row r="264" ht="9.75" customHeight="1">
      <c r="L264" s="33">
        <f>SUM(L249:L263)</f>
        <v>165828480.1000001</v>
      </c>
    </row>
    <row r="265" spans="10:12" ht="9.75" customHeight="1">
      <c r="J265" s="1" t="s">
        <v>341</v>
      </c>
      <c r="L265" s="4" t="s">
        <v>408</v>
      </c>
    </row>
    <row r="266" spans="10:12" ht="9.75" customHeight="1">
      <c r="J266" s="1" t="s">
        <v>343</v>
      </c>
      <c r="L266" s="4" t="s">
        <v>409</v>
      </c>
    </row>
    <row r="267" ht="9.75" customHeight="1">
      <c r="L267" s="4" t="s">
        <v>410</v>
      </c>
    </row>
    <row r="268" ht="9.75" customHeight="1"/>
    <row r="269" ht="9.75" customHeight="1">
      <c r="L269" s="4" t="s">
        <v>412</v>
      </c>
    </row>
    <row r="270" ht="9.75" customHeight="1"/>
    <row r="271" ht="9.75" customHeight="1">
      <c r="L271" s="3">
        <v>900000000</v>
      </c>
    </row>
    <row r="272" ht="9.75" customHeight="1">
      <c r="L272" s="3">
        <v>103306687.25</v>
      </c>
    </row>
    <row r="273" spans="12:13" ht="9.75" customHeight="1">
      <c r="L273" s="3">
        <f>93776764.07-103306687.25</f>
        <v>-9529923.180000007</v>
      </c>
      <c r="M273" s="1" t="s">
        <v>366</v>
      </c>
    </row>
    <row r="274" spans="12:13" ht="9.75" customHeight="1">
      <c r="L274" s="3">
        <v>-509194000</v>
      </c>
      <c r="M274" s="1" t="s">
        <v>368</v>
      </c>
    </row>
    <row r="275" spans="12:13" ht="9.75" customHeight="1">
      <c r="L275" s="3">
        <v>163150.88</v>
      </c>
      <c r="M275" s="1" t="s">
        <v>369</v>
      </c>
    </row>
    <row r="276" spans="12:13" ht="9.75" customHeight="1">
      <c r="L276" s="33">
        <f>SUM(L264:L275)</f>
        <v>650574395.0500001</v>
      </c>
      <c r="M276" s="3">
        <f>L276</f>
        <v>650574395.0500001</v>
      </c>
    </row>
    <row r="277" spans="10:12" ht="9.75" customHeight="1">
      <c r="J277" s="1" t="s">
        <v>341</v>
      </c>
      <c r="L277" s="4" t="s">
        <v>417</v>
      </c>
    </row>
    <row r="278" spans="10:12" ht="9.75" customHeight="1">
      <c r="J278" s="1" t="s">
        <v>343</v>
      </c>
      <c r="L278" s="4" t="s">
        <v>418</v>
      </c>
    </row>
    <row r="279" ht="9.75" customHeight="1">
      <c r="M279" s="3">
        <f>L282</f>
        <v>665296.07</v>
      </c>
    </row>
    <row r="280" ht="9.75" customHeight="1">
      <c r="M280" s="33">
        <f>SUM(M276:M279)</f>
        <v>651239691.1200001</v>
      </c>
    </row>
    <row r="281" ht="9.75" customHeight="1"/>
    <row r="282" ht="9.75" customHeight="1">
      <c r="L282" s="3">
        <v>665296.07</v>
      </c>
    </row>
    <row r="283" spans="12:13" ht="9.75" customHeight="1">
      <c r="L283" s="3">
        <v>900000000</v>
      </c>
      <c r="M283" s="3">
        <f>L283</f>
        <v>900000000</v>
      </c>
    </row>
    <row r="284" ht="9.75" customHeight="1"/>
    <row r="285" spans="12:14" ht="9.75" customHeight="1">
      <c r="L285" s="3">
        <f>28719669.42-62261837.66</f>
        <v>-33542168.239999995</v>
      </c>
      <c r="M285" s="3">
        <f>L285</f>
        <v>-33542168.239999995</v>
      </c>
      <c r="N285" s="1" t="s">
        <v>424</v>
      </c>
    </row>
    <row r="286" spans="12:13" ht="9.75" customHeight="1">
      <c r="L286" s="4" t="s">
        <v>426</v>
      </c>
      <c r="M286" s="4" t="s">
        <v>427</v>
      </c>
    </row>
    <row r="287" spans="12:13" ht="9.75" customHeight="1">
      <c r="L287" s="3">
        <v>62261837.66</v>
      </c>
      <c r="M287" s="3">
        <f>L287</f>
        <v>62261837.66</v>
      </c>
    </row>
    <row r="288" spans="12:13" ht="9.75" customHeight="1">
      <c r="L288" s="3">
        <v>-288593000</v>
      </c>
      <c r="M288" s="3">
        <f>L288</f>
        <v>-288593000</v>
      </c>
    </row>
    <row r="289" spans="12:13" ht="9.75" customHeight="1">
      <c r="L289" s="33">
        <f>SUM(L276:L288)</f>
        <v>1291366360.5400002</v>
      </c>
      <c r="M289" s="33">
        <f>SUM(M280:M288)</f>
        <v>1291366360.5400002</v>
      </c>
    </row>
    <row r="290" spans="10:12" ht="9.75" customHeight="1">
      <c r="J290" s="1" t="s">
        <v>341</v>
      </c>
      <c r="L290" s="4" t="s">
        <v>430</v>
      </c>
    </row>
    <row r="291" spans="10:12" ht="9.75" customHeight="1">
      <c r="J291" s="1" t="s">
        <v>343</v>
      </c>
      <c r="L291" s="4" t="s">
        <v>431</v>
      </c>
    </row>
    <row r="292" ht="9.75" customHeight="1">
      <c r="M292" s="3">
        <f>L295</f>
        <v>-28719669.42</v>
      </c>
    </row>
    <row r="293" ht="9.75" customHeight="1">
      <c r="M293" s="33">
        <f>SUM(M289:M292)</f>
        <v>1262646691.1200001</v>
      </c>
    </row>
    <row r="294" ht="9.75" customHeight="1"/>
    <row r="295" ht="9.75" customHeight="1">
      <c r="L295" s="3">
        <v>-28719669.42</v>
      </c>
    </row>
    <row r="296" spans="12:13" ht="9.75" customHeight="1">
      <c r="L296" s="3">
        <v>900000000</v>
      </c>
      <c r="M296" s="3">
        <f>L296</f>
        <v>900000000</v>
      </c>
    </row>
    <row r="297" ht="9.75" customHeight="1"/>
    <row r="298" spans="12:14" ht="9.75" customHeight="1">
      <c r="L298" s="3">
        <v>-45320790.49</v>
      </c>
      <c r="M298" s="3">
        <f>L298</f>
        <v>-45320790.49</v>
      </c>
      <c r="N298" s="1" t="s">
        <v>424</v>
      </c>
    </row>
    <row r="299" spans="12:13" ht="9.75" customHeight="1">
      <c r="L299" s="4" t="s">
        <v>436</v>
      </c>
      <c r="M299" s="4" t="s">
        <v>437</v>
      </c>
    </row>
    <row r="300" spans="12:13" ht="9.75" customHeight="1">
      <c r="L300" s="3">
        <v>80086734.72</v>
      </c>
      <c r="M300" s="3">
        <f>L300</f>
        <v>80086734.72</v>
      </c>
    </row>
    <row r="301" spans="12:13" ht="9.75" customHeight="1">
      <c r="L301" s="3">
        <v>-179927000</v>
      </c>
      <c r="M301" s="3">
        <f>L301</f>
        <v>-179927000</v>
      </c>
    </row>
    <row r="302" spans="12:13" ht="9.75" customHeight="1">
      <c r="L302" s="33">
        <f>SUM(L289:L301)</f>
        <v>2017485635.35</v>
      </c>
      <c r="M302" s="33">
        <f>SUM(M293:M301)</f>
        <v>2017485635.35</v>
      </c>
    </row>
    <row r="303" spans="10:12" ht="9.75" customHeight="1">
      <c r="J303" s="1" t="s">
        <v>341</v>
      </c>
      <c r="L303" s="4" t="s">
        <v>439</v>
      </c>
    </row>
    <row r="304" spans="10:12" ht="9.75" customHeight="1">
      <c r="J304" s="1" t="s">
        <v>343</v>
      </c>
      <c r="L304" s="4" t="s">
        <v>440</v>
      </c>
    </row>
    <row r="305" ht="9.75" customHeight="1">
      <c r="M305" s="3">
        <f>L308</f>
        <v>-34765944.23</v>
      </c>
    </row>
    <row r="306" ht="9.75" customHeight="1">
      <c r="M306" s="33">
        <f>SUM(M302:M305)</f>
        <v>1982719691.12</v>
      </c>
    </row>
    <row r="307" ht="9.75" customHeight="1"/>
    <row r="308" ht="9.75" customHeight="1">
      <c r="L308" s="3">
        <v>-34765944.23</v>
      </c>
    </row>
    <row r="309" spans="12:13" ht="9.75" customHeight="1">
      <c r="L309" s="3">
        <v>900000000</v>
      </c>
      <c r="M309" s="3">
        <f>L309</f>
        <v>900000000</v>
      </c>
    </row>
    <row r="310" ht="9.75" customHeight="1"/>
    <row r="311" spans="12:14" ht="9.75" customHeight="1">
      <c r="L311" s="3">
        <v>-50541015.61</v>
      </c>
      <c r="M311" s="3">
        <f>L311</f>
        <v>-50541015.61</v>
      </c>
      <c r="N311" s="1" t="s">
        <v>424</v>
      </c>
    </row>
    <row r="312" spans="12:13" ht="9.75" customHeight="1">
      <c r="L312" s="4" t="s">
        <v>444</v>
      </c>
      <c r="M312" s="4" t="s">
        <v>445</v>
      </c>
    </row>
    <row r="313" spans="12:13" ht="9.75" customHeight="1">
      <c r="L313" s="3">
        <v>53173160.07</v>
      </c>
      <c r="M313" s="3">
        <f>L313</f>
        <v>53173160.07</v>
      </c>
    </row>
    <row r="314" spans="12:13" ht="9.75" customHeight="1">
      <c r="L314" s="3">
        <v>-335093000</v>
      </c>
      <c r="M314" s="3">
        <f>L314</f>
        <v>-335093000</v>
      </c>
    </row>
    <row r="315" spans="12:13" ht="9.75" customHeight="1">
      <c r="L315" s="33">
        <f>SUM(L302:L314)</f>
        <v>2550258835.58</v>
      </c>
      <c r="M315" s="33">
        <f>SUM(M306:M314)</f>
        <v>2550258835.58</v>
      </c>
    </row>
    <row r="316" spans="10:12" ht="9.75" customHeight="1">
      <c r="J316" s="1" t="s">
        <v>341</v>
      </c>
      <c r="L316" s="4" t="s">
        <v>447</v>
      </c>
    </row>
    <row r="317" spans="10:12" ht="9.75" customHeight="1">
      <c r="J317" s="1" t="s">
        <v>343</v>
      </c>
      <c r="L317" s="4" t="s">
        <v>448</v>
      </c>
    </row>
    <row r="318" ht="9.75" customHeight="1"/>
    <row r="319" ht="9.75" customHeight="1"/>
    <row r="320" ht="9.75" customHeight="1">
      <c r="M320" s="3">
        <f>L325</f>
        <v>-23265448.3</v>
      </c>
    </row>
    <row r="321" ht="9.75" customHeight="1">
      <c r="M321" s="33">
        <f>SUM(M315:M320)</f>
        <v>2526993387.2799997</v>
      </c>
    </row>
    <row r="322" ht="9.75" customHeight="1"/>
    <row r="323" ht="9.75" customHeight="1"/>
    <row r="324" ht="9.75" customHeight="1"/>
    <row r="325" ht="9.75" customHeight="1">
      <c r="L325" s="3">
        <v>-23265448.3</v>
      </c>
    </row>
    <row r="326" spans="12:13" ht="9.75" customHeight="1">
      <c r="L326" s="3">
        <v>900000000</v>
      </c>
      <c r="M326" s="3">
        <f>L326</f>
        <v>900000000</v>
      </c>
    </row>
    <row r="327" ht="9.75" customHeight="1"/>
    <row r="328" spans="12:14" ht="9.75" customHeight="1">
      <c r="L328" s="3">
        <v>-87313264.15</v>
      </c>
      <c r="M328" s="3">
        <f>L328</f>
        <v>-87313264.15</v>
      </c>
      <c r="N328" s="1" t="s">
        <v>424</v>
      </c>
    </row>
    <row r="329" spans="12:13" ht="9.75" customHeight="1">
      <c r="L329" s="4" t="s">
        <v>454</v>
      </c>
      <c r="M329" s="4" t="s">
        <v>455</v>
      </c>
    </row>
    <row r="330" spans="12:13" ht="9.75" customHeight="1">
      <c r="L330" s="3">
        <v>90382877.36</v>
      </c>
      <c r="M330" s="3">
        <f>L330</f>
        <v>90382877.36</v>
      </c>
    </row>
    <row r="331" spans="12:13" ht="9.75" customHeight="1">
      <c r="L331" s="3">
        <f>-230390000-25500000-46000000</f>
        <v>-301890000</v>
      </c>
      <c r="M331" s="3">
        <f>L331</f>
        <v>-301890000</v>
      </c>
    </row>
    <row r="332" spans="12:13" ht="9.75" customHeight="1">
      <c r="L332" s="3">
        <v>782552.84</v>
      </c>
      <c r="M332" s="3">
        <f>L332</f>
        <v>782552.84</v>
      </c>
    </row>
    <row r="333" spans="12:13" ht="9.75" customHeight="1">
      <c r="L333" s="33">
        <f>SUM(L315:L332)</f>
        <v>3128955553.33</v>
      </c>
      <c r="M333" s="33">
        <f>SUM(M321:M332)</f>
        <v>3128955553.33</v>
      </c>
    </row>
    <row r="334" spans="10:12" ht="9.75" customHeight="1">
      <c r="J334" s="1" t="s">
        <v>341</v>
      </c>
      <c r="L334" s="4" t="s">
        <v>209</v>
      </c>
    </row>
    <row r="335" spans="10:12" ht="9.75" customHeight="1">
      <c r="J335" s="1" t="s">
        <v>343</v>
      </c>
      <c r="L335" s="4" t="s">
        <v>210</v>
      </c>
    </row>
    <row r="336" ht="9.75" customHeight="1">
      <c r="M336" s="3">
        <f>L339</f>
        <v>-3069613.21</v>
      </c>
    </row>
    <row r="337" ht="9.75" customHeight="1">
      <c r="M337" s="33">
        <f>SUM(M333:M336)</f>
        <v>3125885940.12</v>
      </c>
    </row>
    <row r="338" ht="9.75" customHeight="1"/>
    <row r="339" ht="9.75" customHeight="1">
      <c r="L339" s="3">
        <v>-3069613.21</v>
      </c>
    </row>
    <row r="340" ht="9.75" customHeight="1"/>
    <row r="341" spans="12:13" ht="9.75" customHeight="1">
      <c r="L341" s="3">
        <f>23265448.3-2632144.46</f>
        <v>20633303.84</v>
      </c>
      <c r="M341" s="3">
        <f>L341</f>
        <v>20633303.84</v>
      </c>
    </row>
    <row r="342" spans="12:13" ht="9.75" customHeight="1">
      <c r="L342" s="3">
        <v>900000000</v>
      </c>
      <c r="M342" s="3">
        <f>L342</f>
        <v>900000000</v>
      </c>
    </row>
    <row r="343" ht="9.75" customHeight="1"/>
    <row r="344" spans="12:14" ht="9.75" customHeight="1">
      <c r="L344" s="3">
        <v>-133284492.5</v>
      </c>
      <c r="M344" s="3">
        <f>L344</f>
        <v>-133284492.5</v>
      </c>
      <c r="N344" s="1" t="s">
        <v>424</v>
      </c>
    </row>
    <row r="345" spans="12:13" ht="9.75" customHeight="1">
      <c r="L345" s="4" t="s">
        <v>215</v>
      </c>
      <c r="M345" s="4" t="s">
        <v>216</v>
      </c>
    </row>
    <row r="346" spans="12:13" ht="9.75" customHeight="1">
      <c r="L346" s="3">
        <v>250700917.83</v>
      </c>
      <c r="M346" s="3">
        <f>L346</f>
        <v>250700917.83</v>
      </c>
    </row>
    <row r="347" spans="12:13" ht="9.75" customHeight="1">
      <c r="L347" s="3">
        <f>-256732000-29880000</f>
        <v>-286612000</v>
      </c>
      <c r="M347" s="3">
        <f>L347</f>
        <v>-286612000</v>
      </c>
    </row>
    <row r="348" spans="12:13" ht="9.75" customHeight="1">
      <c r="L348" s="3">
        <v>1037762.77</v>
      </c>
      <c r="M348" s="3">
        <f>L348</f>
        <v>1037762.77</v>
      </c>
    </row>
    <row r="349" spans="12:13" ht="9.75" customHeight="1">
      <c r="L349" s="33">
        <f>SUM(L333:L348)</f>
        <v>3878361432.06</v>
      </c>
      <c r="M349" s="33">
        <f>SUM(M337:M348)</f>
        <v>3878361432.06</v>
      </c>
    </row>
    <row r="350" spans="10:12" ht="9.75" customHeight="1">
      <c r="J350" s="1" t="s">
        <v>341</v>
      </c>
      <c r="L350" s="4" t="s">
        <v>218</v>
      </c>
    </row>
    <row r="351" spans="10:12" ht="9.75" customHeight="1">
      <c r="J351" s="1" t="s">
        <v>343</v>
      </c>
      <c r="L351" s="4" t="s">
        <v>219</v>
      </c>
    </row>
    <row r="352" ht="9.75" customHeight="1">
      <c r="M352" s="3">
        <f>L355</f>
        <v>-117416425.33000001</v>
      </c>
    </row>
    <row r="353" ht="9.75" customHeight="1">
      <c r="M353" s="33">
        <f>SUM(M349:M352)</f>
        <v>3760945006.73</v>
      </c>
    </row>
    <row r="354" ht="9.75" customHeight="1"/>
    <row r="355" ht="9.75" customHeight="1">
      <c r="L355" s="3">
        <f>-(L344+L346)</f>
        <v>-117416425.33000001</v>
      </c>
    </row>
    <row r="356" spans="12:13" ht="9.75" customHeight="1">
      <c r="L356" s="3">
        <v>900000000</v>
      </c>
      <c r="M356" s="3">
        <f>L356</f>
        <v>900000000</v>
      </c>
    </row>
    <row r="357" ht="9.75" customHeight="1"/>
    <row r="358" spans="12:14" ht="9.75" customHeight="1">
      <c r="L358" s="3">
        <v>-27359755.65</v>
      </c>
      <c r="M358" s="3">
        <f>L358</f>
        <v>-27359755.65</v>
      </c>
      <c r="N358" s="1" t="s">
        <v>424</v>
      </c>
    </row>
    <row r="359" spans="12:13" ht="9.75" customHeight="1">
      <c r="L359" s="4" t="s">
        <v>223</v>
      </c>
      <c r="M359" s="4" t="s">
        <v>224</v>
      </c>
    </row>
    <row r="360" spans="12:13" ht="9.75" customHeight="1">
      <c r="L360" s="3">
        <v>93448868.22</v>
      </c>
      <c r="M360" s="3">
        <f>L360</f>
        <v>93448868.22</v>
      </c>
    </row>
    <row r="361" spans="12:13" ht="9.75" customHeight="1">
      <c r="L361" s="3">
        <f>-168651980+7252000-6809000</f>
        <v>-168208980</v>
      </c>
      <c r="M361" s="3">
        <f>L361</f>
        <v>-168208980</v>
      </c>
    </row>
    <row r="362" spans="12:13" ht="9.75" customHeight="1">
      <c r="L362" s="3">
        <v>3945.03</v>
      </c>
      <c r="M362" s="3">
        <f>L362</f>
        <v>3945.03</v>
      </c>
    </row>
    <row r="363" spans="12:13" ht="9.75" customHeight="1">
      <c r="L363" s="33">
        <f>SUM(L349:L362)</f>
        <v>4558829084.33</v>
      </c>
      <c r="M363" s="33">
        <f>SUM(M353:M362)</f>
        <v>4558829084.33</v>
      </c>
    </row>
    <row r="364" spans="10:12" ht="9.75" customHeight="1">
      <c r="J364" s="1" t="s">
        <v>341</v>
      </c>
      <c r="L364" s="4" t="s">
        <v>226</v>
      </c>
    </row>
    <row r="365" spans="10:12" ht="9.75" customHeight="1">
      <c r="J365" s="1" t="s">
        <v>343</v>
      </c>
      <c r="L365" s="4" t="s">
        <v>227</v>
      </c>
    </row>
    <row r="366" ht="9.75" customHeight="1">
      <c r="M366" s="3">
        <f>L369</f>
        <v>-66089112.57</v>
      </c>
    </row>
    <row r="367" ht="9.75" customHeight="1">
      <c r="M367" s="33">
        <f>SUM(M363:M366)</f>
        <v>4492739971.76</v>
      </c>
    </row>
    <row r="368" ht="9.75" customHeight="1"/>
    <row r="369" ht="9.75" customHeight="1">
      <c r="L369" s="3">
        <f>-(L358+L360)</f>
        <v>-66089112.57</v>
      </c>
    </row>
    <row r="370" spans="12:13" ht="9.75" customHeight="1">
      <c r="L370" s="3">
        <v>900000000</v>
      </c>
      <c r="M370" s="3">
        <f>L370</f>
        <v>900000000</v>
      </c>
    </row>
    <row r="371" ht="9.75" customHeight="1"/>
    <row r="372" spans="12:14" ht="9.75" customHeight="1">
      <c r="L372" s="3">
        <v>-10335277.41</v>
      </c>
      <c r="M372" s="3">
        <f>L372</f>
        <v>-10335277.41</v>
      </c>
      <c r="N372" s="1" t="s">
        <v>424</v>
      </c>
    </row>
    <row r="373" spans="12:13" ht="9.75" customHeight="1">
      <c r="L373" s="4" t="s">
        <v>231</v>
      </c>
      <c r="M373" s="4" t="s">
        <v>232</v>
      </c>
    </row>
    <row r="374" spans="12:13" ht="9.75" customHeight="1">
      <c r="L374" s="3">
        <v>47908024.31</v>
      </c>
      <c r="M374" s="3">
        <f>L374</f>
        <v>47908024.31</v>
      </c>
    </row>
    <row r="375" spans="12:13" ht="9.75" customHeight="1">
      <c r="L375" s="3">
        <v>-210626000</v>
      </c>
      <c r="M375" s="3">
        <f>L375</f>
        <v>-210626000</v>
      </c>
    </row>
    <row r="376" spans="12:13" ht="9.75" customHeight="1">
      <c r="L376" s="33">
        <f>SUM(L363:L375)</f>
        <v>5219686718.660001</v>
      </c>
      <c r="M376" s="33">
        <f>SUM(M367:M375)</f>
        <v>5219686718.660001</v>
      </c>
    </row>
    <row r="377" spans="10:12" ht="9.75" customHeight="1">
      <c r="J377" s="1" t="s">
        <v>341</v>
      </c>
      <c r="L377" s="4" t="s">
        <v>234</v>
      </c>
    </row>
    <row r="378" spans="10:12" ht="9.75" customHeight="1">
      <c r="J378" s="1" t="s">
        <v>343</v>
      </c>
      <c r="L378" s="4" t="s">
        <v>235</v>
      </c>
    </row>
    <row r="379" ht="9.75" customHeight="1">
      <c r="M379" s="3">
        <f>L382</f>
        <v>-37572746.900000006</v>
      </c>
    </row>
    <row r="380" ht="9.75" customHeight="1">
      <c r="M380" s="33">
        <f>SUM(M376:M379)</f>
        <v>5182113971.760001</v>
      </c>
    </row>
    <row r="381" ht="9.75" customHeight="1"/>
    <row r="382" ht="9.75" customHeight="1">
      <c r="L382" s="3">
        <f>-(L372+L374)</f>
        <v>-37572746.900000006</v>
      </c>
    </row>
    <row r="383" spans="12:13" ht="9.75" customHeight="1">
      <c r="L383" s="3">
        <v>900000000</v>
      </c>
      <c r="M383" s="3">
        <f>L383</f>
        <v>900000000</v>
      </c>
    </row>
    <row r="384" ht="9.75" customHeight="1"/>
    <row r="385" spans="12:14" ht="9.75" customHeight="1">
      <c r="L385" s="3">
        <v>-2666020.64</v>
      </c>
      <c r="M385" s="3">
        <f>L385</f>
        <v>-2666020.64</v>
      </c>
      <c r="N385" s="1" t="s">
        <v>424</v>
      </c>
    </row>
    <row r="386" spans="12:13" ht="9.75" customHeight="1">
      <c r="L386" s="4" t="s">
        <v>239</v>
      </c>
      <c r="M386" s="4" t="s">
        <v>240</v>
      </c>
    </row>
    <row r="387" spans="12:13" ht="9.75" customHeight="1">
      <c r="L387" s="3">
        <v>39160060.23</v>
      </c>
      <c r="M387" s="3">
        <f>L387</f>
        <v>39160060.23</v>
      </c>
    </row>
    <row r="388" spans="12:13" ht="9.75" customHeight="1">
      <c r="L388" s="3">
        <v>-170464000</v>
      </c>
      <c r="M388" s="3">
        <f>L388</f>
        <v>-170464000</v>
      </c>
    </row>
    <row r="389" spans="12:13" ht="9.75" customHeight="1">
      <c r="L389" s="33">
        <f>SUM(L376:L388)</f>
        <v>5948144011.35</v>
      </c>
      <c r="M389" s="33">
        <f>SUM(M380:M388)</f>
        <v>5948144011.35</v>
      </c>
    </row>
    <row r="390" spans="10:12" ht="9.75" customHeight="1">
      <c r="J390" s="1" t="s">
        <v>341</v>
      </c>
      <c r="L390" s="4" t="s">
        <v>242</v>
      </c>
    </row>
    <row r="391" spans="10:12" ht="9.75" customHeight="1">
      <c r="J391" s="1" t="s">
        <v>343</v>
      </c>
      <c r="L391" s="4" t="s">
        <v>243</v>
      </c>
    </row>
    <row r="392" ht="9.75" customHeight="1">
      <c r="M392" s="3">
        <f>L395</f>
        <v>-36494039.589999996</v>
      </c>
    </row>
    <row r="393" ht="9.75" customHeight="1">
      <c r="M393" s="33">
        <f>SUM(M389:M392)</f>
        <v>5911649971.76</v>
      </c>
    </row>
    <row r="394" ht="9.75" customHeight="1"/>
    <row r="395" ht="9.75" customHeight="1">
      <c r="L395" s="3">
        <f>-(L385+L387)</f>
        <v>-36494039.589999996</v>
      </c>
    </row>
    <row r="396" spans="12:13" ht="9.75" customHeight="1">
      <c r="L396" s="3">
        <v>900000000</v>
      </c>
      <c r="M396" s="3">
        <f>L396</f>
        <v>900000000</v>
      </c>
    </row>
    <row r="397" ht="9.75" customHeight="1"/>
    <row r="398" spans="12:14" ht="9.75" customHeight="1">
      <c r="L398" s="3">
        <v>-745343.03</v>
      </c>
      <c r="M398" s="3">
        <f>L398</f>
        <v>-745343.03</v>
      </c>
      <c r="N398" s="1" t="s">
        <v>424</v>
      </c>
    </row>
    <row r="399" spans="12:13" ht="9.75" customHeight="1">
      <c r="L399" s="4" t="s">
        <v>247</v>
      </c>
      <c r="M399" s="4" t="s">
        <v>248</v>
      </c>
    </row>
    <row r="400" spans="12:13" ht="9.75" customHeight="1">
      <c r="L400" s="3">
        <v>55409239.6</v>
      </c>
      <c r="M400" s="3">
        <f>L400</f>
        <v>55409239.6</v>
      </c>
    </row>
    <row r="401" spans="12:13" ht="9.75" customHeight="1">
      <c r="L401" s="3">
        <v>-206233000</v>
      </c>
      <c r="M401" s="3">
        <f>L401</f>
        <v>-206233000</v>
      </c>
    </row>
    <row r="402" spans="12:13" ht="9.75" customHeight="1">
      <c r="L402" s="33">
        <f>SUM(L389:L401)</f>
        <v>6660080868.330001</v>
      </c>
      <c r="M402" s="33">
        <f>SUM(M393:M401)</f>
        <v>6660080868.330001</v>
      </c>
    </row>
    <row r="403" spans="10:12" ht="9.75" customHeight="1">
      <c r="J403" s="1" t="s">
        <v>341</v>
      </c>
      <c r="L403" s="4" t="s">
        <v>250</v>
      </c>
    </row>
    <row r="404" spans="10:12" ht="9.75" customHeight="1">
      <c r="J404" s="1" t="s">
        <v>343</v>
      </c>
      <c r="L404" s="4" t="s">
        <v>251</v>
      </c>
    </row>
    <row r="405" ht="9.75" customHeight="1">
      <c r="M405" s="3">
        <f>L408</f>
        <v>-54663896.57</v>
      </c>
    </row>
    <row r="406" ht="9.75" customHeight="1">
      <c r="M406" s="33">
        <f>SUM(M402:M405)</f>
        <v>6605416971.760001</v>
      </c>
    </row>
    <row r="407" ht="9.75" customHeight="1"/>
    <row r="408" ht="9.75" customHeight="1">
      <c r="L408" s="3">
        <f>-(L398+L400)</f>
        <v>-54663896.57</v>
      </c>
    </row>
    <row r="409" spans="12:13" ht="9.75" customHeight="1">
      <c r="L409" s="3">
        <v>900000000</v>
      </c>
      <c r="M409" s="3">
        <f>L409</f>
        <v>900000000</v>
      </c>
    </row>
    <row r="410" ht="9.75" customHeight="1"/>
    <row r="411" spans="12:14" ht="9.75" customHeight="1">
      <c r="L411" s="3">
        <v>-1570930.79</v>
      </c>
      <c r="M411" s="3">
        <f>L411</f>
        <v>-1570930.79</v>
      </c>
      <c r="N411" s="1" t="s">
        <v>424</v>
      </c>
    </row>
    <row r="412" spans="12:13" ht="9.75" customHeight="1">
      <c r="L412" s="4" t="s">
        <v>255</v>
      </c>
      <c r="M412" s="4" t="s">
        <v>256</v>
      </c>
    </row>
    <row r="413" spans="12:13" ht="9.75" customHeight="1">
      <c r="L413" s="3">
        <v>16571020.79</v>
      </c>
      <c r="M413" s="3">
        <f>L413</f>
        <v>16571020.79</v>
      </c>
    </row>
    <row r="414" spans="12:13" ht="9.75" customHeight="1">
      <c r="L414" s="3">
        <v>-231481000</v>
      </c>
      <c r="M414" s="3">
        <f>L414</f>
        <v>-231481000</v>
      </c>
    </row>
    <row r="415" spans="12:13" ht="9.75" customHeight="1">
      <c r="L415" s="3">
        <v>749.93</v>
      </c>
      <c r="M415" s="3">
        <f>L415</f>
        <v>749.93</v>
      </c>
    </row>
    <row r="416" spans="12:13" ht="9.75" customHeight="1">
      <c r="L416" s="33">
        <f>SUM(L402:L415)</f>
        <v>7288936811.6900015</v>
      </c>
      <c r="M416" s="33">
        <f>SUM(M406:M415)</f>
        <v>7288936811.6900015</v>
      </c>
    </row>
    <row r="417" spans="10:12" ht="9.75" customHeight="1">
      <c r="J417" s="1" t="s">
        <v>341</v>
      </c>
      <c r="L417" s="4" t="s">
        <v>258</v>
      </c>
    </row>
    <row r="418" spans="10:12" ht="9.75" customHeight="1">
      <c r="J418" s="1" t="s">
        <v>343</v>
      </c>
      <c r="L418" s="4" t="s">
        <v>259</v>
      </c>
    </row>
    <row r="419" ht="9.75" customHeight="1">
      <c r="M419" s="3">
        <f>L422</f>
        <v>-15000090</v>
      </c>
    </row>
    <row r="420" ht="9.75" customHeight="1">
      <c r="M420" s="33">
        <f>SUM(M416:M419)</f>
        <v>7273936721.6900015</v>
      </c>
    </row>
    <row r="421" ht="9.75" customHeight="1"/>
    <row r="422" ht="9.75" customHeight="1">
      <c r="L422" s="3">
        <f>-(L411+L413)</f>
        <v>-15000090</v>
      </c>
    </row>
    <row r="423" spans="12:13" ht="9.75" customHeight="1">
      <c r="L423" s="3">
        <v>900000000</v>
      </c>
      <c r="M423" s="3">
        <f>L423</f>
        <v>900000000</v>
      </c>
    </row>
    <row r="424" spans="12:13" ht="9.75" customHeight="1">
      <c r="L424" s="3">
        <f>-M429</f>
        <v>12074491.1</v>
      </c>
      <c r="M424" s="3">
        <f>L424</f>
        <v>12074491.1</v>
      </c>
    </row>
    <row r="425" spans="12:13" ht="9.75" customHeight="1">
      <c r="L425" s="3">
        <v>-341670750</v>
      </c>
      <c r="M425" s="3">
        <f>L425</f>
        <v>-341670750</v>
      </c>
    </row>
    <row r="426" spans="12:13" ht="9.75" customHeight="1">
      <c r="L426" s="33">
        <f>SUM(L416:L425)</f>
        <v>7844340462.790002</v>
      </c>
      <c r="M426" s="33">
        <f>SUM(M420:M425)</f>
        <v>7844340462.790002</v>
      </c>
    </row>
    <row r="427" spans="10:12" ht="9.75" customHeight="1">
      <c r="J427" s="1" t="s">
        <v>341</v>
      </c>
      <c r="L427" s="4" t="s">
        <v>263</v>
      </c>
    </row>
    <row r="428" spans="10:12" ht="9.75" customHeight="1">
      <c r="J428" s="1" t="s">
        <v>343</v>
      </c>
      <c r="L428" s="4" t="s">
        <v>264</v>
      </c>
    </row>
    <row r="429" ht="9.75" customHeight="1">
      <c r="M429" s="3">
        <v>-12074491.1</v>
      </c>
    </row>
    <row r="430" ht="9.75" customHeight="1">
      <c r="M430" s="33">
        <f>SUM(M426:M429)</f>
        <v>7832265971.6900015</v>
      </c>
    </row>
    <row r="431" ht="9.75" customHeight="1"/>
    <row r="432" ht="9.75" customHeight="1">
      <c r="L432" s="3">
        <v>-12074491.1</v>
      </c>
    </row>
    <row r="433" spans="12:13" ht="9.75" customHeight="1">
      <c r="L433" s="3">
        <v>900000000</v>
      </c>
      <c r="M433" s="3">
        <f>L433</f>
        <v>900000000</v>
      </c>
    </row>
    <row r="434" spans="12:13" ht="9.75" customHeight="1">
      <c r="L434" s="3">
        <f>27773882.81+1000000</f>
        <v>28773882.81</v>
      </c>
      <c r="M434" s="3">
        <f>L434</f>
        <v>28773882.81</v>
      </c>
    </row>
    <row r="435" spans="12:13" ht="9.75" customHeight="1">
      <c r="L435" s="3">
        <v>-317391829</v>
      </c>
      <c r="M435" s="3">
        <f>L435</f>
        <v>-317391829</v>
      </c>
    </row>
    <row r="436" spans="12:13" ht="9.75" customHeight="1">
      <c r="L436" s="33">
        <f>SUM(L426:L435)</f>
        <v>8443648025.500002</v>
      </c>
      <c r="M436" s="33">
        <f>SUM(M430:M435)</f>
        <v>8443648025.500002</v>
      </c>
    </row>
    <row r="437" spans="10:12" ht="9.75" customHeight="1">
      <c r="J437" s="1" t="s">
        <v>341</v>
      </c>
      <c r="L437" s="4" t="s">
        <v>269</v>
      </c>
    </row>
    <row r="438" spans="10:12" ht="9.75" customHeight="1">
      <c r="J438" s="1" t="s">
        <v>343</v>
      </c>
      <c r="L438" s="4" t="s">
        <v>270</v>
      </c>
    </row>
    <row r="439" ht="9.75" customHeight="1">
      <c r="M439" s="3">
        <f>-L434</f>
        <v>-28773882.81</v>
      </c>
    </row>
    <row r="440" ht="9.75" customHeight="1">
      <c r="M440" s="33">
        <f>SUM(M436:M439)</f>
        <v>8414874142.6900015</v>
      </c>
    </row>
    <row r="441" ht="9.75" customHeight="1"/>
    <row r="442" ht="9.75" customHeight="1"/>
    <row r="443" ht="9.75" customHeight="1">
      <c r="L443" s="4" t="s">
        <v>474</v>
      </c>
    </row>
    <row r="444" spans="12:13" ht="9.75" customHeight="1">
      <c r="L444" s="3">
        <v>900000000</v>
      </c>
      <c r="M444" s="3">
        <f>L444</f>
        <v>900000000</v>
      </c>
    </row>
    <row r="445" spans="12:13" ht="9.75" customHeight="1">
      <c r="L445" s="3">
        <v>6008315</v>
      </c>
      <c r="M445" s="3">
        <f>L445</f>
        <v>6008315</v>
      </c>
    </row>
    <row r="446" spans="12:13" ht="9.75" customHeight="1">
      <c r="L446" s="3">
        <v>-283652286</v>
      </c>
      <c r="M446" s="3">
        <f>L446</f>
        <v>-283652286</v>
      </c>
    </row>
    <row r="447" spans="12:13" ht="9.75" customHeight="1">
      <c r="L447" s="33">
        <f>SUM(L436:L446)</f>
        <v>9066004054.500002</v>
      </c>
      <c r="M447" s="33">
        <f>SUM(M440:M446)</f>
        <v>9037230171.690002</v>
      </c>
    </row>
    <row r="448" spans="10:12" ht="9.75" customHeight="1">
      <c r="J448" s="1" t="s">
        <v>341</v>
      </c>
      <c r="L448" s="4" t="s">
        <v>277</v>
      </c>
    </row>
    <row r="449" spans="10:12" ht="9.75" customHeight="1">
      <c r="J449" s="1" t="s">
        <v>343</v>
      </c>
      <c r="L449" s="4" t="s">
        <v>278</v>
      </c>
    </row>
    <row r="450" ht="9.75" customHeight="1">
      <c r="M450" s="3">
        <f>-L445</f>
        <v>-6008315</v>
      </c>
    </row>
    <row r="451" ht="9.75" customHeight="1">
      <c r="M451" s="33">
        <f>SUM(M447:M450)</f>
        <v>9031221856.690002</v>
      </c>
    </row>
    <row r="452" ht="9.75" customHeight="1"/>
    <row r="453" ht="9.75" customHeight="1">
      <c r="L453" s="3">
        <v>-28773882.81</v>
      </c>
    </row>
    <row r="454" ht="9.75" customHeight="1">
      <c r="L454" s="3">
        <f>M450</f>
        <v>-6008315</v>
      </c>
    </row>
    <row r="455" spans="12:13" ht="9.75" customHeight="1">
      <c r="L455" s="3">
        <v>900000000</v>
      </c>
      <c r="M455" s="3">
        <f>L455</f>
        <v>900000000</v>
      </c>
    </row>
    <row r="456" spans="12:14" ht="9.75" customHeight="1">
      <c r="L456" s="4" t="s">
        <v>284</v>
      </c>
      <c r="M456" s="4" t="s">
        <v>284</v>
      </c>
      <c r="N456" s="1" t="s">
        <v>424</v>
      </c>
    </row>
    <row r="457" spans="12:13" ht="9.75" customHeight="1">
      <c r="L457" s="3">
        <v>-1000000</v>
      </c>
      <c r="M457" s="3">
        <v>-1000000</v>
      </c>
    </row>
    <row r="458" spans="12:13" ht="9.75" customHeight="1">
      <c r="L458" s="3">
        <v>-9589</v>
      </c>
      <c r="M458" s="3">
        <v>-9589</v>
      </c>
    </row>
    <row r="459" spans="12:13" ht="9.75" customHeight="1">
      <c r="L459" s="3">
        <v>-2000000</v>
      </c>
      <c r="M459" s="3">
        <v>-2000000</v>
      </c>
    </row>
    <row r="460" spans="12:13" ht="9.75" customHeight="1">
      <c r="L460" s="4" t="s">
        <v>288</v>
      </c>
      <c r="M460" s="4" t="s">
        <v>289</v>
      </c>
    </row>
    <row r="461" spans="12:13" ht="9.75" customHeight="1">
      <c r="L461" s="3">
        <v>3011753</v>
      </c>
      <c r="M461" s="3">
        <f>L461</f>
        <v>3011753</v>
      </c>
    </row>
    <row r="462" spans="12:13" ht="9.75" customHeight="1">
      <c r="L462" s="3">
        <v>-255551000</v>
      </c>
      <c r="M462" s="3">
        <f>L462</f>
        <v>-255551000</v>
      </c>
    </row>
    <row r="463" spans="12:13" ht="9.75" customHeight="1">
      <c r="L463" s="33">
        <f>SUM(L447:L462)</f>
        <v>9675673020.690002</v>
      </c>
      <c r="M463" s="33">
        <f>SUM(M451:M462)</f>
        <v>9675673020.690002</v>
      </c>
    </row>
    <row r="464" spans="10:12" ht="9.75" customHeight="1">
      <c r="J464" s="1" t="s">
        <v>341</v>
      </c>
      <c r="L464" s="4" t="s">
        <v>291</v>
      </c>
    </row>
    <row r="465" spans="10:12" ht="9.75" customHeight="1">
      <c r="J465" s="1" t="s">
        <v>343</v>
      </c>
      <c r="L465" s="4" t="s">
        <v>292</v>
      </c>
    </row>
    <row r="466" ht="9.75" customHeight="1">
      <c r="M466" s="3">
        <f>3009589-3011753</f>
        <v>-2164</v>
      </c>
    </row>
    <row r="467" ht="9.75" customHeight="1">
      <c r="M467" s="33">
        <f>SUM(M463:M466)</f>
        <v>9675670856.690002</v>
      </c>
    </row>
    <row r="468" ht="9.75" customHeight="1"/>
    <row r="469" ht="9.75" customHeight="1"/>
    <row r="470" ht="9.75" customHeight="1">
      <c r="L470" s="4" t="s">
        <v>477</v>
      </c>
    </row>
    <row r="471" spans="12:13" ht="9.75" customHeight="1">
      <c r="L471" s="3">
        <v>900000000</v>
      </c>
      <c r="M471" s="3">
        <f>L471</f>
        <v>900000000</v>
      </c>
    </row>
    <row r="472" spans="12:14" ht="9.75" customHeight="1">
      <c r="L472" s="3">
        <v>-3012763</v>
      </c>
      <c r="M472" s="3">
        <v>-3012763</v>
      </c>
      <c r="N472" s="1" t="s">
        <v>424</v>
      </c>
    </row>
    <row r="473" spans="12:13" ht="9.75" customHeight="1">
      <c r="L473" s="4" t="s">
        <v>298</v>
      </c>
      <c r="M473" s="4" t="s">
        <v>298</v>
      </c>
    </row>
    <row r="474" spans="12:13" ht="9.75" customHeight="1">
      <c r="L474" s="3">
        <f>2011113.01+1000000</f>
        <v>3011113.01</v>
      </c>
      <c r="M474" s="3">
        <f>2011113.01+1000000</f>
        <v>3011113.01</v>
      </c>
    </row>
    <row r="475" spans="12:13" ht="9.75" customHeight="1">
      <c r="L475" s="3">
        <v>-216795067</v>
      </c>
      <c r="M475" s="3">
        <v>-216795067</v>
      </c>
    </row>
    <row r="476" spans="12:13" ht="9.75" customHeight="1">
      <c r="L476" s="33">
        <f>SUM(L463:L475)</f>
        <v>10358876303.700003</v>
      </c>
      <c r="M476" s="33">
        <f>SUM(M467:M475)</f>
        <v>10358874139.700003</v>
      </c>
    </row>
    <row r="477" spans="10:12" ht="9.75" customHeight="1">
      <c r="J477" s="1" t="s">
        <v>341</v>
      </c>
      <c r="L477" s="4" t="s">
        <v>300</v>
      </c>
    </row>
    <row r="478" spans="10:12" ht="9.75" customHeight="1">
      <c r="J478" s="1" t="s">
        <v>343</v>
      </c>
      <c r="L478" s="4" t="s">
        <v>301</v>
      </c>
    </row>
    <row r="479" ht="9.75" customHeight="1">
      <c r="M479" s="3">
        <f>3012763-3011113.01</f>
        <v>1649.9900000002235</v>
      </c>
    </row>
    <row r="480" ht="9.75" customHeight="1">
      <c r="M480" s="33">
        <f>SUM(M476:M479)</f>
        <v>10358875789.690002</v>
      </c>
    </row>
    <row r="481" ht="9.75" customHeight="1"/>
    <row r="482" ht="9.75" customHeight="1">
      <c r="L482" s="3">
        <v>-2164</v>
      </c>
    </row>
    <row r="483" ht="9.75" customHeight="1"/>
    <row r="484" ht="9.75" customHeight="1">
      <c r="L484" s="3">
        <v>1649</v>
      </c>
    </row>
    <row r="485" ht="9.75" customHeight="1">
      <c r="L485" s="4" t="s">
        <v>309</v>
      </c>
    </row>
    <row r="486" spans="12:13" ht="9.75" customHeight="1">
      <c r="L486" s="3">
        <v>900000000</v>
      </c>
      <c r="M486" s="3">
        <f>L486</f>
        <v>900000000</v>
      </c>
    </row>
    <row r="487" spans="12:14" ht="9.75" customHeight="1">
      <c r="L487" s="3">
        <v>-3093751</v>
      </c>
      <c r="M487" s="3">
        <v>-3093751</v>
      </c>
      <c r="N487" s="1" t="s">
        <v>424</v>
      </c>
    </row>
    <row r="488" spans="12:13" ht="9.75" customHeight="1">
      <c r="L488" s="4" t="s">
        <v>311</v>
      </c>
      <c r="M488" s="4" t="s">
        <v>312</v>
      </c>
    </row>
    <row r="489" spans="12:13" ht="9.75" customHeight="1">
      <c r="L489" s="3">
        <f>10099699.18+1000000</f>
        <v>11099699.18</v>
      </c>
      <c r="M489" s="3">
        <f>10099699.18+1000000</f>
        <v>11099699.18</v>
      </c>
    </row>
    <row r="490" spans="12:13" ht="9.75" customHeight="1">
      <c r="L490" s="3">
        <v>-138073000</v>
      </c>
      <c r="M490" s="3">
        <v>-138073000</v>
      </c>
    </row>
    <row r="491" spans="12:13" ht="9.75" customHeight="1">
      <c r="L491" s="33">
        <f>SUM(L476:L490)</f>
        <v>11128808736.880003</v>
      </c>
      <c r="M491" s="33">
        <f>SUM(M480:M490)</f>
        <v>11128808737.870003</v>
      </c>
    </row>
    <row r="492" spans="10:12" ht="9.75" customHeight="1">
      <c r="J492" s="1" t="s">
        <v>341</v>
      </c>
      <c r="L492" s="4" t="s">
        <v>314</v>
      </c>
    </row>
    <row r="493" spans="10:12" ht="9.75" customHeight="1">
      <c r="J493" s="1" t="s">
        <v>343</v>
      </c>
      <c r="L493" s="4" t="s">
        <v>315</v>
      </c>
    </row>
    <row r="494" ht="9.75" customHeight="1">
      <c r="M494" s="3">
        <f>3093751-11099699.18</f>
        <v>-8005948.18</v>
      </c>
    </row>
    <row r="495" ht="9.75" customHeight="1">
      <c r="M495" s="33">
        <f>SUM(M491:M494)</f>
        <v>11120802789.690002</v>
      </c>
    </row>
    <row r="496" ht="9.75" customHeight="1"/>
    <row r="497" ht="9.75" customHeight="1"/>
    <row r="498" ht="9.75" customHeight="1">
      <c r="L498" s="3">
        <v>0.99</v>
      </c>
    </row>
    <row r="499" ht="9.75" customHeight="1">
      <c r="L499" s="3">
        <f>M494</f>
        <v>-8005948.18</v>
      </c>
    </row>
    <row r="500" ht="9.75" customHeight="1">
      <c r="L500" s="33">
        <f>SUM(L491:L499)</f>
        <v>11120802789.690002</v>
      </c>
    </row>
    <row r="501" ht="9.75" customHeight="1"/>
    <row r="502" ht="9.75" customHeight="1"/>
    <row r="503" ht="9.75" customHeight="1"/>
    <row r="504" ht="9.75" customHeight="1"/>
    <row r="505" ht="9.75" customHeight="1">
      <c r="M505" s="4" t="s">
        <v>325</v>
      </c>
    </row>
    <row r="506" ht="9.75" customHeight="1"/>
  </sheetData>
  <printOptions horizontalCentered="1" verticalCentered="1"/>
  <pageMargins left="0" right="0" top="0.5" bottom="0.5" header="0.5" footer="0.5"/>
  <pageSetup horizontalDpi="300" verticalDpi="300" orientation="portrait" scale="75" r:id="rId2"/>
  <drawing r:id="rId1"/>
</worksheet>
</file>

<file path=xl/worksheets/sheet3.xml><?xml version="1.0" encoding="utf-8"?>
<worksheet xmlns="http://schemas.openxmlformats.org/spreadsheetml/2006/main" xmlns:r="http://schemas.openxmlformats.org/officeDocument/2006/relationships">
  <dimension ref="A1:F17"/>
  <sheetViews>
    <sheetView workbookViewId="0" topLeftCell="A1">
      <selection activeCell="E17" sqref="E17"/>
    </sheetView>
  </sheetViews>
  <sheetFormatPr defaultColWidth="9.140625" defaultRowHeight="12.75"/>
  <cols>
    <col min="2" max="2" width="38.8515625" style="0" customWidth="1"/>
    <col min="3" max="3" width="12.8515625" style="0" bestFit="1" customWidth="1"/>
    <col min="4" max="4" width="20.421875" style="0" customWidth="1"/>
    <col min="5" max="5" width="18.00390625" style="0" customWidth="1"/>
    <col min="6" max="6" width="17.57421875" style="0" customWidth="1"/>
    <col min="8" max="8" width="9.421875" style="0" bestFit="1" customWidth="1"/>
  </cols>
  <sheetData>
    <row r="1" ht="12.75">
      <c r="B1" s="199" t="s">
        <v>801</v>
      </c>
    </row>
    <row r="2" ht="12.75">
      <c r="B2" s="199" t="s">
        <v>802</v>
      </c>
    </row>
    <row r="3" spans="5:6" ht="12.75">
      <c r="E3" t="s">
        <v>803</v>
      </c>
      <c r="F3" t="s">
        <v>804</v>
      </c>
    </row>
    <row r="4" spans="2:6" ht="12.75">
      <c r="B4" t="s">
        <v>794</v>
      </c>
      <c r="C4" t="s">
        <v>191</v>
      </c>
      <c r="D4" t="s">
        <v>807</v>
      </c>
      <c r="E4" s="218" t="s">
        <v>52</v>
      </c>
      <c r="F4" t="s">
        <v>808</v>
      </c>
    </row>
    <row r="5" ht="12.75">
      <c r="D5" s="225">
        <v>0.0156</v>
      </c>
    </row>
    <row r="6" spans="1:6" ht="12.75">
      <c r="A6" t="s">
        <v>805</v>
      </c>
      <c r="B6" t="s">
        <v>795</v>
      </c>
      <c r="C6">
        <v>9081000</v>
      </c>
      <c r="D6">
        <f>+ROUND(C6*-$D$5,0)</f>
        <v>-141664</v>
      </c>
      <c r="E6">
        <f>+D6+C6</f>
        <v>8939336</v>
      </c>
      <c r="F6">
        <v>8393</v>
      </c>
    </row>
    <row r="7" spans="1:6" ht="12.75">
      <c r="A7" t="s">
        <v>681</v>
      </c>
      <c r="B7" t="s">
        <v>796</v>
      </c>
      <c r="C7">
        <v>35144000</v>
      </c>
      <c r="D7">
        <f>+ROUND(C7*-$D$5,0)</f>
        <v>-548246</v>
      </c>
      <c r="E7">
        <f>+D7+C7</f>
        <v>34595754</v>
      </c>
      <c r="F7">
        <v>34596</v>
      </c>
    </row>
    <row r="8" spans="1:6" ht="12.75">
      <c r="A8" t="s">
        <v>687</v>
      </c>
      <c r="B8" t="s">
        <v>806</v>
      </c>
      <c r="C8">
        <v>45070000</v>
      </c>
      <c r="D8">
        <f>+ROUND(C8*-$D$5,0)</f>
        <v>-703092</v>
      </c>
      <c r="E8">
        <f>+D8+C8</f>
        <v>44366908</v>
      </c>
      <c r="F8">
        <v>44367</v>
      </c>
    </row>
    <row r="9" spans="2:6" ht="12.75">
      <c r="B9" t="s">
        <v>809</v>
      </c>
      <c r="C9">
        <v>25000000</v>
      </c>
      <c r="D9">
        <f>+ROUND(C9*-$D$5,0)</f>
        <v>-390000</v>
      </c>
      <c r="E9">
        <f>+D9+C9</f>
        <v>24610000</v>
      </c>
      <c r="F9">
        <v>24610</v>
      </c>
    </row>
    <row r="11" spans="1:6" ht="12.75">
      <c r="A11" t="s">
        <v>705</v>
      </c>
      <c r="B11" t="s">
        <v>797</v>
      </c>
      <c r="C11">
        <v>49773000</v>
      </c>
      <c r="D11">
        <f>+ROUND(C11*-$D$5,0)</f>
        <v>-776459</v>
      </c>
      <c r="E11">
        <f>+D11+C11</f>
        <v>48996541</v>
      </c>
      <c r="F11">
        <v>48997</v>
      </c>
    </row>
    <row r="13" spans="2:6" ht="12.75">
      <c r="B13" t="s">
        <v>798</v>
      </c>
      <c r="C13">
        <v>42490000</v>
      </c>
      <c r="D13">
        <f>+ROUND(C13*-$D$5,0)</f>
        <v>-662844</v>
      </c>
      <c r="E13">
        <f>+D13+C13</f>
        <v>41827156</v>
      </c>
      <c r="F13">
        <v>41827</v>
      </c>
    </row>
    <row r="14" spans="2:6" ht="12.75">
      <c r="B14" t="s">
        <v>799</v>
      </c>
      <c r="C14">
        <v>53146000</v>
      </c>
      <c r="D14">
        <f>+ROUND(C14*-$D$5,0)</f>
        <v>-829078</v>
      </c>
      <c r="E14">
        <f>+D14+C14</f>
        <v>52316922</v>
      </c>
      <c r="F14">
        <v>52317</v>
      </c>
    </row>
    <row r="17" spans="5:6" ht="12.75">
      <c r="E17" s="199">
        <f>SUM(E6:E16)</f>
        <v>255652617</v>
      </c>
      <c r="F17" s="19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41"/>
  <sheetViews>
    <sheetView workbookViewId="0" topLeftCell="A1">
      <selection activeCell="H41" sqref="H41"/>
    </sheetView>
  </sheetViews>
  <sheetFormatPr defaultColWidth="9.140625" defaultRowHeight="12.75"/>
  <cols>
    <col min="1" max="1" width="18.28125" style="0" customWidth="1"/>
    <col min="2" max="2" width="12.57421875" style="0" customWidth="1"/>
    <col min="3" max="3" width="14.00390625" style="0" customWidth="1"/>
    <col min="7" max="7" width="10.00390625" style="0" bestFit="1" customWidth="1"/>
    <col min="8" max="8" width="15.8515625" style="0" customWidth="1"/>
    <col min="9" max="9" width="15.57421875" style="0" customWidth="1"/>
    <col min="10" max="10" width="11.7109375" style="0" customWidth="1"/>
    <col min="11" max="11" width="15.140625" style="0" customWidth="1"/>
  </cols>
  <sheetData>
    <row r="1" spans="1:9" ht="12.75">
      <c r="A1" s="199" t="s">
        <v>791</v>
      </c>
      <c r="E1" t="s">
        <v>773</v>
      </c>
      <c r="F1" t="s">
        <v>775</v>
      </c>
      <c r="G1" t="s">
        <v>772</v>
      </c>
      <c r="I1" s="199" t="s">
        <v>778</v>
      </c>
    </row>
    <row r="2" spans="3:11" ht="12.75">
      <c r="C2" t="s">
        <v>768</v>
      </c>
      <c r="D2" t="s">
        <v>769</v>
      </c>
      <c r="E2" t="s">
        <v>769</v>
      </c>
      <c r="F2" t="s">
        <v>776</v>
      </c>
      <c r="G2" s="218" t="s">
        <v>792</v>
      </c>
      <c r="H2" s="205" t="s">
        <v>718</v>
      </c>
      <c r="I2" s="199" t="s">
        <v>709</v>
      </c>
      <c r="J2" s="199" t="s">
        <v>709</v>
      </c>
      <c r="K2" s="205" t="s">
        <v>717</v>
      </c>
    </row>
    <row r="3" spans="1:11" ht="12.75">
      <c r="A3" t="s">
        <v>675</v>
      </c>
      <c r="B3" s="196" t="s">
        <v>680</v>
      </c>
      <c r="C3" s="204">
        <v>8621266</v>
      </c>
      <c r="D3" s="200"/>
      <c r="E3" s="200"/>
      <c r="F3" s="200"/>
      <c r="G3" s="200">
        <v>13000</v>
      </c>
      <c r="H3" s="204">
        <f>SUM(C3:G3)</f>
        <v>8634266</v>
      </c>
      <c r="K3">
        <f>+H3</f>
        <v>8634266</v>
      </c>
    </row>
    <row r="4" spans="3:8" ht="12.75">
      <c r="C4" s="200"/>
      <c r="D4" s="212"/>
      <c r="E4" s="212"/>
      <c r="F4" s="212"/>
      <c r="G4" s="200"/>
      <c r="H4" s="200"/>
    </row>
    <row r="5" spans="1:11" ht="12.75">
      <c r="A5" t="s">
        <v>679</v>
      </c>
      <c r="B5" s="196" t="s">
        <v>681</v>
      </c>
      <c r="C5" s="200">
        <v>27990050</v>
      </c>
      <c r="D5" s="200"/>
      <c r="E5" s="200"/>
      <c r="F5" s="200"/>
      <c r="G5" s="202">
        <v>56000</v>
      </c>
      <c r="H5" s="200">
        <f>SUM(C5:G5)</f>
        <v>28046050</v>
      </c>
      <c r="I5" s="200"/>
      <c r="J5" s="200"/>
      <c r="K5">
        <f>+H5+I5</f>
        <v>28046050</v>
      </c>
    </row>
    <row r="6" spans="3:10" ht="12.75">
      <c r="C6" s="201"/>
      <c r="D6" s="212"/>
      <c r="E6" s="212"/>
      <c r="F6" s="212"/>
      <c r="G6" s="201"/>
      <c r="H6" s="201"/>
      <c r="I6" s="198"/>
      <c r="J6" s="198"/>
    </row>
    <row r="7" spans="1:11" ht="12.75">
      <c r="A7" t="s">
        <v>699</v>
      </c>
      <c r="B7" s="196" t="s">
        <v>698</v>
      </c>
      <c r="C7" s="200">
        <f>21666902+2000000</f>
        <v>23666902</v>
      </c>
      <c r="D7" s="200"/>
      <c r="E7" s="200"/>
      <c r="F7" s="200"/>
      <c r="G7" s="200">
        <v>0</v>
      </c>
      <c r="H7" s="200">
        <f>SUM(C7:G7)</f>
        <v>23666902</v>
      </c>
      <c r="I7" s="198"/>
      <c r="J7" s="198"/>
      <c r="K7">
        <f>+H7</f>
        <v>23666902</v>
      </c>
    </row>
    <row r="8" spans="2:10" ht="12.75">
      <c r="B8" s="196"/>
      <c r="C8" s="201"/>
      <c r="D8" s="212"/>
      <c r="E8" s="212"/>
      <c r="F8" s="212"/>
      <c r="G8" s="201"/>
      <c r="H8" s="201"/>
      <c r="I8" s="198"/>
      <c r="J8" s="198"/>
    </row>
    <row r="9" spans="1:11" ht="12.75">
      <c r="A9" t="s">
        <v>700</v>
      </c>
      <c r="B9" s="196" t="s">
        <v>702</v>
      </c>
      <c r="C9" s="200">
        <v>7277335</v>
      </c>
      <c r="D9" s="200"/>
      <c r="E9" s="200"/>
      <c r="F9" s="200"/>
      <c r="G9" s="202">
        <v>0</v>
      </c>
      <c r="H9" s="200">
        <f>SUM(C9:G9)</f>
        <v>7277335</v>
      </c>
      <c r="I9" s="198"/>
      <c r="J9" s="198"/>
      <c r="K9">
        <f>+H9</f>
        <v>7277335</v>
      </c>
    </row>
    <row r="10" spans="2:10" ht="12.75">
      <c r="B10" s="196"/>
      <c r="C10" s="201"/>
      <c r="D10" s="212"/>
      <c r="E10" s="212"/>
      <c r="F10" s="212"/>
      <c r="G10" s="201"/>
      <c r="H10" s="201"/>
      <c r="I10" s="198"/>
      <c r="J10" s="198"/>
    </row>
    <row r="11" spans="1:11" ht="12.75">
      <c r="A11" t="s">
        <v>701</v>
      </c>
      <c r="B11" s="196" t="s">
        <v>703</v>
      </c>
      <c r="C11" s="200">
        <f>67492201+1000000</f>
        <v>68492201</v>
      </c>
      <c r="D11" s="200"/>
      <c r="E11" s="200"/>
      <c r="F11" s="200"/>
      <c r="G11" s="202">
        <v>0</v>
      </c>
      <c r="H11" s="200">
        <f>SUM(C11:G11)</f>
        <v>68492201</v>
      </c>
      <c r="I11" s="198"/>
      <c r="J11" s="198"/>
      <c r="K11">
        <f>+H11</f>
        <v>68492201</v>
      </c>
    </row>
    <row r="12" spans="2:10" ht="12.75">
      <c r="B12" s="196"/>
      <c r="C12" s="201"/>
      <c r="D12" s="212"/>
      <c r="E12" s="212"/>
      <c r="F12" s="212"/>
      <c r="G12" s="201"/>
      <c r="H12" s="201"/>
      <c r="I12" s="198"/>
      <c r="J12" s="198"/>
    </row>
    <row r="13" spans="1:11" ht="12.75">
      <c r="A13" t="s">
        <v>704</v>
      </c>
      <c r="B13" s="196" t="s">
        <v>705</v>
      </c>
      <c r="C13" s="200">
        <v>60136257</v>
      </c>
      <c r="D13" s="200"/>
      <c r="E13" s="200"/>
      <c r="F13" s="200"/>
      <c r="G13" s="202">
        <v>0</v>
      </c>
      <c r="H13" s="200">
        <f>SUM(C13:G13)</f>
        <v>60136257</v>
      </c>
      <c r="I13" s="198"/>
      <c r="J13" s="198"/>
      <c r="K13">
        <f>+H13</f>
        <v>60136257</v>
      </c>
    </row>
    <row r="14" spans="3:10" ht="12.75">
      <c r="C14" s="201"/>
      <c r="D14" s="212"/>
      <c r="E14" s="212"/>
      <c r="F14" s="212"/>
      <c r="G14" s="201"/>
      <c r="H14" s="201"/>
      <c r="I14" s="198"/>
      <c r="J14" s="198"/>
    </row>
    <row r="15" spans="1:11" ht="12.75">
      <c r="A15" t="s">
        <v>756</v>
      </c>
      <c r="B15" t="s">
        <v>687</v>
      </c>
      <c r="C15" s="200">
        <v>63954033</v>
      </c>
      <c r="D15" s="200"/>
      <c r="E15" s="200"/>
      <c r="F15" s="200"/>
      <c r="G15" s="219">
        <v>70000</v>
      </c>
      <c r="H15" s="200">
        <f>SUM(C15:G15)</f>
        <v>64024033</v>
      </c>
      <c r="I15" s="200"/>
      <c r="J15" s="200"/>
      <c r="K15">
        <f>+H15+I15+J15</f>
        <v>64024033</v>
      </c>
    </row>
    <row r="16" spans="1:10" ht="12.75">
      <c r="A16" s="213" t="s">
        <v>755</v>
      </c>
      <c r="C16" s="200"/>
      <c r="D16" s="200"/>
      <c r="E16" s="212"/>
      <c r="F16" s="212"/>
      <c r="G16" s="220"/>
      <c r="H16" s="200"/>
      <c r="I16" s="200"/>
      <c r="J16" s="200"/>
    </row>
    <row r="17" spans="1:11" ht="12.75">
      <c r="A17" t="s">
        <v>752</v>
      </c>
      <c r="B17" t="s">
        <v>753</v>
      </c>
      <c r="C17" s="200">
        <v>7331525</v>
      </c>
      <c r="D17" s="200"/>
      <c r="E17" s="200"/>
      <c r="F17" s="200"/>
      <c r="G17" s="219">
        <v>66000</v>
      </c>
      <c r="H17" s="200">
        <f>SUM(C17:G17)</f>
        <v>7397525</v>
      </c>
      <c r="I17" s="200"/>
      <c r="J17" s="200"/>
      <c r="K17">
        <f>+H17+I17</f>
        <v>7397525</v>
      </c>
    </row>
    <row r="18" spans="3:10" ht="12.75">
      <c r="C18" s="200"/>
      <c r="D18" s="212"/>
      <c r="E18" s="212"/>
      <c r="F18" s="212"/>
      <c r="G18" s="201"/>
      <c r="H18" s="200"/>
      <c r="I18" s="201"/>
      <c r="J18" s="201"/>
    </row>
    <row r="19" spans="1:11" ht="12.75">
      <c r="A19" t="s">
        <v>786</v>
      </c>
      <c r="B19" t="s">
        <v>726</v>
      </c>
      <c r="C19" s="200">
        <v>40860805.34</v>
      </c>
      <c r="D19" s="200"/>
      <c r="E19" s="200"/>
      <c r="G19" s="200">
        <v>1075318</v>
      </c>
      <c r="H19" s="200">
        <f>SUM(C19:G19)</f>
        <v>41936123.34</v>
      </c>
      <c r="I19" s="219"/>
      <c r="J19" s="219"/>
      <c r="K19">
        <f>+H19</f>
        <v>41936123.34</v>
      </c>
    </row>
    <row r="20" spans="3:10" ht="12.75">
      <c r="C20" s="200"/>
      <c r="D20" s="212"/>
      <c r="E20" s="212"/>
      <c r="F20" s="212"/>
      <c r="G20" s="200"/>
      <c r="H20" s="200"/>
      <c r="I20" s="219"/>
      <c r="J20" s="219"/>
    </row>
    <row r="21" spans="1:11" ht="12.75">
      <c r="A21" t="s">
        <v>787</v>
      </c>
      <c r="B21" t="s">
        <v>725</v>
      </c>
      <c r="C21" s="200">
        <v>56535802</v>
      </c>
      <c r="D21" s="200"/>
      <c r="E21" s="200"/>
      <c r="F21" s="200"/>
      <c r="G21" s="200">
        <v>0</v>
      </c>
      <c r="H21" s="200">
        <f>SUM(C21:G21)</f>
        <v>56535802</v>
      </c>
      <c r="I21" s="219"/>
      <c r="J21" s="219"/>
      <c r="K21">
        <f>+H21</f>
        <v>56535802</v>
      </c>
    </row>
    <row r="22" spans="1:8" ht="12.75">
      <c r="A22" t="s">
        <v>793</v>
      </c>
      <c r="C22" s="212"/>
      <c r="D22" s="212"/>
      <c r="E22" s="212"/>
      <c r="F22" s="212"/>
      <c r="G22" s="200"/>
      <c r="H22" s="200"/>
    </row>
    <row r="23" spans="1:8" ht="12.75">
      <c r="A23" s="149"/>
      <c r="B23" s="213"/>
      <c r="C23" s="200"/>
      <c r="E23" s="200"/>
      <c r="F23" s="200"/>
      <c r="G23" s="200"/>
      <c r="H23" s="200"/>
    </row>
    <row r="24" spans="1:11" ht="12.75">
      <c r="A24" t="s">
        <v>710</v>
      </c>
      <c r="C24" s="200"/>
      <c r="E24" s="200"/>
      <c r="F24" s="200"/>
      <c r="G24" s="200"/>
      <c r="H24" s="200">
        <f>+H3</f>
        <v>8634266</v>
      </c>
      <c r="K24" s="200">
        <f>+K3</f>
        <v>8634266</v>
      </c>
    </row>
    <row r="25" spans="1:11" ht="12.75">
      <c r="A25" t="s">
        <v>711</v>
      </c>
      <c r="C25" s="200"/>
      <c r="D25" s="200"/>
      <c r="E25" s="200"/>
      <c r="F25" s="200"/>
      <c r="G25" s="200"/>
      <c r="H25" s="200">
        <f>+H5+H7+H9+H11+H13</f>
        <v>187618745</v>
      </c>
      <c r="K25" s="200">
        <f>+K5+K7+K9+K11+K13</f>
        <v>187618745</v>
      </c>
    </row>
    <row r="26" spans="1:11" ht="12.75">
      <c r="A26" t="s">
        <v>712</v>
      </c>
      <c r="C26" s="200"/>
      <c r="D26" s="203"/>
      <c r="E26" s="200"/>
      <c r="F26" s="200"/>
      <c r="G26" s="200"/>
      <c r="H26" s="207">
        <f>+H15</f>
        <v>64024033</v>
      </c>
      <c r="I26" s="208"/>
      <c r="J26" s="208"/>
      <c r="K26" s="207">
        <f>+K15</f>
        <v>64024033</v>
      </c>
    </row>
    <row r="27" spans="1:11" ht="12.75">
      <c r="A27" t="s">
        <v>754</v>
      </c>
      <c r="C27" s="200"/>
      <c r="D27" s="203"/>
      <c r="E27" s="200"/>
      <c r="F27" s="200"/>
      <c r="G27" s="200"/>
      <c r="H27" s="207">
        <f>+H17</f>
        <v>7397525</v>
      </c>
      <c r="I27" s="208"/>
      <c r="J27" s="208"/>
      <c r="K27" s="207">
        <f>+K17</f>
        <v>7397525</v>
      </c>
    </row>
    <row r="28" spans="3:11" ht="12.75">
      <c r="C28" s="200"/>
      <c r="D28" s="203"/>
      <c r="E28" s="200"/>
      <c r="F28" s="200"/>
      <c r="G28" s="200"/>
      <c r="H28" s="207"/>
      <c r="I28" s="208"/>
      <c r="J28" s="208"/>
      <c r="K28" s="207"/>
    </row>
    <row r="29" spans="1:11" ht="12.75">
      <c r="A29" t="s">
        <v>73</v>
      </c>
      <c r="C29" s="200"/>
      <c r="D29" s="203"/>
      <c r="E29" s="200"/>
      <c r="F29" s="200"/>
      <c r="G29" s="200"/>
      <c r="H29" s="206">
        <f>+H21+H19</f>
        <v>98471925.34</v>
      </c>
      <c r="K29" s="206">
        <f>+K21+K19</f>
        <v>98471925.34</v>
      </c>
    </row>
    <row r="30" spans="3:11" ht="12.75">
      <c r="C30" s="200"/>
      <c r="D30" s="203"/>
      <c r="E30" s="200"/>
      <c r="F30" s="200"/>
      <c r="G30" s="200"/>
      <c r="H30" s="200">
        <f>SUM(H24:H29)</f>
        <v>366146494.34000003</v>
      </c>
      <c r="K30" s="200">
        <f>SUM(K24:K29)</f>
        <v>366146494.34000003</v>
      </c>
    </row>
    <row r="32" spans="1:8" ht="12.75">
      <c r="A32" t="s">
        <v>749</v>
      </c>
      <c r="C32">
        <f>+C3+C5+C15+C19</f>
        <v>141426154.34</v>
      </c>
      <c r="D32">
        <f>+D3+D5+D15+D19</f>
        <v>0</v>
      </c>
      <c r="E32">
        <f>+E3+E5+E15+E19</f>
        <v>0</v>
      </c>
      <c r="H32">
        <f>+H3+H5+H15+H19</f>
        <v>142640472.34</v>
      </c>
    </row>
    <row r="33" spans="1:8" ht="12.75">
      <c r="A33" t="s">
        <v>750</v>
      </c>
      <c r="C33">
        <f>+C7+C9+C11+C13+C21+C17</f>
        <v>223440022</v>
      </c>
      <c r="D33">
        <f>+D7+D9+D11+D13+D21+D17</f>
        <v>0</v>
      </c>
      <c r="E33">
        <f>+E7+E9+E11+E13+E21</f>
        <v>0</v>
      </c>
      <c r="H33">
        <f>+H7+H9+H11+H13+H21+H17</f>
        <v>223506022</v>
      </c>
    </row>
    <row r="35" spans="3:8" ht="12.75">
      <c r="C35">
        <f>+C33+C32</f>
        <v>364866176.34000003</v>
      </c>
      <c r="D35">
        <f>+D33+D32</f>
        <v>0</v>
      </c>
      <c r="E35">
        <f>+E33+E32</f>
        <v>0</v>
      </c>
      <c r="H35" s="199">
        <f>+H33+H32</f>
        <v>366146494.34000003</v>
      </c>
    </row>
    <row r="38" spans="8:9" ht="12.75">
      <c r="H38">
        <f>267674569+98471925</f>
        <v>366146494</v>
      </c>
      <c r="I38" t="s">
        <v>784</v>
      </c>
    </row>
    <row r="39" ht="12.75">
      <c r="I39" t="s">
        <v>785</v>
      </c>
    </row>
    <row r="41" spans="8:9" ht="12.75">
      <c r="H41">
        <f>+H35-H38</f>
        <v>0.3400000333786011</v>
      </c>
      <c r="I41" t="s">
        <v>812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39"/>
  <sheetViews>
    <sheetView workbookViewId="0" topLeftCell="B10">
      <selection activeCell="E25" sqref="E25"/>
    </sheetView>
  </sheetViews>
  <sheetFormatPr defaultColWidth="9.140625" defaultRowHeight="12.75"/>
  <cols>
    <col min="1" max="1" width="28.421875" style="0" customWidth="1"/>
    <col min="3" max="3" width="15.00390625" style="0" customWidth="1"/>
    <col min="4" max="4" width="12.7109375" style="0" customWidth="1"/>
    <col min="5" max="6" width="12.57421875" style="0" customWidth="1"/>
    <col min="7" max="7" width="11.28125" style="0" customWidth="1"/>
    <col min="8" max="8" width="17.140625" style="0" customWidth="1"/>
    <col min="9" max="9" width="14.00390625" style="0" bestFit="1" customWidth="1"/>
    <col min="10" max="10" width="11.00390625" style="0" customWidth="1"/>
    <col min="11" max="11" width="14.28125" style="0" customWidth="1"/>
  </cols>
  <sheetData>
    <row r="1" spans="1:9" ht="12.75">
      <c r="A1" s="199" t="s">
        <v>751</v>
      </c>
      <c r="E1" t="s">
        <v>773</v>
      </c>
      <c r="F1" t="s">
        <v>775</v>
      </c>
      <c r="G1" t="s">
        <v>772</v>
      </c>
      <c r="I1" s="199" t="s">
        <v>778</v>
      </c>
    </row>
    <row r="2" spans="3:11" ht="12.75">
      <c r="C2" t="s">
        <v>768</v>
      </c>
      <c r="D2" t="s">
        <v>769</v>
      </c>
      <c r="E2" t="s">
        <v>769</v>
      </c>
      <c r="F2" t="s">
        <v>776</v>
      </c>
      <c r="G2" t="s">
        <v>788</v>
      </c>
      <c r="H2" s="205" t="s">
        <v>718</v>
      </c>
      <c r="I2" s="199" t="s">
        <v>709</v>
      </c>
      <c r="J2" s="199" t="s">
        <v>709</v>
      </c>
      <c r="K2" s="205" t="s">
        <v>717</v>
      </c>
    </row>
    <row r="3" spans="1:11" ht="12.75">
      <c r="A3" t="s">
        <v>675</v>
      </c>
      <c r="B3" s="196" t="s">
        <v>680</v>
      </c>
      <c r="C3" s="211">
        <v>8750000</v>
      </c>
      <c r="D3" s="200">
        <f>+ROUND(C3*-0.00476,0)</f>
        <v>-41650</v>
      </c>
      <c r="E3" s="200">
        <f>+ROUND((C3+D3)*-0.01,0)</f>
        <v>-87084</v>
      </c>
      <c r="F3" s="200"/>
      <c r="G3" s="200"/>
      <c r="H3" s="204">
        <f>SUM(C3:G3)</f>
        <v>8621266</v>
      </c>
      <c r="K3">
        <f>+H3</f>
        <v>8621266</v>
      </c>
    </row>
    <row r="4" spans="3:8" ht="12.75">
      <c r="C4" s="212"/>
      <c r="D4" s="212"/>
      <c r="E4" s="212"/>
      <c r="F4" s="212"/>
      <c r="G4" s="200"/>
      <c r="H4" s="200"/>
    </row>
    <row r="5" spans="1:11" ht="12.75">
      <c r="A5" t="s">
        <v>679</v>
      </c>
      <c r="B5" s="196" t="s">
        <v>681</v>
      </c>
      <c r="C5" s="202">
        <v>28408000</v>
      </c>
      <c r="D5" s="200">
        <f>+ROUND(C5*-0.00476,0)</f>
        <v>-135222</v>
      </c>
      <c r="E5" s="200">
        <f>+ROUND((C5+D5)*-0.01,0)</f>
        <v>-282728</v>
      </c>
      <c r="F5" s="200"/>
      <c r="G5" s="202"/>
      <c r="H5" s="200">
        <f>SUM(C5:G5)</f>
        <v>27990050</v>
      </c>
      <c r="I5" s="200"/>
      <c r="J5" s="200"/>
      <c r="K5">
        <f>+H5+I5</f>
        <v>27990050</v>
      </c>
    </row>
    <row r="6" spans="3:10" ht="12.75">
      <c r="C6" s="212"/>
      <c r="D6" s="212"/>
      <c r="E6" s="212"/>
      <c r="F6" s="212"/>
      <c r="G6" s="201"/>
      <c r="H6" s="201"/>
      <c r="I6" s="198"/>
      <c r="J6" s="198"/>
    </row>
    <row r="7" spans="1:11" ht="12.75">
      <c r="A7" t="s">
        <v>699</v>
      </c>
      <c r="B7" s="196" t="s">
        <v>698</v>
      </c>
      <c r="C7" s="201">
        <v>24000000</v>
      </c>
      <c r="D7" s="200">
        <f>+ROUND(C7*-0.00476,0)</f>
        <v>-114240</v>
      </c>
      <c r="E7" s="200">
        <v>-218858</v>
      </c>
      <c r="F7" s="200">
        <v>-2000000</v>
      </c>
      <c r="G7" s="200"/>
      <c r="H7" s="200">
        <f>SUM(C7:G7)</f>
        <v>21666902</v>
      </c>
      <c r="I7" s="198"/>
      <c r="J7" s="198"/>
      <c r="K7">
        <f>+H7</f>
        <v>21666902</v>
      </c>
    </row>
    <row r="8" spans="2:10" ht="12.75">
      <c r="B8" s="196"/>
      <c r="C8" s="212"/>
      <c r="D8" s="212"/>
      <c r="E8" s="212"/>
      <c r="F8" s="212"/>
      <c r="G8" s="201"/>
      <c r="H8" s="201"/>
      <c r="I8" s="198"/>
      <c r="J8" s="198"/>
    </row>
    <row r="9" spans="1:11" ht="12.75">
      <c r="A9" t="s">
        <v>700</v>
      </c>
      <c r="B9" s="196" t="s">
        <v>702</v>
      </c>
      <c r="C9" s="202">
        <v>7386000</v>
      </c>
      <c r="D9" s="200">
        <f>+ROUND(C9*-0.00476,0)</f>
        <v>-35157</v>
      </c>
      <c r="E9" s="200">
        <f>+ROUND((C9+D9)*-0.01,0)</f>
        <v>-73508</v>
      </c>
      <c r="F9" s="200"/>
      <c r="G9" s="202"/>
      <c r="H9" s="200">
        <f>SUM(C9:G9)</f>
        <v>7277335</v>
      </c>
      <c r="I9" s="198"/>
      <c r="J9" s="198"/>
      <c r="K9">
        <f>+H9</f>
        <v>7277335</v>
      </c>
    </row>
    <row r="10" spans="2:10" ht="12.75">
      <c r="B10" s="196"/>
      <c r="C10" s="212"/>
      <c r="D10" s="212"/>
      <c r="E10" s="212"/>
      <c r="F10" s="212"/>
      <c r="G10" s="201"/>
      <c r="H10" s="201"/>
      <c r="I10" s="198"/>
      <c r="J10" s="198"/>
    </row>
    <row r="11" spans="1:11" ht="12.75">
      <c r="A11" t="s">
        <v>701</v>
      </c>
      <c r="B11" s="196" t="s">
        <v>703</v>
      </c>
      <c r="C11" s="202">
        <v>68500000</v>
      </c>
      <c r="D11" s="200">
        <f>+ROUND(C11*-0.00476,0)</f>
        <v>-326060</v>
      </c>
      <c r="E11" s="200">
        <f>+ROUND((C11+D11)*-0.01,0)</f>
        <v>-681739</v>
      </c>
      <c r="F11" s="200"/>
      <c r="G11" s="202"/>
      <c r="H11" s="200">
        <f>SUM(C11:G11)</f>
        <v>67492201</v>
      </c>
      <c r="I11" s="198"/>
      <c r="J11" s="198"/>
      <c r="K11">
        <f>+H11</f>
        <v>67492201</v>
      </c>
    </row>
    <row r="12" spans="2:10" ht="12.75">
      <c r="B12" s="196"/>
      <c r="C12" s="212"/>
      <c r="D12" s="212"/>
      <c r="E12" s="212"/>
      <c r="F12" s="212"/>
      <c r="G12" s="201"/>
      <c r="H12" s="201"/>
      <c r="I12" s="198"/>
      <c r="J12" s="198"/>
    </row>
    <row r="13" spans="1:11" ht="12.75">
      <c r="A13" t="s">
        <v>704</v>
      </c>
      <c r="B13" s="196" t="s">
        <v>705</v>
      </c>
      <c r="C13" s="202">
        <v>62039000</v>
      </c>
      <c r="D13" s="200">
        <f>+ROUND(C13*-0.00476,0)</f>
        <v>-295306</v>
      </c>
      <c r="E13" s="200">
        <v>-607437</v>
      </c>
      <c r="F13" s="200">
        <v>-1000000</v>
      </c>
      <c r="G13" s="202"/>
      <c r="H13" s="200">
        <f>SUM(C13:G13)</f>
        <v>60136257</v>
      </c>
      <c r="I13" s="198"/>
      <c r="J13" s="198"/>
      <c r="K13">
        <f>+H13</f>
        <v>60136257</v>
      </c>
    </row>
    <row r="14" spans="3:10" ht="12.75">
      <c r="C14" s="212"/>
      <c r="D14" s="212"/>
      <c r="E14" s="212"/>
      <c r="F14" s="212"/>
      <c r="G14" s="201"/>
      <c r="H14" s="201"/>
      <c r="I14" s="198"/>
      <c r="J14" s="198"/>
    </row>
    <row r="15" spans="1:11" ht="12.75">
      <c r="A15" t="s">
        <v>756</v>
      </c>
      <c r="B15" t="s">
        <v>687</v>
      </c>
      <c r="C15" s="200">
        <f>74824000-9915000</f>
        <v>64909000</v>
      </c>
      <c r="D15" s="200">
        <f>-275242+47195</f>
        <v>-228047</v>
      </c>
      <c r="E15" s="200">
        <v>-646000</v>
      </c>
      <c r="F15" s="200"/>
      <c r="G15" s="197">
        <v>-80920</v>
      </c>
      <c r="H15" s="200">
        <f>SUM(C15:G15)</f>
        <v>63954033</v>
      </c>
      <c r="I15" s="200">
        <v>-17000000</v>
      </c>
      <c r="J15" s="200"/>
      <c r="K15">
        <f>+H15+I15+J15</f>
        <v>46954033</v>
      </c>
    </row>
    <row r="16" spans="1:10" ht="12.75">
      <c r="A16" s="213" t="s">
        <v>755</v>
      </c>
      <c r="C16" s="214"/>
      <c r="D16" s="200"/>
      <c r="E16" s="212"/>
      <c r="F16" s="212"/>
      <c r="G16" s="201"/>
      <c r="H16" s="200"/>
      <c r="I16" s="200"/>
      <c r="J16" s="200"/>
    </row>
    <row r="17" spans="1:11" ht="12.75">
      <c r="A17" t="s">
        <v>752</v>
      </c>
      <c r="B17" t="s">
        <v>753</v>
      </c>
      <c r="C17" s="202">
        <v>7441000</v>
      </c>
      <c r="D17" s="200">
        <f>+ROUND(C17*-0.00476,0)</f>
        <v>-35419</v>
      </c>
      <c r="E17" s="200">
        <f>+ROUND((C17+D17)*-0.01,0)</f>
        <v>-74056</v>
      </c>
      <c r="F17" s="200"/>
      <c r="G17" s="201"/>
      <c r="H17" s="200">
        <f>SUM(C17:E17)</f>
        <v>7331525</v>
      </c>
      <c r="I17" s="200"/>
      <c r="J17" s="200"/>
      <c r="K17">
        <f>+H17+I17</f>
        <v>7331525</v>
      </c>
    </row>
    <row r="18" spans="3:10" ht="12.75">
      <c r="C18" s="212"/>
      <c r="D18" s="212"/>
      <c r="E18" s="212"/>
      <c r="F18" s="212"/>
      <c r="G18" s="201"/>
      <c r="H18" s="200"/>
      <c r="I18" s="201"/>
      <c r="J18" s="201"/>
    </row>
    <row r="19" spans="1:11" ht="12.75">
      <c r="A19" t="s">
        <v>786</v>
      </c>
      <c r="B19" t="s">
        <v>726</v>
      </c>
      <c r="C19" s="202">
        <v>42500000</v>
      </c>
      <c r="D19" s="200">
        <f>+ROUND(C19*-0.00476,0)</f>
        <v>-202300</v>
      </c>
      <c r="E19" s="200">
        <f>+ROUND((C19+D19)*-0.01,0)</f>
        <v>-422977</v>
      </c>
      <c r="G19" s="200">
        <v>-1013917.66</v>
      </c>
      <c r="H19" s="200">
        <f>SUM(C19:G19)</f>
        <v>40860805.34</v>
      </c>
      <c r="K19">
        <f>+H19</f>
        <v>40860805.34</v>
      </c>
    </row>
    <row r="20" spans="3:8" ht="12.75">
      <c r="C20" s="212"/>
      <c r="D20" s="212"/>
      <c r="E20" s="212"/>
      <c r="F20" s="212"/>
      <c r="G20" s="200"/>
      <c r="H20" s="200"/>
    </row>
    <row r="21" spans="1:11" ht="12.75">
      <c r="A21" t="s">
        <v>787</v>
      </c>
      <c r="B21" t="s">
        <v>725</v>
      </c>
      <c r="C21" s="202">
        <v>57380000</v>
      </c>
      <c r="D21" s="200">
        <f>+ROUND(C21*-0.00476,0)</f>
        <v>-273129</v>
      </c>
      <c r="E21" s="200">
        <f>+ROUND((C21+D21)*-0.01,0)</f>
        <v>-571069</v>
      </c>
      <c r="F21" s="200"/>
      <c r="G21" s="200"/>
      <c r="H21" s="200">
        <f>SUM(C21:G21)</f>
        <v>56535802</v>
      </c>
      <c r="K21">
        <f>+H21</f>
        <v>56535802</v>
      </c>
    </row>
    <row r="22" spans="1:8" ht="12.75">
      <c r="A22" t="s">
        <v>774</v>
      </c>
      <c r="C22" s="212"/>
      <c r="D22" s="212"/>
      <c r="E22" s="212"/>
      <c r="F22" s="212"/>
      <c r="G22" s="200"/>
      <c r="H22" s="200"/>
    </row>
    <row r="23" spans="1:8" ht="12.75">
      <c r="A23" s="149" t="s">
        <v>789</v>
      </c>
      <c r="B23" s="213"/>
      <c r="C23" s="200"/>
      <c r="E23" s="200"/>
      <c r="F23" s="200"/>
      <c r="G23" s="200"/>
      <c r="H23" s="200"/>
    </row>
    <row r="24" spans="1:11" ht="19.5" customHeight="1">
      <c r="A24" t="s">
        <v>710</v>
      </c>
      <c r="C24" s="200"/>
      <c r="E24" s="200"/>
      <c r="F24" s="200"/>
      <c r="G24" s="200"/>
      <c r="H24" s="200">
        <f>+H3</f>
        <v>8621266</v>
      </c>
      <c r="K24" s="200">
        <f>+K3</f>
        <v>8621266</v>
      </c>
    </row>
    <row r="25" spans="1:11" ht="12.75">
      <c r="A25" t="s">
        <v>711</v>
      </c>
      <c r="C25" s="200"/>
      <c r="D25" s="200"/>
      <c r="E25" s="200"/>
      <c r="F25" s="200"/>
      <c r="G25" s="200"/>
      <c r="H25" s="200">
        <f>+H5+H7+H9+H11+H13</f>
        <v>184562745</v>
      </c>
      <c r="K25" s="200">
        <f>+K5+K7+K9+K11+K13</f>
        <v>184562745</v>
      </c>
    </row>
    <row r="26" spans="1:11" ht="12.75">
      <c r="A26" t="s">
        <v>712</v>
      </c>
      <c r="C26" s="200"/>
      <c r="D26" s="203"/>
      <c r="E26" s="200"/>
      <c r="F26" s="200"/>
      <c r="G26" s="200"/>
      <c r="H26" s="207">
        <f>+H15</f>
        <v>63954033</v>
      </c>
      <c r="I26" s="208"/>
      <c r="J26" s="208"/>
      <c r="K26" s="207">
        <f>+K15</f>
        <v>46954033</v>
      </c>
    </row>
    <row r="27" spans="1:11" ht="12.75">
      <c r="A27" t="s">
        <v>754</v>
      </c>
      <c r="C27" s="200"/>
      <c r="D27" s="203"/>
      <c r="E27" s="200"/>
      <c r="F27" s="200"/>
      <c r="G27" s="200"/>
      <c r="H27" s="207">
        <f>+H17</f>
        <v>7331525</v>
      </c>
      <c r="I27" s="208"/>
      <c r="J27" s="208"/>
      <c r="K27" s="207">
        <f>+K17</f>
        <v>7331525</v>
      </c>
    </row>
    <row r="28" spans="3:11" ht="12.75">
      <c r="C28" s="200"/>
      <c r="D28" s="203"/>
      <c r="E28" s="200"/>
      <c r="F28" s="200"/>
      <c r="G28" s="200"/>
      <c r="H28" s="207"/>
      <c r="I28" s="208"/>
      <c r="J28" s="208"/>
      <c r="K28" s="207"/>
    </row>
    <row r="29" spans="1:11" ht="12.75">
      <c r="A29" t="s">
        <v>73</v>
      </c>
      <c r="C29" s="200"/>
      <c r="D29" s="203"/>
      <c r="E29" s="200"/>
      <c r="F29" s="200"/>
      <c r="G29" s="200"/>
      <c r="H29" s="206">
        <f>+H21+H19</f>
        <v>97396607.34</v>
      </c>
      <c r="K29" s="206">
        <f>+K21+K19</f>
        <v>97396607.34</v>
      </c>
    </row>
    <row r="30" spans="3:11" ht="12.75">
      <c r="C30" s="200"/>
      <c r="D30" s="203"/>
      <c r="E30" s="200"/>
      <c r="F30" s="200"/>
      <c r="G30" s="200"/>
      <c r="H30" s="200">
        <f>SUM(H24:H29)</f>
        <v>361866176.34000003</v>
      </c>
      <c r="K30" s="200">
        <f>SUM(K24:K29)</f>
        <v>344866176.34000003</v>
      </c>
    </row>
    <row r="32" spans="1:8" ht="12.75">
      <c r="A32" t="s">
        <v>749</v>
      </c>
      <c r="C32">
        <f>+C3+C5+C15+C19</f>
        <v>144567000</v>
      </c>
      <c r="D32">
        <f>+D3+D5+D15+D19</f>
        <v>-607219</v>
      </c>
      <c r="E32">
        <f>+E3+E5+E15+E19</f>
        <v>-1438789</v>
      </c>
      <c r="H32">
        <f>+H3+H5+H15+H19</f>
        <v>141426154.34</v>
      </c>
    </row>
    <row r="33" spans="1:8" ht="12.75">
      <c r="A33" t="s">
        <v>750</v>
      </c>
      <c r="C33">
        <f>+C7+C9+C11+C13+C21+C17</f>
        <v>226746000</v>
      </c>
      <c r="D33">
        <f>+D7+D9+D11+D13+D21+D17</f>
        <v>-1079311</v>
      </c>
      <c r="E33">
        <f>+E7+E9+E11+E13+E21</f>
        <v>-2152611</v>
      </c>
      <c r="H33">
        <f>+H7+H9+H11+H13+H21+H17</f>
        <v>220440022</v>
      </c>
    </row>
    <row r="35" spans="3:8" ht="12.75">
      <c r="C35">
        <f>+C33+C32</f>
        <v>371313000</v>
      </c>
      <c r="D35">
        <f>+D33+D32</f>
        <v>-1686530</v>
      </c>
      <c r="E35">
        <f>+E33+E32</f>
        <v>-3591400</v>
      </c>
      <c r="H35" s="199">
        <f>+H33+H32</f>
        <v>361866176.34000003</v>
      </c>
    </row>
    <row r="38" spans="8:9" ht="12.75">
      <c r="H38">
        <f>263455651.34+98410525</f>
        <v>361866176.34000003</v>
      </c>
      <c r="I38" t="s">
        <v>784</v>
      </c>
    </row>
    <row r="39" ht="12.75">
      <c r="I39" t="s">
        <v>785</v>
      </c>
    </row>
  </sheetData>
  <printOptions/>
  <pageMargins left="0.25" right="0.25" top="1" bottom="1"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I33"/>
  <sheetViews>
    <sheetView workbookViewId="0" topLeftCell="B1">
      <selection activeCell="H15" sqref="H15"/>
    </sheetView>
  </sheetViews>
  <sheetFormatPr defaultColWidth="9.140625" defaultRowHeight="12.75"/>
  <cols>
    <col min="1" max="1" width="22.140625" style="0" customWidth="1"/>
    <col min="2" max="2" width="11.8515625" style="0" customWidth="1"/>
    <col min="3" max="3" width="15.00390625" style="0" customWidth="1"/>
    <col min="4" max="4" width="14.57421875" style="0" customWidth="1"/>
    <col min="5" max="5" width="15.00390625" style="0" customWidth="1"/>
    <col min="6" max="6" width="11.8515625" style="0" customWidth="1"/>
    <col min="7" max="7" width="14.57421875" style="0" customWidth="1"/>
    <col min="8" max="8" width="12.00390625" style="0" customWidth="1"/>
    <col min="9" max="9" width="14.00390625" style="0" customWidth="1"/>
  </cols>
  <sheetData>
    <row r="1" spans="1:8" ht="12.75">
      <c r="A1" s="199" t="s">
        <v>732</v>
      </c>
      <c r="H1" s="199" t="s">
        <v>779</v>
      </c>
    </row>
    <row r="2" spans="3:9" ht="12.75">
      <c r="C2" t="s">
        <v>713</v>
      </c>
      <c r="D2" t="s">
        <v>714</v>
      </c>
      <c r="E2" t="s">
        <v>721</v>
      </c>
      <c r="F2" t="s">
        <v>722</v>
      </c>
      <c r="G2" s="205" t="s">
        <v>718</v>
      </c>
      <c r="H2" s="199" t="s">
        <v>709</v>
      </c>
      <c r="I2" s="205" t="s">
        <v>717</v>
      </c>
    </row>
    <row r="3" spans="1:9" ht="12.75">
      <c r="A3" t="s">
        <v>675</v>
      </c>
      <c r="B3" s="196" t="s">
        <v>680</v>
      </c>
      <c r="C3" s="211">
        <v>11350000</v>
      </c>
      <c r="D3" s="200">
        <v>-67419</v>
      </c>
      <c r="E3" s="200">
        <v>-90261</v>
      </c>
      <c r="F3" s="200"/>
      <c r="G3" s="204">
        <f>SUM(C3:F3)</f>
        <v>11192320</v>
      </c>
      <c r="I3">
        <f>+G3</f>
        <v>11192320</v>
      </c>
    </row>
    <row r="4" spans="3:7" ht="12.75">
      <c r="C4" s="212" t="s">
        <v>745</v>
      </c>
      <c r="D4" s="212" t="s">
        <v>746</v>
      </c>
      <c r="E4" s="212" t="s">
        <v>747</v>
      </c>
      <c r="F4" s="200"/>
      <c r="G4" s="200"/>
    </row>
    <row r="5" spans="1:9" ht="12.75">
      <c r="A5" t="s">
        <v>679</v>
      </c>
      <c r="B5" s="196" t="s">
        <v>681</v>
      </c>
      <c r="C5" s="202">
        <v>37526000</v>
      </c>
      <c r="D5" s="202">
        <v>-222904</v>
      </c>
      <c r="E5" s="202">
        <v>-298425</v>
      </c>
      <c r="F5" s="202"/>
      <c r="G5" s="200">
        <f>SUM(C5:F5)</f>
        <v>37004671</v>
      </c>
      <c r="H5" s="200"/>
      <c r="I5">
        <f>+G5+H5</f>
        <v>37004671</v>
      </c>
    </row>
    <row r="6" spans="3:8" ht="12.75">
      <c r="C6" s="212" t="s">
        <v>742</v>
      </c>
      <c r="D6" s="212" t="s">
        <v>743</v>
      </c>
      <c r="E6" s="212" t="s">
        <v>744</v>
      </c>
      <c r="F6" s="201"/>
      <c r="G6" s="201"/>
      <c r="H6" s="198"/>
    </row>
    <row r="7" spans="1:9" ht="12.75">
      <c r="A7" t="s">
        <v>699</v>
      </c>
      <c r="B7" s="196" t="s">
        <v>698</v>
      </c>
      <c r="C7" s="201">
        <v>22000000</v>
      </c>
      <c r="D7" s="201">
        <v>-130680</v>
      </c>
      <c r="E7" s="202">
        <v>-174955</v>
      </c>
      <c r="F7" s="200"/>
      <c r="G7" s="200">
        <f>SUM(C7:F7)</f>
        <v>21694365</v>
      </c>
      <c r="H7" s="198"/>
      <c r="I7">
        <f>+G7</f>
        <v>21694365</v>
      </c>
    </row>
    <row r="8" spans="2:8" ht="12.75">
      <c r="B8" s="196"/>
      <c r="C8" s="212" t="s">
        <v>742</v>
      </c>
      <c r="D8" s="212" t="s">
        <v>743</v>
      </c>
      <c r="E8" s="212" t="s">
        <v>744</v>
      </c>
      <c r="F8" s="201"/>
      <c r="G8" s="201"/>
      <c r="H8" s="198"/>
    </row>
    <row r="9" spans="1:9" ht="12.75">
      <c r="A9" t="s">
        <v>700</v>
      </c>
      <c r="B9" s="196" t="s">
        <v>702</v>
      </c>
      <c r="C9" s="202">
        <v>7000000</v>
      </c>
      <c r="D9" s="202">
        <v>-41580</v>
      </c>
      <c r="E9" s="202">
        <v>-55667</v>
      </c>
      <c r="F9" s="202"/>
      <c r="G9" s="200">
        <f>SUM(C9:F9)</f>
        <v>6902753</v>
      </c>
      <c r="H9" s="198"/>
      <c r="I9">
        <f>+G9</f>
        <v>6902753</v>
      </c>
    </row>
    <row r="10" spans="2:8" ht="12.75">
      <c r="B10" s="196"/>
      <c r="C10" s="212" t="s">
        <v>742</v>
      </c>
      <c r="D10" s="212" t="s">
        <v>743</v>
      </c>
      <c r="E10" s="212" t="s">
        <v>744</v>
      </c>
      <c r="F10" s="201"/>
      <c r="G10" s="201"/>
      <c r="H10" s="198"/>
    </row>
    <row r="11" spans="1:9" ht="12.75">
      <c r="A11" t="s">
        <v>701</v>
      </c>
      <c r="B11" s="196" t="s">
        <v>703</v>
      </c>
      <c r="C11" s="202">
        <v>70000000</v>
      </c>
      <c r="D11" s="202">
        <v>-415800</v>
      </c>
      <c r="E11" s="202">
        <v>-556674</v>
      </c>
      <c r="F11" s="202"/>
      <c r="G11" s="200">
        <f>SUM(C11:F11)</f>
        <v>69027526</v>
      </c>
      <c r="H11" s="198"/>
      <c r="I11">
        <f>+G11</f>
        <v>69027526</v>
      </c>
    </row>
    <row r="12" spans="2:8" ht="12.75">
      <c r="B12" s="196"/>
      <c r="C12" s="212" t="s">
        <v>742</v>
      </c>
      <c r="D12" s="212" t="s">
        <v>743</v>
      </c>
      <c r="E12" s="212" t="s">
        <v>744</v>
      </c>
      <c r="F12" s="201"/>
      <c r="G12" s="201"/>
      <c r="H12" s="198"/>
    </row>
    <row r="13" spans="1:9" ht="12.75">
      <c r="A13" t="s">
        <v>704</v>
      </c>
      <c r="B13" s="196" t="s">
        <v>705</v>
      </c>
      <c r="C13" s="202">
        <v>49384000</v>
      </c>
      <c r="D13" s="202">
        <v>-293341</v>
      </c>
      <c r="E13" s="202">
        <v>-392725</v>
      </c>
      <c r="F13" s="202"/>
      <c r="G13" s="200">
        <f>SUM(C13:F13)</f>
        <v>48697934</v>
      </c>
      <c r="H13" s="198"/>
      <c r="I13">
        <f>+G13</f>
        <v>48697934</v>
      </c>
    </row>
    <row r="14" spans="3:8" ht="12.75">
      <c r="C14" s="212" t="s">
        <v>742</v>
      </c>
      <c r="D14" s="212" t="s">
        <v>743</v>
      </c>
      <c r="E14" s="212" t="s">
        <v>744</v>
      </c>
      <c r="F14" s="201"/>
      <c r="G14" s="201"/>
      <c r="H14" s="198"/>
    </row>
    <row r="15" spans="1:9" ht="12.75">
      <c r="A15" t="s">
        <v>686</v>
      </c>
      <c r="B15" t="s">
        <v>687</v>
      </c>
      <c r="C15" s="202">
        <v>148411000</v>
      </c>
      <c r="D15" s="202">
        <v>-881561</v>
      </c>
      <c r="E15" s="202">
        <v>-1180236</v>
      </c>
      <c r="F15" s="197"/>
      <c r="G15" s="200">
        <f>SUM(C15:E15)</f>
        <v>146349203</v>
      </c>
      <c r="H15" s="200">
        <f>-1785000-250000</f>
        <v>-2035000</v>
      </c>
      <c r="I15">
        <f>+G15+H15</f>
        <v>144314203</v>
      </c>
    </row>
    <row r="16" spans="3:8" ht="12.75">
      <c r="C16" s="212" t="s">
        <v>739</v>
      </c>
      <c r="D16" s="212" t="s">
        <v>740</v>
      </c>
      <c r="E16" s="212" t="s">
        <v>741</v>
      </c>
      <c r="F16" s="201"/>
      <c r="G16" s="200"/>
      <c r="H16" s="201"/>
    </row>
    <row r="17" spans="1:9" ht="12.75">
      <c r="A17" t="s">
        <v>706</v>
      </c>
      <c r="B17" t="s">
        <v>726</v>
      </c>
      <c r="C17" s="202">
        <v>61866000</v>
      </c>
      <c r="D17" s="200">
        <v>-367484</v>
      </c>
      <c r="E17">
        <v>-491988</v>
      </c>
      <c r="F17" s="200"/>
      <c r="G17" s="200">
        <f>SUM(C17:F17)</f>
        <v>61006528</v>
      </c>
      <c r="I17">
        <f>+G17</f>
        <v>61006528</v>
      </c>
    </row>
    <row r="18" spans="3:7" ht="12.75">
      <c r="C18" s="212" t="s">
        <v>735</v>
      </c>
      <c r="D18" s="212" t="s">
        <v>734</v>
      </c>
      <c r="E18" s="212" t="s">
        <v>736</v>
      </c>
      <c r="F18" s="200"/>
      <c r="G18" s="200"/>
    </row>
    <row r="19" spans="1:9" ht="12.75">
      <c r="A19" t="s">
        <v>707</v>
      </c>
      <c r="B19" t="s">
        <v>725</v>
      </c>
      <c r="C19" s="202">
        <v>57939000</v>
      </c>
      <c r="D19" s="200">
        <v>-344158</v>
      </c>
      <c r="E19">
        <v>-460759</v>
      </c>
      <c r="F19" s="200"/>
      <c r="G19" s="200">
        <f>SUM(C19:F19)</f>
        <v>57134083</v>
      </c>
      <c r="I19">
        <f>+G19</f>
        <v>57134083</v>
      </c>
    </row>
    <row r="20" spans="3:7" ht="12.75">
      <c r="C20" s="212" t="s">
        <v>737</v>
      </c>
      <c r="D20" s="212" t="s">
        <v>738</v>
      </c>
      <c r="E20" s="212" t="s">
        <v>737</v>
      </c>
      <c r="F20" s="200"/>
      <c r="G20" s="200"/>
    </row>
    <row r="21" spans="1:7" ht="12.75">
      <c r="A21" s="213" t="s">
        <v>748</v>
      </c>
      <c r="B21" s="213"/>
      <c r="C21" s="200"/>
      <c r="E21" s="200"/>
      <c r="F21" s="200"/>
      <c r="G21" s="200"/>
    </row>
    <row r="22" spans="1:9" ht="12.75">
      <c r="A22" t="s">
        <v>710</v>
      </c>
      <c r="C22" s="200">
        <f>+C3</f>
        <v>11350000</v>
      </c>
      <c r="D22" s="200">
        <f>+D3</f>
        <v>-67419</v>
      </c>
      <c r="E22" s="200">
        <f>+E3</f>
        <v>-90261</v>
      </c>
      <c r="F22" s="200"/>
      <c r="G22" s="200">
        <f>+G3</f>
        <v>11192320</v>
      </c>
      <c r="I22" s="200">
        <f>+I3</f>
        <v>11192320</v>
      </c>
    </row>
    <row r="23" spans="1:9" ht="12.75">
      <c r="A23" t="s">
        <v>711</v>
      </c>
      <c r="C23" s="200">
        <f>+C5+C7+C9+C11+C13</f>
        <v>185910000</v>
      </c>
      <c r="D23" s="200">
        <f>+D5+D7+D9+D11+D13</f>
        <v>-1104305</v>
      </c>
      <c r="E23" s="200">
        <f>+E5+E7+E9+E11+E13</f>
        <v>-1478446</v>
      </c>
      <c r="F23" s="200"/>
      <c r="G23" s="200">
        <f>+G5+G7+G9+G11+G13</f>
        <v>183327249</v>
      </c>
      <c r="I23" s="200">
        <f>+I5+I7+I9+I11+I13</f>
        <v>183327249</v>
      </c>
    </row>
    <row r="24" spans="1:9" ht="12.75">
      <c r="A24" t="s">
        <v>712</v>
      </c>
      <c r="C24" s="207">
        <f>+C15</f>
        <v>148411000</v>
      </c>
      <c r="D24" s="207">
        <f>+D15</f>
        <v>-881561</v>
      </c>
      <c r="E24" s="207">
        <f>+E15</f>
        <v>-1180236</v>
      </c>
      <c r="F24" s="200"/>
      <c r="G24" s="207">
        <f>+G15</f>
        <v>146349203</v>
      </c>
      <c r="H24" s="208"/>
      <c r="I24" s="207">
        <f>+I15</f>
        <v>144314203</v>
      </c>
    </row>
    <row r="25" spans="3:9" ht="12.75" hidden="1">
      <c r="C25" s="207"/>
      <c r="D25" s="207"/>
      <c r="E25" s="207"/>
      <c r="F25" s="200"/>
      <c r="G25" s="207"/>
      <c r="H25" s="208"/>
      <c r="I25" s="207"/>
    </row>
    <row r="26" spans="3:9" ht="12.75" hidden="1">
      <c r="C26" s="207"/>
      <c r="D26" s="207"/>
      <c r="E26" s="207"/>
      <c r="F26" s="200"/>
      <c r="G26" s="207"/>
      <c r="H26" s="208"/>
      <c r="I26" s="207"/>
    </row>
    <row r="27" spans="1:9" ht="12.75">
      <c r="A27" t="s">
        <v>73</v>
      </c>
      <c r="C27" s="206">
        <f>+C19+C17</f>
        <v>119805000</v>
      </c>
      <c r="D27" s="206">
        <f>+D19+D17</f>
        <v>-711642</v>
      </c>
      <c r="E27" s="206">
        <f>+E19+E17</f>
        <v>-952747</v>
      </c>
      <c r="F27" s="200"/>
      <c r="G27" s="206">
        <f>+G19+G17</f>
        <v>118140611</v>
      </c>
      <c r="I27" s="206">
        <f>+I19+I17</f>
        <v>118140611</v>
      </c>
    </row>
    <row r="28" spans="3:9" ht="12.75">
      <c r="C28" s="200">
        <f>SUM(C22:C27)</f>
        <v>465476000</v>
      </c>
      <c r="D28" s="200">
        <f>SUM(D22:D27)</f>
        <v>-2764927</v>
      </c>
      <c r="E28" s="200">
        <f>SUM(E22:E27)</f>
        <v>-3701690</v>
      </c>
      <c r="F28" s="200"/>
      <c r="G28" s="200">
        <f>SUM(G22:G27)</f>
        <v>459009383</v>
      </c>
      <c r="I28" s="200">
        <f>SUM(I22:I27)</f>
        <v>456974383</v>
      </c>
    </row>
    <row r="30" spans="1:7" ht="12.75">
      <c r="A30" t="s">
        <v>749</v>
      </c>
      <c r="C30">
        <f>+C3+C5+C15+C17</f>
        <v>259153000</v>
      </c>
      <c r="D30">
        <f>+D3+D5+D15+D17</f>
        <v>-1539368</v>
      </c>
      <c r="E30">
        <f>+E3+E5+E15+E17</f>
        <v>-2060910</v>
      </c>
      <c r="G30">
        <f>+G3+G5+G15+G17</f>
        <v>255552722</v>
      </c>
    </row>
    <row r="31" spans="1:7" ht="12.75">
      <c r="A31" t="s">
        <v>750</v>
      </c>
      <c r="C31">
        <f>+C7+C9+C11+C13+C19</f>
        <v>206323000</v>
      </c>
      <c r="D31">
        <f>+D7+D9+D11+D13+D19</f>
        <v>-1225559</v>
      </c>
      <c r="E31">
        <f>+E7+E9+E11+E13+E19</f>
        <v>-1640780</v>
      </c>
      <c r="G31">
        <f>+G7+G9+G11+G13+G19</f>
        <v>203456661</v>
      </c>
    </row>
    <row r="33" spans="3:7" ht="12.75">
      <c r="C33">
        <f>+C31+C30</f>
        <v>465476000</v>
      </c>
      <c r="D33">
        <f>+D31+D30</f>
        <v>-2764927</v>
      </c>
      <c r="E33">
        <f>+E31+E30</f>
        <v>-3701690</v>
      </c>
      <c r="G33">
        <f>+G31+G30</f>
        <v>459009383</v>
      </c>
    </row>
  </sheetData>
  <printOptions/>
  <pageMargins left="0.75" right="0.75" top="1" bottom="1" header="0.5" footer="0.5"/>
  <pageSetup horizontalDpi="600" verticalDpi="600" orientation="landscape" scale="80" r:id="rId3"/>
  <legacyDrawing r:id="rId2"/>
</worksheet>
</file>

<file path=xl/worksheets/sheet7.xml><?xml version="1.0" encoding="utf-8"?>
<worksheet xmlns="http://schemas.openxmlformats.org/spreadsheetml/2006/main" xmlns:r="http://schemas.openxmlformats.org/officeDocument/2006/relationships">
  <dimension ref="A1:J39"/>
  <sheetViews>
    <sheetView workbookViewId="0" topLeftCell="A1">
      <selection activeCell="I29" sqref="I29"/>
    </sheetView>
  </sheetViews>
  <sheetFormatPr defaultColWidth="9.140625" defaultRowHeight="12.75"/>
  <cols>
    <col min="1" max="1" width="29.7109375" style="0" customWidth="1"/>
    <col min="2" max="2" width="8.140625" style="0" customWidth="1"/>
    <col min="3" max="3" width="15.140625" style="0" customWidth="1"/>
    <col min="4" max="4" width="13.140625" style="0" customWidth="1"/>
    <col min="5" max="5" width="11.8515625" style="0" bestFit="1" customWidth="1"/>
    <col min="6" max="6" width="9.7109375" style="0" customWidth="1"/>
    <col min="7" max="7" width="13.421875" style="0" customWidth="1"/>
    <col min="8" max="8" width="13.8515625" style="0" customWidth="1"/>
    <col min="9" max="10" width="14.00390625" style="0" bestFit="1" customWidth="1"/>
    <col min="11" max="11" width="12.421875" style="0" bestFit="1" customWidth="1"/>
    <col min="12" max="12" width="12.140625" style="0" customWidth="1"/>
  </cols>
  <sheetData>
    <row r="1" ht="12.75">
      <c r="A1" s="199" t="s">
        <v>724</v>
      </c>
    </row>
    <row r="2" spans="3:9" ht="15">
      <c r="C2" t="s">
        <v>713</v>
      </c>
      <c r="D2" t="s">
        <v>714</v>
      </c>
      <c r="E2" t="s">
        <v>721</v>
      </c>
      <c r="F2" t="s">
        <v>722</v>
      </c>
      <c r="G2" s="205" t="s">
        <v>718</v>
      </c>
      <c r="H2" s="199" t="s">
        <v>709</v>
      </c>
      <c r="I2" s="205" t="s">
        <v>717</v>
      </c>
    </row>
    <row r="3" spans="1:9" ht="12.75">
      <c r="A3" t="s">
        <v>675</v>
      </c>
      <c r="B3" s="196" t="s">
        <v>680</v>
      </c>
      <c r="C3" s="200">
        <v>18600000</v>
      </c>
      <c r="D3" s="200">
        <v>-120156</v>
      </c>
      <c r="E3" s="200">
        <v>-109031</v>
      </c>
      <c r="F3" s="200"/>
      <c r="G3" s="204">
        <f>SUM(C3:F3)</f>
        <v>18370813</v>
      </c>
      <c r="H3" s="200"/>
      <c r="I3">
        <f>+G3</f>
        <v>18370813</v>
      </c>
    </row>
    <row r="4" spans="3:8" ht="12.75">
      <c r="C4" s="201" t="s">
        <v>676</v>
      </c>
      <c r="D4" s="201" t="s">
        <v>677</v>
      </c>
      <c r="E4" s="201" t="s">
        <v>678</v>
      </c>
      <c r="F4" s="200"/>
      <c r="G4" s="200"/>
      <c r="H4" s="200"/>
    </row>
    <row r="5" spans="1:9" ht="12.75">
      <c r="A5" t="s">
        <v>679</v>
      </c>
      <c r="B5" s="196" t="s">
        <v>681</v>
      </c>
      <c r="C5" s="202">
        <v>43628000</v>
      </c>
      <c r="D5" s="202">
        <v>-313930</v>
      </c>
      <c r="E5" s="202">
        <v>-255742</v>
      </c>
      <c r="F5" s="202">
        <v>32093</v>
      </c>
      <c r="G5" s="200">
        <f>SUM(C5:F5)</f>
        <v>43090421</v>
      </c>
      <c r="H5" s="200">
        <v>-4968000</v>
      </c>
      <c r="I5">
        <f>+G5+H5</f>
        <v>38122421</v>
      </c>
    </row>
    <row r="6" spans="3:8" ht="12.75">
      <c r="C6" s="201" t="s">
        <v>682</v>
      </c>
      <c r="D6" s="201" t="s">
        <v>683</v>
      </c>
      <c r="E6" s="201" t="s">
        <v>685</v>
      </c>
      <c r="F6" s="201" t="s">
        <v>684</v>
      </c>
      <c r="G6" s="201"/>
      <c r="H6" s="201"/>
    </row>
    <row r="7" spans="1:9" ht="12.75">
      <c r="A7" t="s">
        <v>699</v>
      </c>
      <c r="B7" s="196" t="s">
        <v>698</v>
      </c>
      <c r="C7" s="201">
        <v>30000000</v>
      </c>
      <c r="D7" s="201">
        <v>-193800</v>
      </c>
      <c r="E7" s="202">
        <v>-175857</v>
      </c>
      <c r="F7" s="200"/>
      <c r="G7" s="200">
        <f>SUM(C7:F7)</f>
        <v>29630343</v>
      </c>
      <c r="H7" s="201"/>
      <c r="I7">
        <f>+G7</f>
        <v>29630343</v>
      </c>
    </row>
    <row r="8" spans="2:8" ht="12.75">
      <c r="B8" s="196"/>
      <c r="C8" s="201" t="s">
        <v>695</v>
      </c>
      <c r="D8" s="201" t="s">
        <v>683</v>
      </c>
      <c r="E8" s="201" t="s">
        <v>685</v>
      </c>
      <c r="F8" s="201"/>
      <c r="G8" s="201"/>
      <c r="H8" s="201"/>
    </row>
    <row r="9" spans="1:9" ht="12.75">
      <c r="A9" t="s">
        <v>700</v>
      </c>
      <c r="B9" s="196" t="s">
        <v>702</v>
      </c>
      <c r="C9" s="202">
        <v>7500000</v>
      </c>
      <c r="D9" s="202">
        <v>-48450</v>
      </c>
      <c r="E9" s="202">
        <v>-43964</v>
      </c>
      <c r="F9" s="202"/>
      <c r="G9" s="200">
        <f>SUM(C9:F9)</f>
        <v>7407586</v>
      </c>
      <c r="H9" s="201"/>
      <c r="I9">
        <f>+G9</f>
        <v>7407586</v>
      </c>
    </row>
    <row r="10" spans="2:8" ht="12.75">
      <c r="B10" s="196"/>
      <c r="C10" s="201" t="s">
        <v>695</v>
      </c>
      <c r="D10" s="201" t="s">
        <v>683</v>
      </c>
      <c r="E10" s="201" t="s">
        <v>685</v>
      </c>
      <c r="F10" s="201"/>
      <c r="G10" s="201"/>
      <c r="H10" s="201"/>
    </row>
    <row r="11" spans="1:9" ht="12.75">
      <c r="A11" t="s">
        <v>701</v>
      </c>
      <c r="B11" s="196" t="s">
        <v>703</v>
      </c>
      <c r="C11" s="202">
        <v>70000000</v>
      </c>
      <c r="D11" s="202">
        <v>-452200</v>
      </c>
      <c r="E11" s="202">
        <v>-410332</v>
      </c>
      <c r="F11" s="202"/>
      <c r="G11" s="200">
        <f>SUM(C11:F11)</f>
        <v>69137468</v>
      </c>
      <c r="H11" s="201"/>
      <c r="I11">
        <f>+G11</f>
        <v>69137468</v>
      </c>
    </row>
    <row r="12" spans="2:8" ht="12.75">
      <c r="B12" s="196"/>
      <c r="C12" s="201" t="s">
        <v>695</v>
      </c>
      <c r="D12" s="201" t="s">
        <v>683</v>
      </c>
      <c r="E12" s="201" t="s">
        <v>685</v>
      </c>
      <c r="F12" s="201"/>
      <c r="G12" s="201"/>
      <c r="H12" s="201"/>
    </row>
    <row r="13" spans="1:9" ht="12.75">
      <c r="A13" t="s">
        <v>704</v>
      </c>
      <c r="B13" s="196" t="s">
        <v>705</v>
      </c>
      <c r="C13" s="202">
        <v>50000000</v>
      </c>
      <c r="D13" s="202">
        <f>+C13*-0.00646</f>
        <v>-323000</v>
      </c>
      <c r="E13" s="202">
        <v>-293094</v>
      </c>
      <c r="F13" s="202"/>
      <c r="G13" s="200">
        <f>SUM(C13:F13)</f>
        <v>49383906</v>
      </c>
      <c r="H13" s="201"/>
      <c r="I13">
        <f>+G13</f>
        <v>49383906</v>
      </c>
    </row>
    <row r="14" spans="3:8" ht="12.75">
      <c r="C14" s="201" t="s">
        <v>695</v>
      </c>
      <c r="D14" s="201" t="s">
        <v>683</v>
      </c>
      <c r="E14" s="201" t="s">
        <v>685</v>
      </c>
      <c r="F14" s="201"/>
      <c r="G14" s="201"/>
      <c r="H14" s="201"/>
    </row>
    <row r="15" spans="1:9" ht="12.75">
      <c r="A15" t="s">
        <v>686</v>
      </c>
      <c r="B15" t="s">
        <v>687</v>
      </c>
      <c r="C15" s="202">
        <v>142350000</v>
      </c>
      <c r="D15" s="202">
        <v>-951881</v>
      </c>
      <c r="E15" s="202">
        <v>-834439</v>
      </c>
      <c r="F15" s="197">
        <v>32300</v>
      </c>
      <c r="G15" s="200">
        <f>SUM(C15:F15)</f>
        <v>140595980</v>
      </c>
      <c r="H15" s="200">
        <f>-5000000-27215000</f>
        <v>-32215000</v>
      </c>
      <c r="I15">
        <f>+G15+H15</f>
        <v>108380980</v>
      </c>
    </row>
    <row r="16" spans="3:8" ht="12.75">
      <c r="C16" s="201" t="s">
        <v>688</v>
      </c>
      <c r="D16" s="201" t="s">
        <v>689</v>
      </c>
      <c r="E16" s="201" t="s">
        <v>691</v>
      </c>
      <c r="F16" s="201" t="s">
        <v>690</v>
      </c>
      <c r="G16" s="200"/>
      <c r="H16" s="201"/>
    </row>
    <row r="17" spans="1:9" ht="12.75">
      <c r="A17" t="s">
        <v>706</v>
      </c>
      <c r="B17" t="s">
        <v>726</v>
      </c>
      <c r="C17" s="202">
        <v>67191000</v>
      </c>
      <c r="D17" s="200">
        <v>-434054</v>
      </c>
      <c r="E17" s="200">
        <v>-393866</v>
      </c>
      <c r="F17" s="200"/>
      <c r="G17" s="200">
        <f>SUM(C17:F17)</f>
        <v>66363080</v>
      </c>
      <c r="H17" s="200"/>
      <c r="I17">
        <f>+G17</f>
        <v>66363080</v>
      </c>
    </row>
    <row r="18" spans="3:8" ht="12.75">
      <c r="C18" s="201" t="s">
        <v>692</v>
      </c>
      <c r="D18" s="201" t="s">
        <v>694</v>
      </c>
      <c r="E18" s="201" t="s">
        <v>693</v>
      </c>
      <c r="F18" s="200"/>
      <c r="G18" s="200"/>
      <c r="H18" s="200"/>
    </row>
    <row r="19" spans="1:9" ht="12.75">
      <c r="A19" t="s">
        <v>707</v>
      </c>
      <c r="B19" t="s">
        <v>725</v>
      </c>
      <c r="C19" s="202">
        <v>64934000</v>
      </c>
      <c r="D19" s="200">
        <v>-419474</v>
      </c>
      <c r="E19" s="200">
        <v>-380636</v>
      </c>
      <c r="F19" s="200"/>
      <c r="G19" s="200">
        <f>SUM(C19:F19)</f>
        <v>64133890</v>
      </c>
      <c r="H19" s="200"/>
      <c r="I19">
        <f>+G19</f>
        <v>64133890</v>
      </c>
    </row>
    <row r="20" spans="3:8" ht="12.75">
      <c r="C20" s="201" t="s">
        <v>697</v>
      </c>
      <c r="D20" s="201" t="s">
        <v>696</v>
      </c>
      <c r="E20" s="201" t="s">
        <v>696</v>
      </c>
      <c r="F20" s="200"/>
      <c r="G20" s="200"/>
      <c r="H20" s="200"/>
    </row>
    <row r="21" spans="3:8" ht="12.75">
      <c r="C21" s="200"/>
      <c r="D21" s="200"/>
      <c r="E21" s="200"/>
      <c r="F21" s="200"/>
      <c r="G21" s="200"/>
      <c r="H21" s="200">
        <f>SUM(H3:H20)</f>
        <v>-37183000</v>
      </c>
    </row>
    <row r="22" spans="1:9" ht="12.75">
      <c r="A22" t="s">
        <v>710</v>
      </c>
      <c r="C22" s="200"/>
      <c r="D22" s="200"/>
      <c r="E22" s="200"/>
      <c r="F22" s="200"/>
      <c r="G22" s="200">
        <f>+G3</f>
        <v>18370813</v>
      </c>
      <c r="I22" s="200">
        <f>+I3</f>
        <v>18370813</v>
      </c>
    </row>
    <row r="23" spans="1:9" ht="12.75">
      <c r="A23" t="s">
        <v>711</v>
      </c>
      <c r="C23" s="200"/>
      <c r="D23" s="200"/>
      <c r="E23" s="200"/>
      <c r="F23" s="200"/>
      <c r="G23" s="200">
        <f>+G5+G7+G9+G11+G13</f>
        <v>198649724</v>
      </c>
      <c r="I23" s="200">
        <f>+I5+I7+I9+I11+I13</f>
        <v>193681724</v>
      </c>
    </row>
    <row r="24" spans="1:9" ht="12.75">
      <c r="A24" t="s">
        <v>712</v>
      </c>
      <c r="C24" s="200"/>
      <c r="D24" s="203"/>
      <c r="E24" s="200"/>
      <c r="F24" s="200"/>
      <c r="G24" s="207">
        <f>+G15</f>
        <v>140595980</v>
      </c>
      <c r="H24" s="208"/>
      <c r="I24" s="207">
        <f>+I15</f>
        <v>108380980</v>
      </c>
    </row>
    <row r="25" spans="1:9" ht="12.75">
      <c r="A25" t="s">
        <v>782</v>
      </c>
      <c r="C25" s="200"/>
      <c r="D25" s="203"/>
      <c r="E25" s="200"/>
      <c r="F25" s="200"/>
      <c r="G25" s="207"/>
      <c r="H25" s="208"/>
      <c r="I25" s="207">
        <v>2000000</v>
      </c>
    </row>
    <row r="26" spans="1:9" ht="12.75">
      <c r="A26" t="s">
        <v>719</v>
      </c>
      <c r="C26" s="200"/>
      <c r="D26" s="203"/>
      <c r="E26" s="200"/>
      <c r="F26" s="200"/>
      <c r="G26" s="207"/>
      <c r="H26" s="208"/>
      <c r="I26" s="217" t="s">
        <v>783</v>
      </c>
    </row>
    <row r="27" spans="1:9" ht="12.75">
      <c r="A27" t="s">
        <v>781</v>
      </c>
      <c r="C27" s="200"/>
      <c r="D27" s="203"/>
      <c r="E27" s="200"/>
      <c r="F27" s="200"/>
      <c r="G27" s="207"/>
      <c r="H27" s="208"/>
      <c r="I27" s="207">
        <v>9924000</v>
      </c>
    </row>
    <row r="28" spans="1:9" ht="12.75">
      <c r="A28" t="s">
        <v>780</v>
      </c>
      <c r="C28" s="200"/>
      <c r="D28" s="203"/>
      <c r="E28" s="200"/>
      <c r="F28" s="200"/>
      <c r="G28" s="207"/>
      <c r="H28" s="208"/>
      <c r="I28" s="207">
        <v>20291000</v>
      </c>
    </row>
    <row r="29" spans="1:9" ht="12.75">
      <c r="A29" t="s">
        <v>720</v>
      </c>
      <c r="C29" s="200"/>
      <c r="D29" s="203"/>
      <c r="E29" s="200"/>
      <c r="F29" s="200"/>
      <c r="G29" s="207"/>
      <c r="H29" s="208"/>
      <c r="I29" s="217">
        <v>5000000</v>
      </c>
    </row>
    <row r="30" spans="1:9" ht="12.75">
      <c r="A30" t="s">
        <v>73</v>
      </c>
      <c r="C30" s="200"/>
      <c r="D30" s="203"/>
      <c r="E30" s="200"/>
      <c r="F30" s="200"/>
      <c r="G30" s="206">
        <f>+G19+G17</f>
        <v>130496970</v>
      </c>
      <c r="I30" s="206">
        <f>+I19+I17</f>
        <v>130496970</v>
      </c>
    </row>
    <row r="31" spans="3:10" ht="12.75">
      <c r="C31" s="200"/>
      <c r="D31" s="203"/>
      <c r="E31" s="200"/>
      <c r="F31" s="200"/>
      <c r="G31" s="200">
        <f>SUM(G22:G30)</f>
        <v>488113487</v>
      </c>
      <c r="I31" s="200">
        <f>SUM(I22:I30)</f>
        <v>488145487</v>
      </c>
      <c r="J31" s="200"/>
    </row>
    <row r="32" spans="3:9" ht="12.75">
      <c r="C32" s="200"/>
      <c r="D32" s="203"/>
      <c r="E32" s="200"/>
      <c r="F32" s="200"/>
      <c r="G32" s="200">
        <f>+G31-G30</f>
        <v>357616517</v>
      </c>
      <c r="I32" s="200">
        <f>+I31-I30</f>
        <v>357648517</v>
      </c>
    </row>
    <row r="33" spans="1:9" ht="12.75">
      <c r="A33" t="s">
        <v>715</v>
      </c>
      <c r="C33" s="200"/>
      <c r="D33" s="203"/>
      <c r="E33" s="200"/>
      <c r="F33" s="200"/>
      <c r="G33" s="200"/>
      <c r="I33">
        <v>357.6</v>
      </c>
    </row>
    <row r="34" spans="1:7" ht="12.75">
      <c r="A34" t="s">
        <v>716</v>
      </c>
      <c r="C34" s="200"/>
      <c r="D34" s="203"/>
      <c r="E34" s="200"/>
      <c r="F34" s="200"/>
      <c r="G34" s="200"/>
    </row>
    <row r="35" spans="1:7" ht="12.75">
      <c r="A35" t="s">
        <v>723</v>
      </c>
      <c r="C35" s="200"/>
      <c r="D35" s="203"/>
      <c r="E35" s="200"/>
      <c r="F35" s="200"/>
      <c r="G35" s="200"/>
    </row>
    <row r="36" spans="1:6" ht="12.75">
      <c r="A36" t="s">
        <v>708</v>
      </c>
      <c r="C36" s="200"/>
      <c r="D36" s="200"/>
      <c r="E36" s="200"/>
      <c r="F36" s="200"/>
    </row>
    <row r="37" spans="3:7" ht="12.75">
      <c r="C37" s="202"/>
      <c r="D37" s="200"/>
      <c r="G37" s="200"/>
    </row>
    <row r="38" spans="3:7" ht="12.75">
      <c r="C38" s="200"/>
      <c r="D38" s="200"/>
      <c r="G38" s="200"/>
    </row>
    <row r="39" spans="3:7" ht="12.75">
      <c r="C39" s="202"/>
      <c r="D39" s="200"/>
      <c r="E39" s="200"/>
      <c r="F39" s="200"/>
      <c r="G39" s="200"/>
    </row>
  </sheetData>
  <printOptions/>
  <pageMargins left="0.5" right="0.5" top="1" bottom="0.75" header="0.5" footer="0.5"/>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2:I33"/>
  <sheetViews>
    <sheetView workbookViewId="0" topLeftCell="A1">
      <selection activeCell="I28" sqref="I28"/>
    </sheetView>
  </sheetViews>
  <sheetFormatPr defaultColWidth="9.140625" defaultRowHeight="12.75"/>
  <cols>
    <col min="1" max="1" width="17.28125" style="0" customWidth="1"/>
    <col min="3" max="3" width="13.140625" style="0" customWidth="1"/>
    <col min="4" max="4" width="12.140625" style="0" customWidth="1"/>
    <col min="5" max="5" width="12.00390625" style="0" customWidth="1"/>
    <col min="6" max="6" width="6.57421875" style="0" customWidth="1"/>
    <col min="7" max="7" width="13.57421875" style="0" customWidth="1"/>
    <col min="8" max="8" width="11.421875" style="0" customWidth="1"/>
    <col min="9" max="9" width="15.140625" style="0" customWidth="1"/>
  </cols>
  <sheetData>
    <row r="2" ht="12.75">
      <c r="A2" s="199"/>
    </row>
    <row r="3" spans="3:9" ht="12.75">
      <c r="C3" t="s">
        <v>768</v>
      </c>
      <c r="D3" t="s">
        <v>769</v>
      </c>
      <c r="E3" t="s">
        <v>51</v>
      </c>
      <c r="F3" t="s">
        <v>770</v>
      </c>
      <c r="G3" s="205" t="s">
        <v>718</v>
      </c>
      <c r="H3" s="199" t="s">
        <v>709</v>
      </c>
      <c r="I3" s="205" t="s">
        <v>717</v>
      </c>
    </row>
    <row r="4" spans="1:9" ht="12.75">
      <c r="A4" t="s">
        <v>675</v>
      </c>
      <c r="B4" s="196" t="s">
        <v>680</v>
      </c>
      <c r="C4" s="200">
        <v>34450000</v>
      </c>
      <c r="D4" s="200">
        <v>-217425</v>
      </c>
      <c r="E4" s="200"/>
      <c r="F4" s="200"/>
      <c r="G4" s="204">
        <f>SUM(C4:F4)</f>
        <v>34232575</v>
      </c>
      <c r="I4">
        <f>+G4</f>
        <v>34232575</v>
      </c>
    </row>
    <row r="5" spans="3:7" ht="12.75">
      <c r="C5" s="201" t="s">
        <v>758</v>
      </c>
      <c r="D5" s="201" t="s">
        <v>757</v>
      </c>
      <c r="E5" s="201"/>
      <c r="F5" s="200"/>
      <c r="G5" s="200"/>
    </row>
    <row r="6" spans="1:9" ht="12.75">
      <c r="A6" t="s">
        <v>679</v>
      </c>
      <c r="B6" s="196" t="s">
        <v>681</v>
      </c>
      <c r="C6" s="202">
        <v>73370000</v>
      </c>
      <c r="D6" s="202">
        <v>-476905</v>
      </c>
      <c r="E6" s="202"/>
      <c r="F6" s="202"/>
      <c r="G6" s="200">
        <f>SUM(C6:F6)</f>
        <v>72893095</v>
      </c>
      <c r="H6" s="200"/>
      <c r="I6">
        <f>+G6+H6</f>
        <v>72893095</v>
      </c>
    </row>
    <row r="7" spans="3:8" ht="12.75">
      <c r="C7" s="201" t="s">
        <v>760</v>
      </c>
      <c r="D7" s="201" t="s">
        <v>759</v>
      </c>
      <c r="E7" s="201"/>
      <c r="F7" s="201"/>
      <c r="G7" s="201"/>
      <c r="H7" s="198"/>
    </row>
    <row r="8" spans="1:9" ht="12.75">
      <c r="A8" t="s">
        <v>699</v>
      </c>
      <c r="B8" s="196" t="s">
        <v>698</v>
      </c>
      <c r="C8" s="201">
        <v>40000000</v>
      </c>
      <c r="D8" s="201">
        <v>-260000</v>
      </c>
      <c r="E8" s="202">
        <v>-39921000</v>
      </c>
      <c r="F8" s="200"/>
      <c r="G8" s="200">
        <f>SUM(C8:F8)</f>
        <v>-181000</v>
      </c>
      <c r="H8" s="198"/>
      <c r="I8">
        <f>+G8</f>
        <v>-181000</v>
      </c>
    </row>
    <row r="9" spans="2:8" ht="12.75">
      <c r="B9" s="196"/>
      <c r="C9" s="201" t="s">
        <v>761</v>
      </c>
      <c r="D9" s="201" t="s">
        <v>759</v>
      </c>
      <c r="E9" s="201" t="s">
        <v>771</v>
      </c>
      <c r="F9" s="201"/>
      <c r="G9" s="201"/>
      <c r="H9" s="198"/>
    </row>
    <row r="10" spans="1:9" ht="12.75">
      <c r="A10" t="s">
        <v>700</v>
      </c>
      <c r="B10" s="196" t="s">
        <v>702</v>
      </c>
      <c r="C10" s="202">
        <v>10000000</v>
      </c>
      <c r="D10" s="202">
        <v>-65000</v>
      </c>
      <c r="E10" s="202">
        <v>-10000000</v>
      </c>
      <c r="F10" s="202"/>
      <c r="G10" s="200">
        <f>SUM(C10:F10)</f>
        <v>-65000</v>
      </c>
      <c r="H10" s="198"/>
      <c r="I10">
        <f>+G10</f>
        <v>-65000</v>
      </c>
    </row>
    <row r="11" spans="2:8" ht="12.75">
      <c r="B11" s="196"/>
      <c r="C11" s="201" t="s">
        <v>761</v>
      </c>
      <c r="D11" s="201" t="s">
        <v>759</v>
      </c>
      <c r="E11" s="201"/>
      <c r="F11" s="201"/>
      <c r="G11" s="201"/>
      <c r="H11" s="198"/>
    </row>
    <row r="12" spans="1:9" ht="12.75">
      <c r="A12" t="s">
        <v>701</v>
      </c>
      <c r="B12" s="196" t="s">
        <v>703</v>
      </c>
      <c r="C12" s="202">
        <v>65000000</v>
      </c>
      <c r="D12" s="202">
        <v>-334562</v>
      </c>
      <c r="E12" s="202"/>
      <c r="F12" s="202"/>
      <c r="G12" s="200">
        <f>SUM(C12:F12)</f>
        <v>64665438</v>
      </c>
      <c r="H12" s="198"/>
      <c r="I12">
        <f>+G12</f>
        <v>64665438</v>
      </c>
    </row>
    <row r="13" spans="2:8" ht="12.75">
      <c r="B13" s="196"/>
      <c r="C13" s="201" t="s">
        <v>761</v>
      </c>
      <c r="D13" s="201" t="s">
        <v>759</v>
      </c>
      <c r="E13" s="201"/>
      <c r="F13" s="201"/>
      <c r="G13" s="201"/>
      <c r="H13" s="198"/>
    </row>
    <row r="14" spans="1:9" ht="12.75">
      <c r="A14" t="s">
        <v>704</v>
      </c>
      <c r="B14" s="196" t="s">
        <v>705</v>
      </c>
      <c r="C14" s="202">
        <v>51471000</v>
      </c>
      <c r="D14" s="202">
        <v>-422500</v>
      </c>
      <c r="E14" s="202"/>
      <c r="F14" s="202"/>
      <c r="G14" s="200">
        <f>SUM(C14:F14)</f>
        <v>51048500</v>
      </c>
      <c r="H14" s="198"/>
      <c r="I14">
        <f>+G14</f>
        <v>51048500</v>
      </c>
    </row>
    <row r="15" spans="3:8" ht="12.75">
      <c r="C15" s="201" t="s">
        <v>761</v>
      </c>
      <c r="D15" s="201" t="s">
        <v>759</v>
      </c>
      <c r="E15" s="201"/>
      <c r="F15" s="201"/>
      <c r="G15" s="201"/>
      <c r="H15" s="198"/>
    </row>
    <row r="16" spans="1:9" ht="12.75">
      <c r="A16" t="s">
        <v>686</v>
      </c>
      <c r="B16" t="s">
        <v>687</v>
      </c>
      <c r="C16" s="202">
        <v>172468000</v>
      </c>
      <c r="D16" s="202">
        <v>-1121042</v>
      </c>
      <c r="E16" s="202"/>
      <c r="F16" s="197"/>
      <c r="G16" s="200">
        <f>SUM(C16:E16)</f>
        <v>171346958</v>
      </c>
      <c r="H16" s="200"/>
      <c r="I16">
        <f>+G16+H16</f>
        <v>171346958</v>
      </c>
    </row>
    <row r="17" spans="3:8" ht="12.75">
      <c r="C17" s="201" t="s">
        <v>762</v>
      </c>
      <c r="D17" s="201" t="s">
        <v>763</v>
      </c>
      <c r="E17" s="201"/>
      <c r="F17" s="201"/>
      <c r="G17" s="200"/>
      <c r="H17" s="200"/>
    </row>
    <row r="18" spans="1:9" ht="12.75">
      <c r="A18" t="s">
        <v>764</v>
      </c>
      <c r="B18" t="s">
        <v>765</v>
      </c>
      <c r="C18" s="201">
        <v>3000000</v>
      </c>
      <c r="D18" s="201">
        <v>-19500</v>
      </c>
      <c r="E18" s="201"/>
      <c r="F18" s="201"/>
      <c r="G18" s="200">
        <f>SUM(C18:E18)</f>
        <v>2980500</v>
      </c>
      <c r="H18" s="200"/>
      <c r="I18">
        <f>+G18+H18</f>
        <v>2980500</v>
      </c>
    </row>
    <row r="19" spans="3:8" ht="12.75">
      <c r="C19" s="201" t="s">
        <v>767</v>
      </c>
      <c r="D19" s="201" t="s">
        <v>766</v>
      </c>
      <c r="E19" s="201"/>
      <c r="F19" s="201"/>
      <c r="G19" s="200"/>
      <c r="H19" s="201"/>
    </row>
    <row r="20" spans="1:9" ht="12.75">
      <c r="A20" t="s">
        <v>706</v>
      </c>
      <c r="B20" t="s">
        <v>726</v>
      </c>
      <c r="C20" s="202">
        <v>133815000</v>
      </c>
      <c r="D20" s="200">
        <v>-869798</v>
      </c>
      <c r="E20" s="200"/>
      <c r="F20" s="200"/>
      <c r="G20" s="200">
        <f>SUM(C20:F20)</f>
        <v>132945202</v>
      </c>
      <c r="I20">
        <f>+G20</f>
        <v>132945202</v>
      </c>
    </row>
    <row r="21" spans="3:7" ht="12.75">
      <c r="C21" s="201"/>
      <c r="D21" s="201"/>
      <c r="E21" s="201"/>
      <c r="F21" s="200"/>
      <c r="G21" s="200"/>
    </row>
    <row r="22" spans="1:9" ht="12.75">
      <c r="A22" t="s">
        <v>707</v>
      </c>
      <c r="B22" t="s">
        <v>725</v>
      </c>
      <c r="C22" s="202"/>
      <c r="D22" s="200"/>
      <c r="E22" s="200"/>
      <c r="F22" s="200"/>
      <c r="G22" s="200">
        <f>SUM(C22:F22)</f>
        <v>0</v>
      </c>
      <c r="I22">
        <f>+G22</f>
        <v>0</v>
      </c>
    </row>
    <row r="23" spans="3:7" ht="12.75">
      <c r="C23" s="201"/>
      <c r="D23" s="201"/>
      <c r="E23" s="201"/>
      <c r="F23" s="200"/>
      <c r="G23" s="200"/>
    </row>
    <row r="24" spans="3:7" ht="12.75">
      <c r="C24" s="200"/>
      <c r="D24" s="200"/>
      <c r="E24" s="200"/>
      <c r="F24" s="200"/>
      <c r="G24" s="200"/>
    </row>
    <row r="25" spans="1:9" ht="12.75">
      <c r="A25" t="s">
        <v>710</v>
      </c>
      <c r="C25" s="200"/>
      <c r="D25" s="200"/>
      <c r="E25" s="200"/>
      <c r="F25" s="200"/>
      <c r="G25" s="200">
        <f>+G4</f>
        <v>34232575</v>
      </c>
      <c r="I25" s="200">
        <f>+I4</f>
        <v>34232575</v>
      </c>
    </row>
    <row r="26" spans="1:9" ht="12.75">
      <c r="A26" t="s">
        <v>711</v>
      </c>
      <c r="C26" s="200"/>
      <c r="D26" s="200"/>
      <c r="E26" s="200"/>
      <c r="F26" s="200"/>
      <c r="G26" s="200">
        <f>+G6+G8+G10+G12+G14</f>
        <v>188361033</v>
      </c>
      <c r="I26" s="200">
        <f>+I6+I8+I10+I12+I14</f>
        <v>188361033</v>
      </c>
    </row>
    <row r="27" spans="1:9" ht="12.75">
      <c r="A27" t="s">
        <v>712</v>
      </c>
      <c r="C27" s="200"/>
      <c r="D27" s="203"/>
      <c r="E27" s="200"/>
      <c r="F27" s="200"/>
      <c r="G27" s="207">
        <f>+G16</f>
        <v>171346958</v>
      </c>
      <c r="H27" s="208"/>
      <c r="I27" s="207">
        <f>+I16</f>
        <v>171346958</v>
      </c>
    </row>
    <row r="28" spans="1:9" ht="12.75">
      <c r="A28" t="s">
        <v>764</v>
      </c>
      <c r="C28" s="200"/>
      <c r="D28" s="203"/>
      <c r="E28" s="200"/>
      <c r="F28" s="200"/>
      <c r="G28" s="207">
        <f>+G18</f>
        <v>2980500</v>
      </c>
      <c r="H28" s="208"/>
      <c r="I28" s="207">
        <f>+I18</f>
        <v>2980500</v>
      </c>
    </row>
    <row r="29" spans="3:9" ht="12.75">
      <c r="C29" s="200"/>
      <c r="D29" s="203"/>
      <c r="E29" s="200"/>
      <c r="F29" s="200"/>
      <c r="G29" s="207"/>
      <c r="H29" s="208"/>
      <c r="I29" s="207"/>
    </row>
    <row r="30" spans="1:9" ht="12.75">
      <c r="A30" t="s">
        <v>73</v>
      </c>
      <c r="C30" s="200"/>
      <c r="D30" s="203"/>
      <c r="E30" s="200"/>
      <c r="F30" s="200"/>
      <c r="G30" s="206"/>
      <c r="I30" s="206"/>
    </row>
    <row r="31" spans="3:9" ht="12.75">
      <c r="C31" s="200"/>
      <c r="D31" s="203"/>
      <c r="E31" s="200"/>
      <c r="F31" s="200"/>
      <c r="G31" s="200">
        <f>SUM(G25:G30)</f>
        <v>396921066</v>
      </c>
      <c r="I31" s="200">
        <f>SUM(I25:I30)</f>
        <v>396921066</v>
      </c>
    </row>
    <row r="33" ht="12.75">
      <c r="G33">
        <f>+G8+G10+G12+G14</f>
        <v>115467938</v>
      </c>
    </row>
  </sheetData>
  <printOptions/>
  <pageMargins left="0.25" right="0.25" top="1" bottom="1" header="0.5" footer="0.5"/>
  <pageSetup horizontalDpi="600" verticalDpi="600" orientation="portrait" scale="85" r:id="rId1"/>
</worksheet>
</file>

<file path=xl/worksheets/sheet9.xml><?xml version="1.0" encoding="utf-8"?>
<worksheet xmlns="http://schemas.openxmlformats.org/spreadsheetml/2006/main" xmlns:r="http://schemas.openxmlformats.org/officeDocument/2006/relationships">
  <sheetPr transitionEvaluation="1" transitionEntry="1"/>
  <dimension ref="A1:I58"/>
  <sheetViews>
    <sheetView zoomScale="79" zoomScaleNormal="79" workbookViewId="0" topLeftCell="A27">
      <selection activeCell="A50" sqref="A1:G50"/>
    </sheetView>
  </sheetViews>
  <sheetFormatPr defaultColWidth="8.7109375" defaultRowHeight="11.25" customHeight="1"/>
  <cols>
    <col min="1" max="1" width="38.7109375" style="74" customWidth="1"/>
    <col min="2" max="2" width="12.28125" style="74" customWidth="1"/>
    <col min="3" max="7" width="10.7109375" style="74" customWidth="1"/>
    <col min="8" max="8" width="8.7109375" style="74" customWidth="1"/>
    <col min="9" max="9" width="14.421875" style="74" customWidth="1"/>
    <col min="10" max="14" width="8.7109375" style="74" customWidth="1"/>
    <col min="15" max="25" width="8.7109375" style="0" customWidth="1"/>
    <col min="26" max="16384" width="8.8515625" style="0" customWidth="1"/>
  </cols>
  <sheetData>
    <row r="1" spans="1:7" ht="11.25" customHeight="1">
      <c r="A1" s="161" t="s">
        <v>64</v>
      </c>
      <c r="G1" s="158"/>
    </row>
    <row r="2" spans="1:7" ht="11.25" customHeight="1">
      <c r="A2" s="161"/>
      <c r="G2" s="158"/>
    </row>
    <row r="3" ht="11.25" customHeight="1">
      <c r="A3" s="161" t="s">
        <v>59</v>
      </c>
    </row>
    <row r="4" ht="11.25" customHeight="1">
      <c r="A4" s="161"/>
    </row>
    <row r="5" spans="1:7" ht="11.25" customHeight="1">
      <c r="A5" s="161"/>
      <c r="B5" s="228" t="s">
        <v>570</v>
      </c>
      <c r="C5" s="228"/>
      <c r="D5" s="229"/>
      <c r="E5" s="230" t="s">
        <v>53</v>
      </c>
      <c r="F5" s="228"/>
      <c r="G5" s="228"/>
    </row>
    <row r="6" spans="1:7" ht="11.25" customHeight="1">
      <c r="A6" s="161"/>
      <c r="B6" s="180" t="s">
        <v>49</v>
      </c>
      <c r="C6" s="185" t="s">
        <v>65</v>
      </c>
      <c r="D6" s="181" t="s">
        <v>52</v>
      </c>
      <c r="E6" s="158" t="s">
        <v>49</v>
      </c>
      <c r="F6" s="128" t="s">
        <v>65</v>
      </c>
      <c r="G6" s="128" t="s">
        <v>52</v>
      </c>
    </row>
    <row r="7" spans="2:7" ht="11.25" customHeight="1">
      <c r="B7" s="182" t="s">
        <v>50</v>
      </c>
      <c r="C7" s="183" t="s">
        <v>51</v>
      </c>
      <c r="D7" s="184" t="s">
        <v>553</v>
      </c>
      <c r="E7" s="179" t="s">
        <v>50</v>
      </c>
      <c r="F7" s="157" t="s">
        <v>51</v>
      </c>
      <c r="G7" s="157" t="s">
        <v>553</v>
      </c>
    </row>
    <row r="8" spans="1:7" ht="11.25" customHeight="1">
      <c r="A8" s="154" t="s">
        <v>541</v>
      </c>
      <c r="B8" s="182"/>
      <c r="C8" s="183"/>
      <c r="D8" s="184"/>
      <c r="E8" s="179"/>
      <c r="F8" s="157"/>
      <c r="G8" s="157"/>
    </row>
    <row r="9" spans="2:7" ht="11.25" customHeight="1">
      <c r="B9" s="182"/>
      <c r="C9" s="183"/>
      <c r="D9" s="184"/>
      <c r="E9" s="179"/>
      <c r="F9" s="157"/>
      <c r="G9" s="157"/>
    </row>
    <row r="10" spans="1:7" ht="11.25" customHeight="1">
      <c r="A10" s="162" t="s">
        <v>72</v>
      </c>
      <c r="B10" s="185"/>
      <c r="C10" s="185"/>
      <c r="D10" s="181"/>
      <c r="E10" s="128"/>
      <c r="F10" s="128"/>
      <c r="G10" s="128"/>
    </row>
    <row r="11" spans="1:7" ht="11.25" customHeight="1">
      <c r="A11" s="161" t="s">
        <v>55</v>
      </c>
      <c r="B11" s="185">
        <v>49920000</v>
      </c>
      <c r="C11" s="185">
        <v>-6000</v>
      </c>
      <c r="D11" s="181">
        <f>SUM(B11:C11)</f>
        <v>49914000</v>
      </c>
      <c r="E11" s="185">
        <v>49920000</v>
      </c>
      <c r="F11" s="185">
        <v>-6000</v>
      </c>
      <c r="G11" s="185">
        <f>SUM(E11:F11)</f>
        <v>49914000</v>
      </c>
    </row>
    <row r="12" spans="1:7" ht="11.25" customHeight="1">
      <c r="A12" s="161" t="s">
        <v>57</v>
      </c>
      <c r="B12" s="185">
        <v>99135000</v>
      </c>
      <c r="C12" s="185">
        <v>0</v>
      </c>
      <c r="D12" s="181">
        <f>SUM(B12:C12)</f>
        <v>99135000</v>
      </c>
      <c r="E12" s="185">
        <v>99135000</v>
      </c>
      <c r="F12" s="185">
        <v>0</v>
      </c>
      <c r="G12" s="185">
        <f>SUM(E12:F12)</f>
        <v>99135000</v>
      </c>
    </row>
    <row r="13" spans="1:7" ht="11.25" customHeight="1">
      <c r="A13" s="161" t="s">
        <v>58</v>
      </c>
      <c r="B13" s="185">
        <v>274117000</v>
      </c>
      <c r="C13" s="185">
        <v>-250000</v>
      </c>
      <c r="D13" s="181">
        <f>SUM(B13:C13)</f>
        <v>273867000</v>
      </c>
      <c r="E13" s="185">
        <v>274117000</v>
      </c>
      <c r="F13" s="185">
        <v>-250000</v>
      </c>
      <c r="G13" s="185">
        <f>SUM(E13:F13)</f>
        <v>273867000</v>
      </c>
    </row>
    <row r="14" spans="1:7" ht="11.25" customHeight="1">
      <c r="A14" s="161" t="s">
        <v>56</v>
      </c>
      <c r="B14" s="187">
        <v>149742000</v>
      </c>
      <c r="C14" s="185"/>
      <c r="D14" s="188">
        <f>SUM(B14:C14)</f>
        <v>149742000</v>
      </c>
      <c r="E14" s="187">
        <v>149742000</v>
      </c>
      <c r="F14" s="185"/>
      <c r="G14" s="187">
        <f>SUM(E14:F14)</f>
        <v>149742000</v>
      </c>
    </row>
    <row r="15" spans="1:7" ht="11.25" customHeight="1">
      <c r="A15" s="161" t="s">
        <v>54</v>
      </c>
      <c r="B15" s="185">
        <f aca="true" t="shared" si="0" ref="B15:G15">SUM(B11:B14)</f>
        <v>572914000</v>
      </c>
      <c r="C15" s="189">
        <f t="shared" si="0"/>
        <v>-256000</v>
      </c>
      <c r="D15" s="181">
        <f t="shared" si="0"/>
        <v>572658000</v>
      </c>
      <c r="E15" s="185">
        <f t="shared" si="0"/>
        <v>572914000</v>
      </c>
      <c r="F15" s="189">
        <f t="shared" si="0"/>
        <v>-256000</v>
      </c>
      <c r="G15" s="185">
        <f t="shared" si="0"/>
        <v>572658000</v>
      </c>
    </row>
    <row r="16" spans="1:7" ht="11.25" customHeight="1">
      <c r="A16" s="161"/>
      <c r="B16" s="185"/>
      <c r="C16" s="185"/>
      <c r="D16" s="181"/>
      <c r="E16" s="185"/>
      <c r="F16" s="185"/>
      <c r="G16" s="185"/>
    </row>
    <row r="17" spans="1:7" ht="11.25" customHeight="1">
      <c r="A17" s="161"/>
      <c r="B17" s="185"/>
      <c r="C17" s="185"/>
      <c r="D17" s="181"/>
      <c r="E17" s="185"/>
      <c r="F17" s="185"/>
      <c r="G17" s="185"/>
    </row>
    <row r="18" spans="1:7" ht="11.25" customHeight="1">
      <c r="A18" s="162" t="s">
        <v>66</v>
      </c>
      <c r="B18" s="185"/>
      <c r="C18" s="185"/>
      <c r="D18" s="181"/>
      <c r="E18" s="185"/>
      <c r="F18" s="185"/>
      <c r="G18" s="185"/>
    </row>
    <row r="19" spans="1:7" ht="11.25" customHeight="1">
      <c r="A19" s="178" t="s">
        <v>79</v>
      </c>
      <c r="B19" s="185">
        <f>85000000-25000000</f>
        <v>60000000</v>
      </c>
      <c r="C19" s="185">
        <v>-200000</v>
      </c>
      <c r="D19" s="181">
        <f>+C19+B19</f>
        <v>59800000</v>
      </c>
      <c r="E19" s="185">
        <f>85000000-25000000</f>
        <v>60000000</v>
      </c>
      <c r="F19" s="185">
        <v>-200000</v>
      </c>
      <c r="G19" s="181">
        <f>+F19+E19</f>
        <v>59800000</v>
      </c>
    </row>
    <row r="20" spans="1:7" ht="11.25" customHeight="1">
      <c r="A20" s="178" t="s">
        <v>67</v>
      </c>
      <c r="B20" s="185">
        <v>40000000</v>
      </c>
      <c r="C20" s="185"/>
      <c r="D20" s="181">
        <f>+C20+B20</f>
        <v>40000000</v>
      </c>
      <c r="E20" s="185">
        <v>40000000</v>
      </c>
      <c r="F20" s="185"/>
      <c r="G20" s="181">
        <f>+F20+E20</f>
        <v>40000000</v>
      </c>
    </row>
    <row r="21" spans="1:7" ht="11.25" customHeight="1">
      <c r="A21" s="178" t="s">
        <v>68</v>
      </c>
      <c r="B21" s="187">
        <v>10000000</v>
      </c>
      <c r="C21" s="187"/>
      <c r="D21" s="188">
        <f>+C21+B21</f>
        <v>10000000</v>
      </c>
      <c r="E21" s="187">
        <v>10000000</v>
      </c>
      <c r="F21" s="187"/>
      <c r="G21" s="188">
        <f>+F21+E21</f>
        <v>10000000</v>
      </c>
    </row>
    <row r="22" spans="1:7" ht="11.25" customHeight="1">
      <c r="A22" s="161"/>
      <c r="B22" s="185">
        <f aca="true" t="shared" si="1" ref="B22:G22">SUM(B19:B21)</f>
        <v>110000000</v>
      </c>
      <c r="C22" s="185">
        <f t="shared" si="1"/>
        <v>-200000</v>
      </c>
      <c r="D22" s="185">
        <f t="shared" si="1"/>
        <v>109800000</v>
      </c>
      <c r="E22" s="193">
        <f t="shared" si="1"/>
        <v>110000000</v>
      </c>
      <c r="F22" s="185">
        <f t="shared" si="1"/>
        <v>-200000</v>
      </c>
      <c r="G22" s="185">
        <f t="shared" si="1"/>
        <v>109800000</v>
      </c>
    </row>
    <row r="23" spans="2:7" ht="11.25" customHeight="1">
      <c r="B23" s="159"/>
      <c r="C23" s="159"/>
      <c r="D23" s="186"/>
      <c r="E23" s="159"/>
      <c r="F23" s="159"/>
      <c r="G23" s="159"/>
    </row>
    <row r="24" spans="1:9" ht="11.25" customHeight="1">
      <c r="A24" s="74" t="s">
        <v>62</v>
      </c>
      <c r="B24" s="155">
        <f aca="true" t="shared" si="2" ref="B24:G24">+B22+B15</f>
        <v>682914000</v>
      </c>
      <c r="C24" s="155">
        <f t="shared" si="2"/>
        <v>-456000</v>
      </c>
      <c r="D24" s="155">
        <f t="shared" si="2"/>
        <v>682458000</v>
      </c>
      <c r="E24" s="190">
        <f t="shared" si="2"/>
        <v>682914000</v>
      </c>
      <c r="F24" s="155">
        <f t="shared" si="2"/>
        <v>-456000</v>
      </c>
      <c r="G24" s="155">
        <f t="shared" si="2"/>
        <v>682458000</v>
      </c>
      <c r="I24" s="74">
        <f>+D24-G24</f>
        <v>0</v>
      </c>
    </row>
    <row r="25" spans="1:7" ht="11.25" customHeight="1">
      <c r="A25" s="178" t="s">
        <v>80</v>
      </c>
      <c r="B25" s="159"/>
      <c r="C25" s="159"/>
      <c r="D25" s="186"/>
      <c r="E25" s="159"/>
      <c r="F25" s="159"/>
      <c r="G25" s="185"/>
    </row>
    <row r="26" spans="1:7" ht="11.25" customHeight="1">
      <c r="A26" s="161"/>
      <c r="B26" s="159"/>
      <c r="C26" s="159"/>
      <c r="D26" s="186"/>
      <c r="E26" s="159"/>
      <c r="F26" s="159"/>
      <c r="G26" s="185"/>
    </row>
    <row r="27" spans="1:7" ht="11.25" customHeight="1">
      <c r="A27" s="161"/>
      <c r="B27" s="159"/>
      <c r="C27" s="159"/>
      <c r="D27" s="186"/>
      <c r="E27" s="159"/>
      <c r="F27" s="159"/>
      <c r="G27" s="185"/>
    </row>
    <row r="28" spans="1:7" ht="11.25" customHeight="1">
      <c r="A28" s="161"/>
      <c r="B28" s="159"/>
      <c r="C28" s="159"/>
      <c r="D28" s="186"/>
      <c r="E28" s="159"/>
      <c r="F28" s="159"/>
      <c r="G28" s="185"/>
    </row>
    <row r="29" spans="1:7" ht="11.25" customHeight="1">
      <c r="A29" s="177" t="s">
        <v>542</v>
      </c>
      <c r="B29" s="159"/>
      <c r="C29" s="159"/>
      <c r="D29" s="186"/>
      <c r="E29" s="159"/>
      <c r="F29" s="159"/>
      <c r="G29" s="185"/>
    </row>
    <row r="30" spans="1:7" ht="11.25" customHeight="1">
      <c r="A30" s="177"/>
      <c r="B30" s="159"/>
      <c r="C30" s="159"/>
      <c r="D30" s="186"/>
      <c r="E30" s="159"/>
      <c r="F30" s="159"/>
      <c r="G30" s="185"/>
    </row>
    <row r="31" spans="1:7" ht="11.25" customHeight="1">
      <c r="A31" s="161" t="s">
        <v>82</v>
      </c>
      <c r="B31" s="159"/>
      <c r="C31" s="159"/>
      <c r="D31" s="186"/>
      <c r="E31" s="185"/>
      <c r="F31" s="159">
        <v>-224851</v>
      </c>
      <c r="G31" s="185">
        <f>SUM(E31:F31)</f>
        <v>-224851</v>
      </c>
    </row>
    <row r="32" spans="1:7" ht="11.25" customHeight="1">
      <c r="A32" s="161" t="s">
        <v>83</v>
      </c>
      <c r="B32" s="159"/>
      <c r="C32" s="159"/>
      <c r="D32" s="186"/>
      <c r="E32" s="159"/>
      <c r="F32" s="159">
        <v>-5000000</v>
      </c>
      <c r="G32" s="159">
        <f>SUM(E32:F32)</f>
        <v>-5000000</v>
      </c>
    </row>
    <row r="33" spans="1:7" ht="11.25" customHeight="1">
      <c r="A33" s="161" t="s">
        <v>69</v>
      </c>
      <c r="B33" s="159"/>
      <c r="C33" s="159"/>
      <c r="D33" s="186"/>
      <c r="E33" s="185">
        <f>+E13+E12+E11+E14</f>
        <v>572914000</v>
      </c>
      <c r="F33" s="159"/>
      <c r="G33" s="185">
        <f>SUM(E33:F33)</f>
        <v>572914000</v>
      </c>
    </row>
    <row r="34" spans="1:7" ht="11.25" customHeight="1">
      <c r="A34" s="161"/>
      <c r="B34" s="159"/>
      <c r="C34" s="159"/>
      <c r="D34" s="186"/>
      <c r="E34" s="159"/>
      <c r="F34" s="159"/>
      <c r="G34" s="185"/>
    </row>
    <row r="35" spans="1:7" ht="11.25" customHeight="1">
      <c r="A35" s="161" t="s">
        <v>78</v>
      </c>
      <c r="B35" s="159"/>
      <c r="C35" s="159"/>
      <c r="D35" s="186"/>
      <c r="E35" s="159"/>
      <c r="F35" s="159"/>
      <c r="G35" s="185"/>
    </row>
    <row r="36" spans="1:7" ht="11.25" customHeight="1">
      <c r="A36" s="161"/>
      <c r="B36" s="159"/>
      <c r="C36" s="159"/>
      <c r="D36" s="186"/>
      <c r="E36" s="159">
        <v>85000000</v>
      </c>
      <c r="F36" s="159"/>
      <c r="G36" s="185"/>
    </row>
    <row r="37" spans="1:7" ht="11.25" customHeight="1">
      <c r="A37" s="161" t="s">
        <v>70</v>
      </c>
      <c r="B37" s="159"/>
      <c r="C37" s="159"/>
      <c r="D37" s="186"/>
      <c r="E37" s="159"/>
      <c r="G37" s="185"/>
    </row>
    <row r="38" spans="1:7" ht="11.25" customHeight="1">
      <c r="A38" s="161" t="s">
        <v>71</v>
      </c>
      <c r="B38" s="159"/>
      <c r="C38" s="159"/>
      <c r="D38" s="186"/>
      <c r="E38" s="159"/>
      <c r="F38" s="159">
        <v>-25000000</v>
      </c>
      <c r="G38" s="185">
        <f>SUM(E38:F38)</f>
        <v>-25000000</v>
      </c>
    </row>
    <row r="39" spans="1:9" ht="11.25" customHeight="1">
      <c r="A39" s="178" t="s">
        <v>75</v>
      </c>
      <c r="B39" s="159"/>
      <c r="C39" s="159"/>
      <c r="D39" s="186"/>
      <c r="E39" s="159">
        <v>21006861.11</v>
      </c>
      <c r="F39" s="159"/>
      <c r="G39" s="185">
        <f>SUM(E39:F39)</f>
        <v>21006861.11</v>
      </c>
      <c r="I39" s="74">
        <f>+F38+E39</f>
        <v>-3993138.8900000006</v>
      </c>
    </row>
    <row r="40" spans="1:7" ht="11.25" customHeight="1">
      <c r="A40" s="178" t="s">
        <v>76</v>
      </c>
      <c r="B40" s="159"/>
      <c r="C40" s="159"/>
      <c r="D40" s="186"/>
      <c r="E40" s="159">
        <v>28993138.89</v>
      </c>
      <c r="F40" s="159"/>
      <c r="G40" s="185">
        <f>SUM(E40:F40)</f>
        <v>28993138.89</v>
      </c>
    </row>
    <row r="41" spans="1:7" ht="11.25" customHeight="1">
      <c r="A41" s="161"/>
      <c r="B41" s="159"/>
      <c r="C41" s="159"/>
      <c r="D41" s="186"/>
      <c r="E41" s="159"/>
      <c r="F41" s="159"/>
      <c r="G41" s="185"/>
    </row>
    <row r="42" spans="1:7" ht="11.25" customHeight="1">
      <c r="A42" s="161" t="s">
        <v>77</v>
      </c>
      <c r="B42" s="159"/>
      <c r="C42" s="159"/>
      <c r="D42" s="186"/>
      <c r="E42" s="159"/>
      <c r="F42" s="159">
        <f>+F24</f>
        <v>-456000</v>
      </c>
      <c r="G42" s="185">
        <f>SUM(E42:F42)</f>
        <v>-456000</v>
      </c>
    </row>
    <row r="43" spans="1:7" ht="11.25" customHeight="1">
      <c r="A43" s="161"/>
      <c r="B43" s="159"/>
      <c r="C43" s="159"/>
      <c r="D43" s="186"/>
      <c r="E43" s="159"/>
      <c r="F43" s="159"/>
      <c r="G43" s="185"/>
    </row>
    <row r="44" spans="1:7" ht="11.25" customHeight="1">
      <c r="A44" s="178"/>
      <c r="B44" s="159"/>
      <c r="C44" s="159"/>
      <c r="D44" s="186"/>
      <c r="E44" s="159"/>
      <c r="F44" s="159"/>
      <c r="G44" s="185"/>
    </row>
    <row r="45" spans="1:7" ht="11.25" customHeight="1">
      <c r="A45" s="161"/>
      <c r="B45" s="159"/>
      <c r="C45" s="159"/>
      <c r="D45" s="186"/>
      <c r="E45" s="159"/>
      <c r="F45" s="192"/>
      <c r="G45" s="185"/>
    </row>
    <row r="46" spans="1:7" ht="11.25" customHeight="1">
      <c r="A46" s="161" t="s">
        <v>539</v>
      </c>
      <c r="B46" s="159"/>
      <c r="C46" s="159"/>
      <c r="D46" s="186"/>
      <c r="E46" s="190">
        <f>SUM(E29:E45)</f>
        <v>707914000</v>
      </c>
      <c r="F46" s="159">
        <f>SUM(F29:F45)</f>
        <v>-30680851</v>
      </c>
      <c r="G46" s="155">
        <f>SUM(G29:G45)</f>
        <v>592233149</v>
      </c>
    </row>
    <row r="47" spans="1:7" ht="11.25" customHeight="1">
      <c r="A47" s="161"/>
      <c r="B47" s="159"/>
      <c r="C47" s="159"/>
      <c r="D47" s="186"/>
      <c r="E47" s="159"/>
      <c r="F47" s="159"/>
      <c r="G47" s="185"/>
    </row>
    <row r="48" spans="1:7" ht="11.25" customHeight="1">
      <c r="A48" s="178" t="s">
        <v>73</v>
      </c>
      <c r="B48" s="159"/>
      <c r="C48" s="159"/>
      <c r="D48" s="186"/>
      <c r="E48" s="159">
        <f>+E14</f>
        <v>149742000</v>
      </c>
      <c r="F48" s="159">
        <f>+F31</f>
        <v>-224851</v>
      </c>
      <c r="G48" s="185">
        <f>SUM(E48:F48)</f>
        <v>149517149</v>
      </c>
    </row>
    <row r="49" spans="1:7" ht="11.25" customHeight="1">
      <c r="A49" s="178" t="s">
        <v>74</v>
      </c>
      <c r="B49" s="159"/>
      <c r="C49" s="159"/>
      <c r="D49" s="186"/>
      <c r="E49" s="159">
        <f>+E46-E14</f>
        <v>558172000</v>
      </c>
      <c r="F49" s="192">
        <f>+F46-F31</f>
        <v>-30456000</v>
      </c>
      <c r="G49" s="185">
        <f>SUM(E49:F49)</f>
        <v>527716000</v>
      </c>
    </row>
    <row r="50" spans="1:7" ht="11.25" customHeight="1">
      <c r="A50" s="178" t="s">
        <v>540</v>
      </c>
      <c r="B50" s="159"/>
      <c r="C50" s="159"/>
      <c r="D50" s="186"/>
      <c r="E50" s="190">
        <f>SUM(E48:E49)</f>
        <v>707914000</v>
      </c>
      <c r="F50" s="159">
        <f>SUM(F48:F49)</f>
        <v>-30680851</v>
      </c>
      <c r="G50" s="155">
        <f>SUM(G48:G49)</f>
        <v>677233149</v>
      </c>
    </row>
    <row r="51" spans="1:9" ht="11.25" customHeight="1">
      <c r="A51" s="161"/>
      <c r="B51" s="159"/>
      <c r="C51" s="159"/>
      <c r="D51" s="159"/>
      <c r="E51" s="159"/>
      <c r="F51" s="159"/>
      <c r="G51" s="159"/>
      <c r="I51" s="74">
        <v>-3993138.89</v>
      </c>
    </row>
    <row r="52" ht="11.25" customHeight="1">
      <c r="I52" s="74">
        <v>536709138.89</v>
      </c>
    </row>
    <row r="53" spans="1:9" ht="11.25" customHeight="1">
      <c r="A53" s="74" t="s">
        <v>124</v>
      </c>
      <c r="I53" s="74">
        <v>149517149</v>
      </c>
    </row>
    <row r="55" spans="1:9" ht="11.25" customHeight="1">
      <c r="A55" s="74" t="s">
        <v>125</v>
      </c>
      <c r="B55" s="157" t="s">
        <v>116</v>
      </c>
      <c r="C55" s="157" t="s">
        <v>123</v>
      </c>
      <c r="D55" s="157" t="s">
        <v>115</v>
      </c>
      <c r="E55" s="157" t="s">
        <v>117</v>
      </c>
      <c r="I55" s="74">
        <f>SUM(I51:I54)</f>
        <v>682233149</v>
      </c>
    </row>
    <row r="56" ht="11.25" customHeight="1">
      <c r="A56" s="74" t="s">
        <v>126</v>
      </c>
    </row>
    <row r="57" spans="1:9" ht="11.25" customHeight="1">
      <c r="A57" s="74" t="s">
        <v>127</v>
      </c>
      <c r="I57" s="74">
        <f>+I55-G50</f>
        <v>5000000</v>
      </c>
    </row>
    <row r="58" ht="11.25" customHeight="1">
      <c r="A58" s="74" t="s">
        <v>135</v>
      </c>
    </row>
  </sheetData>
  <mergeCells count="2">
    <mergeCell ref="B5:D5"/>
    <mergeCell ref="E5:G5"/>
  </mergeCells>
  <printOptions horizontalCentered="1"/>
  <pageMargins left="0.5" right="0.5" top="0.75" bottom="0.5" header="0.5" footer="0.5"/>
  <pageSetup horizontalDpi="300" verticalDpi="300" orientation="portrait" scale="80" r:id="rId2"/>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Teter</dc:creator>
  <cp:keywords/>
  <dc:description/>
  <cp:lastModifiedBy>US Department of the Interior</cp:lastModifiedBy>
  <cp:lastPrinted>2007-04-04T21:03:54Z</cp:lastPrinted>
  <dcterms:created xsi:type="dcterms:W3CDTF">1998-02-24T22:28:03Z</dcterms:created>
  <dcterms:modified xsi:type="dcterms:W3CDTF">2008-02-06T16:14:26Z</dcterms:modified>
  <cp:category/>
  <cp:version/>
  <cp:contentType/>
  <cp:contentStatus/>
</cp:coreProperties>
</file>