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15" windowWidth="15360" windowHeight="9000" tabRatio="835" activeTab="0"/>
  </bookViews>
  <sheets>
    <sheet name="CFL Calculator" sheetId="1" r:id="rId1"/>
    <sheet name="Assumptions" sheetId="2" r:id="rId2"/>
  </sheets>
  <definedNames>
    <definedName name="_xlnm.Print_Area" localSheetId="1">'Assumptions'!$A$1:$D$63</definedName>
    <definedName name="_xlnm.Print_Area" localSheetId="0">'CFL Calculator'!$A$1:$M$62</definedName>
    <definedName name="Z_554B346B_D9D9_422D_B737_63DDCB95BB09_.wvu.PrintArea" localSheetId="1" hidden="1">'Assumptions'!$A$1:$D$63</definedName>
    <definedName name="Z_554B346B_D9D9_422D_B737_63DDCB95BB09_.wvu.PrintArea" localSheetId="0" hidden="1">'CFL Calculator'!$A$1:$M$62</definedName>
  </definedNames>
  <calcPr fullCalcOnLoad="1"/>
</workbook>
</file>

<file path=xl/sharedStrings.xml><?xml version="1.0" encoding="utf-8"?>
<sst xmlns="http://schemas.openxmlformats.org/spreadsheetml/2006/main" count="167" uniqueCount="101">
  <si>
    <t>Life Cycle Cost Estimate for</t>
  </si>
  <si>
    <t>This energy savings calculator was developed by the U.S. EPA and U.S. DOE and is provided for estimating purposes only.    Actual energy savings may vary based on use and other factors.</t>
  </si>
  <si>
    <t>Enter your own values in the gray boxes or use our default values.</t>
  </si>
  <si>
    <t>Number of units</t>
  </si>
  <si>
    <t>Electricity Rate ($/kWh)</t>
  </si>
  <si>
    <t>ENERGY STAR Qualified Unit</t>
  </si>
  <si>
    <t>Conventional Unit</t>
  </si>
  <si>
    <t>Initial cost per unit (estimated retail price)</t>
  </si>
  <si>
    <t xml:space="preserve"> Savings with ENERGY STAR</t>
  </si>
  <si>
    <t>Energy cost</t>
  </si>
  <si>
    <t>Maintenance cost</t>
  </si>
  <si>
    <t>Total</t>
  </si>
  <si>
    <t>Energy costs (lifetime)</t>
  </si>
  <si>
    <t>Maintenance costs (lifetime)</t>
  </si>
  <si>
    <r>
      <t>Simple payback of initial additional cost (years)</t>
    </r>
    <r>
      <rPr>
        <vertAlign val="superscript"/>
        <sz val="10"/>
        <rFont val="Univers"/>
        <family val="2"/>
      </rPr>
      <t>†</t>
    </r>
    <r>
      <rPr>
        <sz val="10"/>
        <rFont val="Univers"/>
        <family val="2"/>
      </rPr>
      <t xml:space="preserve">  </t>
    </r>
  </si>
  <si>
    <t xml:space="preserve"> </t>
  </si>
  <si>
    <t>Initial cost difference</t>
  </si>
  <si>
    <t xml:space="preserve">Life cycle savings </t>
  </si>
  <si>
    <t>Net life cycle savings (life cycle savings - additional cost)</t>
  </si>
  <si>
    <t>Simple payback of additional cost (years)</t>
  </si>
  <si>
    <t>Life cycle energy saved (kWh)</t>
  </si>
  <si>
    <r>
      <t>Life cycle air pollution reduction (lbs of CO</t>
    </r>
    <r>
      <rPr>
        <vertAlign val="subscript"/>
        <sz val="10"/>
        <rFont val="Univers"/>
        <family val="2"/>
      </rPr>
      <t>2</t>
    </r>
    <r>
      <rPr>
        <sz val="10"/>
        <rFont val="Univers"/>
        <family val="2"/>
      </rPr>
      <t>)</t>
    </r>
  </si>
  <si>
    <t>Air pollution reduction equivalence (number of cars removed from the road for a year)</t>
  </si>
  <si>
    <t xml:space="preserve">Air pollution reduction equivalence (acres of forest) </t>
  </si>
  <si>
    <t>Savings as a percent of retail price</t>
  </si>
  <si>
    <t>Value</t>
  </si>
  <si>
    <t>Data Source</t>
  </si>
  <si>
    <t>Power</t>
  </si>
  <si>
    <t>watts</t>
  </si>
  <si>
    <t>Maintenance</t>
  </si>
  <si>
    <t>Usage</t>
  </si>
  <si>
    <t>hours/day</t>
  </si>
  <si>
    <t>Discount Rate</t>
  </si>
  <si>
    <t>Commercial and Residential Discount Rate (real)</t>
  </si>
  <si>
    <t>A real discount rate of 4 percent is assumed, which is roughly equivalent to the nominal discount rate of 7 percent (4 percent real discount rate + 3 percent inflation rate).</t>
  </si>
  <si>
    <t>Energy Prices</t>
  </si>
  <si>
    <t>$/kWh</t>
  </si>
  <si>
    <t>EPA 2004</t>
  </si>
  <si>
    <t>Carbon Emissions Factors</t>
  </si>
  <si>
    <t>Electricity Carbon Emission Factors</t>
  </si>
  <si>
    <t>Assumption</t>
  </si>
  <si>
    <t>Labor cost (per hour)</t>
  </si>
  <si>
    <t>Energy consumption (kWh)</t>
  </si>
  <si>
    <t>Operating cost (energy and maintenance)</t>
  </si>
  <si>
    <r>
      <t>Annual CO</t>
    </r>
    <r>
      <rPr>
        <vertAlign val="subscript"/>
        <sz val="10"/>
        <rFont val="Univers"/>
        <family val="2"/>
      </rPr>
      <t>2</t>
    </r>
    <r>
      <rPr>
        <sz val="10"/>
        <rFont val="Univers"/>
        <family val="2"/>
      </rPr>
      <t xml:space="preserve"> sequestration per forested acre</t>
    </r>
  </si>
  <si>
    <r>
      <t>Annual CO</t>
    </r>
    <r>
      <rPr>
        <vertAlign val="subscript"/>
        <sz val="10"/>
        <rFont val="Univers"/>
        <family val="2"/>
      </rPr>
      <t>2</t>
    </r>
    <r>
      <rPr>
        <sz val="10"/>
        <rFont val="Univers"/>
        <family val="2"/>
      </rPr>
      <t xml:space="preserve"> emissions for "average" passenger car</t>
    </r>
  </si>
  <si>
    <r>
      <t>CO</t>
    </r>
    <r>
      <rPr>
        <b/>
        <vertAlign val="subscript"/>
        <sz val="11"/>
        <rFont val="Univers"/>
        <family val="2"/>
      </rPr>
      <t>2</t>
    </r>
    <r>
      <rPr>
        <b/>
        <sz val="11"/>
        <rFont val="Univers"/>
        <family val="2"/>
      </rPr>
      <t xml:space="preserve"> Equivalents</t>
    </r>
  </si>
  <si>
    <r>
      <t>Annual Operating Costs</t>
    </r>
    <r>
      <rPr>
        <b/>
        <vertAlign val="superscript"/>
        <sz val="11"/>
        <rFont val="Univers"/>
        <family val="2"/>
      </rPr>
      <t>*</t>
    </r>
  </si>
  <si>
    <r>
      <t>Life Cycle Costs</t>
    </r>
    <r>
      <rPr>
        <b/>
        <vertAlign val="superscript"/>
        <sz val="11"/>
        <rFont val="Univers"/>
        <family val="2"/>
      </rPr>
      <t>*</t>
    </r>
  </si>
  <si>
    <r>
      <t xml:space="preserve">* </t>
    </r>
    <r>
      <rPr>
        <vertAlign val="superscript"/>
        <sz val="9"/>
        <rFont val="Univers"/>
        <family val="2"/>
      </rPr>
      <t xml:space="preserve"> </t>
    </r>
    <r>
      <rPr>
        <i/>
        <sz val="9"/>
        <rFont val="Univers"/>
        <family val="2"/>
      </rPr>
      <t>Annual costs exclude the initial purchase price. All costs, except initial cost, are discounted over the products' lifetime using a real discount rate of 4%. See "Assumptions" to change factors including the discount rate.</t>
    </r>
  </si>
  <si>
    <r>
      <t>†</t>
    </r>
    <r>
      <rPr>
        <i/>
        <sz val="9"/>
        <rFont val="Univers"/>
        <family val="2"/>
      </rPr>
      <t xml:space="preserve">  A simple payback period of zero years means that the payback is immediate.</t>
    </r>
  </si>
  <si>
    <t>Lifetime</t>
  </si>
  <si>
    <t xml:space="preserve">CFL </t>
  </si>
  <si>
    <t>Wattage (watts)</t>
  </si>
  <si>
    <t>Hours used per day</t>
  </si>
  <si>
    <t>days/year</t>
  </si>
  <si>
    <t>Number of days per year</t>
  </si>
  <si>
    <t>Assumptions for CFLs</t>
  </si>
  <si>
    <t xml:space="preserve">Initial Cost per Unit </t>
  </si>
  <si>
    <t xml:space="preserve">Wattage </t>
  </si>
  <si>
    <t>Lifetime (hours)</t>
  </si>
  <si>
    <t>ES</t>
  </si>
  <si>
    <t>Conv</t>
  </si>
  <si>
    <t>Bulb Life</t>
  </si>
  <si>
    <t>years</t>
  </si>
  <si>
    <t>For 6,000 hour CFL</t>
  </si>
  <si>
    <t>For 8,000 hour CFL</t>
  </si>
  <si>
    <t>For 10,000 hour CFL</t>
  </si>
  <si>
    <t>For 12,000 hour CFL</t>
  </si>
  <si>
    <t>Selected</t>
  </si>
  <si>
    <t xml:space="preserve">Installation labor hours </t>
  </si>
  <si>
    <t>Calculated</t>
  </si>
  <si>
    <t>CFL annual bulb replacements</t>
  </si>
  <si>
    <t>10,000 hours</t>
  </si>
  <si>
    <t>12,000 hours</t>
  </si>
  <si>
    <t>Incandescent annual bulb replacements</t>
  </si>
  <si>
    <t>750 hours</t>
  </si>
  <si>
    <t>1,000 hours</t>
  </si>
  <si>
    <t>8,000 hours</t>
  </si>
  <si>
    <t>6,000 hours</t>
  </si>
  <si>
    <t>Category</t>
  </si>
  <si>
    <r>
      <t>lbs CO</t>
    </r>
    <r>
      <rPr>
        <vertAlign val="subscript"/>
        <sz val="10"/>
        <rFont val="Univers"/>
        <family val="2"/>
      </rPr>
      <t>2</t>
    </r>
    <r>
      <rPr>
        <sz val="10"/>
        <rFont val="Univers"/>
        <family val="2"/>
      </rPr>
      <t>/kWh</t>
    </r>
  </si>
  <si>
    <t>bulbs/year</t>
  </si>
  <si>
    <t>hours</t>
  </si>
  <si>
    <t xml:space="preserve">For questions or comments, please send your email to: </t>
  </si>
  <si>
    <t>Escalcs@cadmusgroup.com</t>
  </si>
  <si>
    <r>
      <t>lbs CO</t>
    </r>
    <r>
      <rPr>
        <vertAlign val="subscript"/>
        <sz val="10"/>
        <rFont val="Univers"/>
        <family val="2"/>
      </rPr>
      <t>2</t>
    </r>
    <r>
      <rPr>
        <sz val="10"/>
        <rFont val="Univers"/>
        <family val="2"/>
      </rPr>
      <t>/year</t>
    </r>
  </si>
  <si>
    <t>*</t>
  </si>
  <si>
    <t>Industry Data 2006</t>
  </si>
  <si>
    <t>Industry Data 2007</t>
  </si>
  <si>
    <t>calculated</t>
  </si>
  <si>
    <t>For 750 hour incandescent bulb</t>
  </si>
  <si>
    <t>For 1,000 hour incandescent bulb</t>
  </si>
  <si>
    <t>*ENERGY STAR wattage is calculated based on the wattage selected for the incandescent unit, user can enter an alternative value if desired.</t>
  </si>
  <si>
    <t>LBNL 2007</t>
  </si>
  <si>
    <t>EIA 2008</t>
  </si>
  <si>
    <t>EPA 2008</t>
  </si>
  <si>
    <t>EPA 2007</t>
  </si>
  <si>
    <t>Calculator Updated 08/08</t>
  </si>
  <si>
    <t>Commercial Electricity Price</t>
  </si>
  <si>
    <t>Residential Electricity Price</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</si>
</sst>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quot;$&quot;#,##0.000_);[Red]\(&quot;$&quot;#,##0.000\)"/>
    <numFmt numFmtId="166" formatCode="&quot;$&quot;#,##0;[Red]&quot;$&quot;#,##0"/>
    <numFmt numFmtId="167" formatCode="&quot;$&quot;#,##0"/>
    <numFmt numFmtId="168" formatCode="#,##0.0"/>
    <numFmt numFmtId="169" formatCode="0.0"/>
    <numFmt numFmtId="170" formatCode="_(* #,##0_);_(* \(#,##0\);_(* &quot;-&quot;??_);_(@_)"/>
    <numFmt numFmtId="171" formatCode="&quot;$&quot;#,##0.00"/>
    <numFmt numFmtId="172" formatCode="&quot;$&quot;#,##0.0"/>
    <numFmt numFmtId="173" formatCode="&quot;$&quot;#,##0.00;[Red]&quot;$&quot;#,##0.00"/>
    <numFmt numFmtId="174" formatCode="_(&quot;$&quot;* #,##0.000_);_(&quot;$&quot;* \(#,##0.000\);_(&quot;$&quot;* &quot;-&quot;???_);_(@_)"/>
    <numFmt numFmtId="175" formatCode="_(* #,##0.0_);_(* \(#,##0.0\);_(* &quot;-&quot;??_);_(@_)"/>
    <numFmt numFmtId="176" formatCode="#,##0.0;[Red]#,##0.0"/>
    <numFmt numFmtId="177" formatCode="#,##0.00;[Red]#,##0.00"/>
    <numFmt numFmtId="178" formatCode="0.000"/>
    <numFmt numFmtId="179" formatCode="0.00000"/>
    <numFmt numFmtId="180" formatCode="0.0000"/>
    <numFmt numFmtId="181" formatCode="_(&quot;$&quot;* #,##0.00_);_(&quot;$&quot;* \(#,##0.00\);_(&quot;$&quot;* &quot;-&quot;???_);_(@_)"/>
  </numFmts>
  <fonts count="46">
    <font>
      <sz val="10"/>
      <name val="Arial"/>
      <family val="0"/>
    </font>
    <font>
      <sz val="10"/>
      <name val="Univers"/>
      <family val="2"/>
    </font>
    <font>
      <i/>
      <sz val="10"/>
      <name val="Univers"/>
      <family val="2"/>
    </font>
    <font>
      <b/>
      <sz val="10"/>
      <name val="Univers"/>
      <family val="2"/>
    </font>
    <font>
      <vertAlign val="superscript"/>
      <sz val="10"/>
      <name val="Univers"/>
      <family val="2"/>
    </font>
    <font>
      <vertAlign val="subscript"/>
      <sz val="10"/>
      <name val="Univers"/>
      <family val="2"/>
    </font>
    <font>
      <b/>
      <sz val="10"/>
      <color indexed="48"/>
      <name val="Univers"/>
      <family val="2"/>
    </font>
    <font>
      <i/>
      <sz val="10"/>
      <name val="Times New Roman"/>
      <family val="1"/>
    </font>
    <font>
      <b/>
      <u val="single"/>
      <sz val="10"/>
      <name val="Univers"/>
      <family val="2"/>
    </font>
    <font>
      <b/>
      <sz val="12"/>
      <name val="Univers"/>
      <family val="2"/>
    </font>
    <font>
      <b/>
      <sz val="11"/>
      <name val="Univers"/>
      <family val="2"/>
    </font>
    <font>
      <b/>
      <vertAlign val="subscript"/>
      <sz val="11"/>
      <name val="Univers"/>
      <family val="2"/>
    </font>
    <font>
      <b/>
      <sz val="14"/>
      <color indexed="48"/>
      <name val="Univers"/>
      <family val="2"/>
    </font>
    <font>
      <b/>
      <sz val="12"/>
      <color indexed="48"/>
      <name val="Univers"/>
      <family val="2"/>
    </font>
    <font>
      <b/>
      <u val="single"/>
      <sz val="11"/>
      <name val="Univers"/>
      <family val="2"/>
    </font>
    <font>
      <b/>
      <vertAlign val="superscript"/>
      <sz val="11"/>
      <name val="Univers"/>
      <family val="2"/>
    </font>
    <font>
      <sz val="9"/>
      <name val="Univers"/>
      <family val="2"/>
    </font>
    <font>
      <vertAlign val="superscript"/>
      <sz val="9"/>
      <name val="Univers"/>
      <family val="2"/>
    </font>
    <font>
      <i/>
      <sz val="9"/>
      <name val="Univers"/>
      <family val="2"/>
    </font>
    <font>
      <sz val="10"/>
      <color indexed="10"/>
      <name val="Univers"/>
      <family val="2"/>
    </font>
    <font>
      <i/>
      <sz val="10"/>
      <color indexed="10"/>
      <name val="Univers"/>
      <family val="2"/>
    </font>
    <font>
      <u val="single"/>
      <sz val="10"/>
      <color indexed="12"/>
      <name val="Univers"/>
      <family val="2"/>
    </font>
    <font>
      <u val="single"/>
      <sz val="10"/>
      <color indexed="12"/>
      <name val="Arial"/>
      <family val="2"/>
    </font>
    <font>
      <sz val="10"/>
      <color indexed="10"/>
      <name val="System"/>
      <family val="2"/>
    </font>
    <font>
      <i/>
      <sz val="10"/>
      <color indexed="10"/>
      <name val="System"/>
      <family val="2"/>
    </font>
    <font>
      <sz val="10"/>
      <color indexed="9"/>
      <name val="System"/>
      <family val="2"/>
    </font>
    <font>
      <i/>
      <sz val="10"/>
      <color indexed="9"/>
      <name val="System"/>
      <family val="2"/>
    </font>
    <font>
      <sz val="10"/>
      <color indexed="21"/>
      <name val="System"/>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style="medium"/>
      <top style="medium"/>
      <bottom style="medium"/>
    </border>
    <border>
      <left style="medium"/>
      <right style="medium"/>
      <top>
        <color indexed="63"/>
      </top>
      <bottom style="medium"/>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3" borderId="0" applyNumberFormat="0" applyBorder="0" applyAlignment="0" applyProtection="0"/>
    <xf numFmtId="0" fontId="31" fillId="20" borderId="1" applyNumberFormat="0" applyAlignment="0" applyProtection="0"/>
    <xf numFmtId="0" fontId="3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4"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22" fillId="0" borderId="0" applyNumberFormat="0" applyFill="0" applyBorder="0" applyAlignment="0" applyProtection="0"/>
    <xf numFmtId="0" fontId="38" fillId="7" borderId="1" applyNumberFormat="0" applyAlignment="0" applyProtection="0"/>
    <xf numFmtId="0" fontId="39" fillId="0" borderId="6" applyNumberFormat="0" applyFill="0" applyAlignment="0" applyProtection="0"/>
    <xf numFmtId="0" fontId="40" fillId="22" borderId="0" applyNumberFormat="0" applyBorder="0" applyAlignment="0" applyProtection="0"/>
    <xf numFmtId="0" fontId="0" fillId="23" borderId="7" applyNumberFormat="0" applyFont="0" applyAlignment="0" applyProtection="0"/>
    <xf numFmtId="0" fontId="41" fillId="20"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86">
    <xf numFmtId="0" fontId="0" fillId="0" borderId="0" xfId="0" applyAlignment="1">
      <alignment/>
    </xf>
    <xf numFmtId="0" fontId="1" fillId="0" borderId="0" xfId="0" applyFont="1" applyAlignment="1" applyProtection="1">
      <alignment/>
      <protection/>
    </xf>
    <xf numFmtId="0" fontId="2" fillId="0" borderId="0" xfId="0" applyFont="1" applyAlignment="1">
      <alignment horizontal="left" wrapText="1"/>
    </xf>
    <xf numFmtId="0" fontId="2" fillId="0" borderId="0" xfId="0" applyFont="1" applyAlignment="1" applyProtection="1">
      <alignment/>
      <protection/>
    </xf>
    <xf numFmtId="0" fontId="1" fillId="7" borderId="10" xfId="0" applyFont="1" applyFill="1" applyBorder="1" applyAlignment="1" applyProtection="1">
      <alignment/>
      <protection/>
    </xf>
    <xf numFmtId="0" fontId="1" fillId="7" borderId="11" xfId="0" applyFont="1" applyFill="1" applyBorder="1" applyAlignment="1" applyProtection="1">
      <alignment/>
      <protection/>
    </xf>
    <xf numFmtId="0" fontId="3" fillId="7" borderId="0" xfId="0" applyFont="1" applyFill="1" applyBorder="1" applyAlignment="1" applyProtection="1">
      <alignment horizontal="right"/>
      <protection/>
    </xf>
    <xf numFmtId="0" fontId="1" fillId="7" borderId="0" xfId="0" applyFont="1" applyFill="1" applyBorder="1" applyAlignment="1" applyProtection="1">
      <alignment/>
      <protection/>
    </xf>
    <xf numFmtId="0" fontId="1" fillId="7" borderId="12" xfId="0" applyFont="1" applyFill="1" applyBorder="1" applyAlignment="1" applyProtection="1">
      <alignment/>
      <protection/>
    </xf>
    <xf numFmtId="0" fontId="1" fillId="0" borderId="0" xfId="0" applyFont="1" applyAlignment="1" applyProtection="1">
      <alignment horizontal="right"/>
      <protection/>
    </xf>
    <xf numFmtId="0" fontId="1" fillId="7" borderId="11" xfId="0" applyFont="1" applyFill="1" applyBorder="1" applyAlignment="1" applyProtection="1">
      <alignment horizontal="left"/>
      <protection/>
    </xf>
    <xf numFmtId="0" fontId="1" fillId="7" borderId="11" xfId="0" applyFont="1" applyFill="1" applyBorder="1" applyAlignment="1" applyProtection="1">
      <alignment horizontal="left" indent="2"/>
      <protection/>
    </xf>
    <xf numFmtId="9" fontId="1" fillId="7" borderId="0" xfId="0" applyNumberFormat="1" applyFont="1" applyFill="1" applyBorder="1" applyAlignment="1" applyProtection="1">
      <alignment/>
      <protection locked="0"/>
    </xf>
    <xf numFmtId="166" fontId="1" fillId="7" borderId="0" xfId="0" applyNumberFormat="1" applyFont="1" applyFill="1" applyBorder="1" applyAlignment="1" applyProtection="1">
      <alignment/>
      <protection/>
    </xf>
    <xf numFmtId="166" fontId="1" fillId="7" borderId="0" xfId="0" applyNumberFormat="1" applyFont="1" applyFill="1" applyBorder="1" applyAlignment="1" applyProtection="1">
      <alignment/>
      <protection locked="0"/>
    </xf>
    <xf numFmtId="0" fontId="1" fillId="7" borderId="13" xfId="0" applyFont="1" applyFill="1" applyBorder="1" applyAlignment="1" applyProtection="1">
      <alignment/>
      <protection/>
    </xf>
    <xf numFmtId="0" fontId="1" fillId="7" borderId="14" xfId="0" applyFont="1" applyFill="1" applyBorder="1" applyAlignment="1" applyProtection="1">
      <alignment/>
      <protection/>
    </xf>
    <xf numFmtId="0" fontId="1" fillId="7" borderId="15" xfId="0" applyFont="1" applyFill="1" applyBorder="1" applyAlignment="1" applyProtection="1">
      <alignment/>
      <protection/>
    </xf>
    <xf numFmtId="0" fontId="1" fillId="4" borderId="16" xfId="0" applyFont="1" applyFill="1" applyBorder="1" applyAlignment="1" applyProtection="1">
      <alignment/>
      <protection/>
    </xf>
    <xf numFmtId="0" fontId="1" fillId="4" borderId="10" xfId="0" applyFont="1" applyFill="1" applyBorder="1" applyAlignment="1" applyProtection="1">
      <alignment/>
      <protection/>
    </xf>
    <xf numFmtId="0" fontId="1" fillId="4" borderId="0" xfId="0" applyFont="1" applyFill="1" applyBorder="1" applyAlignment="1" applyProtection="1">
      <alignment/>
      <protection/>
    </xf>
    <xf numFmtId="0" fontId="1" fillId="4" borderId="12" xfId="0" applyFont="1" applyFill="1" applyBorder="1" applyAlignment="1" applyProtection="1">
      <alignment/>
      <protection/>
    </xf>
    <xf numFmtId="0" fontId="1" fillId="4" borderId="11" xfId="0" applyFont="1" applyFill="1" applyBorder="1" applyAlignment="1" applyProtection="1">
      <alignment/>
      <protection/>
    </xf>
    <xf numFmtId="167" fontId="1" fillId="4" borderId="0" xfId="0" applyNumberFormat="1" applyFont="1" applyFill="1" applyBorder="1" applyAlignment="1" applyProtection="1">
      <alignment/>
      <protection/>
    </xf>
    <xf numFmtId="0" fontId="1" fillId="4" borderId="11" xfId="0" applyFont="1" applyFill="1" applyBorder="1" applyAlignment="1" applyProtection="1">
      <alignment horizontal="left" indent="1"/>
      <protection/>
    </xf>
    <xf numFmtId="0" fontId="1" fillId="4" borderId="11" xfId="0" applyFont="1" applyFill="1" applyBorder="1" applyAlignment="1" applyProtection="1">
      <alignment horizontal="left"/>
      <protection/>
    </xf>
    <xf numFmtId="0" fontId="3" fillId="4" borderId="0" xfId="0" applyFont="1" applyFill="1" applyBorder="1" applyAlignment="1" applyProtection="1">
      <alignment/>
      <protection/>
    </xf>
    <xf numFmtId="0" fontId="3" fillId="4" borderId="12" xfId="0" applyFont="1" applyFill="1" applyBorder="1" applyAlignment="1" applyProtection="1">
      <alignment/>
      <protection/>
    </xf>
    <xf numFmtId="0" fontId="3" fillId="0" borderId="0" xfId="0" applyFont="1" applyAlignment="1" applyProtection="1">
      <alignment/>
      <protection/>
    </xf>
    <xf numFmtId="0" fontId="1" fillId="4" borderId="11" xfId="0" applyFont="1" applyFill="1" applyBorder="1" applyAlignment="1" applyProtection="1">
      <alignment horizontal="right"/>
      <protection/>
    </xf>
    <xf numFmtId="0" fontId="1" fillId="4" borderId="13" xfId="0" applyFont="1" applyFill="1" applyBorder="1" applyAlignment="1" applyProtection="1">
      <alignment/>
      <protection/>
    </xf>
    <xf numFmtId="0" fontId="1" fillId="4" borderId="14" xfId="0" applyFont="1" applyFill="1" applyBorder="1" applyAlignment="1" applyProtection="1">
      <alignment/>
      <protection/>
    </xf>
    <xf numFmtId="0" fontId="1" fillId="4" borderId="15" xfId="0" applyFont="1" applyFill="1" applyBorder="1" applyAlignment="1" applyProtection="1">
      <alignment/>
      <protection/>
    </xf>
    <xf numFmtId="0" fontId="1" fillId="22" borderId="16" xfId="0" applyFont="1" applyFill="1" applyBorder="1" applyAlignment="1" applyProtection="1">
      <alignment/>
      <protection/>
    </xf>
    <xf numFmtId="0" fontId="1" fillId="22" borderId="17" xfId="0" applyFont="1" applyFill="1" applyBorder="1" applyAlignment="1" applyProtection="1">
      <alignment/>
      <protection/>
    </xf>
    <xf numFmtId="0" fontId="1" fillId="22" borderId="10" xfId="0" applyFont="1" applyFill="1" applyBorder="1" applyAlignment="1" applyProtection="1">
      <alignment/>
      <protection/>
    </xf>
    <xf numFmtId="0" fontId="1" fillId="22" borderId="11" xfId="0" applyFont="1" applyFill="1" applyBorder="1" applyAlignment="1" applyProtection="1">
      <alignment horizontal="left"/>
      <protection/>
    </xf>
    <xf numFmtId="0" fontId="1" fillId="22" borderId="12" xfId="0" applyFont="1" applyFill="1" applyBorder="1" applyAlignment="1" applyProtection="1">
      <alignment/>
      <protection/>
    </xf>
    <xf numFmtId="0" fontId="1" fillId="22" borderId="14" xfId="0" applyFont="1" applyFill="1" applyBorder="1" applyAlignment="1" applyProtection="1">
      <alignment/>
      <protection/>
    </xf>
    <xf numFmtId="0" fontId="1" fillId="22" borderId="15" xfId="0" applyFont="1" applyFill="1" applyBorder="1" applyAlignment="1" applyProtection="1">
      <alignment/>
      <protection/>
    </xf>
    <xf numFmtId="0" fontId="1" fillId="0" borderId="0" xfId="0" applyFont="1" applyFill="1" applyAlignment="1" applyProtection="1">
      <alignment/>
      <protection/>
    </xf>
    <xf numFmtId="0" fontId="1" fillId="7" borderId="0" xfId="0" applyNumberFormat="1" applyFont="1" applyFill="1" applyBorder="1" applyAlignment="1" applyProtection="1">
      <alignment/>
      <protection/>
    </xf>
    <xf numFmtId="0" fontId="1" fillId="4" borderId="11" xfId="0" applyFont="1" applyFill="1" applyBorder="1" applyAlignment="1" applyProtection="1">
      <alignment/>
      <protection/>
    </xf>
    <xf numFmtId="0" fontId="6" fillId="0" borderId="0" xfId="0" applyFont="1" applyAlignment="1">
      <alignment horizontal="center" wrapText="1"/>
    </xf>
    <xf numFmtId="0" fontId="2" fillId="7" borderId="16" xfId="0" applyFont="1" applyFill="1" applyBorder="1" applyAlignment="1" applyProtection="1">
      <alignment/>
      <protection/>
    </xf>
    <xf numFmtId="0" fontId="3" fillId="7" borderId="17" xfId="0" applyFont="1" applyFill="1" applyBorder="1" applyAlignment="1" applyProtection="1">
      <alignment horizontal="center" wrapText="1"/>
      <protection/>
    </xf>
    <xf numFmtId="0" fontId="3" fillId="7" borderId="0" xfId="0" applyFont="1" applyFill="1" applyBorder="1" applyAlignment="1" applyProtection="1">
      <alignment horizontal="center" wrapText="1"/>
      <protection/>
    </xf>
    <xf numFmtId="0" fontId="7" fillId="0" borderId="0" xfId="0" applyFont="1" applyAlignment="1" applyProtection="1">
      <alignment/>
      <protection/>
    </xf>
    <xf numFmtId="0" fontId="7" fillId="0" borderId="0" xfId="0" applyFont="1" applyAlignment="1" applyProtection="1">
      <alignment/>
      <protection/>
    </xf>
    <xf numFmtId="0" fontId="3" fillId="4" borderId="17" xfId="0" applyFont="1" applyFill="1" applyBorder="1" applyAlignment="1" applyProtection="1">
      <alignment horizontal="center" wrapText="1"/>
      <protection/>
    </xf>
    <xf numFmtId="0" fontId="8" fillId="4" borderId="11" xfId="0" applyFont="1" applyFill="1" applyBorder="1" applyAlignment="1" applyProtection="1">
      <alignment/>
      <protection/>
    </xf>
    <xf numFmtId="0" fontId="3" fillId="4" borderId="11" xfId="0" applyFont="1" applyFill="1" applyBorder="1" applyAlignment="1" applyProtection="1">
      <alignment/>
      <protection/>
    </xf>
    <xf numFmtId="167" fontId="3" fillId="4" borderId="17" xfId="0" applyNumberFormat="1" applyFont="1" applyFill="1" applyBorder="1" applyAlignment="1" applyProtection="1">
      <alignment/>
      <protection/>
    </xf>
    <xf numFmtId="167" fontId="3" fillId="4" borderId="0" xfId="0" applyNumberFormat="1" applyFont="1" applyFill="1" applyBorder="1" applyAlignment="1" applyProtection="1">
      <alignment/>
      <protection/>
    </xf>
    <xf numFmtId="0" fontId="4" fillId="0" borderId="0" xfId="0" applyFont="1" applyAlignment="1" applyProtection="1">
      <alignment horizontal="left"/>
      <protection/>
    </xf>
    <xf numFmtId="0" fontId="2" fillId="0" borderId="0" xfId="0" applyFont="1" applyFill="1" applyAlignment="1" applyProtection="1">
      <alignment/>
      <protection/>
    </xf>
    <xf numFmtId="0" fontId="1" fillId="22" borderId="0" xfId="0" applyFont="1" applyFill="1" applyBorder="1" applyAlignment="1" applyProtection="1">
      <alignment/>
      <protection/>
    </xf>
    <xf numFmtId="0" fontId="2" fillId="7" borderId="11" xfId="0" applyFont="1" applyFill="1" applyBorder="1" applyAlignment="1" applyProtection="1">
      <alignment horizontal="center"/>
      <protection/>
    </xf>
    <xf numFmtId="0" fontId="1" fillId="0" borderId="12" xfId="0" applyFont="1" applyFill="1" applyBorder="1" applyAlignment="1" applyProtection="1">
      <alignment horizontal="left"/>
      <protection/>
    </xf>
    <xf numFmtId="0" fontId="1" fillId="0" borderId="18" xfId="0" applyFont="1" applyFill="1" applyBorder="1" applyAlignment="1" applyProtection="1">
      <alignment/>
      <protection/>
    </xf>
    <xf numFmtId="0" fontId="9" fillId="0" borderId="0" xfId="0" applyFont="1" applyBorder="1" applyAlignment="1" applyProtection="1">
      <alignment horizontal="center"/>
      <protection/>
    </xf>
    <xf numFmtId="0" fontId="9" fillId="0" borderId="0" xfId="0" applyFont="1" applyBorder="1" applyAlignment="1" applyProtection="1">
      <alignment/>
      <protection/>
    </xf>
    <xf numFmtId="0" fontId="1" fillId="0" borderId="0" xfId="0" applyFont="1" applyBorder="1" applyAlignment="1" applyProtection="1">
      <alignment/>
      <protection/>
    </xf>
    <xf numFmtId="0" fontId="1" fillId="0" borderId="0" xfId="0" applyFont="1" applyAlignment="1" applyProtection="1">
      <alignment/>
      <protection/>
    </xf>
    <xf numFmtId="0" fontId="9" fillId="0" borderId="0" xfId="0" applyFont="1" applyFill="1" applyBorder="1" applyAlignment="1" applyProtection="1">
      <alignment horizontal="center"/>
      <protection/>
    </xf>
    <xf numFmtId="0" fontId="1" fillId="0" borderId="16" xfId="0" applyFont="1" applyFill="1" applyBorder="1" applyAlignment="1" applyProtection="1">
      <alignment horizontal="right"/>
      <protection/>
    </xf>
    <xf numFmtId="0" fontId="1" fillId="0" borderId="10" xfId="0" applyFont="1" applyFill="1" applyBorder="1" applyAlignment="1" applyProtection="1">
      <alignment horizontal="left"/>
      <protection/>
    </xf>
    <xf numFmtId="0" fontId="1" fillId="0" borderId="19" xfId="0" applyFont="1" applyFill="1" applyBorder="1" applyAlignment="1" applyProtection="1">
      <alignment/>
      <protection/>
    </xf>
    <xf numFmtId="0" fontId="1" fillId="0" borderId="11" xfId="0" applyFont="1" applyFill="1" applyBorder="1" applyAlignment="1" applyProtection="1">
      <alignment horizontal="right"/>
      <protection/>
    </xf>
    <xf numFmtId="0" fontId="2" fillId="0" borderId="0" xfId="0" applyFont="1" applyAlignment="1" applyProtection="1">
      <alignment/>
      <protection/>
    </xf>
    <xf numFmtId="38" fontId="1" fillId="0" borderId="12" xfId="0" applyNumberFormat="1" applyFont="1" applyFill="1" applyBorder="1" applyAlignment="1" applyProtection="1">
      <alignment horizontal="left"/>
      <protection/>
    </xf>
    <xf numFmtId="169" fontId="1" fillId="0" borderId="11" xfId="0" applyNumberFormat="1" applyFont="1" applyFill="1" applyBorder="1" applyAlignment="1" applyProtection="1">
      <alignment horizontal="right"/>
      <protection/>
    </xf>
    <xf numFmtId="169" fontId="1" fillId="0" borderId="12" xfId="0" applyNumberFormat="1" applyFont="1" applyFill="1" applyBorder="1" applyAlignment="1" applyProtection="1">
      <alignment horizontal="left"/>
      <protection/>
    </xf>
    <xf numFmtId="167" fontId="1" fillId="0" borderId="11" xfId="0" applyNumberFormat="1" applyFont="1" applyFill="1" applyBorder="1" applyAlignment="1" applyProtection="1">
      <alignment horizontal="right"/>
      <protection/>
    </xf>
    <xf numFmtId="167" fontId="1" fillId="0" borderId="12" xfId="0" applyNumberFormat="1" applyFont="1" applyFill="1" applyBorder="1" applyAlignment="1" applyProtection="1">
      <alignment horizontal="left"/>
      <protection/>
    </xf>
    <xf numFmtId="169" fontId="1" fillId="0" borderId="12" xfId="58" applyNumberFormat="1" applyFont="1" applyFill="1" applyBorder="1" applyAlignment="1" applyProtection="1">
      <alignment horizontal="left"/>
      <protection/>
    </xf>
    <xf numFmtId="0" fontId="1" fillId="0" borderId="0" xfId="0" applyFont="1" applyBorder="1" applyAlignment="1" applyProtection="1">
      <alignment/>
      <protection/>
    </xf>
    <xf numFmtId="170" fontId="1" fillId="0" borderId="11" xfId="42" applyNumberFormat="1" applyFont="1" applyFill="1" applyBorder="1" applyAlignment="1" applyProtection="1">
      <alignment horizontal="right"/>
      <protection/>
    </xf>
    <xf numFmtId="9" fontId="1" fillId="0" borderId="11" xfId="0" applyNumberFormat="1" applyFont="1" applyFill="1" applyBorder="1" applyAlignment="1" applyProtection="1">
      <alignment vertical="top"/>
      <protection locked="0"/>
    </xf>
    <xf numFmtId="0" fontId="1" fillId="0" borderId="18" xfId="0" applyFont="1" applyFill="1" applyBorder="1" applyAlignment="1" applyProtection="1">
      <alignment wrapText="1"/>
      <protection/>
    </xf>
    <xf numFmtId="0" fontId="1" fillId="0" borderId="18" xfId="0" applyFont="1" applyBorder="1" applyAlignment="1" applyProtection="1">
      <alignment/>
      <protection/>
    </xf>
    <xf numFmtId="0" fontId="1" fillId="0" borderId="0" xfId="0" applyFont="1" applyFill="1" applyBorder="1" applyAlignment="1" applyProtection="1">
      <alignment horizontal="right"/>
      <protection/>
    </xf>
    <xf numFmtId="0" fontId="1" fillId="0" borderId="0" xfId="0" applyFont="1" applyFill="1" applyBorder="1" applyAlignment="1" applyProtection="1">
      <alignment/>
      <protection/>
    </xf>
    <xf numFmtId="0" fontId="1" fillId="0" borderId="0" xfId="0" applyFont="1" applyFill="1" applyAlignment="1" applyProtection="1">
      <alignment/>
      <protection/>
    </xf>
    <xf numFmtId="3" fontId="1" fillId="0" borderId="0" xfId="0" applyNumberFormat="1" applyFont="1" applyFill="1" applyBorder="1" applyAlignment="1" applyProtection="1">
      <alignment horizontal="right"/>
      <protection/>
    </xf>
    <xf numFmtId="0" fontId="1" fillId="0" borderId="0" xfId="0" applyFont="1" applyFill="1" applyAlignment="1" applyProtection="1">
      <alignment horizontal="right"/>
      <protection/>
    </xf>
    <xf numFmtId="0" fontId="1" fillId="0" borderId="0" xfId="0" applyFont="1" applyFill="1" applyAlignment="1" applyProtection="1">
      <alignment horizontal="left"/>
      <protection/>
    </xf>
    <xf numFmtId="0" fontId="10" fillId="0" borderId="18" xfId="0" applyFont="1" applyBorder="1" applyAlignment="1" applyProtection="1">
      <alignment horizontal="left"/>
      <protection/>
    </xf>
    <xf numFmtId="0" fontId="10" fillId="0" borderId="18" xfId="0" applyFont="1" applyFill="1" applyBorder="1" applyAlignment="1" applyProtection="1">
      <alignment/>
      <protection/>
    </xf>
    <xf numFmtId="0" fontId="1" fillId="0" borderId="18" xfId="0" applyFont="1" applyFill="1" applyBorder="1" applyAlignment="1" applyProtection="1">
      <alignment horizontal="left" indent="1"/>
      <protection/>
    </xf>
    <xf numFmtId="0" fontId="1" fillId="0" borderId="20" xfId="0" applyFont="1" applyFill="1" applyBorder="1" applyAlignment="1" applyProtection="1">
      <alignment horizontal="left" indent="1"/>
      <protection/>
    </xf>
    <xf numFmtId="0" fontId="10" fillId="0" borderId="19" xfId="0" applyFont="1" applyBorder="1" applyAlignment="1" applyProtection="1">
      <alignment/>
      <protection/>
    </xf>
    <xf numFmtId="0" fontId="14" fillId="4" borderId="11" xfId="0" applyFont="1" applyFill="1" applyBorder="1" applyAlignment="1" applyProtection="1">
      <alignment/>
      <protection/>
    </xf>
    <xf numFmtId="0" fontId="10" fillId="4" borderId="11" xfId="0" applyFont="1" applyFill="1" applyBorder="1" applyAlignment="1" applyProtection="1">
      <alignment/>
      <protection/>
    </xf>
    <xf numFmtId="171" fontId="1" fillId="7" borderId="14" xfId="0" applyNumberFormat="1" applyFont="1" applyFill="1" applyBorder="1" applyAlignment="1" applyProtection="1">
      <alignment horizontal="right"/>
      <protection/>
    </xf>
    <xf numFmtId="171" fontId="1" fillId="7" borderId="14" xfId="0" applyNumberFormat="1" applyFont="1" applyFill="1" applyBorder="1" applyAlignment="1" applyProtection="1">
      <alignment/>
      <protection/>
    </xf>
    <xf numFmtId="164" fontId="1" fillId="20" borderId="21" xfId="0" applyNumberFormat="1" applyFont="1" applyFill="1" applyBorder="1" applyAlignment="1" applyProtection="1">
      <alignment/>
      <protection locked="0"/>
    </xf>
    <xf numFmtId="2" fontId="1" fillId="22" borderId="11" xfId="0" applyNumberFormat="1" applyFont="1" applyFill="1" applyBorder="1" applyAlignment="1" applyProtection="1">
      <alignment horizontal="left" vertical="center"/>
      <protection/>
    </xf>
    <xf numFmtId="0" fontId="2" fillId="22" borderId="13" xfId="0" applyFont="1" applyFill="1" applyBorder="1" applyAlignment="1" applyProtection="1">
      <alignment/>
      <protection/>
    </xf>
    <xf numFmtId="168" fontId="10" fillId="4" borderId="0" xfId="0" applyNumberFormat="1" applyFont="1" applyFill="1" applyBorder="1" applyAlignment="1" applyProtection="1">
      <alignment horizontal="right"/>
      <protection/>
    </xf>
    <xf numFmtId="171" fontId="1" fillId="0" borderId="11" xfId="0" applyNumberFormat="1" applyFont="1" applyFill="1" applyBorder="1" applyAlignment="1" applyProtection="1">
      <alignment horizontal="right"/>
      <protection/>
    </xf>
    <xf numFmtId="3" fontId="1" fillId="0" borderId="11" xfId="0" applyNumberFormat="1" applyFont="1" applyFill="1" applyBorder="1" applyAlignment="1" applyProtection="1">
      <alignment horizontal="right"/>
      <protection/>
    </xf>
    <xf numFmtId="0" fontId="1" fillId="7" borderId="0" xfId="0" applyFont="1" applyFill="1" applyBorder="1" applyAlignment="1" applyProtection="1">
      <alignment horizontal="center" vertical="center" wrapText="1"/>
      <protection/>
    </xf>
    <xf numFmtId="0" fontId="19" fillId="7" borderId="11" xfId="0" applyFont="1" applyFill="1" applyBorder="1" applyAlignment="1" applyProtection="1">
      <alignment vertical="center"/>
      <protection locked="0"/>
    </xf>
    <xf numFmtId="0" fontId="1" fillId="7" borderId="0" xfId="0" applyNumberFormat="1" applyFont="1" applyFill="1" applyBorder="1" applyAlignment="1" applyProtection="1">
      <alignment/>
      <protection locked="0"/>
    </xf>
    <xf numFmtId="3" fontId="1" fillId="0" borderId="11" xfId="42" applyNumberFormat="1" applyFont="1" applyFill="1" applyBorder="1" applyAlignment="1" applyProtection="1">
      <alignment horizontal="right"/>
      <protection/>
    </xf>
    <xf numFmtId="173" fontId="1" fillId="20" borderId="21" xfId="0" applyNumberFormat="1" applyFont="1" applyFill="1" applyBorder="1" applyAlignment="1" applyProtection="1">
      <alignment/>
      <protection locked="0"/>
    </xf>
    <xf numFmtId="173" fontId="1" fillId="7" borderId="0" xfId="0" applyNumberFormat="1" applyFont="1" applyFill="1" applyBorder="1" applyAlignment="1" applyProtection="1">
      <alignment/>
      <protection/>
    </xf>
    <xf numFmtId="3" fontId="1" fillId="20" borderId="22" xfId="0" applyNumberFormat="1" applyFont="1" applyFill="1" applyBorder="1" applyAlignment="1" applyProtection="1">
      <alignment/>
      <protection locked="0"/>
    </xf>
    <xf numFmtId="174" fontId="1" fillId="20" borderId="22" xfId="0" applyNumberFormat="1" applyFont="1" applyFill="1" applyBorder="1" applyAlignment="1" applyProtection="1">
      <alignment/>
      <protection locked="0"/>
    </xf>
    <xf numFmtId="176" fontId="1" fillId="0" borderId="11" xfId="0" applyNumberFormat="1" applyFont="1" applyFill="1" applyBorder="1" applyAlignment="1" applyProtection="1">
      <alignment/>
      <protection/>
    </xf>
    <xf numFmtId="0" fontId="10" fillId="0" borderId="0" xfId="0" applyFont="1" applyBorder="1" applyAlignment="1" applyProtection="1">
      <alignment wrapText="1"/>
      <protection/>
    </xf>
    <xf numFmtId="0" fontId="1" fillId="0" borderId="18" xfId="0" applyFont="1" applyBorder="1" applyAlignment="1" applyProtection="1">
      <alignment horizontal="left" indent="2"/>
      <protection/>
    </xf>
    <xf numFmtId="2" fontId="1" fillId="0" borderId="11" xfId="42" applyNumberFormat="1" applyFont="1" applyFill="1" applyBorder="1" applyAlignment="1" applyProtection="1">
      <alignment horizontal="right"/>
      <protection/>
    </xf>
    <xf numFmtId="171" fontId="1" fillId="4" borderId="0" xfId="0" applyNumberFormat="1" applyFont="1" applyFill="1" applyBorder="1" applyAlignment="1" applyProtection="1">
      <alignment/>
      <protection/>
    </xf>
    <xf numFmtId="0" fontId="2" fillId="4" borderId="11" xfId="0" applyFont="1" applyFill="1" applyBorder="1" applyAlignment="1" applyProtection="1">
      <alignment horizontal="left" indent="2"/>
      <protection/>
    </xf>
    <xf numFmtId="0" fontId="2" fillId="4" borderId="0" xfId="0" applyFont="1" applyFill="1" applyBorder="1" applyAlignment="1" applyProtection="1">
      <alignment/>
      <protection/>
    </xf>
    <xf numFmtId="3" fontId="2" fillId="4" borderId="0" xfId="0" applyNumberFormat="1" applyFont="1" applyFill="1" applyBorder="1" applyAlignment="1" applyProtection="1">
      <alignment/>
      <protection/>
    </xf>
    <xf numFmtId="0" fontId="2" fillId="4" borderId="12" xfId="0" applyFont="1" applyFill="1" applyBorder="1" applyAlignment="1" applyProtection="1">
      <alignment/>
      <protection/>
    </xf>
    <xf numFmtId="37" fontId="2" fillId="4" borderId="0" xfId="0" applyNumberFormat="1" applyFont="1" applyFill="1" applyBorder="1" applyAlignment="1" applyProtection="1">
      <alignment/>
      <protection/>
    </xf>
    <xf numFmtId="3" fontId="2" fillId="4" borderId="0" xfId="0" applyNumberFormat="1" applyFont="1" applyFill="1" applyBorder="1" applyAlignment="1" applyProtection="1">
      <alignment horizontal="left"/>
      <protection/>
    </xf>
    <xf numFmtId="0" fontId="3" fillId="0" borderId="18" xfId="0" applyFont="1" applyFill="1" applyBorder="1" applyAlignment="1" applyProtection="1">
      <alignment horizontal="left" wrapText="1" indent="1"/>
      <protection/>
    </xf>
    <xf numFmtId="0" fontId="1" fillId="0" borderId="18" xfId="0" applyFont="1" applyFill="1" applyBorder="1" applyAlignment="1" applyProtection="1">
      <alignment horizontal="left" indent="2"/>
      <protection/>
    </xf>
    <xf numFmtId="0" fontId="1" fillId="0" borderId="18" xfId="0" applyFont="1" applyFill="1" applyBorder="1" applyAlignment="1" applyProtection="1">
      <alignment horizontal="left" wrapText="1" indent="2"/>
      <protection/>
    </xf>
    <xf numFmtId="0" fontId="3" fillId="0" borderId="18" xfId="0" applyFont="1" applyFill="1" applyBorder="1" applyAlignment="1" applyProtection="1">
      <alignment horizontal="left" indent="1"/>
      <protection/>
    </xf>
    <xf numFmtId="0" fontId="1" fillId="0" borderId="18" xfId="0" applyFont="1" applyBorder="1" applyAlignment="1" applyProtection="1">
      <alignment horizontal="left" indent="3"/>
      <protection/>
    </xf>
    <xf numFmtId="0" fontId="1" fillId="0" borderId="18" xfId="0" applyFont="1" applyBorder="1" applyAlignment="1" applyProtection="1">
      <alignment horizontal="left"/>
      <protection/>
    </xf>
    <xf numFmtId="0" fontId="3" fillId="0" borderId="18" xfId="0" applyFont="1" applyBorder="1" applyAlignment="1" applyProtection="1">
      <alignment horizontal="left" indent="1"/>
      <protection/>
    </xf>
    <xf numFmtId="0" fontId="10" fillId="0" borderId="18" xfId="0" applyFont="1" applyBorder="1" applyAlignment="1" applyProtection="1">
      <alignment/>
      <protection/>
    </xf>
    <xf numFmtId="0" fontId="1" fillId="0" borderId="18" xfId="0" applyFont="1" applyBorder="1" applyAlignment="1" applyProtection="1">
      <alignment horizontal="left" vertical="top" indent="1"/>
      <protection/>
    </xf>
    <xf numFmtId="0" fontId="10" fillId="0" borderId="14" xfId="0" applyFont="1" applyFill="1" applyBorder="1" applyAlignment="1" applyProtection="1">
      <alignment/>
      <protection/>
    </xf>
    <xf numFmtId="0" fontId="19" fillId="0" borderId="0" xfId="0" applyFont="1" applyBorder="1" applyAlignment="1" applyProtection="1">
      <alignment/>
      <protection/>
    </xf>
    <xf numFmtId="172" fontId="20" fillId="0" borderId="0" xfId="0" applyNumberFormat="1" applyFont="1" applyAlignment="1" applyProtection="1">
      <alignment/>
      <protection/>
    </xf>
    <xf numFmtId="0" fontId="1" fillId="0" borderId="15" xfId="0" applyFont="1" applyFill="1" applyBorder="1" applyAlignment="1" applyProtection="1">
      <alignment horizontal="left"/>
      <protection/>
    </xf>
    <xf numFmtId="0" fontId="1" fillId="0" borderId="0" xfId="0" applyFont="1" applyFill="1" applyBorder="1" applyAlignment="1" applyProtection="1">
      <alignment wrapText="1"/>
      <protection/>
    </xf>
    <xf numFmtId="0" fontId="21" fillId="0" borderId="0" xfId="52" applyFont="1" applyFill="1" applyAlignment="1" applyProtection="1">
      <alignment/>
      <protection/>
    </xf>
    <xf numFmtId="0" fontId="0" fillId="0" borderId="0" xfId="0" applyFill="1" applyAlignment="1">
      <alignment/>
    </xf>
    <xf numFmtId="0" fontId="23" fillId="0" borderId="0" xfId="0" applyFont="1" applyFill="1" applyBorder="1" applyAlignment="1" applyProtection="1">
      <alignment/>
      <protection/>
    </xf>
    <xf numFmtId="0" fontId="23" fillId="0" borderId="0" xfId="0" applyFont="1" applyFill="1" applyAlignment="1" applyProtection="1">
      <alignment/>
      <protection/>
    </xf>
    <xf numFmtId="0" fontId="23" fillId="0" borderId="0" xfId="0" applyFont="1" applyBorder="1" applyAlignment="1" applyProtection="1">
      <alignment/>
      <protection/>
    </xf>
    <xf numFmtId="0" fontId="24" fillId="0" borderId="0" xfId="0" applyFont="1" applyAlignment="1" applyProtection="1">
      <alignment/>
      <protection/>
    </xf>
    <xf numFmtId="172" fontId="24" fillId="0" borderId="0" xfId="0" applyNumberFormat="1" applyFont="1" applyAlignment="1" applyProtection="1">
      <alignment/>
      <protection/>
    </xf>
    <xf numFmtId="0" fontId="1" fillId="0" borderId="18" xfId="0" applyFont="1" applyFill="1" applyBorder="1" applyAlignment="1" applyProtection="1">
      <alignment horizontal="left" indent="3"/>
      <protection/>
    </xf>
    <xf numFmtId="176" fontId="1" fillId="0" borderId="11" xfId="0" applyNumberFormat="1" applyFont="1" applyFill="1" applyBorder="1" applyAlignment="1" applyProtection="1">
      <alignment horizontal="right"/>
      <protection/>
    </xf>
    <xf numFmtId="2" fontId="1" fillId="0" borderId="0" xfId="0" applyNumberFormat="1" applyFont="1" applyAlignment="1" applyProtection="1">
      <alignment/>
      <protection/>
    </xf>
    <xf numFmtId="0" fontId="1" fillId="7" borderId="0" xfId="0" applyFont="1" applyFill="1" applyAlignment="1" applyProtection="1">
      <alignment/>
      <protection/>
    </xf>
    <xf numFmtId="1" fontId="1" fillId="20" borderId="21" xfId="0" applyNumberFormat="1" applyFont="1" applyFill="1" applyBorder="1" applyAlignment="1" applyProtection="1">
      <alignment horizontal="right"/>
      <protection locked="0"/>
    </xf>
    <xf numFmtId="1" fontId="1" fillId="7" borderId="0" xfId="0" applyNumberFormat="1" applyFont="1" applyFill="1" applyBorder="1" applyAlignment="1" applyProtection="1">
      <alignment horizontal="right"/>
      <protection locked="0"/>
    </xf>
    <xf numFmtId="49" fontId="1" fillId="0" borderId="0" xfId="0" applyNumberFormat="1" applyFont="1" applyFill="1" applyAlignment="1" applyProtection="1">
      <alignment/>
      <protection/>
    </xf>
    <xf numFmtId="2" fontId="1" fillId="0" borderId="0" xfId="0" applyNumberFormat="1" applyFont="1" applyFill="1" applyAlignment="1" applyProtection="1">
      <alignment/>
      <protection/>
    </xf>
    <xf numFmtId="0" fontId="2" fillId="0" borderId="0" xfId="0" applyFont="1" applyFill="1" applyAlignment="1" applyProtection="1">
      <alignment/>
      <protection/>
    </xf>
    <xf numFmtId="1" fontId="1" fillId="0" borderId="11" xfId="58" applyNumberFormat="1" applyFont="1" applyFill="1" applyBorder="1" applyAlignment="1" applyProtection="1">
      <alignment horizontal="right"/>
      <protection/>
    </xf>
    <xf numFmtId="0" fontId="25" fillId="0" borderId="0" xfId="0" applyFont="1" applyFill="1" applyBorder="1" applyAlignment="1" applyProtection="1">
      <alignment/>
      <protection/>
    </xf>
    <xf numFmtId="0" fontId="25" fillId="0" borderId="0" xfId="0" applyFont="1" applyFill="1" applyAlignment="1" applyProtection="1">
      <alignment/>
      <protection/>
    </xf>
    <xf numFmtId="3" fontId="25" fillId="0" borderId="0" xfId="0" applyNumberFormat="1" applyFont="1" applyFill="1" applyAlignment="1" applyProtection="1">
      <alignment/>
      <protection/>
    </xf>
    <xf numFmtId="170" fontId="25" fillId="0" borderId="0" xfId="42" applyNumberFormat="1" applyFont="1" applyFill="1" applyBorder="1" applyAlignment="1" applyProtection="1">
      <alignment/>
      <protection/>
    </xf>
    <xf numFmtId="3" fontId="25" fillId="0" borderId="0" xfId="0" applyNumberFormat="1" applyFont="1" applyFill="1" applyBorder="1" applyAlignment="1" applyProtection="1">
      <alignment/>
      <protection/>
    </xf>
    <xf numFmtId="170" fontId="25" fillId="0" borderId="0" xfId="0" applyNumberFormat="1" applyFont="1" applyFill="1" applyBorder="1" applyAlignment="1" applyProtection="1">
      <alignment/>
      <protection/>
    </xf>
    <xf numFmtId="176" fontId="25" fillId="0" borderId="0" xfId="0" applyNumberFormat="1" applyFont="1" applyFill="1" applyBorder="1" applyAlignment="1" applyProtection="1">
      <alignment/>
      <protection/>
    </xf>
    <xf numFmtId="170" fontId="25" fillId="0" borderId="0" xfId="0" applyNumberFormat="1" applyFont="1" applyFill="1" applyAlignment="1" applyProtection="1">
      <alignment/>
      <protection/>
    </xf>
    <xf numFmtId="0" fontId="26" fillId="0" borderId="0" xfId="0" applyFont="1" applyFill="1" applyAlignment="1" applyProtection="1">
      <alignment/>
      <protection/>
    </xf>
    <xf numFmtId="172" fontId="26" fillId="0" borderId="0" xfId="0" applyNumberFormat="1" applyFont="1" applyFill="1" applyAlignment="1" applyProtection="1">
      <alignment/>
      <protection/>
    </xf>
    <xf numFmtId="172" fontId="25" fillId="0" borderId="0" xfId="0" applyNumberFormat="1" applyFont="1" applyFill="1" applyAlignment="1" applyProtection="1">
      <alignment/>
      <protection/>
    </xf>
    <xf numFmtId="1" fontId="25" fillId="0" borderId="0" xfId="0" applyNumberFormat="1" applyFont="1" applyFill="1" applyBorder="1" applyAlignment="1" applyProtection="1">
      <alignment/>
      <protection/>
    </xf>
    <xf numFmtId="3" fontId="25" fillId="0" borderId="0" xfId="0" applyNumberFormat="1" applyFont="1" applyFill="1" applyAlignment="1" applyProtection="1">
      <alignment horizontal="right"/>
      <protection/>
    </xf>
    <xf numFmtId="0" fontId="27" fillId="0" borderId="0" xfId="0" applyFont="1" applyFill="1" applyBorder="1" applyAlignment="1" applyProtection="1">
      <alignment/>
      <protection/>
    </xf>
    <xf numFmtId="3" fontId="1" fillId="0" borderId="14" xfId="0" applyNumberFormat="1" applyFont="1" applyFill="1" applyBorder="1" applyAlignment="1" applyProtection="1">
      <alignment horizontal="right"/>
      <protection/>
    </xf>
    <xf numFmtId="0" fontId="1" fillId="0" borderId="20" xfId="0" applyFont="1" applyFill="1" applyBorder="1" applyAlignment="1" applyProtection="1">
      <alignment/>
      <protection/>
    </xf>
    <xf numFmtId="4" fontId="3" fillId="22" borderId="0" xfId="0" applyNumberFormat="1" applyFont="1" applyFill="1" applyBorder="1" applyAlignment="1" applyProtection="1">
      <alignment horizontal="right"/>
      <protection/>
    </xf>
    <xf numFmtId="9" fontId="3" fillId="22" borderId="0" xfId="58" applyFont="1" applyFill="1" applyBorder="1" applyAlignment="1" applyProtection="1">
      <alignment horizontal="right"/>
      <protection/>
    </xf>
    <xf numFmtId="167" fontId="3" fillId="22" borderId="0" xfId="0" applyNumberFormat="1" applyFont="1" applyFill="1" applyBorder="1" applyAlignment="1" applyProtection="1">
      <alignment horizontal="right"/>
      <protection/>
    </xf>
    <xf numFmtId="169" fontId="3" fillId="22" borderId="0" xfId="0" applyNumberFormat="1" applyFont="1" applyFill="1" applyBorder="1" applyAlignment="1" applyProtection="1">
      <alignment horizontal="right"/>
      <protection/>
    </xf>
    <xf numFmtId="3" fontId="3" fillId="22" borderId="0" xfId="0" applyNumberFormat="1" applyFont="1" applyFill="1" applyBorder="1" applyAlignment="1" applyProtection="1">
      <alignment horizontal="right"/>
      <protection/>
    </xf>
    <xf numFmtId="0" fontId="17" fillId="0" borderId="0" xfId="0" applyFont="1" applyAlignment="1" applyProtection="1">
      <alignment horizontal="left"/>
      <protection/>
    </xf>
    <xf numFmtId="0" fontId="13" fillId="0" borderId="0" xfId="0" applyFont="1" applyAlignment="1">
      <alignment horizontal="center" wrapText="1"/>
    </xf>
    <xf numFmtId="0" fontId="10" fillId="4" borderId="23" xfId="0" applyFont="1" applyFill="1" applyBorder="1" applyAlignment="1" applyProtection="1">
      <alignment horizontal="center" wrapText="1"/>
      <protection/>
    </xf>
    <xf numFmtId="0" fontId="16" fillId="0" borderId="17" xfId="0" applyFont="1" applyBorder="1" applyAlignment="1" applyProtection="1">
      <alignment horizontal="left" wrapText="1"/>
      <protection/>
    </xf>
    <xf numFmtId="0" fontId="17" fillId="0" borderId="17" xfId="0" applyFont="1" applyBorder="1" applyAlignment="1" applyProtection="1">
      <alignment horizontal="left" wrapText="1"/>
      <protection/>
    </xf>
    <xf numFmtId="0" fontId="10" fillId="7" borderId="14" xfId="0" applyFont="1" applyFill="1" applyBorder="1" applyAlignment="1" applyProtection="1">
      <alignment horizontal="center" wrapText="1"/>
      <protection/>
    </xf>
    <xf numFmtId="0" fontId="3" fillId="7" borderId="0" xfId="0" applyFont="1" applyFill="1" applyBorder="1" applyAlignment="1" applyProtection="1">
      <alignment horizontal="center" wrapText="1"/>
      <protection/>
    </xf>
    <xf numFmtId="0" fontId="12" fillId="0" borderId="0" xfId="0" applyFont="1" applyAlignment="1">
      <alignment horizontal="center" wrapText="1"/>
    </xf>
    <xf numFmtId="0" fontId="1" fillId="0" borderId="0" xfId="0" applyFont="1" applyAlignment="1">
      <alignment horizontal="left" wrapText="1"/>
    </xf>
    <xf numFmtId="0" fontId="9" fillId="0" borderId="0" xfId="0" applyFont="1" applyBorder="1" applyAlignment="1" applyProtection="1">
      <alignment horizontal="center"/>
      <protection/>
    </xf>
    <xf numFmtId="0" fontId="10" fillId="0" borderId="14" xfId="0" applyFont="1" applyFill="1" applyBorder="1" applyAlignment="1" applyProtection="1">
      <alignment horizontal="center"/>
      <protection/>
    </xf>
    <xf numFmtId="2" fontId="23" fillId="0" borderId="0" xfId="0" applyNumberFormat="1" applyFont="1" applyFill="1" applyBorder="1" applyAlignment="1" applyProtection="1">
      <alignment horizontal="center" wrapText="1"/>
      <protection/>
    </xf>
    <xf numFmtId="0" fontId="23" fillId="0" borderId="0" xfId="0" applyFont="1" applyFill="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0</xdr:colOff>
      <xdr:row>4</xdr:row>
      <xdr:rowOff>85725</xdr:rowOff>
    </xdr:to>
    <xdr:pic>
      <xdr:nvPicPr>
        <xdr:cNvPr id="1" name="Picture 1" descr="ES promo with VOA"/>
        <xdr:cNvPicPr preferRelativeResize="1">
          <a:picLocks noChangeAspect="1"/>
        </xdr:cNvPicPr>
      </xdr:nvPicPr>
      <xdr:blipFill>
        <a:blip r:embed="rId1"/>
        <a:stretch>
          <a:fillRect/>
        </a:stretch>
      </xdr:blipFill>
      <xdr:spPr>
        <a:xfrm>
          <a:off x="0" y="0"/>
          <a:ext cx="7315200"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Escalcs@cadmusgroup.com"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7:R63"/>
  <sheetViews>
    <sheetView tabSelected="1" zoomScale="85" zoomScaleNormal="85" zoomScalePageLayoutView="0" workbookViewId="0" topLeftCell="A1">
      <selection activeCell="O7" sqref="O7"/>
    </sheetView>
  </sheetViews>
  <sheetFormatPr defaultColWidth="9.140625" defaultRowHeight="12.75" outlineLevelRow="1"/>
  <cols>
    <col min="1" max="1" width="40.28125" style="1" customWidth="1"/>
    <col min="2" max="2" width="5.8515625" style="1" customWidth="1"/>
    <col min="3" max="3" width="10.140625" style="1" customWidth="1"/>
    <col min="4" max="4" width="5.28125" style="1" customWidth="1"/>
    <col min="5" max="5" width="4.7109375" style="1" customWidth="1"/>
    <col min="6" max="6" width="3.421875" style="1" customWidth="1"/>
    <col min="7" max="7" width="12.7109375" style="1" customWidth="1"/>
    <col min="8" max="8" width="3.421875" style="1" customWidth="1"/>
    <col min="9" max="9" width="4.7109375" style="1" customWidth="1"/>
    <col min="10" max="10" width="4.140625" style="1" customWidth="1"/>
    <col min="11" max="11" width="8.57421875" style="1" customWidth="1"/>
    <col min="12" max="12" width="3.421875" style="1" customWidth="1"/>
    <col min="13" max="13" width="3.00390625" style="1" customWidth="1"/>
    <col min="14" max="14" width="8.00390625" style="1" customWidth="1"/>
    <col min="15" max="16384" width="9.140625" style="1" customWidth="1"/>
  </cols>
  <sheetData>
    <row r="1" ht="15.75" customHeight="1"/>
    <row r="2" ht="15.75" customHeight="1"/>
    <row r="3" ht="15.75" customHeight="1"/>
    <row r="4" ht="15.75" customHeight="1"/>
    <row r="5" ht="15.75" customHeight="1"/>
    <row r="6" ht="15.75" customHeight="1"/>
    <row r="7" spans="1:13" ht="18">
      <c r="A7" s="180" t="s">
        <v>0</v>
      </c>
      <c r="B7" s="180"/>
      <c r="C7" s="180"/>
      <c r="D7" s="180"/>
      <c r="E7" s="180"/>
      <c r="F7" s="180"/>
      <c r="G7" s="180"/>
      <c r="H7" s="180"/>
      <c r="I7" s="180"/>
      <c r="J7" s="180"/>
      <c r="K7" s="180"/>
      <c r="L7" s="180"/>
      <c r="M7" s="180"/>
    </row>
    <row r="8" spans="1:13" ht="15.75" customHeight="1">
      <c r="A8" s="180" t="str">
        <f>""&amp;C16&amp;" ENERGY STAR Qualified Compact Fluorescent Lamp(s)"</f>
        <v>20 ENERGY STAR Qualified Compact Fluorescent Lamp(s)</v>
      </c>
      <c r="B8" s="180"/>
      <c r="C8" s="180"/>
      <c r="D8" s="180"/>
      <c r="E8" s="180"/>
      <c r="F8" s="180"/>
      <c r="G8" s="180"/>
      <c r="H8" s="180"/>
      <c r="I8" s="180"/>
      <c r="J8" s="180"/>
      <c r="K8" s="180"/>
      <c r="L8" s="180"/>
      <c r="M8" s="180"/>
    </row>
    <row r="9" spans="1:13" s="3" customFormat="1" ht="12.75">
      <c r="A9" s="2"/>
      <c r="B9" s="2"/>
      <c r="C9" s="2"/>
      <c r="D9" s="2"/>
      <c r="E9" s="2"/>
      <c r="F9" s="2"/>
      <c r="G9" s="2"/>
      <c r="H9" s="2"/>
      <c r="I9" s="2"/>
      <c r="J9" s="2"/>
      <c r="K9" s="2"/>
      <c r="L9" s="2"/>
      <c r="M9" s="2"/>
    </row>
    <row r="10" spans="1:13" ht="15.75" customHeight="1">
      <c r="A10" s="43"/>
      <c r="B10" s="43"/>
      <c r="C10" s="43"/>
      <c r="D10" s="43"/>
      <c r="E10" s="43"/>
      <c r="F10" s="43"/>
      <c r="G10" s="43"/>
      <c r="H10" s="43"/>
      <c r="I10" s="43"/>
      <c r="J10" s="43"/>
      <c r="K10" s="43"/>
      <c r="L10" s="43"/>
      <c r="M10" s="43"/>
    </row>
    <row r="11" spans="1:13" s="3" customFormat="1" ht="24" customHeight="1">
      <c r="A11" s="181" t="s">
        <v>1</v>
      </c>
      <c r="B11" s="181"/>
      <c r="C11" s="181"/>
      <c r="D11" s="181"/>
      <c r="E11" s="181"/>
      <c r="F11" s="181"/>
      <c r="G11" s="181"/>
      <c r="H11" s="181"/>
      <c r="I11" s="181"/>
      <c r="J11" s="181"/>
      <c r="K11" s="181"/>
      <c r="L11" s="181"/>
      <c r="M11" s="181"/>
    </row>
    <row r="12" spans="1:13" s="3" customFormat="1" ht="12.75">
      <c r="A12" s="2"/>
      <c r="B12" s="2"/>
      <c r="C12" s="2"/>
      <c r="D12" s="2"/>
      <c r="E12" s="2"/>
      <c r="F12" s="2"/>
      <c r="G12" s="2"/>
      <c r="H12" s="2"/>
      <c r="I12" s="2"/>
      <c r="J12" s="2"/>
      <c r="K12" s="2"/>
      <c r="L12" s="2"/>
      <c r="M12" s="2"/>
    </row>
    <row r="13" ht="15.75" customHeight="1">
      <c r="A13" s="28"/>
    </row>
    <row r="14" spans="1:13" ht="15.75">
      <c r="A14" s="174" t="s">
        <v>2</v>
      </c>
      <c r="B14" s="174"/>
      <c r="C14" s="174"/>
      <c r="D14" s="174"/>
      <c r="E14" s="174"/>
      <c r="F14" s="174"/>
      <c r="G14" s="174"/>
      <c r="H14" s="174"/>
      <c r="I14" s="174"/>
      <c r="J14" s="174"/>
      <c r="K14" s="174"/>
      <c r="L14" s="174"/>
      <c r="M14" s="174"/>
    </row>
    <row r="15" spans="1:13" ht="4.5" customHeight="1" thickBot="1">
      <c r="A15" s="44"/>
      <c r="B15" s="45"/>
      <c r="C15" s="45"/>
      <c r="D15" s="45"/>
      <c r="E15" s="45"/>
      <c r="F15" s="45"/>
      <c r="G15" s="45"/>
      <c r="H15" s="45"/>
      <c r="I15" s="45"/>
      <c r="J15" s="45"/>
      <c r="K15" s="45"/>
      <c r="L15" s="45"/>
      <c r="M15" s="4"/>
    </row>
    <row r="16" spans="1:14" ht="15.75" customHeight="1" thickBot="1">
      <c r="A16" s="5" t="s">
        <v>3</v>
      </c>
      <c r="B16" s="6"/>
      <c r="C16" s="96">
        <v>20</v>
      </c>
      <c r="D16" s="7"/>
      <c r="E16" s="7"/>
      <c r="F16" s="7"/>
      <c r="G16" s="7"/>
      <c r="H16" s="7"/>
      <c r="I16" s="7"/>
      <c r="J16" s="7"/>
      <c r="K16" s="7"/>
      <c r="L16" s="7"/>
      <c r="M16" s="8"/>
      <c r="N16" s="9"/>
    </row>
    <row r="17" spans="1:13" ht="15.75" customHeight="1" thickBot="1">
      <c r="A17" s="10" t="s">
        <v>4</v>
      </c>
      <c r="B17" s="6"/>
      <c r="C17" s="109">
        <f>Assumptions!B55</f>
        <v>0.0952</v>
      </c>
      <c r="D17" s="7"/>
      <c r="E17" s="7"/>
      <c r="F17" s="7"/>
      <c r="G17" s="7"/>
      <c r="H17" s="7"/>
      <c r="I17" s="7"/>
      <c r="J17" s="7"/>
      <c r="K17" s="7"/>
      <c r="L17" s="7"/>
      <c r="M17" s="8"/>
    </row>
    <row r="18" spans="1:13" ht="15.75" customHeight="1" thickBot="1">
      <c r="A18" s="5" t="s">
        <v>54</v>
      </c>
      <c r="B18" s="7"/>
      <c r="C18" s="108">
        <f>Assumptions!B40</f>
        <v>3</v>
      </c>
      <c r="D18" s="13"/>
      <c r="E18" s="13"/>
      <c r="F18" s="13"/>
      <c r="G18" s="13"/>
      <c r="H18" s="13"/>
      <c r="I18" s="13"/>
      <c r="J18" s="14"/>
      <c r="K18" s="7"/>
      <c r="L18" s="13"/>
      <c r="M18" s="8"/>
    </row>
    <row r="19" spans="1:14" ht="6.75" customHeight="1">
      <c r="A19" s="11"/>
      <c r="B19" s="6"/>
      <c r="C19" s="12"/>
      <c r="D19" s="7"/>
      <c r="E19" s="7"/>
      <c r="F19" s="7"/>
      <c r="G19" s="7"/>
      <c r="H19" s="7"/>
      <c r="I19" s="7"/>
      <c r="J19" s="7"/>
      <c r="K19" s="7"/>
      <c r="L19" s="7"/>
      <c r="M19" s="8"/>
      <c r="N19" s="9"/>
    </row>
    <row r="20" spans="1:13" ht="27.75" customHeight="1">
      <c r="A20" s="57"/>
      <c r="B20" s="178" t="s">
        <v>5</v>
      </c>
      <c r="C20" s="178"/>
      <c r="D20" s="178"/>
      <c r="E20" s="46"/>
      <c r="F20" s="178" t="s">
        <v>6</v>
      </c>
      <c r="G20" s="178"/>
      <c r="H20" s="178"/>
      <c r="I20" s="46"/>
      <c r="J20" s="179"/>
      <c r="K20" s="179"/>
      <c r="L20" s="179"/>
      <c r="M20" s="8"/>
    </row>
    <row r="21" spans="1:13" ht="10.5" customHeight="1" thickBot="1">
      <c r="A21" s="103"/>
      <c r="B21" s="46"/>
      <c r="C21" s="46"/>
      <c r="D21" s="46"/>
      <c r="E21" s="46"/>
      <c r="F21" s="46"/>
      <c r="G21" s="102"/>
      <c r="H21" s="46"/>
      <c r="I21" s="46"/>
      <c r="J21" s="46"/>
      <c r="K21" s="46"/>
      <c r="L21" s="46"/>
      <c r="M21" s="8"/>
    </row>
    <row r="22" spans="1:13" ht="15.75" customHeight="1" thickBot="1">
      <c r="A22" s="5" t="s">
        <v>7</v>
      </c>
      <c r="B22" s="7"/>
      <c r="C22" s="106">
        <f>Assumptions!B6</f>
        <v>3.5</v>
      </c>
      <c r="D22" s="107"/>
      <c r="E22" s="107"/>
      <c r="F22" s="107"/>
      <c r="G22" s="106">
        <f>Assumptions!B23</f>
        <v>0.5</v>
      </c>
      <c r="H22" s="13"/>
      <c r="I22" s="13"/>
      <c r="J22" s="14"/>
      <c r="K22" s="7"/>
      <c r="L22" s="13"/>
      <c r="M22" s="8"/>
    </row>
    <row r="23" spans="1:13" ht="15.75" customHeight="1" thickBot="1">
      <c r="A23" s="5" t="s">
        <v>53</v>
      </c>
      <c r="B23" s="7"/>
      <c r="C23" s="146">
        <f>Assumptions!G23/4</f>
        <v>15</v>
      </c>
      <c r="D23" s="13" t="s">
        <v>87</v>
      </c>
      <c r="E23" s="13"/>
      <c r="F23" s="13"/>
      <c r="G23" s="145"/>
      <c r="H23" s="145"/>
      <c r="I23" s="13"/>
      <c r="J23" s="14"/>
      <c r="K23" s="7"/>
      <c r="L23" s="13"/>
      <c r="M23" s="8"/>
    </row>
    <row r="24" spans="1:13" ht="6.75" customHeight="1">
      <c r="A24" s="7"/>
      <c r="B24" s="7"/>
      <c r="C24" s="147"/>
      <c r="D24" s="13"/>
      <c r="E24" s="13"/>
      <c r="F24" s="13"/>
      <c r="G24" s="145"/>
      <c r="H24" s="145"/>
      <c r="I24" s="13"/>
      <c r="J24" s="14"/>
      <c r="K24" s="7"/>
      <c r="L24" s="13"/>
      <c r="M24" s="8"/>
    </row>
    <row r="25" spans="1:13" ht="15.75" customHeight="1">
      <c r="A25" s="7" t="s">
        <v>60</v>
      </c>
      <c r="B25" s="7"/>
      <c r="C25" s="104"/>
      <c r="D25" s="41"/>
      <c r="E25" s="41"/>
      <c r="F25" s="41"/>
      <c r="G25" s="104"/>
      <c r="H25" s="13"/>
      <c r="I25" s="13"/>
      <c r="J25" s="14"/>
      <c r="K25" s="7"/>
      <c r="L25" s="13"/>
      <c r="M25" s="8"/>
    </row>
    <row r="26" spans="1:13" ht="4.5" customHeight="1">
      <c r="A26" s="15"/>
      <c r="B26" s="16"/>
      <c r="C26" s="94"/>
      <c r="D26" s="16"/>
      <c r="E26" s="16"/>
      <c r="F26" s="16"/>
      <c r="G26" s="95"/>
      <c r="H26" s="16"/>
      <c r="I26" s="16"/>
      <c r="J26" s="16"/>
      <c r="K26" s="16"/>
      <c r="L26" s="16"/>
      <c r="M26" s="17"/>
    </row>
    <row r="27" ht="14.25" customHeight="1">
      <c r="A27" s="47" t="s">
        <v>93</v>
      </c>
    </row>
    <row r="28" ht="15.75" customHeight="1">
      <c r="A28" s="48"/>
    </row>
    <row r="29" spans="1:18" ht="15.75">
      <c r="A29" s="174" t="str">
        <f>"Annual and Life Cycle Costs and Savings for "&amp;C16&amp;" CFLs"</f>
        <v>Annual and Life Cycle Costs and Savings for 20 CFLs</v>
      </c>
      <c r="B29" s="174"/>
      <c r="C29" s="174"/>
      <c r="D29" s="174"/>
      <c r="E29" s="174"/>
      <c r="F29" s="174"/>
      <c r="G29" s="174"/>
      <c r="H29" s="174"/>
      <c r="I29" s="174"/>
      <c r="J29" s="174"/>
      <c r="K29" s="174"/>
      <c r="L29" s="174"/>
      <c r="M29" s="174"/>
      <c r="O29" s="40"/>
      <c r="P29" s="40"/>
      <c r="Q29" s="40"/>
      <c r="R29" s="40"/>
    </row>
    <row r="30" spans="1:18" ht="31.5" customHeight="1">
      <c r="A30" s="18"/>
      <c r="B30" s="175" t="str">
        <f>""&amp;C16&amp;" ENERGY STAR Qualified Units"</f>
        <v>20 ENERGY STAR Qualified Units</v>
      </c>
      <c r="C30" s="175"/>
      <c r="D30" s="175"/>
      <c r="E30" s="49"/>
      <c r="F30" s="175" t="str">
        <f>""&amp;C16&amp;" Conventional Units"</f>
        <v>20 Conventional Units</v>
      </c>
      <c r="G30" s="175"/>
      <c r="H30" s="175"/>
      <c r="I30" s="49"/>
      <c r="J30" s="175" t="s">
        <v>8</v>
      </c>
      <c r="K30" s="175"/>
      <c r="L30" s="175"/>
      <c r="M30" s="19"/>
      <c r="O30" s="148"/>
      <c r="P30" s="40"/>
      <c r="Q30" s="40"/>
      <c r="R30" s="149"/>
    </row>
    <row r="31" spans="1:18" ht="15.75" customHeight="1">
      <c r="A31" s="92" t="s">
        <v>47</v>
      </c>
      <c r="B31" s="20"/>
      <c r="C31" s="20"/>
      <c r="D31" s="20"/>
      <c r="E31" s="20"/>
      <c r="F31" s="20"/>
      <c r="G31" s="20"/>
      <c r="H31" s="20"/>
      <c r="I31" s="20"/>
      <c r="J31" s="20"/>
      <c r="K31" s="20"/>
      <c r="L31" s="20"/>
      <c r="M31" s="21"/>
      <c r="O31" s="149"/>
      <c r="P31" s="40"/>
      <c r="Q31" s="40"/>
      <c r="R31" s="149"/>
    </row>
    <row r="32" spans="1:18" ht="15.75" customHeight="1">
      <c r="A32" s="22" t="s">
        <v>9</v>
      </c>
      <c r="B32" s="20"/>
      <c r="C32" s="23">
        <f>C33*C17</f>
        <v>31.273200000000003</v>
      </c>
      <c r="D32" s="20"/>
      <c r="E32" s="20"/>
      <c r="F32" s="20"/>
      <c r="G32" s="23">
        <f>G33*C17</f>
        <v>125.09280000000001</v>
      </c>
      <c r="H32" s="20"/>
      <c r="I32" s="20"/>
      <c r="J32" s="20"/>
      <c r="K32" s="23">
        <f>G32-C32</f>
        <v>93.81960000000001</v>
      </c>
      <c r="L32" s="20"/>
      <c r="M32" s="21"/>
      <c r="O32" s="149"/>
      <c r="P32" s="40"/>
      <c r="Q32" s="40"/>
      <c r="R32" s="149"/>
    </row>
    <row r="33" spans="1:18" s="69" customFormat="1" ht="15.75" customHeight="1" hidden="1" outlineLevel="1">
      <c r="A33" s="115" t="s">
        <v>42</v>
      </c>
      <c r="B33" s="116"/>
      <c r="C33" s="120">
        <f>C16*C18*Assumptions!B41*C23/1000</f>
        <v>328.5</v>
      </c>
      <c r="D33" s="120"/>
      <c r="E33" s="120"/>
      <c r="F33" s="120"/>
      <c r="G33" s="120">
        <f>C16*C18*Assumptions!B41*Assumptions!G23/1000</f>
        <v>1314</v>
      </c>
      <c r="H33" s="120"/>
      <c r="I33" s="120"/>
      <c r="J33" s="120"/>
      <c r="K33" s="120">
        <f>G33-C33</f>
        <v>985.5</v>
      </c>
      <c r="L33" s="117"/>
      <c r="M33" s="118"/>
      <c r="O33" s="149"/>
      <c r="P33" s="150"/>
      <c r="Q33" s="40"/>
      <c r="R33" s="149"/>
    </row>
    <row r="34" spans="1:18" ht="15.75" customHeight="1" collapsed="1">
      <c r="A34" s="25" t="s">
        <v>10</v>
      </c>
      <c r="B34" s="20"/>
      <c r="C34" s="23">
        <f>C16*(Assumptions!B36*0)</f>
        <v>0</v>
      </c>
      <c r="D34" s="20"/>
      <c r="E34" s="20"/>
      <c r="F34" s="20"/>
      <c r="G34" s="23">
        <f>C16*(Assumptions!B36*Assumptions!B37+Assumptions!B23)*(1*1*(IF(Assumptions!E9=1,(1/Assumptions!B32),IF(Assumptions!E9=2,(1/Assumptions!B33)))))</f>
        <v>76.64999999999999</v>
      </c>
      <c r="H34" s="20"/>
      <c r="I34" s="20"/>
      <c r="J34" s="20"/>
      <c r="K34" s="23">
        <f>G34-C34</f>
        <v>76.64999999999999</v>
      </c>
      <c r="L34" s="20"/>
      <c r="M34" s="21"/>
      <c r="O34" s="149"/>
      <c r="P34" s="40"/>
      <c r="Q34" s="40"/>
      <c r="R34" s="149"/>
    </row>
    <row r="35" spans="1:17" s="28" customFormat="1" ht="15.75" customHeight="1">
      <c r="A35" s="93" t="s">
        <v>11</v>
      </c>
      <c r="B35" s="26"/>
      <c r="C35" s="52">
        <f>C32+C34</f>
        <v>31.273200000000003</v>
      </c>
      <c r="D35" s="26"/>
      <c r="E35" s="26"/>
      <c r="F35" s="26"/>
      <c r="G35" s="52">
        <f>G32+G34</f>
        <v>201.7428</v>
      </c>
      <c r="H35" s="26"/>
      <c r="I35" s="26"/>
      <c r="J35" s="26"/>
      <c r="K35" s="52">
        <f>K32+K34</f>
        <v>170.4696</v>
      </c>
      <c r="L35" s="26"/>
      <c r="M35" s="27"/>
      <c r="O35" s="144"/>
      <c r="P35" s="1"/>
      <c r="Q35" s="1"/>
    </row>
    <row r="36" spans="1:15" ht="15.75" customHeight="1">
      <c r="A36" s="22"/>
      <c r="B36" s="20"/>
      <c r="C36" s="20"/>
      <c r="D36" s="20"/>
      <c r="E36" s="20"/>
      <c r="F36" s="20"/>
      <c r="G36" s="20"/>
      <c r="H36" s="20"/>
      <c r="I36" s="20"/>
      <c r="J36" s="20"/>
      <c r="K36" s="20"/>
      <c r="L36" s="20"/>
      <c r="M36" s="21"/>
      <c r="O36" s="144"/>
    </row>
    <row r="37" spans="1:15" ht="15.75" customHeight="1">
      <c r="A37" s="92" t="s">
        <v>48</v>
      </c>
      <c r="B37" s="20"/>
      <c r="C37" s="20"/>
      <c r="D37" s="20"/>
      <c r="E37" s="20"/>
      <c r="F37" s="20"/>
      <c r="G37" s="20"/>
      <c r="H37" s="20"/>
      <c r="I37" s="20"/>
      <c r="J37" s="20"/>
      <c r="K37" s="20"/>
      <c r="L37" s="20"/>
      <c r="M37" s="21"/>
      <c r="O37" s="144"/>
    </row>
    <row r="38" spans="1:13" ht="15.75" customHeight="1">
      <c r="A38" s="42" t="s">
        <v>43</v>
      </c>
      <c r="B38" s="20"/>
      <c r="C38" s="23">
        <f>C39+C41</f>
        <v>235.37208478476686</v>
      </c>
      <c r="D38" s="20"/>
      <c r="E38" s="20"/>
      <c r="F38" s="20"/>
      <c r="G38" s="23">
        <f>G39+G41</f>
        <v>1518.3807038076136</v>
      </c>
      <c r="H38" s="20"/>
      <c r="I38" s="20"/>
      <c r="J38" s="20"/>
      <c r="K38" s="23">
        <f>G38-C38</f>
        <v>1283.0086190228467</v>
      </c>
      <c r="L38" s="20"/>
      <c r="M38" s="21"/>
    </row>
    <row r="39" spans="1:17" ht="15.75" customHeight="1" outlineLevel="1">
      <c r="A39" s="24" t="s">
        <v>12</v>
      </c>
      <c r="B39" s="20"/>
      <c r="C39" s="23">
        <f>PV(Assumptions!B52,Assumptions!G14,-C32,,0)</f>
        <v>235.37208478476686</v>
      </c>
      <c r="D39" s="20"/>
      <c r="E39" s="20"/>
      <c r="F39" s="20"/>
      <c r="G39" s="23">
        <f>PV(Assumptions!B52,Assumptions!G14,-G32,,0)</f>
        <v>941.4883391390674</v>
      </c>
      <c r="H39" s="20"/>
      <c r="I39" s="20"/>
      <c r="J39" s="20"/>
      <c r="K39" s="23">
        <f>G39-C39</f>
        <v>706.1162543543005</v>
      </c>
      <c r="L39" s="20"/>
      <c r="M39" s="21"/>
      <c r="O39" s="69"/>
      <c r="P39" s="69"/>
      <c r="Q39" s="69"/>
    </row>
    <row r="40" spans="1:17" s="69" customFormat="1" ht="15.75" customHeight="1" hidden="1" outlineLevel="1">
      <c r="A40" s="115" t="s">
        <v>42</v>
      </c>
      <c r="B40" s="116"/>
      <c r="C40" s="120">
        <f>C33*Assumptions!G14</f>
        <v>3000</v>
      </c>
      <c r="D40" s="120"/>
      <c r="E40" s="120"/>
      <c r="F40" s="120"/>
      <c r="G40" s="120">
        <f>G33*Assumptions!G14</f>
        <v>12000</v>
      </c>
      <c r="H40" s="120"/>
      <c r="I40" s="120"/>
      <c r="J40" s="120"/>
      <c r="K40" s="120">
        <f>G40-C40</f>
        <v>9000</v>
      </c>
      <c r="L40" s="119"/>
      <c r="M40" s="118"/>
      <c r="O40" s="1"/>
      <c r="P40" s="1"/>
      <c r="Q40" s="1"/>
    </row>
    <row r="41" spans="1:13" ht="15.75" customHeight="1" outlineLevel="1">
      <c r="A41" s="24" t="s">
        <v>13</v>
      </c>
      <c r="B41" s="20"/>
      <c r="C41" s="23">
        <f>PV(Assumptions!B52,Assumptions!G14,-C34,,0)</f>
        <v>0</v>
      </c>
      <c r="D41" s="20"/>
      <c r="E41" s="20"/>
      <c r="F41" s="20"/>
      <c r="G41" s="23">
        <f>PV(Assumptions!B52,Assumptions!G14,-G34,,0)</f>
        <v>576.8923646685462</v>
      </c>
      <c r="H41" s="20"/>
      <c r="I41" s="20"/>
      <c r="J41" s="20"/>
      <c r="K41" s="23">
        <f>G41-C41</f>
        <v>576.8923646685462</v>
      </c>
      <c r="L41" s="20"/>
      <c r="M41" s="21"/>
    </row>
    <row r="42" spans="1:13" ht="15.75" customHeight="1">
      <c r="A42" s="22" t="str">
        <f>"Purchase price for "&amp;C16&amp;" unit(s)"</f>
        <v>Purchase price for 20 unit(s)</v>
      </c>
      <c r="B42" s="20"/>
      <c r="C42" s="114">
        <f>C16*C22</f>
        <v>70</v>
      </c>
      <c r="D42" s="20"/>
      <c r="E42" s="20"/>
      <c r="F42" s="20"/>
      <c r="G42" s="114">
        <f>C16*G22</f>
        <v>10</v>
      </c>
      <c r="H42" s="20"/>
      <c r="I42" s="20"/>
      <c r="J42" s="20"/>
      <c r="K42" s="114">
        <f>G42-C42</f>
        <v>-60</v>
      </c>
      <c r="L42" s="20"/>
      <c r="M42" s="21"/>
    </row>
    <row r="43" spans="1:13" s="28" customFormat="1" ht="15.75" customHeight="1">
      <c r="A43" s="93" t="s">
        <v>11</v>
      </c>
      <c r="B43" s="26"/>
      <c r="C43" s="52">
        <f>C38+C42</f>
        <v>305.37208478476686</v>
      </c>
      <c r="D43" s="26"/>
      <c r="E43" s="26"/>
      <c r="F43" s="26"/>
      <c r="G43" s="52">
        <f>G38+G42</f>
        <v>1528.3807038076136</v>
      </c>
      <c r="H43" s="26"/>
      <c r="I43" s="26"/>
      <c r="J43" s="26"/>
      <c r="K43" s="52">
        <f>K38+K42</f>
        <v>1223.0086190228467</v>
      </c>
      <c r="L43" s="26"/>
      <c r="M43" s="27"/>
    </row>
    <row r="44" spans="1:13" s="28" customFormat="1" ht="15.75" customHeight="1">
      <c r="A44" s="51"/>
      <c r="B44" s="26"/>
      <c r="C44" s="53"/>
      <c r="D44" s="26"/>
      <c r="E44" s="26"/>
      <c r="F44" s="26"/>
      <c r="G44" s="53"/>
      <c r="H44" s="26"/>
      <c r="I44" s="26"/>
      <c r="J44" s="26"/>
      <c r="K44" s="53"/>
      <c r="L44" s="26"/>
      <c r="M44" s="27"/>
    </row>
    <row r="45" spans="1:13" ht="15.75" customHeight="1">
      <c r="A45" s="50"/>
      <c r="B45" s="20"/>
      <c r="C45" s="20"/>
      <c r="D45" s="20"/>
      <c r="E45" s="20"/>
      <c r="F45" s="20"/>
      <c r="G45" s="20"/>
      <c r="H45" s="20"/>
      <c r="I45" s="20"/>
      <c r="J45" s="29" t="s">
        <v>14</v>
      </c>
      <c r="K45" s="99">
        <f>IF(AND(H53&gt;=0,K43&gt;=0),H53/K35,"N/A")</f>
        <v>0.3519689141055062</v>
      </c>
      <c r="L45" s="20"/>
      <c r="M45" s="21"/>
    </row>
    <row r="46" spans="1:13" ht="4.5" customHeight="1">
      <c r="A46" s="30"/>
      <c r="B46" s="31"/>
      <c r="C46" s="31"/>
      <c r="D46" s="31"/>
      <c r="E46" s="31"/>
      <c r="F46" s="31"/>
      <c r="G46" s="31"/>
      <c r="H46" s="31"/>
      <c r="I46" s="31"/>
      <c r="J46" s="31"/>
      <c r="K46" s="31"/>
      <c r="L46" s="31"/>
      <c r="M46" s="32"/>
    </row>
    <row r="47" spans="1:13" ht="24" customHeight="1">
      <c r="A47" s="176" t="s">
        <v>49</v>
      </c>
      <c r="B47" s="177"/>
      <c r="C47" s="177"/>
      <c r="D47" s="177"/>
      <c r="E47" s="177"/>
      <c r="F47" s="177"/>
      <c r="G47" s="177"/>
      <c r="H47" s="177"/>
      <c r="I47" s="177"/>
      <c r="J47" s="177"/>
      <c r="K47" s="177"/>
      <c r="L47" s="177"/>
      <c r="M47" s="177"/>
    </row>
    <row r="48" spans="1:13" ht="13.5">
      <c r="A48" s="173" t="s">
        <v>50</v>
      </c>
      <c r="B48" s="173"/>
      <c r="C48" s="173"/>
      <c r="D48" s="173"/>
      <c r="E48" s="173"/>
      <c r="F48" s="173"/>
      <c r="G48" s="173"/>
      <c r="H48" s="173"/>
      <c r="I48" s="173"/>
      <c r="J48" s="173"/>
      <c r="K48" s="173"/>
      <c r="L48" s="173"/>
      <c r="M48" s="173"/>
    </row>
    <row r="49" spans="1:13" ht="14.25">
      <c r="A49" s="54"/>
      <c r="B49" s="54"/>
      <c r="C49" s="54"/>
      <c r="D49" s="54"/>
      <c r="E49" s="54"/>
      <c r="F49" s="54"/>
      <c r="G49" s="54"/>
      <c r="H49" s="54"/>
      <c r="I49" s="54"/>
      <c r="J49" s="54"/>
      <c r="K49" s="54"/>
      <c r="L49" s="54"/>
      <c r="M49" s="54"/>
    </row>
    <row r="50" ht="15" customHeight="1"/>
    <row r="51" spans="1:13" ht="15.75" customHeight="1">
      <c r="A51" s="174" t="str">
        <f>"Summary of Benefits for "&amp;C16&amp;" CFLs"</f>
        <v>Summary of Benefits for 20 CFLs</v>
      </c>
      <c r="B51" s="174"/>
      <c r="C51" s="174"/>
      <c r="D51" s="174"/>
      <c r="E51" s="174"/>
      <c r="F51" s="174"/>
      <c r="G51" s="174"/>
      <c r="H51" s="174"/>
      <c r="I51" s="174"/>
      <c r="J51" s="174"/>
      <c r="K51" s="174"/>
      <c r="L51" s="174"/>
      <c r="M51" s="174"/>
    </row>
    <row r="52" spans="1:13" ht="4.5" customHeight="1">
      <c r="A52" s="33" t="s">
        <v>15</v>
      </c>
      <c r="B52" s="34"/>
      <c r="C52" s="34"/>
      <c r="D52" s="34"/>
      <c r="E52" s="34"/>
      <c r="F52" s="34"/>
      <c r="G52" s="34"/>
      <c r="H52" s="34"/>
      <c r="I52" s="34"/>
      <c r="J52" s="34"/>
      <c r="K52" s="34"/>
      <c r="L52" s="34"/>
      <c r="M52" s="35"/>
    </row>
    <row r="53" spans="1:13" ht="15.75" customHeight="1">
      <c r="A53" s="36" t="s">
        <v>16</v>
      </c>
      <c r="B53" s="56"/>
      <c r="C53" s="56"/>
      <c r="D53" s="56"/>
      <c r="E53" s="56"/>
      <c r="F53" s="56"/>
      <c r="G53" s="56"/>
      <c r="H53" s="170">
        <f>(C22-G22)*C16</f>
        <v>60</v>
      </c>
      <c r="I53" s="170"/>
      <c r="J53" s="56"/>
      <c r="K53" s="56"/>
      <c r="L53" s="56"/>
      <c r="M53" s="37"/>
    </row>
    <row r="54" spans="1:13" ht="15.75" customHeight="1">
      <c r="A54" s="36" t="s">
        <v>17</v>
      </c>
      <c r="B54" s="56"/>
      <c r="C54" s="56"/>
      <c r="D54" s="56"/>
      <c r="E54" s="56"/>
      <c r="F54" s="56"/>
      <c r="G54" s="56"/>
      <c r="H54" s="170">
        <f>K38</f>
        <v>1283.0086190228467</v>
      </c>
      <c r="I54" s="170"/>
      <c r="J54" s="56"/>
      <c r="K54" s="56"/>
      <c r="L54" s="56"/>
      <c r="M54" s="37"/>
    </row>
    <row r="55" spans="1:13" ht="15.75" customHeight="1">
      <c r="A55" s="36" t="s">
        <v>18</v>
      </c>
      <c r="B55" s="56"/>
      <c r="C55" s="56"/>
      <c r="D55" s="56"/>
      <c r="E55" s="56"/>
      <c r="F55" s="56"/>
      <c r="G55" s="56"/>
      <c r="H55" s="170">
        <f>K43</f>
        <v>1223.0086190228467</v>
      </c>
      <c r="I55" s="170"/>
      <c r="J55" s="56"/>
      <c r="K55" s="56"/>
      <c r="L55" s="56"/>
      <c r="M55" s="37"/>
    </row>
    <row r="56" spans="1:13" ht="15.75" customHeight="1">
      <c r="A56" s="36" t="s">
        <v>19</v>
      </c>
      <c r="B56" s="56"/>
      <c r="C56" s="56"/>
      <c r="D56" s="56"/>
      <c r="E56" s="56"/>
      <c r="F56" s="56"/>
      <c r="G56" s="56"/>
      <c r="H56" s="171">
        <f>K45</f>
        <v>0.3519689141055062</v>
      </c>
      <c r="I56" s="171"/>
      <c r="J56" s="56"/>
      <c r="K56" s="56"/>
      <c r="L56" s="56"/>
      <c r="M56" s="37"/>
    </row>
    <row r="57" spans="1:13" ht="15.75" customHeight="1">
      <c r="A57" s="36" t="s">
        <v>20</v>
      </c>
      <c r="B57" s="56"/>
      <c r="C57" s="56"/>
      <c r="D57" s="56"/>
      <c r="E57" s="56"/>
      <c r="F57" s="56"/>
      <c r="G57" s="56"/>
      <c r="H57" s="172">
        <f>K40</f>
        <v>9000</v>
      </c>
      <c r="I57" s="172"/>
      <c r="J57" s="56"/>
      <c r="K57" s="56"/>
      <c r="L57" s="56"/>
      <c r="M57" s="37"/>
    </row>
    <row r="58" spans="1:13" ht="15.75" customHeight="1">
      <c r="A58" s="36" t="s">
        <v>21</v>
      </c>
      <c r="B58" s="56"/>
      <c r="C58" s="56"/>
      <c r="D58" s="56"/>
      <c r="E58" s="56"/>
      <c r="F58" s="56"/>
      <c r="G58" s="56"/>
      <c r="H58" s="172">
        <f>K40*Assumptions!B59</f>
        <v>13860</v>
      </c>
      <c r="I58" s="172"/>
      <c r="J58" s="56"/>
      <c r="K58" s="56"/>
      <c r="L58" s="56"/>
      <c r="M58" s="37"/>
    </row>
    <row r="59" spans="1:13" ht="15.75" customHeight="1">
      <c r="A59" s="36" t="s">
        <v>22</v>
      </c>
      <c r="B59" s="56"/>
      <c r="C59" s="56"/>
      <c r="D59" s="56"/>
      <c r="E59" s="56"/>
      <c r="F59" s="56"/>
      <c r="G59" s="56"/>
      <c r="H59" s="168">
        <f>K40*Assumptions!B59/Assumptions!B63</f>
        <v>1.1514496967682977</v>
      </c>
      <c r="I59" s="168"/>
      <c r="J59" s="56"/>
      <c r="K59" s="56"/>
      <c r="L59" s="56"/>
      <c r="M59" s="37"/>
    </row>
    <row r="60" spans="1:13" ht="15.75" customHeight="1">
      <c r="A60" s="36" t="s">
        <v>23</v>
      </c>
      <c r="B60" s="56"/>
      <c r="C60" s="56"/>
      <c r="D60" s="56"/>
      <c r="E60" s="56"/>
      <c r="F60" s="56"/>
      <c r="G60" s="56"/>
      <c r="H60" s="168">
        <f>K40*Assumptions!B59/Assumptions!B62</f>
        <v>1.4288659793814433</v>
      </c>
      <c r="I60" s="168"/>
      <c r="J60" s="56"/>
      <c r="K60" s="56"/>
      <c r="L60" s="56"/>
      <c r="M60" s="37"/>
    </row>
    <row r="61" spans="1:13" ht="15.75" customHeight="1">
      <c r="A61" s="97" t="s">
        <v>24</v>
      </c>
      <c r="B61" s="56"/>
      <c r="C61" s="56"/>
      <c r="D61" s="56"/>
      <c r="E61" s="56"/>
      <c r="F61" s="56"/>
      <c r="G61" s="56"/>
      <c r="H61" s="169">
        <f>K43/(C22*C16)</f>
        <v>17.47155170032638</v>
      </c>
      <c r="I61" s="169"/>
      <c r="J61" s="56"/>
      <c r="K61" s="56"/>
      <c r="L61" s="56"/>
      <c r="M61" s="37"/>
    </row>
    <row r="62" spans="1:13" s="40" customFormat="1" ht="4.5" customHeight="1">
      <c r="A62" s="98"/>
      <c r="B62" s="38"/>
      <c r="C62" s="38"/>
      <c r="D62" s="38"/>
      <c r="E62" s="38"/>
      <c r="F62" s="38"/>
      <c r="G62" s="38"/>
      <c r="H62" s="38"/>
      <c r="I62" s="38"/>
      <c r="J62" s="38"/>
      <c r="K62" s="38"/>
      <c r="L62" s="38"/>
      <c r="M62" s="39"/>
    </row>
    <row r="63" s="40" customFormat="1" ht="15.75" customHeight="1">
      <c r="A63" s="55"/>
    </row>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sheetData>
  <sheetProtection/>
  <mergeCells count="23">
    <mergeCell ref="A7:M7"/>
    <mergeCell ref="A8:M8"/>
    <mergeCell ref="A11:M11"/>
    <mergeCell ref="A14:M14"/>
    <mergeCell ref="B20:D20"/>
    <mergeCell ref="F20:H20"/>
    <mergeCell ref="J20:L20"/>
    <mergeCell ref="A29:M29"/>
    <mergeCell ref="B30:D30"/>
    <mergeCell ref="F30:H30"/>
    <mergeCell ref="J30:L30"/>
    <mergeCell ref="A47:M47"/>
    <mergeCell ref="A48:M48"/>
    <mergeCell ref="A51:M51"/>
    <mergeCell ref="H53:I53"/>
    <mergeCell ref="H54:I54"/>
    <mergeCell ref="H59:I59"/>
    <mergeCell ref="H60:I60"/>
    <mergeCell ref="H61:I61"/>
    <mergeCell ref="H55:I55"/>
    <mergeCell ref="H56:I56"/>
    <mergeCell ref="H57:I57"/>
    <mergeCell ref="H58:I58"/>
  </mergeCells>
  <printOptions horizontalCentered="1"/>
  <pageMargins left="1" right="1" top="0.5" bottom="0.5" header="0.25" footer="0.25"/>
  <pageSetup fitToHeight="1" fitToWidth="1" horizontalDpi="600" verticalDpi="600" orientation="portrait" scale="75"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U68"/>
  <sheetViews>
    <sheetView zoomScalePageLayoutView="0" workbookViewId="0" topLeftCell="A49">
      <selection activeCell="A57" sqref="A57"/>
    </sheetView>
  </sheetViews>
  <sheetFormatPr defaultColWidth="9.140625" defaultRowHeight="12.75"/>
  <cols>
    <col min="1" max="1" width="46.57421875" style="62" customWidth="1"/>
    <col min="2" max="2" width="10.140625" style="85" bestFit="1" customWidth="1"/>
    <col min="3" max="3" width="13.57421875" style="86" customWidth="1"/>
    <col min="4" max="4" width="47.7109375" style="83" customWidth="1"/>
    <col min="5" max="5" width="3.28125" style="62" customWidth="1"/>
    <col min="6" max="6" width="11.28125" style="62" bestFit="1" customWidth="1"/>
    <col min="7" max="7" width="7.140625" style="62" bestFit="1" customWidth="1"/>
    <col min="8" max="8" width="7.28125" style="62" bestFit="1" customWidth="1"/>
    <col min="9" max="10" width="6.57421875" style="62" bestFit="1" customWidth="1"/>
    <col min="11" max="11" width="16.57421875" style="62" customWidth="1"/>
    <col min="12" max="21" width="9.140625" style="62" customWidth="1"/>
    <col min="22" max="16384" width="9.140625" style="63" customWidth="1"/>
  </cols>
  <sheetData>
    <row r="1" spans="1:9" ht="15.75">
      <c r="A1" s="182" t="s">
        <v>57</v>
      </c>
      <c r="B1" s="182"/>
      <c r="C1" s="182"/>
      <c r="D1" s="182"/>
      <c r="E1" s="61"/>
      <c r="F1" s="61"/>
      <c r="G1" s="61"/>
      <c r="H1" s="61"/>
      <c r="I1" s="61"/>
    </row>
    <row r="2" spans="1:9" ht="15.75">
      <c r="A2" s="60"/>
      <c r="B2" s="64"/>
      <c r="C2" s="64"/>
      <c r="D2" s="64"/>
      <c r="E2" s="61"/>
      <c r="F2" s="61"/>
      <c r="G2" s="61"/>
      <c r="H2" s="61"/>
      <c r="I2" s="61"/>
    </row>
    <row r="3" spans="1:12" ht="15">
      <c r="A3" s="111" t="s">
        <v>80</v>
      </c>
      <c r="B3" s="183" t="s">
        <v>25</v>
      </c>
      <c r="C3" s="183"/>
      <c r="D3" s="130" t="s">
        <v>26</v>
      </c>
      <c r="E3" s="82"/>
      <c r="F3" s="82"/>
      <c r="G3" s="82"/>
      <c r="H3" s="82"/>
      <c r="I3" s="82"/>
      <c r="J3" s="82"/>
      <c r="K3" s="82"/>
      <c r="L3" s="82"/>
    </row>
    <row r="4" spans="1:12" ht="15">
      <c r="A4" s="91" t="s">
        <v>27</v>
      </c>
      <c r="B4" s="65"/>
      <c r="C4" s="66"/>
      <c r="D4" s="67"/>
      <c r="E4" s="137"/>
      <c r="F4" s="137"/>
      <c r="G4" s="137"/>
      <c r="H4" s="137"/>
      <c r="I4" s="137"/>
      <c r="J4" s="137"/>
      <c r="K4" s="137"/>
      <c r="L4" s="137"/>
    </row>
    <row r="5" spans="1:12" ht="12.75">
      <c r="A5" s="121" t="s">
        <v>5</v>
      </c>
      <c r="B5" s="68"/>
      <c r="C5" s="58"/>
      <c r="D5" s="59"/>
      <c r="E5" s="137"/>
      <c r="F5" s="137"/>
      <c r="G5" s="137"/>
      <c r="H5" s="137"/>
      <c r="I5" s="137"/>
      <c r="J5" s="137"/>
      <c r="K5" s="137"/>
      <c r="L5" s="137"/>
    </row>
    <row r="6" spans="1:12" ht="12.75">
      <c r="A6" s="122" t="s">
        <v>58</v>
      </c>
      <c r="B6" s="100">
        <v>3.5</v>
      </c>
      <c r="C6" s="58"/>
      <c r="D6" s="59" t="s">
        <v>88</v>
      </c>
      <c r="E6" s="137"/>
      <c r="F6" s="138"/>
      <c r="G6" s="138"/>
      <c r="H6" s="138"/>
      <c r="I6" s="137"/>
      <c r="J6" s="137"/>
      <c r="K6" s="137"/>
      <c r="L6" s="137"/>
    </row>
    <row r="7" spans="1:12" ht="12.75">
      <c r="A7" s="123" t="s">
        <v>59</v>
      </c>
      <c r="B7" s="105">
        <f>B24/4.06</f>
        <v>9.852216748768473</v>
      </c>
      <c r="C7" s="58" t="s">
        <v>28</v>
      </c>
      <c r="D7" s="59" t="s">
        <v>90</v>
      </c>
      <c r="E7" s="137"/>
      <c r="F7" s="138"/>
      <c r="G7" s="138"/>
      <c r="H7" s="138"/>
      <c r="I7" s="137"/>
      <c r="J7" s="184"/>
      <c r="K7" s="184"/>
      <c r="L7" s="185"/>
    </row>
    <row r="8" spans="1:12" ht="12.75">
      <c r="A8" s="80"/>
      <c r="B8" s="105">
        <f>B25/4.06</f>
        <v>14.77832512315271</v>
      </c>
      <c r="C8" s="58" t="s">
        <v>28</v>
      </c>
      <c r="D8" s="59" t="s">
        <v>90</v>
      </c>
      <c r="E8" s="152">
        <v>3</v>
      </c>
      <c r="F8" s="153" t="s">
        <v>52</v>
      </c>
      <c r="G8" s="154"/>
      <c r="H8" s="153"/>
      <c r="I8" s="154"/>
      <c r="J8" s="138"/>
      <c r="K8" s="138"/>
      <c r="L8" s="138"/>
    </row>
    <row r="9" spans="1:12" ht="12.75">
      <c r="A9" s="80"/>
      <c r="B9" s="105">
        <f>B26/4.06</f>
        <v>18.47290640394089</v>
      </c>
      <c r="C9" s="58" t="s">
        <v>28</v>
      </c>
      <c r="D9" s="59" t="s">
        <v>90</v>
      </c>
      <c r="E9" s="152">
        <v>2</v>
      </c>
      <c r="F9" s="155">
        <v>6000</v>
      </c>
      <c r="G9" s="156">
        <f>B17</f>
        <v>5.479452054794521</v>
      </c>
      <c r="H9" s="157"/>
      <c r="I9" s="158"/>
      <c r="J9" s="137"/>
      <c r="K9" s="137"/>
      <c r="L9" s="137"/>
    </row>
    <row r="10" spans="1:12" ht="12.75">
      <c r="A10" s="80"/>
      <c r="B10" s="105">
        <f>B27/4.06</f>
        <v>24.630541871921185</v>
      </c>
      <c r="C10" s="58" t="s">
        <v>28</v>
      </c>
      <c r="D10" s="59" t="s">
        <v>90</v>
      </c>
      <c r="E10" s="152"/>
      <c r="F10" s="155">
        <v>8000</v>
      </c>
      <c r="G10" s="156">
        <f>B18</f>
        <v>7.30593607305936</v>
      </c>
      <c r="H10" s="159"/>
      <c r="I10" s="158"/>
      <c r="J10" s="137"/>
      <c r="K10" s="137"/>
      <c r="L10" s="137"/>
    </row>
    <row r="11" spans="1:12" ht="12.75">
      <c r="A11" s="80"/>
      <c r="B11" s="105">
        <f>B28/4.06</f>
        <v>36.94581280788178</v>
      </c>
      <c r="C11" s="58" t="s">
        <v>28</v>
      </c>
      <c r="D11" s="59" t="s">
        <v>90</v>
      </c>
      <c r="E11" s="152"/>
      <c r="F11" s="155">
        <v>10000</v>
      </c>
      <c r="G11" s="156">
        <f>B19</f>
        <v>9.132420091324201</v>
      </c>
      <c r="H11" s="160"/>
      <c r="I11" s="152"/>
      <c r="J11" s="137"/>
      <c r="K11" s="137"/>
      <c r="L11" s="137"/>
    </row>
    <row r="12" spans="1:12" ht="12.75">
      <c r="A12" s="122" t="s">
        <v>63</v>
      </c>
      <c r="B12" s="101">
        <v>6000</v>
      </c>
      <c r="C12" s="58" t="s">
        <v>83</v>
      </c>
      <c r="D12" s="59" t="s">
        <v>94</v>
      </c>
      <c r="E12" s="152"/>
      <c r="F12" s="155">
        <v>12000</v>
      </c>
      <c r="G12" s="156">
        <f>B20</f>
        <v>10.958904109589042</v>
      </c>
      <c r="H12" s="160"/>
      <c r="I12" s="152"/>
      <c r="J12" s="137"/>
      <c r="K12" s="137"/>
      <c r="L12" s="137"/>
    </row>
    <row r="13" spans="1:12" ht="12.75">
      <c r="A13" s="59"/>
      <c r="B13" s="101">
        <v>8000</v>
      </c>
      <c r="C13" s="58" t="s">
        <v>83</v>
      </c>
      <c r="D13" s="59" t="s">
        <v>94</v>
      </c>
      <c r="E13" s="152"/>
      <c r="F13" s="155" t="s">
        <v>69</v>
      </c>
      <c r="G13" s="156"/>
      <c r="H13" s="160"/>
      <c r="I13" s="152"/>
      <c r="J13" s="137"/>
      <c r="K13" s="137"/>
      <c r="L13" s="137"/>
    </row>
    <row r="14" spans="1:12" ht="12.75">
      <c r="A14" s="124"/>
      <c r="B14" s="101">
        <v>10000</v>
      </c>
      <c r="C14" s="58" t="s">
        <v>83</v>
      </c>
      <c r="D14" s="59" t="s">
        <v>94</v>
      </c>
      <c r="E14" s="165"/>
      <c r="F14" s="155">
        <f>(IF(E8=1,F9,IF(E8=2,F10,IF(E8=3,F11,IF(E8=4,F12)))))</f>
        <v>10000</v>
      </c>
      <c r="G14" s="156">
        <f>(IF(E8=1,G9,IF(E8=2,G10,IF(E8=3,G11,IF(E8=4,G12)))))</f>
        <v>9.132420091324201</v>
      </c>
      <c r="H14" s="153"/>
      <c r="I14" s="153"/>
      <c r="J14" s="137"/>
      <c r="K14" s="137"/>
      <c r="L14" s="137"/>
    </row>
    <row r="15" spans="1:12" ht="12.75">
      <c r="A15" s="122"/>
      <c r="B15" s="101">
        <v>12000</v>
      </c>
      <c r="C15" s="58" t="s">
        <v>83</v>
      </c>
      <c r="D15" s="59" t="s">
        <v>94</v>
      </c>
      <c r="E15" s="165"/>
      <c r="F15" s="160"/>
      <c r="G15" s="161"/>
      <c r="H15" s="160"/>
      <c r="I15" s="152"/>
      <c r="J15" s="137"/>
      <c r="K15" s="137"/>
      <c r="L15" s="137"/>
    </row>
    <row r="16" spans="1:12" ht="12.75">
      <c r="A16" s="122" t="s">
        <v>51</v>
      </c>
      <c r="B16" s="101"/>
      <c r="C16" s="58"/>
      <c r="D16" s="59"/>
      <c r="E16" s="152">
        <v>2</v>
      </c>
      <c r="F16" s="152" t="s">
        <v>61</v>
      </c>
      <c r="G16" s="162" t="s">
        <v>62</v>
      </c>
      <c r="H16" s="160"/>
      <c r="I16" s="152"/>
      <c r="J16" s="137"/>
      <c r="K16" s="137"/>
      <c r="L16" s="137"/>
    </row>
    <row r="17" spans="1:12" ht="12.75">
      <c r="A17" s="125" t="s">
        <v>65</v>
      </c>
      <c r="B17" s="101">
        <f>6000/365/'CFL Calculator'!C18</f>
        <v>5.479452054794521</v>
      </c>
      <c r="C17" s="58" t="s">
        <v>64</v>
      </c>
      <c r="D17" s="59" t="s">
        <v>90</v>
      </c>
      <c r="E17" s="165"/>
      <c r="F17" s="163">
        <f>G17/4.06</f>
        <v>9.852216748768473</v>
      </c>
      <c r="G17" s="154">
        <v>40</v>
      </c>
      <c r="H17" s="160"/>
      <c r="I17" s="152"/>
      <c r="J17" s="137"/>
      <c r="K17" s="137"/>
      <c r="L17" s="137"/>
    </row>
    <row r="18" spans="1:12" ht="12.75">
      <c r="A18" s="125" t="s">
        <v>66</v>
      </c>
      <c r="B18" s="101">
        <f>8000/365/'CFL Calculator'!C18</f>
        <v>7.30593607305936</v>
      </c>
      <c r="C18" s="58" t="s">
        <v>64</v>
      </c>
      <c r="D18" s="59" t="s">
        <v>90</v>
      </c>
      <c r="E18" s="165"/>
      <c r="F18" s="163">
        <f>G18/4.06</f>
        <v>14.77832512315271</v>
      </c>
      <c r="G18" s="154">
        <v>60</v>
      </c>
      <c r="H18" s="160"/>
      <c r="I18" s="152"/>
      <c r="J18" s="137"/>
      <c r="K18" s="137"/>
      <c r="L18" s="137"/>
    </row>
    <row r="19" spans="1:12" ht="12.75">
      <c r="A19" s="125" t="s">
        <v>67</v>
      </c>
      <c r="B19" s="101">
        <f>10000/365/'CFL Calculator'!C18</f>
        <v>9.132420091324201</v>
      </c>
      <c r="C19" s="58" t="s">
        <v>64</v>
      </c>
      <c r="D19" s="59" t="s">
        <v>90</v>
      </c>
      <c r="E19" s="165"/>
      <c r="F19" s="163">
        <f>G19/4.06</f>
        <v>18.47290640394089</v>
      </c>
      <c r="G19" s="154">
        <v>75</v>
      </c>
      <c r="H19" s="160"/>
      <c r="I19" s="152"/>
      <c r="J19" s="137"/>
      <c r="K19" s="137"/>
      <c r="L19" s="137"/>
    </row>
    <row r="20" spans="1:12" ht="12.75">
      <c r="A20" s="125" t="s">
        <v>68</v>
      </c>
      <c r="B20" s="101">
        <f>12000/365/'CFL Calculator'!C18</f>
        <v>10.958904109589042</v>
      </c>
      <c r="C20" s="58" t="s">
        <v>64</v>
      </c>
      <c r="D20" s="59" t="s">
        <v>90</v>
      </c>
      <c r="E20" s="165"/>
      <c r="F20" s="163">
        <f>G20/4.06</f>
        <v>24.630541871921185</v>
      </c>
      <c r="G20" s="154">
        <v>100</v>
      </c>
      <c r="H20" s="160"/>
      <c r="I20" s="152"/>
      <c r="J20" s="137"/>
      <c r="K20" s="137"/>
      <c r="L20" s="137"/>
    </row>
    <row r="21" spans="1:12" ht="12.75">
      <c r="A21" s="122"/>
      <c r="B21" s="101"/>
      <c r="C21" s="58"/>
      <c r="D21" s="59"/>
      <c r="E21" s="165"/>
      <c r="F21" s="163">
        <f>G21/4.06</f>
        <v>36.94581280788178</v>
      </c>
      <c r="G21" s="164">
        <v>150</v>
      </c>
      <c r="H21" s="160"/>
      <c r="I21" s="152"/>
      <c r="J21" s="137"/>
      <c r="K21" s="137"/>
      <c r="L21" s="137"/>
    </row>
    <row r="22" spans="1:12" ht="12.75">
      <c r="A22" s="124" t="s">
        <v>6</v>
      </c>
      <c r="B22" s="101"/>
      <c r="C22" s="58"/>
      <c r="D22" s="59"/>
      <c r="E22" s="165"/>
      <c r="F22" s="155" t="s">
        <v>69</v>
      </c>
      <c r="G22" s="156"/>
      <c r="H22" s="160"/>
      <c r="I22" s="152"/>
      <c r="J22" s="137"/>
      <c r="K22" s="137"/>
      <c r="L22" s="137"/>
    </row>
    <row r="23" spans="1:12" ht="12.75">
      <c r="A23" s="122" t="s">
        <v>58</v>
      </c>
      <c r="B23" s="100">
        <v>0.5</v>
      </c>
      <c r="C23" s="58"/>
      <c r="D23" s="59" t="s">
        <v>89</v>
      </c>
      <c r="E23" s="165"/>
      <c r="F23" s="155"/>
      <c r="G23" s="156">
        <f>(IF(E16=1,G17,IF(E16=2,G18,IF(E16=3,G19,IF(E16=4,G20,G21)))))</f>
        <v>60</v>
      </c>
      <c r="H23" s="153"/>
      <c r="I23" s="153"/>
      <c r="J23" s="137"/>
      <c r="K23" s="137"/>
      <c r="L23" s="137"/>
    </row>
    <row r="24" spans="1:12" ht="12.75">
      <c r="A24" s="122" t="s">
        <v>59</v>
      </c>
      <c r="B24" s="105">
        <v>40</v>
      </c>
      <c r="C24" s="58" t="s">
        <v>28</v>
      </c>
      <c r="D24" s="59" t="s">
        <v>94</v>
      </c>
      <c r="E24" s="152"/>
      <c r="F24" s="152"/>
      <c r="G24" s="152"/>
      <c r="H24" s="152"/>
      <c r="I24" s="152"/>
      <c r="J24" s="137"/>
      <c r="K24" s="137"/>
      <c r="L24" s="137"/>
    </row>
    <row r="25" spans="1:12" ht="12.75">
      <c r="A25" s="59"/>
      <c r="B25" s="68">
        <v>60</v>
      </c>
      <c r="C25" s="58" t="s">
        <v>28</v>
      </c>
      <c r="D25" s="59" t="s">
        <v>94</v>
      </c>
      <c r="E25" s="152"/>
      <c r="F25" s="152"/>
      <c r="G25" s="152"/>
      <c r="H25" s="152"/>
      <c r="I25" s="152"/>
      <c r="J25" s="137"/>
      <c r="K25" s="137"/>
      <c r="L25" s="137"/>
    </row>
    <row r="26" spans="1:12" ht="12.75">
      <c r="A26" s="59"/>
      <c r="B26" s="68">
        <v>75</v>
      </c>
      <c r="C26" s="58" t="s">
        <v>28</v>
      </c>
      <c r="D26" s="59" t="s">
        <v>94</v>
      </c>
      <c r="E26" s="152"/>
      <c r="F26" s="152"/>
      <c r="G26" s="152"/>
      <c r="H26" s="152"/>
      <c r="I26" s="152"/>
      <c r="J26" s="139"/>
      <c r="K26" s="139"/>
      <c r="L26" s="139"/>
    </row>
    <row r="27" spans="1:12" ht="12.75">
      <c r="A27" s="59"/>
      <c r="B27" s="68">
        <v>100</v>
      </c>
      <c r="C27" s="58" t="s">
        <v>28</v>
      </c>
      <c r="D27" s="59" t="s">
        <v>94</v>
      </c>
      <c r="E27" s="139"/>
      <c r="F27" s="140"/>
      <c r="G27" s="141"/>
      <c r="H27" s="140"/>
      <c r="I27" s="139"/>
      <c r="J27" s="139"/>
      <c r="K27" s="139"/>
      <c r="L27" s="139"/>
    </row>
    <row r="28" spans="1:8" ht="12.75">
      <c r="A28" s="59"/>
      <c r="B28" s="68">
        <v>150</v>
      </c>
      <c r="C28" s="58" t="s">
        <v>28</v>
      </c>
      <c r="D28" s="59" t="s">
        <v>94</v>
      </c>
      <c r="F28" s="69"/>
      <c r="G28" s="132"/>
      <c r="H28" s="69"/>
    </row>
    <row r="29" spans="1:7" ht="12.75">
      <c r="A29" s="122" t="s">
        <v>63</v>
      </c>
      <c r="B29" s="101">
        <v>750</v>
      </c>
      <c r="C29" s="58" t="s">
        <v>83</v>
      </c>
      <c r="D29" s="59" t="s">
        <v>94</v>
      </c>
      <c r="G29" s="131"/>
    </row>
    <row r="30" spans="1:7" ht="12.75">
      <c r="A30" s="59"/>
      <c r="B30" s="101">
        <v>1000</v>
      </c>
      <c r="C30" s="58" t="s">
        <v>83</v>
      </c>
      <c r="D30" s="59" t="s">
        <v>94</v>
      </c>
      <c r="G30" s="131"/>
    </row>
    <row r="31" spans="1:7" ht="12.75">
      <c r="A31" s="122" t="s">
        <v>51</v>
      </c>
      <c r="B31" s="101"/>
      <c r="C31" s="58"/>
      <c r="D31" s="59"/>
      <c r="G31" s="131"/>
    </row>
    <row r="32" spans="1:8" ht="12.75">
      <c r="A32" s="142" t="s">
        <v>91</v>
      </c>
      <c r="B32" s="143">
        <f>750/B41/'CFL Calculator'!C18</f>
        <v>0.6849315068493151</v>
      </c>
      <c r="C32" s="58" t="s">
        <v>64</v>
      </c>
      <c r="D32" s="59" t="s">
        <v>90</v>
      </c>
      <c r="F32" s="69"/>
      <c r="G32" s="132"/>
      <c r="H32" s="69"/>
    </row>
    <row r="33" spans="1:8" ht="12.75">
      <c r="A33" s="125" t="s">
        <v>92</v>
      </c>
      <c r="B33" s="143">
        <f>1000/B41/'CFL Calculator'!C18</f>
        <v>0.91324200913242</v>
      </c>
      <c r="C33" s="70" t="s">
        <v>64</v>
      </c>
      <c r="D33" s="59" t="s">
        <v>90</v>
      </c>
      <c r="F33" s="69"/>
      <c r="G33" s="132"/>
      <c r="H33" s="69"/>
    </row>
    <row r="34" spans="1:8" ht="12.75">
      <c r="A34" s="125"/>
      <c r="B34" s="110"/>
      <c r="C34" s="70"/>
      <c r="D34" s="59"/>
      <c r="F34" s="69"/>
      <c r="G34" s="132"/>
      <c r="H34" s="69"/>
    </row>
    <row r="35" spans="1:4" ht="15">
      <c r="A35" s="87" t="s">
        <v>29</v>
      </c>
      <c r="B35" s="71"/>
      <c r="C35" s="72"/>
      <c r="D35" s="59"/>
    </row>
    <row r="36" spans="1:4" ht="12.75">
      <c r="A36" s="112" t="s">
        <v>41</v>
      </c>
      <c r="B36" s="73">
        <v>20</v>
      </c>
      <c r="C36" s="58"/>
      <c r="D36" s="59" t="s">
        <v>37</v>
      </c>
    </row>
    <row r="37" spans="1:4" ht="12.75">
      <c r="A37" s="112" t="s">
        <v>70</v>
      </c>
      <c r="B37" s="68">
        <v>0.15</v>
      </c>
      <c r="C37" s="58" t="s">
        <v>83</v>
      </c>
      <c r="D37" s="59" t="s">
        <v>40</v>
      </c>
    </row>
    <row r="38" spans="1:4" ht="12.75">
      <c r="A38" s="126"/>
      <c r="B38" s="73"/>
      <c r="C38" s="74"/>
      <c r="D38" s="59"/>
    </row>
    <row r="39" spans="1:4" ht="15">
      <c r="A39" s="87" t="s">
        <v>30</v>
      </c>
      <c r="B39" s="68"/>
      <c r="C39" s="58"/>
      <c r="D39" s="59"/>
    </row>
    <row r="40" spans="1:4" ht="12.75">
      <c r="A40" s="122" t="s">
        <v>54</v>
      </c>
      <c r="B40" s="151">
        <v>3</v>
      </c>
      <c r="C40" s="75" t="s">
        <v>31</v>
      </c>
      <c r="D40" s="59" t="s">
        <v>94</v>
      </c>
    </row>
    <row r="41" spans="1:4" ht="12.75">
      <c r="A41" s="112" t="s">
        <v>56</v>
      </c>
      <c r="B41" s="77">
        <v>365</v>
      </c>
      <c r="C41" s="75" t="s">
        <v>55</v>
      </c>
      <c r="D41" s="59" t="s">
        <v>40</v>
      </c>
    </row>
    <row r="42" spans="1:4" ht="12.75">
      <c r="A42" s="127" t="s">
        <v>72</v>
      </c>
      <c r="B42" s="77"/>
      <c r="C42" s="75"/>
      <c r="D42" s="59"/>
    </row>
    <row r="43" spans="1:4" ht="12.75">
      <c r="A43" s="122" t="s">
        <v>79</v>
      </c>
      <c r="B43" s="113">
        <f>('CFL Calculator'!C18*$B$41)/B12</f>
        <v>0.1825</v>
      </c>
      <c r="C43" s="75" t="s">
        <v>82</v>
      </c>
      <c r="D43" s="59" t="s">
        <v>71</v>
      </c>
    </row>
    <row r="44" spans="1:4" ht="12.75">
      <c r="A44" s="122" t="s">
        <v>78</v>
      </c>
      <c r="B44" s="113">
        <f>('CFL Calculator'!C18*$B$41)/B13</f>
        <v>0.136875</v>
      </c>
      <c r="C44" s="75" t="s">
        <v>82</v>
      </c>
      <c r="D44" s="59" t="s">
        <v>71</v>
      </c>
    </row>
    <row r="45" spans="1:4" ht="12.75">
      <c r="A45" s="122" t="s">
        <v>73</v>
      </c>
      <c r="B45" s="113">
        <f>('CFL Calculator'!C18*$B$41)/B14</f>
        <v>0.1095</v>
      </c>
      <c r="C45" s="75" t="s">
        <v>82</v>
      </c>
      <c r="D45" s="59" t="s">
        <v>71</v>
      </c>
    </row>
    <row r="46" spans="1:4" ht="12.75">
      <c r="A46" s="122" t="s">
        <v>74</v>
      </c>
      <c r="B46" s="113">
        <f>('CFL Calculator'!C18*$B$41)/B15</f>
        <v>0.09125</v>
      </c>
      <c r="C46" s="75" t="s">
        <v>82</v>
      </c>
      <c r="D46" s="59" t="s">
        <v>71</v>
      </c>
    </row>
    <row r="47" spans="1:4" ht="12.75">
      <c r="A47" s="124" t="s">
        <v>75</v>
      </c>
      <c r="B47" s="113"/>
      <c r="C47" s="75"/>
      <c r="D47" s="59"/>
    </row>
    <row r="48" spans="1:4" ht="12.75">
      <c r="A48" s="122" t="s">
        <v>76</v>
      </c>
      <c r="B48" s="113">
        <f>('CFL Calculator'!C18*B41)/B29</f>
        <v>1.46</v>
      </c>
      <c r="C48" s="75" t="s">
        <v>82</v>
      </c>
      <c r="D48" s="59" t="s">
        <v>71</v>
      </c>
    </row>
    <row r="49" spans="1:4" ht="12.75">
      <c r="A49" s="112" t="s">
        <v>77</v>
      </c>
      <c r="B49" s="113">
        <f>('CFL Calculator'!C18*B41)/B30</f>
        <v>1.095</v>
      </c>
      <c r="C49" s="75" t="s">
        <v>82</v>
      </c>
      <c r="D49" s="59" t="s">
        <v>71</v>
      </c>
    </row>
    <row r="50" spans="1:4" ht="12.75">
      <c r="A50" s="126"/>
      <c r="B50" s="68"/>
      <c r="C50" s="58"/>
      <c r="D50" s="59"/>
    </row>
    <row r="51" spans="1:4" ht="15">
      <c r="A51" s="128" t="s">
        <v>32</v>
      </c>
      <c r="B51" s="68"/>
      <c r="C51" s="58"/>
      <c r="D51" s="59"/>
    </row>
    <row r="52" spans="1:4" ht="51">
      <c r="A52" s="129" t="s">
        <v>33</v>
      </c>
      <c r="B52" s="78">
        <v>0.04</v>
      </c>
      <c r="C52" s="58"/>
      <c r="D52" s="79" t="s">
        <v>34</v>
      </c>
    </row>
    <row r="53" spans="1:9" ht="15.75" customHeight="1">
      <c r="A53" s="59"/>
      <c r="B53" s="81"/>
      <c r="C53" s="58"/>
      <c r="D53" s="59"/>
      <c r="E53" s="76"/>
      <c r="F53" s="76"/>
      <c r="G53" s="76"/>
      <c r="H53" s="76"/>
      <c r="I53" s="76"/>
    </row>
    <row r="54" spans="1:4" ht="15">
      <c r="A54" s="88" t="s">
        <v>35</v>
      </c>
      <c r="B54" s="81"/>
      <c r="C54" s="58"/>
      <c r="D54" s="59"/>
    </row>
    <row r="55" spans="1:4" ht="24.75" customHeight="1">
      <c r="A55" s="89" t="s">
        <v>99</v>
      </c>
      <c r="B55" s="81">
        <v>0.0952</v>
      </c>
      <c r="C55" s="58" t="s">
        <v>36</v>
      </c>
      <c r="D55" s="59" t="s">
        <v>95</v>
      </c>
    </row>
    <row r="56" spans="1:4" ht="12.75">
      <c r="A56" s="89" t="s">
        <v>100</v>
      </c>
      <c r="B56" s="81">
        <v>0.1059</v>
      </c>
      <c r="C56" s="58" t="s">
        <v>36</v>
      </c>
      <c r="D56" s="59" t="s">
        <v>95</v>
      </c>
    </row>
    <row r="57" spans="1:21" s="83" customFormat="1" ht="12.75">
      <c r="A57" s="59"/>
      <c r="B57" s="81"/>
      <c r="C57" s="58"/>
      <c r="D57" s="59"/>
      <c r="E57" s="62"/>
      <c r="F57" s="62"/>
      <c r="G57" s="62"/>
      <c r="H57" s="62"/>
      <c r="I57" s="62"/>
      <c r="J57" s="62"/>
      <c r="K57" s="82"/>
      <c r="L57" s="82"/>
      <c r="M57" s="82"/>
      <c r="N57" s="82"/>
      <c r="O57" s="82"/>
      <c r="P57" s="82"/>
      <c r="Q57" s="82"/>
      <c r="R57" s="82"/>
      <c r="S57" s="82"/>
      <c r="T57" s="82"/>
      <c r="U57" s="82"/>
    </row>
    <row r="58" spans="1:21" s="83" customFormat="1" ht="15">
      <c r="A58" s="88" t="s">
        <v>38</v>
      </c>
      <c r="B58" s="81"/>
      <c r="C58" s="58"/>
      <c r="D58" s="59"/>
      <c r="E58" s="62"/>
      <c r="F58" s="62"/>
      <c r="G58" s="62"/>
      <c r="H58" s="62"/>
      <c r="I58" s="62"/>
      <c r="J58" s="82"/>
      <c r="K58" s="82"/>
      <c r="L58" s="82"/>
      <c r="M58" s="82"/>
      <c r="N58" s="82"/>
      <c r="O58" s="82"/>
      <c r="P58" s="82"/>
      <c r="Q58" s="82"/>
      <c r="R58" s="82"/>
      <c r="S58" s="82"/>
      <c r="T58" s="82"/>
      <c r="U58" s="82"/>
    </row>
    <row r="59" spans="1:21" s="83" customFormat="1" ht="15.75">
      <c r="A59" s="89" t="s">
        <v>39</v>
      </c>
      <c r="B59" s="81">
        <v>1.54</v>
      </c>
      <c r="C59" s="58" t="s">
        <v>81</v>
      </c>
      <c r="D59" s="59" t="s">
        <v>96</v>
      </c>
      <c r="E59" s="82"/>
      <c r="F59" s="82"/>
      <c r="G59" s="82"/>
      <c r="H59" s="82"/>
      <c r="I59" s="82"/>
      <c r="J59" s="82"/>
      <c r="K59" s="82"/>
      <c r="L59" s="82"/>
      <c r="M59" s="82"/>
      <c r="N59" s="82"/>
      <c r="O59" s="82"/>
      <c r="P59" s="82"/>
      <c r="Q59" s="82"/>
      <c r="R59" s="82"/>
      <c r="S59" s="82"/>
      <c r="T59" s="82"/>
      <c r="U59" s="82"/>
    </row>
    <row r="60" spans="1:21" s="83" customFormat="1" ht="12.75">
      <c r="A60" s="59"/>
      <c r="B60" s="81"/>
      <c r="C60" s="58"/>
      <c r="D60" s="59"/>
      <c r="E60" s="82"/>
      <c r="F60" s="82"/>
      <c r="G60" s="82"/>
      <c r="H60" s="82"/>
      <c r="I60" s="82"/>
      <c r="J60" s="82"/>
      <c r="K60" s="82"/>
      <c r="L60" s="82"/>
      <c r="M60" s="82"/>
      <c r="N60" s="82"/>
      <c r="O60" s="82"/>
      <c r="P60" s="82"/>
      <c r="Q60" s="82"/>
      <c r="R60" s="82"/>
      <c r="S60" s="82"/>
      <c r="T60" s="82"/>
      <c r="U60" s="82"/>
    </row>
    <row r="61" spans="1:21" s="83" customFormat="1" ht="16.5">
      <c r="A61" s="88" t="s">
        <v>46</v>
      </c>
      <c r="B61" s="84"/>
      <c r="C61" s="58"/>
      <c r="D61" s="59"/>
      <c r="E61" s="82"/>
      <c r="F61" s="82"/>
      <c r="G61" s="82"/>
      <c r="H61" s="82"/>
      <c r="I61" s="82"/>
      <c r="J61" s="82"/>
      <c r="K61" s="82"/>
      <c r="L61" s="82"/>
      <c r="M61" s="82"/>
      <c r="N61" s="82"/>
      <c r="O61" s="82"/>
      <c r="P61" s="82"/>
      <c r="Q61" s="82"/>
      <c r="R61" s="82"/>
      <c r="S61" s="82"/>
      <c r="T61" s="82"/>
      <c r="U61" s="82"/>
    </row>
    <row r="62" spans="1:21" s="83" customFormat="1" ht="15.75">
      <c r="A62" s="89" t="s">
        <v>44</v>
      </c>
      <c r="B62" s="84">
        <v>9700</v>
      </c>
      <c r="C62" s="58" t="s">
        <v>86</v>
      </c>
      <c r="D62" s="59" t="s">
        <v>97</v>
      </c>
      <c r="E62" s="82"/>
      <c r="F62" s="82"/>
      <c r="G62" s="82"/>
      <c r="H62" s="82"/>
      <c r="I62" s="82"/>
      <c r="J62" s="82"/>
      <c r="K62" s="82"/>
      <c r="L62" s="82"/>
      <c r="M62" s="82"/>
      <c r="N62" s="82"/>
      <c r="O62" s="82"/>
      <c r="P62" s="82"/>
      <c r="Q62" s="82"/>
      <c r="R62" s="82"/>
      <c r="S62" s="82"/>
      <c r="T62" s="82"/>
      <c r="U62" s="82"/>
    </row>
    <row r="63" spans="1:21" s="83" customFormat="1" ht="15.75">
      <c r="A63" s="90" t="s">
        <v>45</v>
      </c>
      <c r="B63" s="166">
        <v>12037</v>
      </c>
      <c r="C63" s="133" t="s">
        <v>86</v>
      </c>
      <c r="D63" s="167" t="s">
        <v>97</v>
      </c>
      <c r="E63" s="82"/>
      <c r="F63" s="82"/>
      <c r="G63" s="82"/>
      <c r="H63" s="82"/>
      <c r="I63" s="82"/>
      <c r="J63" s="82"/>
      <c r="K63" s="82"/>
      <c r="L63" s="82"/>
      <c r="M63" s="82"/>
      <c r="N63" s="82"/>
      <c r="O63" s="82"/>
      <c r="P63" s="82"/>
      <c r="Q63" s="82"/>
      <c r="R63" s="82"/>
      <c r="S63" s="82"/>
      <c r="T63" s="82"/>
      <c r="U63" s="82"/>
    </row>
    <row r="64" spans="1:21" s="83" customFormat="1" ht="12.75">
      <c r="A64" s="82"/>
      <c r="B64" s="85"/>
      <c r="C64" s="86"/>
      <c r="E64" s="82"/>
      <c r="F64" s="82"/>
      <c r="G64" s="82"/>
      <c r="H64" s="82"/>
      <c r="I64" s="82"/>
      <c r="J64" s="82"/>
      <c r="K64" s="82"/>
      <c r="L64" s="82"/>
      <c r="M64" s="82"/>
      <c r="N64" s="82"/>
      <c r="O64" s="82"/>
      <c r="P64" s="82"/>
      <c r="Q64" s="82"/>
      <c r="R64" s="82"/>
      <c r="S64" s="82"/>
      <c r="T64" s="82"/>
      <c r="U64" s="82"/>
    </row>
    <row r="65" spans="1:21" s="83" customFormat="1" ht="25.5">
      <c r="A65" s="134" t="s">
        <v>84</v>
      </c>
      <c r="B65" s="135" t="s">
        <v>85</v>
      </c>
      <c r="C65" s="136"/>
      <c r="D65" s="136"/>
      <c r="E65" s="82"/>
      <c r="F65" s="82"/>
      <c r="G65" s="82"/>
      <c r="H65" s="82"/>
      <c r="I65" s="82"/>
      <c r="J65" s="82"/>
      <c r="K65" s="82"/>
      <c r="L65" s="82"/>
      <c r="M65" s="82"/>
      <c r="N65" s="82"/>
      <c r="O65" s="82"/>
      <c r="P65" s="82"/>
      <c r="Q65" s="82"/>
      <c r="R65" s="82"/>
      <c r="S65" s="82"/>
      <c r="T65" s="82"/>
      <c r="U65" s="82"/>
    </row>
    <row r="66" spans="1:21" s="83" customFormat="1" ht="12.75">
      <c r="A66" s="82"/>
      <c r="B66" s="85"/>
      <c r="C66" s="86"/>
      <c r="E66" s="82"/>
      <c r="F66" s="82"/>
      <c r="G66" s="82"/>
      <c r="H66" s="82"/>
      <c r="I66" s="82"/>
      <c r="J66" s="82"/>
      <c r="K66" s="82"/>
      <c r="L66" s="82"/>
      <c r="M66" s="82"/>
      <c r="N66" s="82"/>
      <c r="O66" s="82"/>
      <c r="P66" s="82"/>
      <c r="Q66" s="82"/>
      <c r="R66" s="82"/>
      <c r="S66" s="82"/>
      <c r="T66" s="82"/>
      <c r="U66" s="82"/>
    </row>
    <row r="67" spans="1:10" ht="12.75">
      <c r="A67" s="82" t="s">
        <v>98</v>
      </c>
      <c r="E67" s="82"/>
      <c r="F67" s="82"/>
      <c r="G67" s="82"/>
      <c r="H67" s="82"/>
      <c r="I67" s="82"/>
      <c r="J67" s="82"/>
    </row>
    <row r="68" spans="5:9" ht="12.75">
      <c r="E68" s="82"/>
      <c r="F68" s="82"/>
      <c r="G68" s="82"/>
      <c r="H68" s="82"/>
      <c r="I68" s="82"/>
    </row>
  </sheetData>
  <sheetProtection/>
  <mergeCells count="3">
    <mergeCell ref="A1:D1"/>
    <mergeCell ref="B3:C3"/>
    <mergeCell ref="J7:L7"/>
  </mergeCells>
  <hyperlinks>
    <hyperlink ref="B65" r:id="rId1" display="Escalcs@cadmusgroup.com"/>
  </hyperlinks>
  <printOptions horizontalCentered="1" verticalCentered="1"/>
  <pageMargins left="0" right="0" top="0.5" bottom="0.5" header="0" footer="0.25"/>
  <pageSetup fitToHeight="1" fitToWidth="1" horizontalDpi="600" verticalDpi="600" orientation="landscape" scale="61"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ppappas</dc:creator>
  <cp:keywords/>
  <dc:description/>
  <cp:lastModifiedBy>Jenny</cp:lastModifiedBy>
  <cp:lastPrinted>2004-09-03T17:39:33Z</cp:lastPrinted>
  <dcterms:created xsi:type="dcterms:W3CDTF">2004-07-12T13:20:55Z</dcterms:created>
  <dcterms:modified xsi:type="dcterms:W3CDTF">2008-11-17T15:28:08Z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1704829438</vt:i4>
  </property>
  <property fmtid="{D5CDD505-2E9C-101B-9397-08002B2CF9AE}" pid="3" name="_EmailSubject">
    <vt:lpwstr>CFL calc</vt:lpwstr>
  </property>
  <property fmtid="{D5CDD505-2E9C-101B-9397-08002B2CF9AE}" pid="4" name="_AuthorEmail">
    <vt:lpwstr>MSalisbury@cadmusgroup.com</vt:lpwstr>
  </property>
  <property fmtid="{D5CDD505-2E9C-101B-9397-08002B2CF9AE}" pid="5" name="_AuthorEmailDisplayName">
    <vt:lpwstr>Michelle Salisbury</vt:lpwstr>
  </property>
  <property fmtid="{D5CDD505-2E9C-101B-9397-08002B2CF9AE}" pid="6" name="_PreviousAdHocReviewCycleID">
    <vt:i4>846196038</vt:i4>
  </property>
  <property fmtid="{D5CDD505-2E9C-101B-9397-08002B2CF9AE}" pid="7" name="_ReviewingToolsShownOnce">
    <vt:lpwstr/>
  </property>
</Properties>
</file>