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491" windowWidth="7650" windowHeight="8985" tabRatio="727" activeTab="0"/>
  </bookViews>
  <sheets>
    <sheet name="Boiler Calc" sheetId="1" r:id="rId1"/>
    <sheet name="Assumptions" sheetId="2" r:id="rId2"/>
  </sheets>
  <definedNames>
    <definedName name="_xlnm.Print_Area" localSheetId="1">'Assumptions'!$C$1:$F$236</definedName>
    <definedName name="_xlnm.Print_Area" localSheetId="0">'Boiler Calc'!$A$1:$M$69</definedName>
    <definedName name="_xlnm.Print_Titles" localSheetId="1">'Assumptions'!$1:$3</definedName>
  </definedNames>
  <calcPr fullCalcOnLoad="1"/>
</workbook>
</file>

<file path=xl/sharedStrings.xml><?xml version="1.0" encoding="utf-8"?>
<sst xmlns="http://schemas.openxmlformats.org/spreadsheetml/2006/main" count="567" uniqueCount="339">
  <si>
    <t>Life Cycle Cost Estimate for</t>
  </si>
  <si>
    <t>Enter your own values in the gray boxes or use our default values.</t>
  </si>
  <si>
    <t>ENERGY STAR Qualified Unit</t>
  </si>
  <si>
    <t>Conventional Unit</t>
  </si>
  <si>
    <t xml:space="preserve"> Savings with ENERGY STAR</t>
  </si>
  <si>
    <t>Energy cost</t>
  </si>
  <si>
    <t>Maintenance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</si>
  <si>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</si>
  <si>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</si>
  <si>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</si>
  <si>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</si>
  <si>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</si>
  <si>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</si>
  <si>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</si>
  <si>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</si>
  <si>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</si>
  <si>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</si>
  <si>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</si>
  <si>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</si>
  <si>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</si>
  <si>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</si>
  <si>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Power</t>
  </si>
  <si>
    <t>years</t>
  </si>
  <si>
    <t>Maintenance</t>
  </si>
  <si>
    <t>Discount Rate</t>
  </si>
  <si>
    <t>Commercial and Residential Discount Rate (real)</t>
  </si>
  <si>
    <t>A real discount rate of 4 percent is assumed, which is roughly equivalent to the nominal discount rate of 7 percent (4 percent real discount rate + 3 percent inflation rate).</t>
  </si>
  <si>
    <t>Labor cost (per hour)</t>
  </si>
  <si>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</si>
  <si>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</si>
  <si>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</si>
  <si>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</si>
  <si>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Lifetime</t>
  </si>
  <si>
    <t>Labor time (hours)</t>
  </si>
  <si>
    <t>Carbon Dioxide Emissions Factors</t>
  </si>
  <si>
    <t>This energy savings calculator was developed by the U.S. EPA and U.S. DOE and is provided for estimating purposes only.  Actual energy savings may vary based on use and other factors.</t>
  </si>
  <si>
    <t>Maintenance costs</t>
  </si>
  <si>
    <t>Energy costs</t>
  </si>
  <si>
    <t>Initial Cost per Unit (estimated retail price)</t>
  </si>
  <si>
    <t>Energy and Water Prices</t>
  </si>
  <si>
    <t>Initial Cost Per Unit</t>
  </si>
  <si>
    <t>Yes</t>
  </si>
  <si>
    <t>No</t>
  </si>
  <si>
    <t>Operating costs (energy and maintenance)</t>
  </si>
  <si>
    <t>Annual Fuel Utilization Efficiency (AFUE)</t>
  </si>
  <si>
    <t>Btu/gal</t>
  </si>
  <si>
    <t>$/gal</t>
  </si>
  <si>
    <t>Life cycle energy saved (MMBtu)</t>
  </si>
  <si>
    <t>Btu/Therm</t>
  </si>
  <si>
    <t>Oil</t>
  </si>
  <si>
    <t>Gas</t>
  </si>
  <si>
    <t>Use with Programmable Thermostat (Yes/No)</t>
  </si>
  <si>
    <t>LBNL 2004</t>
  </si>
  <si>
    <r>
      <t>lbs CO</t>
    </r>
    <r>
      <rPr>
        <vertAlign val="subscript"/>
        <sz val="10"/>
        <rFont val="Univers"/>
        <family val="2"/>
      </rPr>
      <t>2</t>
    </r>
    <r>
      <rPr>
        <sz val="10"/>
        <rFont val="Univers"/>
        <family val="2"/>
      </rPr>
      <t>/MMBtu</t>
    </r>
  </si>
  <si>
    <r>
      <t>CO</t>
    </r>
    <r>
      <rPr>
        <b/>
        <vertAlign val="subscript"/>
        <sz val="11"/>
        <rFont val="Univers"/>
        <family val="2"/>
      </rPr>
      <t>2</t>
    </r>
    <r>
      <rPr>
        <b/>
        <sz val="11"/>
        <rFont val="Univers"/>
        <family val="2"/>
      </rPr>
      <t xml:space="preserve"> Equivalents</t>
    </r>
  </si>
  <si>
    <r>
      <t>Annual CO</t>
    </r>
    <r>
      <rPr>
        <vertAlign val="subscript"/>
        <sz val="10"/>
        <rFont val="Univers"/>
        <family val="2"/>
      </rPr>
      <t>2</t>
    </r>
    <r>
      <rPr>
        <sz val="10"/>
        <rFont val="Univers"/>
        <family val="2"/>
      </rPr>
      <t xml:space="preserve"> sequestration per forested acre</t>
    </r>
  </si>
  <si>
    <r>
      <t>lbs CO</t>
    </r>
    <r>
      <rPr>
        <vertAlign val="subscript"/>
        <sz val="10"/>
        <rFont val="Univers"/>
        <family val="2"/>
      </rPr>
      <t>2</t>
    </r>
    <r>
      <rPr>
        <sz val="10"/>
        <rFont val="Univers"/>
        <family val="2"/>
      </rPr>
      <t>/year</t>
    </r>
  </si>
  <si>
    <r>
      <t>Annual CO</t>
    </r>
    <r>
      <rPr>
        <vertAlign val="subscript"/>
        <sz val="10"/>
        <rFont val="Univers"/>
        <family val="2"/>
      </rPr>
      <t>2</t>
    </r>
    <r>
      <rPr>
        <sz val="10"/>
        <rFont val="Univers"/>
        <family val="2"/>
      </rPr>
      <t xml:space="preserve"> emissions for "average" passenger car</t>
    </r>
  </si>
  <si>
    <t>Assumptions for Boilers</t>
  </si>
  <si>
    <t>Btus per Gallon of #2 oil</t>
  </si>
  <si>
    <t>Btu per Therm of Gas</t>
  </si>
  <si>
    <t>$/therm</t>
  </si>
  <si>
    <t xml:space="preserve">For questions or comments, please send your email to: Escalcs@cadmusgroup.com   
</t>
  </si>
  <si>
    <t>Energy Conversions</t>
  </si>
  <si>
    <t>Assumption</t>
  </si>
  <si>
    <t>EIA 2006</t>
  </si>
  <si>
    <t>Price of # 2 Oil per Gallon</t>
  </si>
  <si>
    <t>Commercial Gas Price</t>
  </si>
  <si>
    <t>Residential Gas Price</t>
  </si>
  <si>
    <t>Oil Carbon Emission Factor</t>
  </si>
  <si>
    <t>Gas Carbon Emission Factor</t>
  </si>
  <si>
    <t>an ENERGY STAR Qualified Boiler</t>
  </si>
  <si>
    <t>What fuel do you use to heat your home?</t>
  </si>
  <si>
    <t>How large is your home? (in square feet)</t>
  </si>
  <si>
    <t>Include only heated space</t>
  </si>
  <si>
    <t>When was your home built?</t>
  </si>
  <si>
    <t>When was your existing boiler installed?</t>
  </si>
  <si>
    <t>Table 1-Vintage Furnace Efficiency</t>
  </si>
  <si>
    <t>Selected</t>
  </si>
  <si>
    <t>&lt;1960</t>
  </si>
  <si>
    <t>1960-1969</t>
  </si>
  <si>
    <t>1975-1983</t>
  </si>
  <si>
    <t>1984-1987</t>
  </si>
  <si>
    <t>1988-1991</t>
  </si>
  <si>
    <t>&gt;1992</t>
  </si>
  <si>
    <t>New Unit</t>
  </si>
  <si>
    <t>Selected Value</t>
  </si>
  <si>
    <t>Table 2-Historical Heat Loads by Construction Age and Region (kBTU/SF/YR)</t>
  </si>
  <si>
    <t>Construction Date</t>
  </si>
  <si>
    <t>Region</t>
  </si>
  <si>
    <t>Age</t>
  </si>
  <si>
    <t>E N Central</t>
  </si>
  <si>
    <t>E S Central</t>
  </si>
  <si>
    <t>Mid Atlantic</t>
  </si>
  <si>
    <t>Mountain</t>
  </si>
  <si>
    <t>New England</t>
  </si>
  <si>
    <t>South Atlantic</t>
  </si>
  <si>
    <t>Pacific</t>
  </si>
  <si>
    <t>W N Central</t>
  </si>
  <si>
    <t>W S Central</t>
  </si>
  <si>
    <t>Table 3-Census Division Lookup Table</t>
  </si>
  <si>
    <t>Table 4-Fuel Type Selected</t>
  </si>
  <si>
    <t>Energy Consumption (therms)</t>
  </si>
  <si>
    <t>Energy Consumption (Gallons)</t>
  </si>
  <si>
    <t>Table 5-Programmable thermostat Usage</t>
  </si>
  <si>
    <t>ENERGY STAR Case</t>
  </si>
  <si>
    <t>Standard Case</t>
  </si>
  <si>
    <t>square feet</t>
  </si>
  <si>
    <t>Residential Space Heating Load</t>
  </si>
  <si>
    <t>Programmable thermostat Savings</t>
  </si>
  <si>
    <t>Energy Consumption (MMBTU)</t>
  </si>
  <si>
    <t>Purchase price</t>
  </si>
  <si>
    <t>Select 'New Unit' to compare new boiler options</t>
  </si>
  <si>
    <t>See Table 1 (Cell H4)</t>
  </si>
  <si>
    <t>Calculated</t>
  </si>
  <si>
    <t>HUNTSVILLE, AL</t>
  </si>
  <si>
    <t>MOBILE, AL</t>
  </si>
  <si>
    <t>ANCHORAGE, AK</t>
  </si>
  <si>
    <t>JUNEAU, AK</t>
  </si>
  <si>
    <t>FLAGSTAFF, AZ</t>
  </si>
  <si>
    <t>PHOENIX, AZ</t>
  </si>
  <si>
    <t>TUCSON, AZ</t>
  </si>
  <si>
    <t>WINSLOW, AZ</t>
  </si>
  <si>
    <t>YUMA, AZ</t>
  </si>
  <si>
    <t>FORT SMITH, AR</t>
  </si>
  <si>
    <t>LITTLE ROCK, AR</t>
  </si>
  <si>
    <t>NORTH LITTLE ROCK, AR</t>
  </si>
  <si>
    <t>BAKERSFIELD, CA</t>
  </si>
  <si>
    <t>BISHOP, CA</t>
  </si>
  <si>
    <t>EUREKA, CA.</t>
  </si>
  <si>
    <t>FRESNO, CA</t>
  </si>
  <si>
    <t>LONG BEACH, CA</t>
  </si>
  <si>
    <t>LOS ANGELES C.O., CA</t>
  </si>
  <si>
    <t>MOUNT SHASTA, CA</t>
  </si>
  <si>
    <t>SACRAMENTO, CA</t>
  </si>
  <si>
    <t>SAN DIEGO, CA</t>
  </si>
  <si>
    <t>SAN FRANCISCO C.O., CA</t>
  </si>
  <si>
    <t>SANTA BARBARA, CA</t>
  </si>
  <si>
    <t>SANTA MARIA, CA</t>
  </si>
  <si>
    <t>STOCKTON, CA</t>
  </si>
  <si>
    <t>ALAMOSA, CO</t>
  </si>
  <si>
    <t>COLORADO SPRINGS, CO</t>
  </si>
  <si>
    <t>DENVER, CO</t>
  </si>
  <si>
    <t>GRAND JUNCTION, CO</t>
  </si>
  <si>
    <t>PUEBLO, CO</t>
  </si>
  <si>
    <t>BRIDGEPORT, CT</t>
  </si>
  <si>
    <t>HARTFORD, CT</t>
  </si>
  <si>
    <t>WILMINGTON, DE</t>
  </si>
  <si>
    <t>MIAMI, FL</t>
  </si>
  <si>
    <t>ORLANDO, FL</t>
  </si>
  <si>
    <t>TALLAHASSEE, FL</t>
  </si>
  <si>
    <t>ATLANTA, GA</t>
  </si>
  <si>
    <t>BOISE, ID</t>
  </si>
  <si>
    <t>LEWISTON, ID</t>
  </si>
  <si>
    <t>MOLINE, IL</t>
  </si>
  <si>
    <t>PEORIA, IL</t>
  </si>
  <si>
    <t>SPRINGFIELD, IL</t>
  </si>
  <si>
    <t>EVANSVILLE, IN</t>
  </si>
  <si>
    <t>FORT WAYNE, IN</t>
  </si>
  <si>
    <t>INDIANAPOLIS, IN</t>
  </si>
  <si>
    <t>SOUTH BEND, IN</t>
  </si>
  <si>
    <t>DES MOINES, IA</t>
  </si>
  <si>
    <t>SIOUX CITY, IA</t>
  </si>
  <si>
    <t>CONCORDIA, KS</t>
  </si>
  <si>
    <t>DODGE CITY, KS</t>
  </si>
  <si>
    <t>GOODLAND, KS</t>
  </si>
  <si>
    <t>TOPEKA, KS</t>
  </si>
  <si>
    <t>WICHITA, KS</t>
  </si>
  <si>
    <t>JACKSON, KY</t>
  </si>
  <si>
    <t>LEXINGTON, KY</t>
  </si>
  <si>
    <t>LOUISVILLE, KY</t>
  </si>
  <si>
    <t>BATON ROUGE, LA</t>
  </si>
  <si>
    <t>LAKE CHARLES, LA</t>
  </si>
  <si>
    <t>NEW ORLEANS, LA</t>
  </si>
  <si>
    <t>SHREVEPORT, LA</t>
  </si>
  <si>
    <t>PORTLAND, ME</t>
  </si>
  <si>
    <t>BALTIMORE, MD</t>
  </si>
  <si>
    <t>BOSTON, MA</t>
  </si>
  <si>
    <t>WORCESTER, MA</t>
  </si>
  <si>
    <t>DETROIT, MI</t>
  </si>
  <si>
    <t>FLINT, MI</t>
  </si>
  <si>
    <t>GRAND RAPIDS, MI</t>
  </si>
  <si>
    <t>LANSING, MI</t>
  </si>
  <si>
    <t>DULUTH, MN</t>
  </si>
  <si>
    <t>MINNEAPOLIS-ST.PAUL, MN</t>
  </si>
  <si>
    <t>SAINT CLOUD, MN</t>
  </si>
  <si>
    <t>JACKSON, MS</t>
  </si>
  <si>
    <t>MERIDIAN, MS</t>
  </si>
  <si>
    <t>COLUMBIA, MO</t>
  </si>
  <si>
    <t>KANSAS CITY, MO</t>
  </si>
  <si>
    <t>ST. LOUIS, MO</t>
  </si>
  <si>
    <t>SPRINGFIELD, MO</t>
  </si>
  <si>
    <t>BILLINGS, MT</t>
  </si>
  <si>
    <t>GREAT FALLS, MT</t>
  </si>
  <si>
    <t>HELENA, MT</t>
  </si>
  <si>
    <t>MISSOULA, MT</t>
  </si>
  <si>
    <t>GRAND ISLAND, NE</t>
  </si>
  <si>
    <t>LINCOLN, NE</t>
  </si>
  <si>
    <t>OMAHA (NORTH), NE</t>
  </si>
  <si>
    <t>SCOTTSBLUFF, NE</t>
  </si>
  <si>
    <t>LAS VEGAS, NV</t>
  </si>
  <si>
    <t>RENO, NV</t>
  </si>
  <si>
    <t>WINNEMUCCA, NV</t>
  </si>
  <si>
    <t>CONCORD, NH</t>
  </si>
  <si>
    <t>NEWARK, NJ</t>
  </si>
  <si>
    <t>ALBUQUERQUE, NM</t>
  </si>
  <si>
    <t>CLAYTON, NM</t>
  </si>
  <si>
    <t>ROSWELL, NM</t>
  </si>
  <si>
    <t>ALBANY, NY</t>
  </si>
  <si>
    <t>BINGHAMTON, NY</t>
  </si>
  <si>
    <t>BUFFALO, NY</t>
  </si>
  <si>
    <t>ISLIP, NY</t>
  </si>
  <si>
    <t>NEW YORK (JFK AIRPORT), NY</t>
  </si>
  <si>
    <t>SYRACUSE, NY</t>
  </si>
  <si>
    <t>ASHEVILLE, NC</t>
  </si>
  <si>
    <t>CHARLOTTE, NC</t>
  </si>
  <si>
    <t>RALEIGH, NC</t>
  </si>
  <si>
    <t>BISMARCK, ND</t>
  </si>
  <si>
    <t>FARGO, ND</t>
  </si>
  <si>
    <t>AKRON, OH</t>
  </si>
  <si>
    <t>CINCINNATI, OH</t>
  </si>
  <si>
    <t>CLEVELAND, OH</t>
  </si>
  <si>
    <t>COLUMBUS, OH</t>
  </si>
  <si>
    <t>DAYTON, OH</t>
  </si>
  <si>
    <t>MANSFIELD, OH</t>
  </si>
  <si>
    <t>TOLEDO, OH</t>
  </si>
  <si>
    <t>YOUNGSTOWN, OH</t>
  </si>
  <si>
    <t>OKLAHOMA CITY, OK</t>
  </si>
  <si>
    <t>TULSA, OK</t>
  </si>
  <si>
    <t>ASTORIA, OR</t>
  </si>
  <si>
    <t>EUGENE, OR</t>
  </si>
  <si>
    <t>MEDFORD, OR</t>
  </si>
  <si>
    <t>PENDLETON, OR</t>
  </si>
  <si>
    <t>PORTLAND, OR</t>
  </si>
  <si>
    <t>SALEM, OR</t>
  </si>
  <si>
    <t>SEXTON SUMMIT, OR</t>
  </si>
  <si>
    <t>ALLENTOWN, PA</t>
  </si>
  <si>
    <t>ERIE, PA.</t>
  </si>
  <si>
    <t>HARRISBURG, PA</t>
  </si>
  <si>
    <t>PHILADELPHIA, PA</t>
  </si>
  <si>
    <t>PITTSBURGH, PA</t>
  </si>
  <si>
    <t>WILLIAMSPORT, PA</t>
  </si>
  <si>
    <t>PROVIDENCE, RI</t>
  </si>
  <si>
    <t>COLUMBIA, SC</t>
  </si>
  <si>
    <t>HURON, SD</t>
  </si>
  <si>
    <t>RAPID CITY, SD</t>
  </si>
  <si>
    <t>SIOUX FALLS, SD</t>
  </si>
  <si>
    <t>CHATTANOOGA, TN</t>
  </si>
  <si>
    <t>KNOXVILLE, TN</t>
  </si>
  <si>
    <t>MEMPHIS, TN</t>
  </si>
  <si>
    <t>NASHVILLE, TN</t>
  </si>
  <si>
    <t>ABILENE, TX</t>
  </si>
  <si>
    <t>AMARILLO, TX</t>
  </si>
  <si>
    <t>AUSTIN/CITY, TX</t>
  </si>
  <si>
    <t>AUSTIN/BERGSTROM, TX</t>
  </si>
  <si>
    <t>BROWNSVILLE, TX</t>
  </si>
  <si>
    <t>CORPUS CHRISTI, TX</t>
  </si>
  <si>
    <t>DALLAS-FORT WORTH, TX</t>
  </si>
  <si>
    <t>DALLAS-LOVE FIELD, TX</t>
  </si>
  <si>
    <t>DEL RIO, TX</t>
  </si>
  <si>
    <t>EL PASO, TX</t>
  </si>
  <si>
    <t>GALVESTON, TX</t>
  </si>
  <si>
    <t>HOUSTON, TX</t>
  </si>
  <si>
    <t>LUBBOCK, TX</t>
  </si>
  <si>
    <t>MIDLAND-ODESSA, TX</t>
  </si>
  <si>
    <t>PORT ARTHUR, TX</t>
  </si>
  <si>
    <t>SAN ANGELO, TX</t>
  </si>
  <si>
    <t>SAN ANTONIO, TX</t>
  </si>
  <si>
    <t>VICTORIA, TX</t>
  </si>
  <si>
    <t>WACO, TX</t>
  </si>
  <si>
    <t>WICHITA FALLS, TX</t>
  </si>
  <si>
    <t>MILFORD, UT</t>
  </si>
  <si>
    <t>SALT LAKE CITY, UT</t>
  </si>
  <si>
    <t>BURLINGTON, VT</t>
  </si>
  <si>
    <t>LYNCHBURG, VA</t>
  </si>
  <si>
    <t>NORFOLK, VA</t>
  </si>
  <si>
    <t>RICHMOND, VA</t>
  </si>
  <si>
    <t>ROANOKE, VA</t>
  </si>
  <si>
    <t>OLYMPIA, WA</t>
  </si>
  <si>
    <t>QUILLAYUTE, WA</t>
  </si>
  <si>
    <t>SPOKANE, WA</t>
  </si>
  <si>
    <t>YAKIMA, WA</t>
  </si>
  <si>
    <t>BECKLEY, WV</t>
  </si>
  <si>
    <t>CHARLESTON, WV</t>
  </si>
  <si>
    <t>ELKINS, WV</t>
  </si>
  <si>
    <t>HUNTINGTON, WV</t>
  </si>
  <si>
    <t>GREEN BAY, WI</t>
  </si>
  <si>
    <t>MADISON, WI</t>
  </si>
  <si>
    <t>MILWAUKEE, WI</t>
  </si>
  <si>
    <t>CHEYENNE, WY</t>
  </si>
  <si>
    <t>LANDER, WY</t>
  </si>
  <si>
    <t>SHERIDAN, WY</t>
  </si>
  <si>
    <t>Select the city you live in, or closest to?</t>
  </si>
  <si>
    <t>RESNET 2006</t>
  </si>
  <si>
    <t>ENERGY STAR Specification</t>
  </si>
  <si>
    <t>Selected City Heat Load by Construction Age (kBTU/SF/YR)</t>
  </si>
  <si>
    <t>&lt;1940</t>
  </si>
  <si>
    <t>1940-1949</t>
  </si>
  <si>
    <t>1950-1959</t>
  </si>
  <si>
    <t>1970-1979</t>
  </si>
  <si>
    <t>1980-1989</t>
  </si>
  <si>
    <t>1990-1999</t>
  </si>
  <si>
    <t>Middle Atlantic</t>
  </si>
  <si>
    <t>East South Central</t>
  </si>
  <si>
    <t>East North Central</t>
  </si>
  <si>
    <t>West North Central</t>
  </si>
  <si>
    <t>West South Central</t>
  </si>
  <si>
    <t>BIRMINGHAM, AL</t>
  </si>
  <si>
    <t>WASHINGTON, DC</t>
  </si>
  <si>
    <t>AUGUSTA, GA</t>
  </si>
  <si>
    <t>HONOLULU, HI</t>
  </si>
  <si>
    <t>CHICAGO, IL</t>
  </si>
  <si>
    <t>PADUCAH, KY</t>
  </si>
  <si>
    <t>ATLANTIC CITY C.O., NJ</t>
  </si>
  <si>
    <t>BURNS, OR</t>
  </si>
  <si>
    <t>BRISTOL-JHNSN CTY-KNGSPRT, TN</t>
  </si>
  <si>
    <t>SEATTLE, WA</t>
  </si>
  <si>
    <t>WALLA WALLA, WA</t>
  </si>
  <si>
    <t>NOAA, 2007</t>
  </si>
  <si>
    <t>Default Heated Floor Area</t>
  </si>
  <si>
    <t>% of Regional Load Value</t>
  </si>
  <si>
    <t>Ratio of City Heating Degree Days to Regional Average Heating Degree Days</t>
  </si>
  <si>
    <t>Industry Data 2007</t>
  </si>
  <si>
    <t>2000-Present</t>
  </si>
  <si>
    <t>Note that 2000-Present cell reflects historical data from 2000-2001</t>
  </si>
  <si>
    <t>LBNL 2007</t>
  </si>
  <si>
    <t>Average Heating Savings in the North</t>
  </si>
  <si>
    <t>Average Heating Savings in the South</t>
  </si>
  <si>
    <t>Average Heating Savings in the Selected City</t>
  </si>
  <si>
    <t>Table 7 - Programmable Thermostat Savings Lookup Table</t>
  </si>
  <si>
    <t>slope, m</t>
  </si>
  <si>
    <t>intercept, b</t>
  </si>
  <si>
    <t>avg lower quartile (kBTU/SF/YR)</t>
  </si>
  <si>
    <t>avg upper quartile (kBTU/SF/YR)</t>
  </si>
  <si>
    <t>Caculated (see Table 7)</t>
  </si>
  <si>
    <t>Thermostat Usage Guidelines</t>
  </si>
  <si>
    <t>EPA 2007</t>
  </si>
  <si>
    <t>Last updated 08/08</t>
  </si>
  <si>
    <t>EIA 2008</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</si>
</sst>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Red]#,##0"/>
    <numFmt numFmtId="173" formatCode="&quot;$&quot;#,##0.000_);[Red]\(&quot;$&quot;#,##0.000\)"/>
    <numFmt numFmtId="174" formatCode="&quot;$&quot;#,##0;[Red]&quot;$&quot;#,##0"/>
    <numFmt numFmtId="175" formatCode="&quot;$&quot;#,##0"/>
    <numFmt numFmtId="176" formatCode="#,##0.0"/>
    <numFmt numFmtId="177" formatCode="0.0"/>
    <numFmt numFmtId="178" formatCode="_(* #,##0_);_(* \(#,##0\);_(* &quot;-&quot;??_);_(@_)"/>
    <numFmt numFmtId="179" formatCode="&quot;$&quot;#,##0.00"/>
    <numFmt numFmtId="180" formatCode="&quot;$&quot;#,##0.0"/>
    <numFmt numFmtId="181" formatCode="0.0%"/>
    <numFmt numFmtId="182" formatCode="#,##0.000"/>
    <numFmt numFmtId="183" formatCode="#,##0.0;[Red]#,##0.0"/>
    <numFmt numFmtId="184" formatCode="#,##0.00;[Red]#,##0.00"/>
    <numFmt numFmtId="185" formatCode="&quot;$&quot;#,##0.000"/>
    <numFmt numFmtId="186" formatCode="0.00000000"/>
    <numFmt numFmtId="187" formatCode="0.0000000"/>
    <numFmt numFmtId="188" formatCode="0.000000"/>
    <numFmt numFmtId="189" formatCode="0.00000"/>
    <numFmt numFmtId="190" formatCode="0.0000"/>
    <numFmt numFmtId="191" formatCode="0.000"/>
    <numFmt numFmtId="192" formatCode="&quot;Yes&quot;;&quot;Yes&quot;;&quot;No&quot;"/>
    <numFmt numFmtId="193" formatCode="&quot;True&quot;;&quot;True&quot;;&quot;False&quot;"/>
    <numFmt numFmtId="194" formatCode="&quot;On&quot;;&quot;On&quot;;&quot;Off&quot;"/>
    <numFmt numFmtId="195" formatCode="[$€-2]\ #,##0.00_);[Red]\([$€-2]\ #,##0.00\)"/>
  </numFmts>
  <fonts count="48">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u val="single"/>
      <sz val="10"/>
      <color indexed="12"/>
      <name val="Arial"/>
      <family val="2"/>
    </font>
    <font>
      <b/>
      <sz val="12"/>
      <name val="Univers"/>
      <family val="2"/>
    </font>
    <font>
      <sz val="10"/>
      <color indexed="10"/>
      <name val="Univers"/>
      <family val="2"/>
    </font>
    <font>
      <b/>
      <vertAlign val="subscript"/>
      <sz val="11"/>
      <name val="Univers"/>
      <family val="2"/>
    </font>
    <font>
      <sz val="11"/>
      <name val="Univers"/>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9"/>
      <name val="Univers"/>
      <family val="2"/>
    </font>
    <font>
      <sz val="10"/>
      <color indexed="9"/>
      <name val="Univers"/>
      <family val="2"/>
    </font>
    <font>
      <sz val="11"/>
      <color indexed="9"/>
      <name val="Univers"/>
      <family val="2"/>
    </font>
    <font>
      <b/>
      <sz val="10"/>
      <color indexed="9"/>
      <name val="Univers"/>
      <family val="2"/>
    </font>
    <font>
      <sz val="10"/>
      <color indexed="9"/>
      <name val="Arial"/>
      <family val="2"/>
    </font>
    <font>
      <i/>
      <sz val="10"/>
      <color indexed="9"/>
      <name val="Univers"/>
      <family val="2"/>
    </font>
    <font>
      <sz val="10"/>
      <color indexed="9"/>
      <name val="Times New Roman"/>
      <family val="1"/>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2"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7" fillId="0" borderId="0" applyNumberFormat="0" applyFill="0" applyBorder="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0"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17">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7" borderId="10" xfId="0" applyFont="1" applyFill="1" applyBorder="1" applyAlignment="1" applyProtection="1">
      <alignment/>
      <protection/>
    </xf>
    <xf numFmtId="0" fontId="1" fillId="7" borderId="11" xfId="0" applyFont="1" applyFill="1" applyBorder="1" applyAlignment="1" applyProtection="1">
      <alignment/>
      <protection/>
    </xf>
    <xf numFmtId="0" fontId="3" fillId="7" borderId="0" xfId="0" applyFont="1" applyFill="1" applyBorder="1" applyAlignment="1" applyProtection="1">
      <alignment horizontal="right"/>
      <protection/>
    </xf>
    <xf numFmtId="0" fontId="1" fillId="7" borderId="0" xfId="0" applyFont="1" applyFill="1" applyBorder="1" applyAlignment="1" applyProtection="1">
      <alignment/>
      <protection/>
    </xf>
    <xf numFmtId="0" fontId="1" fillId="7" borderId="12" xfId="0" applyFont="1" applyFill="1" applyBorder="1" applyAlignment="1" applyProtection="1">
      <alignment/>
      <protection/>
    </xf>
    <xf numFmtId="0" fontId="1" fillId="0" borderId="0" xfId="0" applyFont="1" applyAlignment="1" applyProtection="1">
      <alignment horizontal="right"/>
      <protection/>
    </xf>
    <xf numFmtId="0" fontId="1" fillId="7" borderId="11" xfId="0" applyFont="1" applyFill="1" applyBorder="1" applyAlignment="1" applyProtection="1">
      <alignment horizontal="left"/>
      <protection/>
    </xf>
    <xf numFmtId="0" fontId="1" fillId="7" borderId="11"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174" fontId="1" fillId="7" borderId="0" xfId="0" applyNumberFormat="1" applyFont="1" applyFill="1" applyBorder="1" applyAlignment="1" applyProtection="1">
      <alignment/>
      <protection/>
    </xf>
    <xf numFmtId="174" fontId="1" fillId="7" borderId="0" xfId="0" applyNumberFormat="1" applyFont="1" applyFill="1" applyBorder="1" applyAlignment="1" applyProtection="1">
      <alignment/>
      <protection locked="0"/>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0" fontId="1" fillId="4" borderId="11" xfId="0" applyFont="1" applyFill="1" applyBorder="1" applyAlignment="1" applyProtection="1">
      <alignment/>
      <protection/>
    </xf>
    <xf numFmtId="175" fontId="1" fillId="4" borderId="0" xfId="0" applyNumberFormat="1" applyFont="1" applyFill="1" applyBorder="1" applyAlignment="1" applyProtection="1">
      <alignment/>
      <protection/>
    </xf>
    <xf numFmtId="0" fontId="1" fillId="4" borderId="11" xfId="0" applyFont="1" applyFill="1" applyBorder="1" applyAlignment="1" applyProtection="1">
      <alignment horizontal="left" indent="1"/>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1" xfId="0" applyFont="1" applyFill="1" applyBorder="1" applyAlignment="1" applyProtection="1">
      <alignment horizontal="righ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22" borderId="10" xfId="0" applyFont="1" applyFill="1" applyBorder="1" applyAlignment="1" applyProtection="1">
      <alignment/>
      <protection/>
    </xf>
    <xf numFmtId="0" fontId="1" fillId="22" borderId="11" xfId="0" applyFont="1" applyFill="1" applyBorder="1" applyAlignment="1" applyProtection="1">
      <alignment horizontal="lef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0" borderId="0" xfId="0" applyFont="1" applyFill="1" applyAlignment="1" applyProtection="1">
      <alignment/>
      <protection/>
    </xf>
    <xf numFmtId="0" fontId="1" fillId="7" borderId="0" xfId="0" applyNumberFormat="1" applyFont="1" applyFill="1" applyBorder="1" applyAlignment="1" applyProtection="1">
      <alignment/>
      <protection/>
    </xf>
    <xf numFmtId="0" fontId="1" fillId="4" borderId="11" xfId="0" applyFont="1" applyFill="1" applyBorder="1" applyAlignment="1" applyProtection="1">
      <alignment/>
      <protection/>
    </xf>
    <xf numFmtId="0" fontId="6" fillId="0" borderId="0" xfId="0" applyFont="1" applyAlignment="1">
      <alignment horizontal="center" wrapText="1"/>
    </xf>
    <xf numFmtId="0" fontId="2" fillId="7" borderId="16" xfId="0" applyFont="1" applyFill="1" applyBorder="1" applyAlignment="1" applyProtection="1">
      <alignment/>
      <protection/>
    </xf>
    <xf numFmtId="0" fontId="3" fillId="7" borderId="17" xfId="0" applyFont="1" applyFill="1" applyBorder="1" applyAlignment="1" applyProtection="1">
      <alignment horizontal="center" wrapText="1"/>
      <protection/>
    </xf>
    <xf numFmtId="0" fontId="2" fillId="7" borderId="11" xfId="0" applyFont="1" applyFill="1" applyBorder="1" applyAlignment="1" applyProtection="1">
      <alignment/>
      <protection/>
    </xf>
    <xf numFmtId="0" fontId="3" fillId="7"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4" borderId="17" xfId="0" applyFont="1" applyFill="1" applyBorder="1" applyAlignment="1" applyProtection="1">
      <alignment horizontal="center" wrapText="1"/>
      <protection/>
    </xf>
    <xf numFmtId="0" fontId="8" fillId="4" borderId="11" xfId="0" applyFont="1" applyFill="1" applyBorder="1" applyAlignment="1" applyProtection="1">
      <alignment/>
      <protection/>
    </xf>
    <xf numFmtId="0" fontId="3" fillId="4" borderId="11" xfId="0" applyFont="1" applyFill="1" applyBorder="1" applyAlignment="1" applyProtection="1">
      <alignment/>
      <protection/>
    </xf>
    <xf numFmtId="175" fontId="3" fillId="4" borderId="17" xfId="0" applyNumberFormat="1" applyFont="1" applyFill="1" applyBorder="1" applyAlignment="1" applyProtection="1">
      <alignment/>
      <protection/>
    </xf>
    <xf numFmtId="175" fontId="3" fillId="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22" borderId="0" xfId="0" applyFont="1" applyFill="1" applyBorder="1" applyAlignment="1" applyProtection="1">
      <alignment/>
      <protection/>
    </xf>
    <xf numFmtId="0" fontId="2" fillId="7" borderId="11" xfId="0" applyFont="1" applyFill="1" applyBorder="1" applyAlignment="1" applyProtection="1">
      <alignment horizontal="center"/>
      <protection/>
    </xf>
    <xf numFmtId="0" fontId="12" fillId="4" borderId="11" xfId="0" applyFont="1" applyFill="1" applyBorder="1" applyAlignment="1" applyProtection="1">
      <alignment/>
      <protection/>
    </xf>
    <xf numFmtId="0" fontId="9" fillId="4" borderId="11" xfId="0" applyFont="1" applyFill="1" applyBorder="1" applyAlignment="1" applyProtection="1">
      <alignment/>
      <protection/>
    </xf>
    <xf numFmtId="179" fontId="1" fillId="7" borderId="14" xfId="0" applyNumberFormat="1" applyFont="1" applyFill="1" applyBorder="1" applyAlignment="1" applyProtection="1">
      <alignment horizontal="right"/>
      <protection/>
    </xf>
    <xf numFmtId="179" fontId="1" fillId="7" borderId="14" xfId="0" applyNumberFormat="1" applyFont="1" applyFill="1" applyBorder="1" applyAlignment="1" applyProtection="1">
      <alignment/>
      <protection/>
    </xf>
    <xf numFmtId="2" fontId="1" fillId="22" borderId="11" xfId="0" applyNumberFormat="1" applyFont="1" applyFill="1" applyBorder="1" applyAlignment="1" applyProtection="1">
      <alignment horizontal="left" vertical="center"/>
      <protection/>
    </xf>
    <xf numFmtId="0" fontId="2" fillId="22" borderId="13" xfId="0" applyFont="1" applyFill="1" applyBorder="1" applyAlignment="1" applyProtection="1">
      <alignment/>
      <protection/>
    </xf>
    <xf numFmtId="176" fontId="9" fillId="4" borderId="0" xfId="0" applyNumberFormat="1" applyFont="1" applyFill="1" applyBorder="1" applyAlignment="1" applyProtection="1">
      <alignment horizontal="right"/>
      <protection/>
    </xf>
    <xf numFmtId="0" fontId="3" fillId="7" borderId="0" xfId="0" applyFont="1" applyFill="1" applyBorder="1" applyAlignment="1" applyProtection="1">
      <alignment horizontal="center" vertical="center" wrapText="1"/>
      <protection/>
    </xf>
    <xf numFmtId="174" fontId="1" fillId="20" borderId="18" xfId="0" applyNumberFormat="1" applyFont="1" applyFill="1" applyBorder="1" applyAlignment="1" applyProtection="1">
      <alignment horizontal="right"/>
      <protection locked="0"/>
    </xf>
    <xf numFmtId="0" fontId="1" fillId="0" borderId="19" xfId="0" applyFont="1" applyFill="1" applyBorder="1" applyAlignment="1" applyProtection="1">
      <alignment/>
      <protection/>
    </xf>
    <xf numFmtId="175" fontId="1" fillId="4" borderId="0" xfId="0" applyNumberFormat="1" applyFont="1" applyFill="1" applyBorder="1" applyAlignment="1" applyProtection="1">
      <alignment/>
      <protection/>
    </xf>
    <xf numFmtId="0" fontId="1" fillId="4" borderId="11" xfId="0" applyFont="1" applyFill="1" applyBorder="1" applyAlignment="1" applyProtection="1">
      <alignment horizontal="left"/>
      <protection/>
    </xf>
    <xf numFmtId="175" fontId="1" fillId="4" borderId="14" xfId="0" applyNumberFormat="1" applyFont="1" applyFill="1" applyBorder="1" applyAlignment="1" applyProtection="1">
      <alignment/>
      <protection/>
    </xf>
    <xf numFmtId="175" fontId="3" fillId="4" borderId="17" xfId="0" applyNumberFormat="1" applyFont="1" applyFill="1" applyBorder="1" applyAlignment="1" applyProtection="1">
      <alignment/>
      <protection/>
    </xf>
    <xf numFmtId="175" fontId="3" fillId="22" borderId="0" xfId="0" applyNumberFormat="1" applyFont="1" applyFill="1" applyBorder="1" applyAlignment="1" applyProtection="1">
      <alignment/>
      <protection/>
    </xf>
    <xf numFmtId="177" fontId="3" fillId="22" borderId="0" xfId="0" applyNumberFormat="1" applyFont="1" applyFill="1" applyBorder="1" applyAlignment="1" applyProtection="1">
      <alignment/>
      <protection/>
    </xf>
    <xf numFmtId="3" fontId="3" fillId="22" borderId="0" xfId="0" applyNumberFormat="1" applyFont="1" applyFill="1" applyBorder="1" applyAlignment="1" applyProtection="1">
      <alignment/>
      <protection/>
    </xf>
    <xf numFmtId="4" fontId="3" fillId="22" borderId="0" xfId="0" applyNumberFormat="1" applyFont="1" applyFill="1" applyBorder="1" applyAlignment="1" applyProtection="1">
      <alignment/>
      <protection/>
    </xf>
    <xf numFmtId="9" fontId="3" fillId="22" borderId="0" xfId="59" applyFont="1" applyFill="1" applyBorder="1" applyAlignment="1" applyProtection="1">
      <alignment/>
      <protection/>
    </xf>
    <xf numFmtId="175" fontId="3" fillId="22" borderId="12" xfId="0" applyNumberFormat="1" applyFont="1" applyFill="1" applyBorder="1" applyAlignment="1" applyProtection="1">
      <alignment/>
      <protection/>
    </xf>
    <xf numFmtId="177" fontId="3" fillId="22" borderId="12" xfId="0" applyNumberFormat="1" applyFont="1" applyFill="1" applyBorder="1" applyAlignment="1" applyProtection="1">
      <alignment/>
      <protection/>
    </xf>
    <xf numFmtId="3" fontId="3" fillId="22" borderId="12" xfId="0" applyNumberFormat="1" applyFont="1" applyFill="1" applyBorder="1" applyAlignment="1" applyProtection="1">
      <alignment/>
      <protection/>
    </xf>
    <xf numFmtId="4" fontId="3" fillId="22" borderId="12" xfId="0" applyNumberFormat="1" applyFont="1" applyFill="1" applyBorder="1" applyAlignment="1" applyProtection="1">
      <alignment/>
      <protection/>
    </xf>
    <xf numFmtId="9" fontId="3" fillId="22" borderId="12" xfId="59" applyFont="1" applyFill="1" applyBorder="1" applyAlignment="1" applyProtection="1">
      <alignment/>
      <protection/>
    </xf>
    <xf numFmtId="175" fontId="1" fillId="4" borderId="0" xfId="0" applyNumberFormat="1" applyFont="1" applyFill="1" applyBorder="1" applyAlignment="1" applyProtection="1">
      <alignment horizontal="right"/>
      <protection/>
    </xf>
    <xf numFmtId="0" fontId="2" fillId="4" borderId="11" xfId="0" applyFont="1" applyFill="1" applyBorder="1" applyAlignment="1" applyProtection="1">
      <alignment horizontal="left" indent="2"/>
      <protection/>
    </xf>
    <xf numFmtId="0" fontId="2" fillId="4" borderId="0" xfId="0" applyFont="1" applyFill="1" applyBorder="1" applyAlignment="1" applyProtection="1">
      <alignment/>
      <protection/>
    </xf>
    <xf numFmtId="3" fontId="2" fillId="4" borderId="0" xfId="0" applyNumberFormat="1" applyFont="1" applyFill="1" applyBorder="1" applyAlignment="1" applyProtection="1">
      <alignment horizontal="right" indent="1"/>
      <protection/>
    </xf>
    <xf numFmtId="3" fontId="2" fillId="4" borderId="0" xfId="0" applyNumberFormat="1" applyFont="1" applyFill="1" applyBorder="1" applyAlignment="1" applyProtection="1">
      <alignment/>
      <protection/>
    </xf>
    <xf numFmtId="0" fontId="2" fillId="4" borderId="12" xfId="0" applyFont="1" applyFill="1" applyBorder="1" applyAlignment="1" applyProtection="1">
      <alignment/>
      <protection/>
    </xf>
    <xf numFmtId="37" fontId="2" fillId="4" borderId="0" xfId="0" applyNumberFormat="1" applyFont="1" applyFill="1" applyBorder="1" applyAlignment="1" applyProtection="1">
      <alignment/>
      <protection/>
    </xf>
    <xf numFmtId="0" fontId="1" fillId="0" borderId="0" xfId="0" applyFont="1" applyBorder="1" applyAlignment="1" applyProtection="1">
      <alignment/>
      <protection/>
    </xf>
    <xf numFmtId="9" fontId="1" fillId="7" borderId="0" xfId="0" applyNumberFormat="1" applyFont="1" applyFill="1" applyBorder="1" applyAlignment="1" applyProtection="1">
      <alignment horizontal="right"/>
      <protection locked="0"/>
    </xf>
    <xf numFmtId="0" fontId="18" fillId="0" borderId="11" xfId="0" applyFont="1" applyBorder="1" applyAlignment="1" applyProtection="1">
      <alignment horizontal="center"/>
      <protection/>
    </xf>
    <xf numFmtId="0" fontId="18" fillId="0" borderId="0" xfId="0" applyFont="1" applyFill="1" applyBorder="1" applyAlignment="1" applyProtection="1">
      <alignment horizontal="center"/>
      <protection/>
    </xf>
    <xf numFmtId="0" fontId="18" fillId="0" borderId="12" xfId="0" applyFont="1" applyFill="1" applyBorder="1" applyAlignment="1" applyProtection="1">
      <alignment horizontal="center"/>
      <protection/>
    </xf>
    <xf numFmtId="0" fontId="9" fillId="0" borderId="20" xfId="0" applyFont="1" applyBorder="1" applyAlignment="1" applyProtection="1">
      <alignment/>
      <protection/>
    </xf>
    <xf numFmtId="0" fontId="1" fillId="0" borderId="20" xfId="0" applyFont="1" applyFill="1" applyBorder="1" applyAlignment="1" applyProtection="1">
      <alignment/>
      <protection/>
    </xf>
    <xf numFmtId="0" fontId="1" fillId="0" borderId="12" xfId="0" applyFont="1" applyFill="1" applyBorder="1" applyAlignment="1" applyProtection="1">
      <alignment horizontal="left"/>
      <protection/>
    </xf>
    <xf numFmtId="0" fontId="1" fillId="0" borderId="19" xfId="0" applyFont="1" applyFill="1" applyBorder="1" applyAlignment="1" applyProtection="1">
      <alignment horizontal="left" indent="1"/>
      <protection/>
    </xf>
    <xf numFmtId="38" fontId="1" fillId="0" borderId="0" xfId="0" applyNumberFormat="1" applyFont="1" applyFill="1" applyBorder="1" applyAlignment="1" applyProtection="1">
      <alignment horizontal="left"/>
      <protection/>
    </xf>
    <xf numFmtId="0" fontId="1" fillId="0" borderId="0" xfId="0" applyFont="1" applyFill="1" applyBorder="1" applyAlignment="1" applyProtection="1">
      <alignment/>
      <protection/>
    </xf>
    <xf numFmtId="0" fontId="9" fillId="0" borderId="19" xfId="0" applyFont="1" applyBorder="1" applyAlignment="1" applyProtection="1">
      <alignment horizontal="left"/>
      <protection/>
    </xf>
    <xf numFmtId="0" fontId="1" fillId="0" borderId="0" xfId="0" applyFont="1" applyFill="1" applyBorder="1" applyAlignment="1" applyProtection="1">
      <alignment horizontal="right"/>
      <protection/>
    </xf>
    <xf numFmtId="0" fontId="1" fillId="0" borderId="19" xfId="0" applyFont="1" applyFill="1" applyBorder="1" applyAlignment="1" applyProtection="1">
      <alignment wrapText="1"/>
      <protection/>
    </xf>
    <xf numFmtId="0" fontId="1" fillId="0" borderId="19" xfId="0" applyFont="1" applyBorder="1" applyAlignment="1" applyProtection="1">
      <alignment/>
      <protection/>
    </xf>
    <xf numFmtId="0" fontId="9" fillId="0" borderId="19" xfId="0" applyFont="1" applyFill="1" applyBorder="1" applyAlignment="1" applyProtection="1">
      <alignment/>
      <protection/>
    </xf>
    <xf numFmtId="3" fontId="1" fillId="0" borderId="0" xfId="0" applyNumberFormat="1"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9" fillId="0" borderId="13" xfId="0" applyFont="1" applyBorder="1" applyAlignment="1" applyProtection="1">
      <alignment/>
      <protection/>
    </xf>
    <xf numFmtId="0" fontId="1" fillId="0" borderId="12" xfId="0" applyFont="1" applyFill="1" applyBorder="1" applyAlignment="1" applyProtection="1">
      <alignment horizontal="left"/>
      <protection/>
    </xf>
    <xf numFmtId="0" fontId="1" fillId="0" borderId="21" xfId="0" applyFont="1" applyFill="1" applyBorder="1" applyAlignment="1" applyProtection="1">
      <alignment horizontal="left" indent="1"/>
      <protection/>
    </xf>
    <xf numFmtId="0" fontId="1" fillId="0" borderId="0" xfId="0" applyFont="1" applyFill="1" applyBorder="1" applyAlignment="1" applyProtection="1">
      <alignment horizontal="left"/>
      <protection/>
    </xf>
    <xf numFmtId="175" fontId="9" fillId="22" borderId="0" xfId="0" applyNumberFormat="1" applyFont="1" applyFill="1" applyBorder="1" applyAlignment="1" applyProtection="1">
      <alignment/>
      <protection/>
    </xf>
    <xf numFmtId="3" fontId="9" fillId="22" borderId="0" xfId="0" applyNumberFormat="1" applyFont="1" applyFill="1" applyBorder="1" applyAlignment="1" applyProtection="1">
      <alignment/>
      <protection/>
    </xf>
    <xf numFmtId="9" fontId="9" fillId="22" borderId="0" xfId="59" applyFont="1" applyFill="1" applyBorder="1" applyAlignment="1" applyProtection="1">
      <alignment/>
      <protection/>
    </xf>
    <xf numFmtId="177" fontId="9" fillId="22" borderId="0" xfId="0" applyNumberFormat="1" applyFont="1" applyFill="1" applyBorder="1" applyAlignment="1" applyProtection="1">
      <alignment horizontal="right"/>
      <protection/>
    </xf>
    <xf numFmtId="0" fontId="1" fillId="0" borderId="0" xfId="0" applyNumberFormat="1" applyFont="1" applyBorder="1" applyAlignment="1" quotePrefix="1">
      <alignment/>
    </xf>
    <xf numFmtId="0" fontId="9" fillId="0" borderId="15" xfId="0" applyFont="1" applyFill="1" applyBorder="1" applyAlignment="1" applyProtection="1">
      <alignment/>
      <protection/>
    </xf>
    <xf numFmtId="0" fontId="21" fillId="0" borderId="0" xfId="0" applyFont="1" applyBorder="1" applyAlignment="1" applyProtection="1">
      <alignment/>
      <protection/>
    </xf>
    <xf numFmtId="0" fontId="21" fillId="0" borderId="0" xfId="0" applyFont="1" applyAlignment="1" applyProtection="1">
      <alignment/>
      <protection/>
    </xf>
    <xf numFmtId="0" fontId="0" fillId="0" borderId="19" xfId="0" applyBorder="1" applyAlignment="1">
      <alignment/>
    </xf>
    <xf numFmtId="185" fontId="1" fillId="7" borderId="0" xfId="0" applyNumberFormat="1" applyFont="1" applyFill="1" applyBorder="1" applyAlignment="1" applyProtection="1">
      <alignment/>
      <protection locked="0"/>
    </xf>
    <xf numFmtId="0" fontId="17" fillId="7" borderId="0" xfId="53" applyFill="1" applyBorder="1" applyAlignment="1" applyProtection="1">
      <alignment/>
      <protection/>
    </xf>
    <xf numFmtId="3" fontId="1" fillId="20" borderId="18" xfId="0" applyNumberFormat="1" applyFont="1" applyFill="1" applyBorder="1" applyAlignment="1" applyProtection="1">
      <alignment/>
      <protection locked="0"/>
    </xf>
    <xf numFmtId="0" fontId="9" fillId="0" borderId="19" xfId="0" applyFont="1" applyBorder="1" applyAlignment="1" applyProtection="1">
      <alignment horizontal="left"/>
      <protection/>
    </xf>
    <xf numFmtId="0" fontId="1" fillId="7" borderId="0" xfId="0" applyNumberFormat="1" applyFont="1" applyFill="1" applyBorder="1" applyAlignment="1" applyProtection="1">
      <alignment horizontal="right"/>
      <protection/>
    </xf>
    <xf numFmtId="179" fontId="1" fillId="20" borderId="18" xfId="0" applyNumberFormat="1" applyFont="1" applyFill="1" applyBorder="1" applyAlignment="1" applyProtection="1">
      <alignment/>
      <protection locked="0"/>
    </xf>
    <xf numFmtId="179" fontId="1" fillId="0" borderId="0" xfId="0" applyNumberFormat="1" applyFont="1" applyFill="1" applyBorder="1" applyAlignment="1" applyProtection="1">
      <alignment horizontal="right"/>
      <protection/>
    </xf>
    <xf numFmtId="0" fontId="19" fillId="0" borderId="0" xfId="0" applyFont="1" applyAlignment="1" applyProtection="1">
      <alignment/>
      <protection/>
    </xf>
    <xf numFmtId="9" fontId="1" fillId="20" borderId="18" xfId="0" applyNumberFormat="1" applyFont="1" applyFill="1" applyBorder="1" applyAlignment="1" applyProtection="1">
      <alignment horizontal="right"/>
      <protection locked="0"/>
    </xf>
    <xf numFmtId="9" fontId="1" fillId="7" borderId="0" xfId="0" applyNumberFormat="1" applyFont="1" applyFill="1" applyBorder="1" applyAlignment="1" applyProtection="1">
      <alignment/>
      <protection/>
    </xf>
    <xf numFmtId="175" fontId="2" fillId="4" borderId="0" xfId="0" applyNumberFormat="1" applyFont="1" applyFill="1" applyBorder="1" applyAlignment="1" applyProtection="1">
      <alignment horizontal="right" indent="1"/>
      <protection/>
    </xf>
    <xf numFmtId="0" fontId="0" fillId="0" borderId="0" xfId="0" applyAlignment="1">
      <alignment horizontal="center"/>
    </xf>
    <xf numFmtId="0" fontId="1" fillId="0" borderId="17" xfId="0" applyFont="1" applyFill="1" applyBorder="1" applyAlignment="1" applyProtection="1">
      <alignment horizontal="left"/>
      <protection/>
    </xf>
    <xf numFmtId="177" fontId="1" fillId="0" borderId="0" xfId="0" applyNumberFormat="1" applyFont="1" applyFill="1" applyBorder="1" applyAlignment="1" applyProtection="1">
      <alignment horizontal="left"/>
      <protection/>
    </xf>
    <xf numFmtId="0" fontId="1" fillId="0" borderId="11" xfId="0" applyFont="1" applyFill="1" applyBorder="1" applyAlignment="1" applyProtection="1">
      <alignment/>
      <protection/>
    </xf>
    <xf numFmtId="0" fontId="3" fillId="0" borderId="19" xfId="0" applyFont="1" applyFill="1" applyBorder="1" applyAlignment="1" applyProtection="1">
      <alignment horizontal="left"/>
      <protection/>
    </xf>
    <xf numFmtId="0" fontId="1" fillId="0" borderId="19" xfId="0" applyFont="1" applyBorder="1" applyAlignment="1" applyProtection="1">
      <alignment horizontal="left" indent="1"/>
      <protection/>
    </xf>
    <xf numFmtId="0" fontId="3" fillId="0" borderId="19" xfId="0" applyFont="1" applyBorder="1" applyAlignment="1" applyProtection="1">
      <alignment horizontal="left"/>
      <protection/>
    </xf>
    <xf numFmtId="0" fontId="0" fillId="0" borderId="19" xfId="0" applyFont="1" applyBorder="1" applyAlignment="1">
      <alignment/>
    </xf>
    <xf numFmtId="0" fontId="9" fillId="0" borderId="19" xfId="0" applyFont="1" applyBorder="1" applyAlignment="1" applyProtection="1">
      <alignment/>
      <protection/>
    </xf>
    <xf numFmtId="0" fontId="1" fillId="0" borderId="19" xfId="0" applyFont="1" applyBorder="1" applyAlignment="1" applyProtection="1">
      <alignment horizontal="left" vertical="top" indent="1"/>
      <protection/>
    </xf>
    <xf numFmtId="0" fontId="19" fillId="7" borderId="0" xfId="0" applyFont="1" applyFill="1" applyBorder="1" applyAlignment="1" applyProtection="1">
      <alignment/>
      <protection/>
    </xf>
    <xf numFmtId="0" fontId="1" fillId="7" borderId="11" xfId="0" applyFont="1" applyFill="1" applyBorder="1" applyAlignment="1" applyProtection="1">
      <alignment vertical="center"/>
      <protection/>
    </xf>
    <xf numFmtId="0" fontId="1" fillId="7" borderId="12" xfId="0" applyFont="1" applyFill="1" applyBorder="1" applyAlignment="1" applyProtection="1">
      <alignment vertical="center"/>
      <protection/>
    </xf>
    <xf numFmtId="0" fontId="1" fillId="0" borderId="0" xfId="0" applyFont="1" applyAlignment="1" applyProtection="1">
      <alignment vertical="center"/>
      <protection/>
    </xf>
    <xf numFmtId="177" fontId="0" fillId="0" borderId="0" xfId="0" applyNumberFormat="1" applyAlignment="1">
      <alignment/>
    </xf>
    <xf numFmtId="0" fontId="1" fillId="0" borderId="17" xfId="0" applyFont="1" applyFill="1" applyBorder="1" applyAlignment="1" applyProtection="1">
      <alignment horizontal="right"/>
      <protection/>
    </xf>
    <xf numFmtId="175" fontId="1" fillId="0" borderId="0" xfId="0" applyNumberFormat="1" applyFont="1" applyFill="1" applyBorder="1" applyAlignment="1" applyProtection="1">
      <alignment horizontal="right"/>
      <protection/>
    </xf>
    <xf numFmtId="9" fontId="1" fillId="0" borderId="0" xfId="0" applyNumberFormat="1" applyFont="1" applyFill="1" applyBorder="1" applyAlignment="1" applyProtection="1">
      <alignment horizontal="right"/>
      <protection/>
    </xf>
    <xf numFmtId="0" fontId="1" fillId="0" borderId="0" xfId="0" applyNumberFormat="1" applyFont="1" applyFill="1" applyBorder="1" applyAlignment="1" applyProtection="1">
      <alignment horizontal="left"/>
      <protection/>
    </xf>
    <xf numFmtId="172" fontId="1" fillId="0" borderId="0" xfId="0" applyNumberFormat="1" applyFont="1" applyFill="1" applyBorder="1" applyAlignment="1" applyProtection="1">
      <alignment/>
      <protection/>
    </xf>
    <xf numFmtId="177" fontId="1" fillId="0" borderId="0" xfId="0" applyNumberFormat="1" applyFont="1" applyFill="1" applyBorder="1" applyAlignment="1" applyProtection="1">
      <alignment horizontal="right"/>
      <protection/>
    </xf>
    <xf numFmtId="2" fontId="1" fillId="0" borderId="0" xfId="0" applyNumberFormat="1" applyFont="1" applyFill="1" applyBorder="1" applyAlignment="1" applyProtection="1">
      <alignment horizontal="center"/>
      <protection/>
    </xf>
    <xf numFmtId="0" fontId="1" fillId="0" borderId="0" xfId="0" applyFont="1" applyBorder="1" applyAlignment="1" applyProtection="1">
      <alignment horizontal="left"/>
      <protection/>
    </xf>
    <xf numFmtId="0" fontId="1" fillId="0" borderId="0" xfId="0" applyNumberFormat="1" applyFont="1" applyFill="1" applyBorder="1" applyAlignment="1" applyProtection="1">
      <alignment horizontal="right"/>
      <protection/>
    </xf>
    <xf numFmtId="9" fontId="1" fillId="0" borderId="0" xfId="0" applyNumberFormat="1" applyFont="1" applyFill="1" applyBorder="1" applyAlignment="1" applyProtection="1">
      <alignment vertical="top"/>
      <protection locked="0"/>
    </xf>
    <xf numFmtId="172" fontId="1" fillId="0" borderId="0" xfId="0" applyNumberFormat="1" applyFont="1" applyFill="1" applyBorder="1" applyAlignment="1" applyProtection="1">
      <alignment/>
      <protection locked="0"/>
    </xf>
    <xf numFmtId="179" fontId="1" fillId="0" borderId="0" xfId="0" applyNumberFormat="1" applyFont="1" applyFill="1" applyBorder="1" applyAlignment="1" applyProtection="1">
      <alignment horizontal="right"/>
      <protection/>
    </xf>
    <xf numFmtId="0" fontId="3" fillId="0" borderId="19" xfId="0" applyFont="1" applyFill="1" applyBorder="1" applyAlignment="1" applyProtection="1">
      <alignment/>
      <protection/>
    </xf>
    <xf numFmtId="0" fontId="1" fillId="0" borderId="19" xfId="0" applyFont="1" applyFill="1" applyBorder="1" applyAlignment="1" applyProtection="1">
      <alignment horizontal="left" indent="1"/>
      <protection/>
    </xf>
    <xf numFmtId="0" fontId="9" fillId="0" borderId="19" xfId="0" applyFont="1" applyBorder="1" applyAlignment="1" applyProtection="1">
      <alignment horizontal="left" wrapText="1"/>
      <protection/>
    </xf>
    <xf numFmtId="0" fontId="1" fillId="0" borderId="0" xfId="0" applyNumberFormat="1" applyFont="1" applyFill="1" applyAlignment="1" quotePrefix="1">
      <alignment/>
    </xf>
    <xf numFmtId="0" fontId="9" fillId="0" borderId="19" xfId="0" applyFont="1" applyFill="1" applyBorder="1" applyAlignment="1" applyProtection="1">
      <alignment horizontal="left"/>
      <protection/>
    </xf>
    <xf numFmtId="181" fontId="1" fillId="0" borderId="11" xfId="0" applyNumberFormat="1" applyFont="1" applyFill="1" applyBorder="1" applyAlignment="1" applyProtection="1">
      <alignment horizontal="right"/>
      <protection/>
    </xf>
    <xf numFmtId="181" fontId="1" fillId="0" borderId="0" xfId="0" applyNumberFormat="1" applyFont="1" applyFill="1" applyBorder="1" applyAlignment="1" applyProtection="1">
      <alignment horizontal="right"/>
      <protection/>
    </xf>
    <xf numFmtId="0" fontId="40" fillId="0" borderId="0" xfId="0" applyFont="1" applyFill="1" applyBorder="1" applyAlignment="1" applyProtection="1">
      <alignment/>
      <protection/>
    </xf>
    <xf numFmtId="0" fontId="41" fillId="0" borderId="0" xfId="0" applyFont="1" applyFill="1" applyBorder="1" applyAlignment="1" applyProtection="1">
      <alignment/>
      <protection/>
    </xf>
    <xf numFmtId="0" fontId="41" fillId="0" borderId="0" xfId="0" applyFont="1" applyBorder="1" applyAlignment="1" applyProtection="1">
      <alignment/>
      <protection/>
    </xf>
    <xf numFmtId="0" fontId="42" fillId="0" borderId="0" xfId="0" applyFont="1" applyAlignment="1" applyProtection="1">
      <alignment/>
      <protection/>
    </xf>
    <xf numFmtId="0" fontId="42" fillId="0" borderId="0" xfId="0" applyFont="1" applyBorder="1" applyAlignment="1" applyProtection="1">
      <alignment/>
      <protection/>
    </xf>
    <xf numFmtId="185" fontId="41" fillId="0" borderId="0" xfId="0" applyNumberFormat="1" applyFont="1" applyFill="1" applyBorder="1" applyAlignment="1" applyProtection="1">
      <alignment/>
      <protection/>
    </xf>
    <xf numFmtId="0" fontId="41" fillId="0" borderId="0" xfId="0" applyFont="1" applyAlignment="1" applyProtection="1">
      <alignment/>
      <protection/>
    </xf>
    <xf numFmtId="3" fontId="41" fillId="0" borderId="0" xfId="0" applyNumberFormat="1" applyFont="1" applyBorder="1" applyAlignment="1" applyProtection="1">
      <alignment/>
      <protection/>
    </xf>
    <xf numFmtId="1" fontId="41" fillId="0" borderId="0" xfId="0" applyNumberFormat="1" applyFont="1" applyFill="1" applyBorder="1" applyAlignment="1" applyProtection="1">
      <alignment/>
      <protection/>
    </xf>
    <xf numFmtId="0" fontId="41" fillId="0" borderId="0" xfId="0" applyFont="1" applyFill="1" applyAlignment="1" applyProtection="1">
      <alignment/>
      <protection/>
    </xf>
    <xf numFmtId="180" fontId="41" fillId="0" borderId="0" xfId="0" applyNumberFormat="1" applyFont="1" applyFill="1" applyAlignment="1" applyProtection="1">
      <alignment/>
      <protection/>
    </xf>
    <xf numFmtId="9" fontId="41" fillId="0" borderId="0" xfId="0" applyNumberFormat="1" applyFont="1" applyFill="1" applyAlignment="1" applyProtection="1">
      <alignment/>
      <protection/>
    </xf>
    <xf numFmtId="9" fontId="41" fillId="0" borderId="0" xfId="0" applyNumberFormat="1" applyFont="1" applyBorder="1" applyAlignment="1" applyProtection="1">
      <alignment/>
      <protection/>
    </xf>
    <xf numFmtId="9" fontId="41" fillId="0" borderId="0" xfId="0" applyNumberFormat="1" applyFont="1" applyFill="1" applyBorder="1" applyAlignment="1" applyProtection="1">
      <alignment/>
      <protection/>
    </xf>
    <xf numFmtId="9" fontId="43" fillId="0" borderId="0" xfId="0" applyNumberFormat="1" applyFont="1" applyBorder="1" applyAlignment="1" applyProtection="1">
      <alignment/>
      <protection/>
    </xf>
    <xf numFmtId="0" fontId="43" fillId="0" borderId="0" xfId="0" applyFont="1" applyFill="1" applyBorder="1" applyAlignment="1" applyProtection="1">
      <alignment/>
      <protection/>
    </xf>
    <xf numFmtId="0" fontId="44" fillId="0" borderId="0" xfId="0" applyFont="1" applyAlignment="1">
      <alignment/>
    </xf>
    <xf numFmtId="0" fontId="43" fillId="0" borderId="0" xfId="0" applyFont="1" applyBorder="1" applyAlignment="1" applyProtection="1">
      <alignment/>
      <protection/>
    </xf>
    <xf numFmtId="177" fontId="43" fillId="0" borderId="0" xfId="0" applyNumberFormat="1" applyFont="1" applyBorder="1" applyAlignment="1" applyProtection="1">
      <alignment/>
      <protection/>
    </xf>
    <xf numFmtId="177" fontId="41" fillId="0" borderId="0" xfId="0" applyNumberFormat="1" applyFont="1" applyBorder="1" applyAlignment="1" applyProtection="1">
      <alignment/>
      <protection/>
    </xf>
    <xf numFmtId="0" fontId="45" fillId="0" borderId="0" xfId="0" applyFont="1" applyFill="1" applyAlignment="1" applyProtection="1">
      <alignment/>
      <protection/>
    </xf>
    <xf numFmtId="0" fontId="44" fillId="0" borderId="0" xfId="0" applyFont="1" applyFill="1" applyAlignment="1">
      <alignment/>
    </xf>
    <xf numFmtId="0" fontId="45" fillId="0" borderId="0" xfId="0" applyFont="1" applyFill="1" applyBorder="1" applyAlignment="1" applyProtection="1">
      <alignment horizontal="left" indent="2"/>
      <protection/>
    </xf>
    <xf numFmtId="0" fontId="41" fillId="0" borderId="0" xfId="0" applyFont="1" applyBorder="1" applyAlignment="1" applyProtection="1">
      <alignment horizontal="center" wrapText="1"/>
      <protection/>
    </xf>
    <xf numFmtId="0" fontId="46" fillId="0" borderId="0" xfId="0" applyFont="1" applyAlignment="1" applyProtection="1">
      <alignment/>
      <protection/>
    </xf>
    <xf numFmtId="0" fontId="46" fillId="0" borderId="0" xfId="0" applyFont="1" applyBorder="1" applyAlignment="1" applyProtection="1">
      <alignment/>
      <protection/>
    </xf>
    <xf numFmtId="0" fontId="44" fillId="0" borderId="0" xfId="0" applyFont="1" applyBorder="1" applyAlignment="1">
      <alignment/>
    </xf>
    <xf numFmtId="0" fontId="44" fillId="0" borderId="0" xfId="0" applyFont="1" applyFill="1" applyBorder="1" applyAlignment="1">
      <alignment/>
    </xf>
    <xf numFmtId="0" fontId="43" fillId="0" borderId="0" xfId="0" applyNumberFormat="1" applyFont="1" applyBorder="1" applyAlignment="1" applyProtection="1">
      <alignment/>
      <protection/>
    </xf>
    <xf numFmtId="0" fontId="43" fillId="0" borderId="0" xfId="0" applyNumberFormat="1" applyFont="1" applyFill="1" applyBorder="1" applyAlignment="1" applyProtection="1">
      <alignment/>
      <protection/>
    </xf>
    <xf numFmtId="0" fontId="41" fillId="0" borderId="11" xfId="0" applyFont="1" applyFill="1" applyBorder="1" applyAlignment="1" applyProtection="1">
      <alignment/>
      <protection/>
    </xf>
    <xf numFmtId="0" fontId="0" fillId="0" borderId="19" xfId="0" applyFont="1" applyBorder="1" applyAlignment="1">
      <alignment/>
    </xf>
    <xf numFmtId="3" fontId="1" fillId="0" borderId="14" xfId="0" applyNumberFormat="1" applyFont="1" applyFill="1" applyBorder="1" applyAlignment="1" applyProtection="1">
      <alignment horizontal="right"/>
      <protection/>
    </xf>
    <xf numFmtId="0" fontId="1" fillId="0" borderId="21" xfId="0" applyFont="1" applyFill="1" applyBorder="1" applyAlignment="1" applyProtection="1">
      <alignment/>
      <protection/>
    </xf>
    <xf numFmtId="0" fontId="1" fillId="0" borderId="0" xfId="0" applyFont="1" applyFill="1" applyBorder="1" applyAlignment="1" applyProtection="1">
      <alignment horizontal="left" wrapText="1"/>
      <protection/>
    </xf>
    <xf numFmtId="0" fontId="0" fillId="0" borderId="0" xfId="0" applyFill="1" applyAlignment="1">
      <alignment horizontal="left"/>
    </xf>
    <xf numFmtId="0" fontId="11" fillId="0" borderId="0" xfId="0" applyFont="1" applyAlignment="1">
      <alignment horizontal="center" wrapText="1"/>
    </xf>
    <xf numFmtId="0" fontId="9" fillId="4" borderId="22" xfId="0" applyFont="1" applyFill="1" applyBorder="1" applyAlignment="1" applyProtection="1">
      <alignment horizontal="center" wrapText="1"/>
      <protection/>
    </xf>
    <xf numFmtId="0" fontId="14" fillId="0" borderId="17" xfId="0" applyFont="1" applyBorder="1" applyAlignment="1" applyProtection="1">
      <alignment horizontal="left" wrapText="1"/>
      <protection/>
    </xf>
    <xf numFmtId="0" fontId="15" fillId="0" borderId="17" xfId="0" applyFont="1" applyBorder="1" applyAlignment="1" applyProtection="1">
      <alignment horizontal="left" wrapText="1"/>
      <protection/>
    </xf>
    <xf numFmtId="9" fontId="3" fillId="7" borderId="0" xfId="0" applyNumberFormat="1" applyFont="1" applyFill="1" applyBorder="1" applyAlignment="1" applyProtection="1">
      <alignment horizontal="center" wrapText="1"/>
      <protection locked="0"/>
    </xf>
    <xf numFmtId="174" fontId="17" fillId="7" borderId="0" xfId="53" applyNumberFormat="1" applyFill="1" applyBorder="1" applyAlignment="1" applyProtection="1">
      <alignment horizontal="center"/>
      <protection/>
    </xf>
    <xf numFmtId="0" fontId="15" fillId="0" borderId="0" xfId="0" applyFont="1" applyAlignment="1" applyProtection="1">
      <alignment horizontal="left"/>
      <protection/>
    </xf>
    <xf numFmtId="0" fontId="9" fillId="7" borderId="14" xfId="0" applyFont="1" applyFill="1" applyBorder="1" applyAlignment="1" applyProtection="1">
      <alignment horizontal="center" wrapText="1"/>
      <protection/>
    </xf>
    <xf numFmtId="0" fontId="3" fillId="7" borderId="0" xfId="0" applyFont="1" applyFill="1" applyBorder="1" applyAlignment="1" applyProtection="1">
      <alignment horizontal="center" wrapText="1"/>
      <protection/>
    </xf>
    <xf numFmtId="0" fontId="10" fillId="0" borderId="0" xfId="0" applyFont="1" applyAlignment="1">
      <alignment horizontal="center" wrapText="1"/>
    </xf>
    <xf numFmtId="0" fontId="1" fillId="0" borderId="0" xfId="0" applyFont="1" applyAlignment="1">
      <alignment horizontal="left" wrapText="1"/>
    </xf>
    <xf numFmtId="0" fontId="18" fillId="0" borderId="16" xfId="0" applyFont="1" applyBorder="1" applyAlignment="1" applyProtection="1">
      <alignment horizontal="center"/>
      <protection/>
    </xf>
    <xf numFmtId="0" fontId="18" fillId="0" borderId="17" xfId="0" applyFont="1" applyBorder="1" applyAlignment="1" applyProtection="1">
      <alignment horizontal="center"/>
      <protection/>
    </xf>
    <xf numFmtId="0" fontId="18" fillId="0" borderId="10" xfId="0" applyFont="1" applyBorder="1" applyAlignment="1" applyProtection="1">
      <alignment horizontal="center"/>
      <protection/>
    </xf>
    <xf numFmtId="0" fontId="9" fillId="0" borderId="14" xfId="0"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850582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nergystar.gov/index.cfm?c=thermostats.pr_thermostats_guidelines"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O70"/>
  <sheetViews>
    <sheetView tabSelected="1" zoomScale="85" zoomScaleNormal="85" zoomScalePageLayoutView="0" workbookViewId="0" topLeftCell="A1">
      <selection activeCell="N1" sqref="N1"/>
    </sheetView>
  </sheetViews>
  <sheetFormatPr defaultColWidth="9.140625" defaultRowHeight="12.75" outlineLevelRow="1"/>
  <cols>
    <col min="1" max="1" width="40.28125" style="1" customWidth="1"/>
    <col min="2" max="2" width="5.8515625" style="1" customWidth="1"/>
    <col min="3" max="3" width="15.140625" style="1" customWidth="1"/>
    <col min="4" max="4" width="5.28125" style="1" customWidth="1"/>
    <col min="5" max="5" width="4.7109375" style="1" customWidth="1"/>
    <col min="6" max="6" width="3.421875" style="1" customWidth="1"/>
    <col min="7" max="7" width="16.28125" style="1" customWidth="1"/>
    <col min="8" max="8" width="5.421875" style="1" customWidth="1"/>
    <col min="9" max="9" width="4.7109375" style="1" customWidth="1"/>
    <col min="10" max="10" width="3.71093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211" t="s">
        <v>0</v>
      </c>
      <c r="B7" s="211"/>
      <c r="C7" s="211"/>
      <c r="D7" s="211"/>
      <c r="E7" s="211"/>
      <c r="F7" s="211"/>
      <c r="G7" s="211"/>
      <c r="H7" s="211"/>
      <c r="I7" s="211"/>
      <c r="J7" s="211"/>
      <c r="K7" s="211"/>
      <c r="L7" s="211"/>
      <c r="M7" s="211"/>
    </row>
    <row r="8" spans="1:13" ht="15.75" customHeight="1">
      <c r="A8" s="211" t="s">
        <v>71</v>
      </c>
      <c r="B8" s="211"/>
      <c r="C8" s="211"/>
      <c r="D8" s="211"/>
      <c r="E8" s="211"/>
      <c r="F8" s="211"/>
      <c r="G8" s="211"/>
      <c r="H8" s="211"/>
      <c r="I8" s="211"/>
      <c r="J8" s="211"/>
      <c r="K8" s="211"/>
      <c r="L8" s="211"/>
      <c r="M8" s="211"/>
    </row>
    <row r="9" spans="1:13" s="3" customFormat="1" ht="12.75">
      <c r="A9" s="2"/>
      <c r="B9" s="2"/>
      <c r="C9" s="2"/>
      <c r="D9" s="2"/>
      <c r="E9" s="2"/>
      <c r="F9" s="2"/>
      <c r="G9" s="2"/>
      <c r="H9" s="2"/>
      <c r="I9" s="2"/>
      <c r="J9" s="2"/>
      <c r="K9" s="2"/>
      <c r="L9" s="2"/>
      <c r="M9" s="2"/>
    </row>
    <row r="10" spans="1:13" ht="15.75" customHeight="1">
      <c r="A10" s="41"/>
      <c r="B10" s="41"/>
      <c r="C10" s="41"/>
      <c r="D10" s="41"/>
      <c r="E10" s="41"/>
      <c r="F10" s="41"/>
      <c r="G10" s="41"/>
      <c r="H10" s="41"/>
      <c r="I10" s="41"/>
      <c r="J10" s="41"/>
      <c r="K10" s="41"/>
      <c r="L10" s="41"/>
      <c r="M10" s="41"/>
    </row>
    <row r="11" spans="1:13" s="3" customFormat="1" ht="24" customHeight="1">
      <c r="A11" s="212" t="s">
        <v>35</v>
      </c>
      <c r="B11" s="212"/>
      <c r="C11" s="212"/>
      <c r="D11" s="212"/>
      <c r="E11" s="212"/>
      <c r="F11" s="212"/>
      <c r="G11" s="212"/>
      <c r="H11" s="212"/>
      <c r="I11" s="212"/>
      <c r="J11" s="212"/>
      <c r="K11" s="212"/>
      <c r="L11" s="212"/>
      <c r="M11" s="212"/>
    </row>
    <row r="12" spans="1:13" s="3" customFormat="1" ht="12.75">
      <c r="A12" s="2"/>
      <c r="B12" s="2"/>
      <c r="C12" s="2"/>
      <c r="D12" s="2"/>
      <c r="E12" s="2"/>
      <c r="F12" s="2"/>
      <c r="G12" s="2"/>
      <c r="H12" s="2"/>
      <c r="I12" s="2"/>
      <c r="J12" s="2"/>
      <c r="K12" s="2"/>
      <c r="L12" s="2"/>
      <c r="M12" s="2"/>
    </row>
    <row r="13" ht="15.75" customHeight="1">
      <c r="A13" s="27"/>
    </row>
    <row r="14" spans="1:13" ht="15.75">
      <c r="A14" s="202" t="s">
        <v>1</v>
      </c>
      <c r="B14" s="202"/>
      <c r="C14" s="202"/>
      <c r="D14" s="202"/>
      <c r="E14" s="202"/>
      <c r="F14" s="202"/>
      <c r="G14" s="202"/>
      <c r="H14" s="202"/>
      <c r="I14" s="202"/>
      <c r="J14" s="202"/>
      <c r="K14" s="202"/>
      <c r="L14" s="202"/>
      <c r="M14" s="202"/>
    </row>
    <row r="15" spans="1:13" ht="6.75" customHeight="1">
      <c r="A15" s="42"/>
      <c r="B15" s="43"/>
      <c r="C15" s="43"/>
      <c r="D15" s="43"/>
      <c r="E15" s="43"/>
      <c r="F15" s="43"/>
      <c r="G15" s="43"/>
      <c r="H15" s="43"/>
      <c r="I15" s="43"/>
      <c r="J15" s="43"/>
      <c r="K15" s="43"/>
      <c r="L15" s="43"/>
      <c r="M15" s="4"/>
    </row>
    <row r="16" spans="1:13" s="145" customFormat="1" ht="18.75" customHeight="1" thickBot="1">
      <c r="A16" s="143" t="s">
        <v>72</v>
      </c>
      <c r="B16" s="64"/>
      <c r="C16" s="64"/>
      <c r="D16" s="64"/>
      <c r="E16" s="64"/>
      <c r="F16" s="64"/>
      <c r="G16" s="64"/>
      <c r="H16" s="64"/>
      <c r="I16" s="64"/>
      <c r="J16" s="64"/>
      <c r="K16" s="64"/>
      <c r="L16" s="64"/>
      <c r="M16" s="144"/>
    </row>
    <row r="17" spans="1:13" ht="15.75" customHeight="1" thickBot="1">
      <c r="A17" s="10" t="str">
        <f>IF(Assumptions!H44=2,"Oil Rate ($/gal)","Gas Rate ($/therm)")</f>
        <v>Oil Rate ($/gal)</v>
      </c>
      <c r="B17" s="6"/>
      <c r="C17" s="126">
        <f>IF(Assumptions!H44=1,Assumptions!D228,Assumptions!D226)</f>
        <v>2.68</v>
      </c>
      <c r="D17" s="7"/>
      <c r="E17" s="7"/>
      <c r="F17" s="142"/>
      <c r="G17" s="7"/>
      <c r="H17" s="7"/>
      <c r="I17" s="7"/>
      <c r="J17" s="7"/>
      <c r="K17" s="7"/>
      <c r="L17" s="7"/>
      <c r="M17" s="8"/>
    </row>
    <row r="18" spans="1:13" ht="21.75" customHeight="1" thickBot="1">
      <c r="A18" s="143" t="s">
        <v>292</v>
      </c>
      <c r="B18" s="7"/>
      <c r="C18" s="125"/>
      <c r="D18" s="39"/>
      <c r="E18" s="39"/>
      <c r="F18" s="39"/>
      <c r="G18" s="122"/>
      <c r="H18" s="7"/>
      <c r="I18" s="7"/>
      <c r="J18" s="7"/>
      <c r="K18" s="7"/>
      <c r="L18" s="7"/>
      <c r="M18" s="8"/>
    </row>
    <row r="19" spans="1:13" ht="15.75" customHeight="1" thickBot="1">
      <c r="A19" s="5" t="s">
        <v>73</v>
      </c>
      <c r="B19" s="6"/>
      <c r="C19" s="123">
        <f>Assumptions!D19</f>
        <v>2500</v>
      </c>
      <c r="D19" s="7"/>
      <c r="E19" s="7"/>
      <c r="F19" s="7"/>
      <c r="G19" s="7" t="s">
        <v>74</v>
      </c>
      <c r="H19" s="7"/>
      <c r="I19" s="7"/>
      <c r="J19" s="7"/>
      <c r="K19" s="7"/>
      <c r="L19" s="7"/>
      <c r="M19" s="8"/>
    </row>
    <row r="20" spans="1:13" ht="15" customHeight="1">
      <c r="A20" s="5" t="s">
        <v>75</v>
      </c>
      <c r="B20" s="6"/>
      <c r="C20" s="6"/>
      <c r="D20" s="7"/>
      <c r="E20" s="7"/>
      <c r="F20" s="7"/>
      <c r="G20" s="7"/>
      <c r="H20" s="7"/>
      <c r="I20" s="7"/>
      <c r="J20" s="7"/>
      <c r="K20" s="7"/>
      <c r="L20" s="7"/>
      <c r="M20" s="8"/>
    </row>
    <row r="21" spans="1:13" ht="20.25" customHeight="1">
      <c r="A21" s="5" t="s">
        <v>76</v>
      </c>
      <c r="B21" s="6"/>
      <c r="C21" s="6"/>
      <c r="D21" s="7"/>
      <c r="E21" s="7"/>
      <c r="F21" s="7"/>
      <c r="G21" s="7" t="s">
        <v>112</v>
      </c>
      <c r="H21" s="7"/>
      <c r="I21" s="7"/>
      <c r="J21" s="7"/>
      <c r="K21" s="7"/>
      <c r="L21" s="7"/>
      <c r="M21" s="8"/>
    </row>
    <row r="22" spans="1:13" ht="21.75" customHeight="1">
      <c r="A22" s="10"/>
      <c r="B22" s="6"/>
      <c r="C22" s="121"/>
      <c r="D22" s="7"/>
      <c r="E22" s="7"/>
      <c r="F22" s="7"/>
      <c r="G22" s="7"/>
      <c r="H22" s="7"/>
      <c r="I22" s="7"/>
      <c r="J22" s="7"/>
      <c r="K22" s="7"/>
      <c r="L22" s="7"/>
      <c r="M22" s="8"/>
    </row>
    <row r="23" spans="1:14" ht="6.75" customHeight="1">
      <c r="A23" s="11"/>
      <c r="B23" s="6"/>
      <c r="C23" s="12"/>
      <c r="D23" s="7"/>
      <c r="E23" s="7"/>
      <c r="F23" s="7"/>
      <c r="G23" s="7"/>
      <c r="H23" s="7"/>
      <c r="I23" s="7"/>
      <c r="J23" s="7"/>
      <c r="K23" s="7"/>
      <c r="L23" s="7"/>
      <c r="M23" s="8"/>
      <c r="N23" s="9"/>
    </row>
    <row r="24" spans="1:13" ht="34.5" customHeight="1">
      <c r="A24" s="56"/>
      <c r="B24" s="209" t="s">
        <v>2</v>
      </c>
      <c r="C24" s="209"/>
      <c r="D24" s="209"/>
      <c r="E24" s="45"/>
      <c r="F24" s="209" t="s">
        <v>3</v>
      </c>
      <c r="G24" s="209"/>
      <c r="H24" s="209"/>
      <c r="I24" s="45"/>
      <c r="J24" s="210"/>
      <c r="K24" s="210"/>
      <c r="L24" s="210"/>
      <c r="M24" s="8"/>
    </row>
    <row r="25" spans="1:13" ht="10.5" customHeight="1" thickBot="1">
      <c r="A25" s="44"/>
      <c r="B25" s="45"/>
      <c r="C25" s="45"/>
      <c r="D25" s="45"/>
      <c r="E25" s="45"/>
      <c r="F25" s="45"/>
      <c r="G25" s="64"/>
      <c r="H25" s="45"/>
      <c r="I25" s="45"/>
      <c r="J25" s="45"/>
      <c r="K25" s="45"/>
      <c r="L25" s="45"/>
      <c r="M25" s="8"/>
    </row>
    <row r="26" spans="1:13" ht="15.75" customHeight="1" thickBot="1">
      <c r="A26" s="5" t="s">
        <v>38</v>
      </c>
      <c r="B26" s="7"/>
      <c r="C26" s="65">
        <f>Assumptions!D6</f>
        <v>5500</v>
      </c>
      <c r="D26" s="13"/>
      <c r="E26" s="13"/>
      <c r="F26" s="13"/>
      <c r="G26" s="65">
        <f>IF(Assumptions!H14=7,Assumptions!D11,0)</f>
        <v>4600</v>
      </c>
      <c r="H26" s="13"/>
      <c r="I26" s="13"/>
      <c r="J26" s="14"/>
      <c r="K26" s="7"/>
      <c r="L26" s="13"/>
      <c r="M26" s="8"/>
    </row>
    <row r="27" spans="1:15" ht="15.75" customHeight="1" thickBot="1">
      <c r="A27" s="5" t="s">
        <v>44</v>
      </c>
      <c r="B27" s="7"/>
      <c r="C27" s="129">
        <f>Assumptions!D7</f>
        <v>0.85</v>
      </c>
      <c r="D27" s="130"/>
      <c r="E27" s="130"/>
      <c r="F27" s="130"/>
      <c r="G27" s="129">
        <f>Assumptions!L14</f>
        <v>0.8</v>
      </c>
      <c r="H27" s="13"/>
      <c r="I27" s="13"/>
      <c r="J27" s="14"/>
      <c r="K27" s="7"/>
      <c r="L27" s="13"/>
      <c r="M27" s="8"/>
      <c r="O27" s="128"/>
    </row>
    <row r="28" spans="1:13" ht="15.75" customHeight="1">
      <c r="A28" s="5" t="s">
        <v>51</v>
      </c>
      <c r="B28" s="7"/>
      <c r="C28" s="89"/>
      <c r="D28" s="13"/>
      <c r="E28" s="13"/>
      <c r="F28" s="13"/>
      <c r="G28" s="89"/>
      <c r="H28" s="207" t="s">
        <v>335</v>
      </c>
      <c r="I28" s="207"/>
      <c r="J28" s="207"/>
      <c r="K28" s="207"/>
      <c r="L28" s="13"/>
      <c r="M28" s="8"/>
    </row>
    <row r="29" spans="1:13" ht="22.5" customHeight="1">
      <c r="A29" s="5"/>
      <c r="B29" s="7"/>
      <c r="C29" s="206" t="str">
        <f>IF(OR(Assumptions!H49=1,Assumptions!H52=1),"You have selected the programmable thermostate option, your savings are calculated based on ENERGY STAR suggested thermostat usage, your actual savings may vary.","")</f>
        <v>You have selected the programmable thermostate option, your savings are calculated based on ENERGY STAR suggested thermostat usage, your actual savings may vary.</v>
      </c>
      <c r="D29" s="206"/>
      <c r="E29" s="206"/>
      <c r="F29" s="206"/>
      <c r="G29" s="206"/>
      <c r="H29" s="206"/>
      <c r="I29" s="206"/>
      <c r="J29" s="206"/>
      <c r="K29" s="7"/>
      <c r="L29" s="13"/>
      <c r="M29" s="8"/>
    </row>
    <row r="30" spans="1:13" ht="15.75" customHeight="1">
      <c r="A30" s="5"/>
      <c r="B30" s="7"/>
      <c r="C30" s="206"/>
      <c r="D30" s="206"/>
      <c r="E30" s="206"/>
      <c r="F30" s="206"/>
      <c r="G30" s="206"/>
      <c r="H30" s="206"/>
      <c r="I30" s="206"/>
      <c r="J30" s="206"/>
      <c r="K30" s="7"/>
      <c r="L30" s="13"/>
      <c r="M30" s="8"/>
    </row>
    <row r="31" spans="1:13" ht="4.5" customHeight="1">
      <c r="A31" s="15"/>
      <c r="B31" s="16"/>
      <c r="C31" s="59"/>
      <c r="D31" s="16"/>
      <c r="E31" s="16"/>
      <c r="F31" s="16"/>
      <c r="G31" s="60"/>
      <c r="H31" s="16"/>
      <c r="I31" s="16"/>
      <c r="J31" s="16"/>
      <c r="K31" s="16"/>
      <c r="L31" s="16"/>
      <c r="M31" s="17"/>
    </row>
    <row r="32" ht="14.25" customHeight="1">
      <c r="A32" s="46"/>
    </row>
    <row r="33" ht="15.75" customHeight="1">
      <c r="A33" s="47"/>
    </row>
    <row r="34" spans="1:13" ht="15.75">
      <c r="A34" s="202" t="str">
        <f>"Annual and Life Cycle Costs and Savings for "&amp;IF(Assumptions!H44=1,"a Gas","an Oil")&amp;" Boiler"</f>
        <v>Annual and Life Cycle Costs and Savings for an Oil Boiler</v>
      </c>
      <c r="B34" s="202"/>
      <c r="C34" s="202"/>
      <c r="D34" s="202"/>
      <c r="E34" s="202"/>
      <c r="F34" s="202"/>
      <c r="G34" s="202"/>
      <c r="H34" s="202"/>
      <c r="I34" s="202"/>
      <c r="J34" s="202"/>
      <c r="K34" s="202"/>
      <c r="L34" s="202"/>
      <c r="M34" s="202"/>
    </row>
    <row r="35" spans="1:13" ht="31.5" customHeight="1">
      <c r="A35" s="18"/>
      <c r="B35" s="203" t="str">
        <f>"ENERGY STAR Qualified Unit(s)"</f>
        <v>ENERGY STAR Qualified Unit(s)</v>
      </c>
      <c r="C35" s="203"/>
      <c r="D35" s="203"/>
      <c r="E35" s="48"/>
      <c r="F35" s="203" t="str">
        <f>"Conventional Unit(s)"</f>
        <v>Conventional Unit(s)</v>
      </c>
      <c r="G35" s="203"/>
      <c r="H35" s="203"/>
      <c r="I35" s="48"/>
      <c r="J35" s="203" t="s">
        <v>4</v>
      </c>
      <c r="K35" s="203"/>
      <c r="L35" s="203"/>
      <c r="M35" s="19"/>
    </row>
    <row r="36" spans="1:13" ht="15.75" customHeight="1">
      <c r="A36" s="57" t="s">
        <v>28</v>
      </c>
      <c r="B36" s="20"/>
      <c r="C36" s="20"/>
      <c r="D36" s="20"/>
      <c r="E36" s="20"/>
      <c r="F36" s="20"/>
      <c r="G36" s="20"/>
      <c r="H36" s="20"/>
      <c r="I36" s="20"/>
      <c r="J36" s="20"/>
      <c r="K36" s="20"/>
      <c r="L36" s="20"/>
      <c r="M36" s="21"/>
    </row>
    <row r="37" spans="1:13" ht="15.75" customHeight="1">
      <c r="A37" s="22" t="s">
        <v>5</v>
      </c>
      <c r="B37" s="20"/>
      <c r="C37" s="81">
        <f>C39*C17</f>
        <v>1195.027084214981</v>
      </c>
      <c r="D37" s="20"/>
      <c r="E37" s="20"/>
      <c r="F37" s="20"/>
      <c r="G37" s="23">
        <f>G39*C17</f>
        <v>1626.7985611510792</v>
      </c>
      <c r="H37" s="20"/>
      <c r="I37" s="20"/>
      <c r="J37" s="20"/>
      <c r="K37" s="23">
        <f>G37-C37</f>
        <v>431.7714769360982</v>
      </c>
      <c r="L37" s="20"/>
      <c r="M37" s="21"/>
    </row>
    <row r="38" spans="1:13" ht="15.75" customHeight="1">
      <c r="A38" s="82" t="s">
        <v>110</v>
      </c>
      <c r="B38" s="20"/>
      <c r="C38" s="84">
        <f>$C$19*Assumptions!$D$22/($C$27)/1000*IF(Assumptions!H49=1,(1-Assumptions!D216),1)</f>
        <v>61.98088235294117</v>
      </c>
      <c r="D38" s="131"/>
      <c r="E38" s="131"/>
      <c r="F38" s="131"/>
      <c r="G38" s="84">
        <f>$C$19*Assumptions!$D$22/($G$27)/1000*IF(Assumptions!H52=1,(1-Assumptions!D216),1)</f>
        <v>84.375</v>
      </c>
      <c r="H38" s="131"/>
      <c r="I38" s="131"/>
      <c r="J38" s="131"/>
      <c r="K38" s="84">
        <f>G38-C38</f>
        <v>22.394117647058827</v>
      </c>
      <c r="L38" s="20"/>
      <c r="M38" s="21"/>
    </row>
    <row r="39" spans="1:13" s="3" customFormat="1" ht="15.75" customHeight="1" outlineLevel="1">
      <c r="A39" s="82" t="str">
        <f>IF(Assumptions!H44=1,Assumptions!J42,Assumptions!J43)</f>
        <v>Energy Consumption (Gallons)</v>
      </c>
      <c r="B39" s="83"/>
      <c r="C39" s="84">
        <f>IF(Assumptions!$H$44=1,$C$38/Assumptions!$D$223,'Boiler Calc'!$C$38/Assumptions!$D$222)*1000000</f>
        <v>445.9056284384257</v>
      </c>
      <c r="D39" s="84"/>
      <c r="E39" s="84"/>
      <c r="F39" s="84"/>
      <c r="G39" s="84">
        <f>IF(Assumptions!$H$44=1,$G$38/Assumptions!$D$223,'Boiler Calc'!$G$38/Assumptions!$D$222)*1000000</f>
        <v>607.0143884892086</v>
      </c>
      <c r="H39" s="85"/>
      <c r="I39" s="85"/>
      <c r="J39" s="85"/>
      <c r="K39" s="84">
        <f>G39-C39</f>
        <v>161.1087600507829</v>
      </c>
      <c r="L39" s="85"/>
      <c r="M39" s="86"/>
    </row>
    <row r="40" spans="1:13" ht="15.75" customHeight="1">
      <c r="A40" s="68" t="s">
        <v>6</v>
      </c>
      <c r="B40" s="20"/>
      <c r="C40" s="67">
        <f>(Assumptions!D16*Assumptions!D17)</f>
        <v>0</v>
      </c>
      <c r="D40" s="20"/>
      <c r="E40" s="20"/>
      <c r="F40" s="20"/>
      <c r="G40" s="23">
        <f>(Assumptions!D16*Assumptions!D17)</f>
        <v>0</v>
      </c>
      <c r="H40" s="20"/>
      <c r="I40" s="20"/>
      <c r="J40" s="20"/>
      <c r="K40" s="23">
        <f>G40-C40</f>
        <v>0</v>
      </c>
      <c r="L40" s="20"/>
      <c r="M40" s="21"/>
    </row>
    <row r="41" spans="1:13" s="27" customFormat="1" ht="15.75" customHeight="1">
      <c r="A41" s="58" t="s">
        <v>7</v>
      </c>
      <c r="B41" s="25"/>
      <c r="C41" s="51">
        <f>C37+C40</f>
        <v>1195.027084214981</v>
      </c>
      <c r="D41" s="25"/>
      <c r="E41" s="25"/>
      <c r="F41" s="25"/>
      <c r="G41" s="51">
        <f>G37+G40</f>
        <v>1626.7985611510792</v>
      </c>
      <c r="H41" s="25"/>
      <c r="I41" s="25"/>
      <c r="J41" s="25"/>
      <c r="K41" s="51">
        <f>K37+K40</f>
        <v>431.7714769360982</v>
      </c>
      <c r="L41" s="25"/>
      <c r="M41" s="26"/>
    </row>
    <row r="42" spans="1:13" ht="15.75" customHeight="1">
      <c r="A42" s="22"/>
      <c r="B42" s="20"/>
      <c r="C42" s="20"/>
      <c r="D42" s="20"/>
      <c r="E42" s="20"/>
      <c r="F42" s="20"/>
      <c r="G42" s="20"/>
      <c r="H42" s="20"/>
      <c r="I42" s="20"/>
      <c r="J42" s="20"/>
      <c r="K42" s="20"/>
      <c r="L42" s="20"/>
      <c r="M42" s="21"/>
    </row>
    <row r="43" spans="1:13" ht="15.75" customHeight="1">
      <c r="A43" s="57" t="s">
        <v>29</v>
      </c>
      <c r="B43" s="20"/>
      <c r="C43" s="20"/>
      <c r="D43" s="20"/>
      <c r="E43" s="20"/>
      <c r="F43" s="20"/>
      <c r="G43" s="20"/>
      <c r="H43" s="20"/>
      <c r="I43" s="20"/>
      <c r="J43" s="20"/>
      <c r="K43" s="20"/>
      <c r="L43" s="20"/>
      <c r="M43" s="21"/>
    </row>
    <row r="44" spans="1:13" ht="15.75" customHeight="1">
      <c r="A44" s="40" t="s">
        <v>43</v>
      </c>
      <c r="B44" s="20"/>
      <c r="C44" s="23">
        <f>C45+C48</f>
        <v>16240.808065556788</v>
      </c>
      <c r="D44" s="20"/>
      <c r="E44" s="20"/>
      <c r="F44" s="20"/>
      <c r="G44" s="23">
        <f>G45+G48</f>
        <v>22108.723343567057</v>
      </c>
      <c r="H44" s="20"/>
      <c r="I44" s="20"/>
      <c r="J44" s="20"/>
      <c r="K44" s="23">
        <f aca="true" t="shared" si="0" ref="K44:K49">G44-C44</f>
        <v>5867.915278010269</v>
      </c>
      <c r="L44" s="20"/>
      <c r="M44" s="21"/>
    </row>
    <row r="45" spans="1:13" ht="15.75" customHeight="1">
      <c r="A45" s="24" t="s">
        <v>37</v>
      </c>
      <c r="B45" s="20"/>
      <c r="C45" s="23">
        <f>PV(Assumptions!D219,Assumptions!D8,-C37,,0)</f>
        <v>16240.808065556788</v>
      </c>
      <c r="D45" s="20"/>
      <c r="E45" s="20"/>
      <c r="F45" s="20"/>
      <c r="G45" s="23">
        <f>PV(Assumptions!D219,Assumptions!D13,-G37,,0)</f>
        <v>22108.723343567057</v>
      </c>
      <c r="H45" s="20"/>
      <c r="I45" s="20"/>
      <c r="J45" s="20"/>
      <c r="K45" s="23">
        <f t="shared" si="0"/>
        <v>5867.915278010269</v>
      </c>
      <c r="L45" s="20"/>
      <c r="M45" s="21"/>
    </row>
    <row r="46" spans="1:13" ht="15.75" customHeight="1" hidden="1">
      <c r="A46" s="82" t="s">
        <v>110</v>
      </c>
      <c r="B46" s="20"/>
      <c r="C46" s="84">
        <f>C38*Assumptions!D8</f>
        <v>1239.6176470588234</v>
      </c>
      <c r="D46" s="84"/>
      <c r="E46" s="84"/>
      <c r="F46" s="84"/>
      <c r="G46" s="84">
        <f>G38*Assumptions!D8</f>
        <v>1687.5</v>
      </c>
      <c r="H46" s="20"/>
      <c r="I46" s="20"/>
      <c r="J46" s="20"/>
      <c r="K46" s="131">
        <f t="shared" si="0"/>
        <v>447.8823529411766</v>
      </c>
      <c r="L46" s="20"/>
      <c r="M46" s="21"/>
    </row>
    <row r="47" spans="1:13" s="3" customFormat="1" ht="15.75" customHeight="1" hidden="1" outlineLevel="1">
      <c r="A47" s="82" t="str">
        <f>A39</f>
        <v>Energy Consumption (Gallons)</v>
      </c>
      <c r="B47" s="83"/>
      <c r="C47" s="84">
        <f>C39*Assumptions!D8</f>
        <v>8918.112568768514</v>
      </c>
      <c r="D47" s="84"/>
      <c r="E47" s="84"/>
      <c r="F47" s="84"/>
      <c r="G47" s="84">
        <f>G39*Assumptions!D8</f>
        <v>12140.287769784172</v>
      </c>
      <c r="H47" s="85"/>
      <c r="I47" s="85"/>
      <c r="J47" s="85"/>
      <c r="K47" s="84">
        <f t="shared" si="0"/>
        <v>3222.175201015658</v>
      </c>
      <c r="L47" s="87"/>
      <c r="M47" s="86"/>
    </row>
    <row r="48" spans="1:13" ht="15.75" customHeight="1" collapsed="1">
      <c r="A48" s="24" t="s">
        <v>36</v>
      </c>
      <c r="B48" s="20"/>
      <c r="C48" s="23">
        <f>PV(Assumptions!D219,Assumptions!D8,-C40,,0)</f>
        <v>0</v>
      </c>
      <c r="D48" s="20"/>
      <c r="E48" s="20"/>
      <c r="F48" s="20"/>
      <c r="G48" s="23">
        <f>PV(Assumptions!D219,Assumptions!D13,-G40,,0)</f>
        <v>0</v>
      </c>
      <c r="H48" s="20"/>
      <c r="I48" s="20"/>
      <c r="J48" s="20"/>
      <c r="K48" s="23">
        <f t="shared" si="0"/>
        <v>0</v>
      </c>
      <c r="L48" s="20"/>
      <c r="M48" s="21"/>
    </row>
    <row r="49" spans="1:13" ht="15.75" customHeight="1">
      <c r="A49" s="22" t="s">
        <v>111</v>
      </c>
      <c r="B49" s="20"/>
      <c r="C49" s="69">
        <f>C26</f>
        <v>5500</v>
      </c>
      <c r="D49" s="20"/>
      <c r="E49" s="20"/>
      <c r="F49" s="20"/>
      <c r="G49" s="23">
        <f>G26</f>
        <v>4600</v>
      </c>
      <c r="H49" s="20"/>
      <c r="I49" s="20"/>
      <c r="J49" s="20"/>
      <c r="K49" s="23">
        <f t="shared" si="0"/>
        <v>-900</v>
      </c>
      <c r="L49" s="20"/>
      <c r="M49" s="21"/>
    </row>
    <row r="50" spans="1:13" s="27" customFormat="1" ht="15.75" customHeight="1">
      <c r="A50" s="58" t="s">
        <v>7</v>
      </c>
      <c r="B50" s="20"/>
      <c r="C50" s="70">
        <f>C44+C49</f>
        <v>21740.80806555679</v>
      </c>
      <c r="D50" s="25"/>
      <c r="E50" s="25"/>
      <c r="F50" s="25"/>
      <c r="G50" s="51">
        <f>G44+G49</f>
        <v>26708.723343567057</v>
      </c>
      <c r="H50" s="25"/>
      <c r="I50" s="25"/>
      <c r="J50" s="25"/>
      <c r="K50" s="51">
        <f>K44+K49</f>
        <v>4967.915278010269</v>
      </c>
      <c r="L50" s="25"/>
      <c r="M50" s="26"/>
    </row>
    <row r="51" spans="1:13" s="27" customFormat="1" ht="15.75" customHeight="1">
      <c r="A51" s="50"/>
      <c r="B51" s="25"/>
      <c r="C51" s="52"/>
      <c r="D51" s="25"/>
      <c r="E51" s="25"/>
      <c r="F51" s="25"/>
      <c r="G51" s="52"/>
      <c r="H51" s="25"/>
      <c r="I51" s="25"/>
      <c r="J51" s="25"/>
      <c r="K51" s="52"/>
      <c r="L51" s="25"/>
      <c r="M51" s="26"/>
    </row>
    <row r="52" spans="1:13" ht="15.75" customHeight="1">
      <c r="A52" s="49"/>
      <c r="B52" s="20"/>
      <c r="C52" s="20"/>
      <c r="D52" s="20"/>
      <c r="E52" s="20"/>
      <c r="F52" s="20"/>
      <c r="G52" s="20"/>
      <c r="H52" s="20"/>
      <c r="I52" s="20"/>
      <c r="J52" s="28" t="s">
        <v>8</v>
      </c>
      <c r="K52" s="63">
        <f>IF(K60&lt;=0,0,IF(K41&lt;0,"N/A",IF(K41=0,"&gt;"&amp;Assumptions!D8&amp;"",IF(K60/K41&gt;Assumptions!D8,"&gt;"&amp;Assumptions!D8&amp;"",K60/K41))))</f>
        <v>2.0844359761476303</v>
      </c>
      <c r="L52" s="20"/>
      <c r="M52" s="21"/>
    </row>
    <row r="53" spans="1:13" ht="4.5" customHeight="1">
      <c r="A53" s="29"/>
      <c r="B53" s="30"/>
      <c r="C53" s="30"/>
      <c r="D53" s="30"/>
      <c r="E53" s="30"/>
      <c r="F53" s="30"/>
      <c r="G53" s="30"/>
      <c r="H53" s="30"/>
      <c r="I53" s="30"/>
      <c r="J53" s="30"/>
      <c r="K53" s="30"/>
      <c r="L53" s="30"/>
      <c r="M53" s="31"/>
    </row>
    <row r="54" spans="1:13" ht="24" customHeight="1">
      <c r="A54" s="204" t="s">
        <v>30</v>
      </c>
      <c r="B54" s="205"/>
      <c r="C54" s="205"/>
      <c r="D54" s="205"/>
      <c r="E54" s="205"/>
      <c r="F54" s="205"/>
      <c r="G54" s="205"/>
      <c r="H54" s="205"/>
      <c r="I54" s="205"/>
      <c r="J54" s="205"/>
      <c r="K54" s="205"/>
      <c r="L54" s="205"/>
      <c r="M54" s="205"/>
    </row>
    <row r="55" spans="1:13" ht="13.5">
      <c r="A55" s="208" t="s">
        <v>31</v>
      </c>
      <c r="B55" s="208"/>
      <c r="C55" s="208"/>
      <c r="D55" s="208"/>
      <c r="E55" s="208"/>
      <c r="F55" s="208"/>
      <c r="G55" s="208"/>
      <c r="H55" s="208"/>
      <c r="I55" s="208"/>
      <c r="J55" s="208"/>
      <c r="K55" s="208"/>
      <c r="L55" s="208"/>
      <c r="M55" s="208"/>
    </row>
    <row r="56" spans="1:13" ht="14.25">
      <c r="A56" s="53"/>
      <c r="B56" s="53"/>
      <c r="C56" s="53"/>
      <c r="D56" s="53"/>
      <c r="E56" s="53"/>
      <c r="F56" s="53"/>
      <c r="G56" s="53"/>
      <c r="H56" s="53"/>
      <c r="I56" s="53"/>
      <c r="J56" s="53"/>
      <c r="K56" s="53"/>
      <c r="L56" s="53"/>
      <c r="M56" s="53"/>
    </row>
    <row r="57" ht="15" customHeight="1"/>
    <row r="58" spans="1:13" ht="15.75" customHeight="1">
      <c r="A58" s="202" t="str">
        <f>"Summary of Benefits for "&amp;IF(Assumptions!H44=2,"an Oil","a Gas")&amp;" Boiler"</f>
        <v>Summary of Benefits for an Oil Boiler</v>
      </c>
      <c r="B58" s="202"/>
      <c r="C58" s="202"/>
      <c r="D58" s="202"/>
      <c r="E58" s="202"/>
      <c r="F58" s="202"/>
      <c r="G58" s="202"/>
      <c r="H58" s="202"/>
      <c r="I58" s="202"/>
      <c r="J58" s="202"/>
      <c r="K58" s="202"/>
      <c r="L58" s="202"/>
      <c r="M58" s="202"/>
    </row>
    <row r="59" spans="1:13" ht="4.5" customHeight="1">
      <c r="A59" s="32" t="s">
        <v>9</v>
      </c>
      <c r="B59" s="33"/>
      <c r="C59" s="33"/>
      <c r="D59" s="33"/>
      <c r="E59" s="33"/>
      <c r="F59" s="33"/>
      <c r="G59" s="33"/>
      <c r="H59" s="33"/>
      <c r="I59" s="33"/>
      <c r="J59" s="33"/>
      <c r="K59" s="33"/>
      <c r="L59" s="33"/>
      <c r="M59" s="34"/>
    </row>
    <row r="60" spans="1:13" ht="15.75" customHeight="1">
      <c r="A60" s="35" t="s">
        <v>10</v>
      </c>
      <c r="B60" s="55"/>
      <c r="C60" s="55"/>
      <c r="D60" s="55"/>
      <c r="E60" s="55"/>
      <c r="F60" s="55"/>
      <c r="G60" s="55"/>
      <c r="H60" s="55"/>
      <c r="I60" s="55"/>
      <c r="J60" s="55"/>
      <c r="K60" s="112">
        <f>(C26-G26)</f>
        <v>900</v>
      </c>
      <c r="L60" s="71"/>
      <c r="M60" s="76"/>
    </row>
    <row r="61" spans="1:13" ht="15.75" customHeight="1">
      <c r="A61" s="35" t="s">
        <v>11</v>
      </c>
      <c r="B61" s="55"/>
      <c r="C61" s="55"/>
      <c r="D61" s="55"/>
      <c r="E61" s="55"/>
      <c r="F61" s="55"/>
      <c r="G61" s="55"/>
      <c r="H61" s="55"/>
      <c r="I61" s="55"/>
      <c r="J61" s="55"/>
      <c r="K61" s="112">
        <f>K44</f>
        <v>5867.915278010269</v>
      </c>
      <c r="L61" s="71"/>
      <c r="M61" s="76"/>
    </row>
    <row r="62" spans="1:13" ht="15.75" customHeight="1">
      <c r="A62" s="35" t="s">
        <v>12</v>
      </c>
      <c r="B62" s="55"/>
      <c r="C62" s="55"/>
      <c r="D62" s="55"/>
      <c r="E62" s="55"/>
      <c r="F62" s="55"/>
      <c r="G62" s="55"/>
      <c r="H62" s="55"/>
      <c r="I62" s="55"/>
      <c r="J62" s="55"/>
      <c r="K62" s="112">
        <f>K50</f>
        <v>4967.915278010269</v>
      </c>
      <c r="L62" s="71"/>
      <c r="M62" s="76"/>
    </row>
    <row r="63" spans="1:13" ht="15.75" customHeight="1">
      <c r="A63" s="35" t="s">
        <v>13</v>
      </c>
      <c r="B63" s="55"/>
      <c r="C63" s="55"/>
      <c r="D63" s="55"/>
      <c r="E63" s="55"/>
      <c r="F63" s="55"/>
      <c r="G63" s="55"/>
      <c r="H63" s="55"/>
      <c r="I63" s="55"/>
      <c r="J63" s="55"/>
      <c r="K63" s="115">
        <f>K52</f>
        <v>2.0844359761476303</v>
      </c>
      <c r="L63" s="72"/>
      <c r="M63" s="77"/>
    </row>
    <row r="64" spans="1:13" ht="15.75" customHeight="1">
      <c r="A64" s="35" t="s">
        <v>47</v>
      </c>
      <c r="B64" s="55"/>
      <c r="C64" s="55"/>
      <c r="D64" s="55"/>
      <c r="E64" s="55"/>
      <c r="F64" s="55"/>
      <c r="G64" s="55"/>
      <c r="H64" s="55"/>
      <c r="I64" s="55"/>
      <c r="J64" s="55"/>
      <c r="K64" s="113">
        <f>K46</f>
        <v>447.8823529411766</v>
      </c>
      <c r="L64" s="73"/>
      <c r="M64" s="78"/>
    </row>
    <row r="65" spans="1:13" ht="15.75" customHeight="1">
      <c r="A65" s="35" t="s">
        <v>14</v>
      </c>
      <c r="B65" s="55"/>
      <c r="C65" s="55"/>
      <c r="D65" s="55"/>
      <c r="E65" s="55"/>
      <c r="F65" s="55"/>
      <c r="G65" s="55"/>
      <c r="H65" s="55"/>
      <c r="I65" s="55"/>
      <c r="J65" s="55"/>
      <c r="K65" s="113">
        <f>K64*IF(Assumptions!H44=1,Assumptions!D232,Assumptions!D231)</f>
        <v>72229.98705882355</v>
      </c>
      <c r="L65" s="73"/>
      <c r="M65" s="78"/>
    </row>
    <row r="66" spans="1:13" ht="15.75" customHeight="1">
      <c r="A66" s="35" t="s">
        <v>15</v>
      </c>
      <c r="B66" s="55"/>
      <c r="C66" s="55"/>
      <c r="D66" s="55"/>
      <c r="E66" s="55"/>
      <c r="F66" s="55"/>
      <c r="G66" s="55"/>
      <c r="H66" s="55"/>
      <c r="I66" s="55"/>
      <c r="J66" s="55"/>
      <c r="K66" s="113">
        <f>K65/Assumptions!D236</f>
        <v>6.000663542313164</v>
      </c>
      <c r="L66" s="74"/>
      <c r="M66" s="79"/>
    </row>
    <row r="67" spans="1:13" ht="15.75" customHeight="1">
      <c r="A67" s="35" t="s">
        <v>16</v>
      </c>
      <c r="B67" s="55"/>
      <c r="C67" s="55"/>
      <c r="D67" s="55"/>
      <c r="E67" s="55"/>
      <c r="F67" s="55"/>
      <c r="G67" s="55"/>
      <c r="H67" s="55"/>
      <c r="I67" s="55"/>
      <c r="J67" s="55"/>
      <c r="K67" s="113">
        <f>K65/Assumptions!D235</f>
        <v>7.446390418435418</v>
      </c>
      <c r="L67" s="74"/>
      <c r="M67" s="79"/>
    </row>
    <row r="68" spans="1:13" ht="15.75" customHeight="1">
      <c r="A68" s="61" t="s">
        <v>17</v>
      </c>
      <c r="B68" s="55"/>
      <c r="C68" s="55"/>
      <c r="D68" s="55"/>
      <c r="E68" s="55"/>
      <c r="F68" s="55"/>
      <c r="G68" s="55"/>
      <c r="H68" s="55"/>
      <c r="I68" s="55"/>
      <c r="J68" s="55"/>
      <c r="K68" s="114">
        <f>K50/C26</f>
        <v>0.9032573232745943</v>
      </c>
      <c r="L68" s="75"/>
      <c r="M68" s="80"/>
    </row>
    <row r="69" spans="1:13" s="38" customFormat="1" ht="4.5" customHeight="1">
      <c r="A69" s="62"/>
      <c r="B69" s="36"/>
      <c r="C69" s="36"/>
      <c r="D69" s="36"/>
      <c r="E69" s="36"/>
      <c r="F69" s="36"/>
      <c r="G69" s="36"/>
      <c r="H69" s="36"/>
      <c r="I69" s="36"/>
      <c r="J69" s="36"/>
      <c r="K69" s="36"/>
      <c r="L69" s="36"/>
      <c r="M69" s="37"/>
    </row>
    <row r="70" s="38" customFormat="1" ht="15.75" customHeight="1">
      <c r="A70" s="54"/>
    </row>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sheetData>
  <sheetProtection/>
  <mergeCells count="16">
    <mergeCell ref="B24:D24"/>
    <mergeCell ref="F24:H24"/>
    <mergeCell ref="J24:L24"/>
    <mergeCell ref="A7:M7"/>
    <mergeCell ref="A8:M8"/>
    <mergeCell ref="A11:M11"/>
    <mergeCell ref="A14:M14"/>
    <mergeCell ref="C29:J30"/>
    <mergeCell ref="H28:K28"/>
    <mergeCell ref="A34:M34"/>
    <mergeCell ref="A55:M55"/>
    <mergeCell ref="A58:M58"/>
    <mergeCell ref="B35:D35"/>
    <mergeCell ref="F35:H35"/>
    <mergeCell ref="J35:L35"/>
    <mergeCell ref="A54:M54"/>
  </mergeCells>
  <dataValidations count="3">
    <dataValidation type="decimal" operator="greaterThan" allowBlank="1" showInputMessage="1" showErrorMessage="1" error="please enter a positive value. Thank you" sqref="C17 C22">
      <formula1>0</formula1>
    </dataValidation>
    <dataValidation type="decimal" operator="greaterThan" allowBlank="1" showInputMessage="1" showErrorMessage="1" error="please enter a positive value" sqref="C26:F27 G27">
      <formula1>0</formula1>
    </dataValidation>
    <dataValidation operator="greaterThan" allowBlank="1" showInputMessage="1" showErrorMessage="1" error="please enter a positive value" sqref="G26"/>
  </dataValidations>
  <hyperlinks>
    <hyperlink ref="H28:K28" r:id="rId1" display="Thermostat Usage Guidelines"/>
  </hyperlinks>
  <printOptions horizontalCentered="1"/>
  <pageMargins left="1" right="1" top="0.5" bottom="0.5" header="0.25" footer="0.25"/>
  <pageSetup fitToHeight="1" fitToWidth="1" horizontalDpi="600" verticalDpi="600" orientation="portrait" scale="66" r:id="rId4"/>
  <ignoredErrors>
    <ignoredError sqref="C29" unlockedFormula="1"/>
  </ignoredErrors>
  <drawing r:id="rId3"/>
  <legacyDrawing r:id="rId2"/>
</worksheet>
</file>

<file path=xl/worksheets/sheet2.xml><?xml version="1.0" encoding="utf-8"?>
<worksheet xmlns="http://schemas.openxmlformats.org/spreadsheetml/2006/main" xmlns:r="http://schemas.openxmlformats.org/officeDocument/2006/relationships">
  <dimension ref="A1:W273"/>
  <sheetViews>
    <sheetView zoomScale="80" zoomScaleNormal="80" zoomScalePageLayoutView="0" workbookViewId="0" topLeftCell="C217">
      <selection activeCell="F228" sqref="F228"/>
    </sheetView>
  </sheetViews>
  <sheetFormatPr defaultColWidth="9.140625" defaultRowHeight="12.75"/>
  <cols>
    <col min="1" max="1" width="4.140625" style="1" hidden="1" customWidth="1"/>
    <col min="2" max="2" width="7.140625" style="1" hidden="1" customWidth="1"/>
    <col min="3" max="3" width="58.57421875" style="88" customWidth="1"/>
    <col min="4" max="4" width="19.57421875" style="106" bestFit="1" customWidth="1"/>
    <col min="5" max="5" width="18.421875" style="107" bestFit="1" customWidth="1"/>
    <col min="6" max="6" width="56.421875" style="38" customWidth="1"/>
    <col min="7" max="7" width="2.28125" style="167" customWidth="1"/>
    <col min="8" max="8" width="5.140625" style="167" customWidth="1"/>
    <col min="9" max="9" width="18.00390625" style="167" customWidth="1"/>
    <col min="10" max="10" width="11.140625" style="167" customWidth="1"/>
    <col min="11" max="11" width="10.7109375" style="167" bestFit="1" customWidth="1"/>
    <col min="12" max="12" width="11.57421875" style="167" bestFit="1" customWidth="1"/>
    <col min="13" max="13" width="9.57421875" style="167" bestFit="1" customWidth="1"/>
    <col min="14" max="14" width="12.421875" style="167" bestFit="1" customWidth="1"/>
    <col min="15" max="15" width="13.421875" style="167" bestFit="1" customWidth="1"/>
    <col min="16" max="16" width="17.57421875" style="167" customWidth="1"/>
    <col min="17" max="17" width="17.00390625" style="168" customWidth="1"/>
    <col min="18" max="18" width="11.140625" style="168" bestFit="1" customWidth="1"/>
    <col min="19" max="19" width="11.00390625" style="168" bestFit="1" customWidth="1"/>
    <col min="20" max="22" width="9.140625" style="168" customWidth="1"/>
    <col min="23" max="23" width="9.140625" style="88" customWidth="1"/>
    <col min="24" max="16384" width="9.140625" style="1" customWidth="1"/>
  </cols>
  <sheetData>
    <row r="1" spans="3:11" ht="15.75">
      <c r="C1" s="213" t="s">
        <v>58</v>
      </c>
      <c r="D1" s="214"/>
      <c r="E1" s="214"/>
      <c r="F1" s="215"/>
      <c r="G1" s="166"/>
      <c r="H1" s="166"/>
      <c r="I1" s="166"/>
      <c r="J1" s="166"/>
      <c r="K1" s="166"/>
    </row>
    <row r="2" spans="3:6" ht="15.75">
      <c r="C2" s="90"/>
      <c r="D2" s="91"/>
      <c r="E2" s="91"/>
      <c r="F2" s="92"/>
    </row>
    <row r="3" spans="3:23" s="119" customFormat="1" ht="15">
      <c r="C3" s="108" t="s">
        <v>18</v>
      </c>
      <c r="D3" s="216" t="s">
        <v>19</v>
      </c>
      <c r="E3" s="216"/>
      <c r="F3" s="117" t="s">
        <v>20</v>
      </c>
      <c r="G3" s="169"/>
      <c r="H3" s="167"/>
      <c r="I3" s="167"/>
      <c r="J3" s="167"/>
      <c r="K3" s="168"/>
      <c r="L3" s="168"/>
      <c r="M3" s="168"/>
      <c r="N3" s="168"/>
      <c r="O3" s="168"/>
      <c r="P3" s="168"/>
      <c r="Q3" s="168"/>
      <c r="R3" s="168"/>
      <c r="S3" s="168"/>
      <c r="T3" s="168"/>
      <c r="U3" s="170"/>
      <c r="V3" s="170"/>
      <c r="W3" s="118"/>
    </row>
    <row r="4" spans="3:16" ht="15">
      <c r="C4" s="93" t="s">
        <v>21</v>
      </c>
      <c r="D4" s="147"/>
      <c r="E4" s="133"/>
      <c r="F4" s="94"/>
      <c r="G4" s="167">
        <v>1</v>
      </c>
      <c r="I4" s="171" t="s">
        <v>77</v>
      </c>
      <c r="K4" s="168"/>
      <c r="L4" s="168"/>
      <c r="M4" s="168"/>
      <c r="N4" s="168"/>
      <c r="O4" s="168"/>
      <c r="P4" s="168"/>
    </row>
    <row r="5" spans="3:16" ht="12.75">
      <c r="C5" s="136" t="s">
        <v>2</v>
      </c>
      <c r="D5" s="100"/>
      <c r="E5" s="111"/>
      <c r="F5" s="66"/>
      <c r="H5" s="172"/>
      <c r="I5" s="172"/>
      <c r="J5" s="172">
        <v>1</v>
      </c>
      <c r="K5" s="172">
        <v>2</v>
      </c>
      <c r="L5" s="172">
        <f>H44</f>
        <v>2</v>
      </c>
      <c r="M5" s="173"/>
      <c r="N5" s="168"/>
      <c r="O5" s="168"/>
      <c r="P5" s="168"/>
    </row>
    <row r="6" spans="3:16" ht="12.75">
      <c r="C6" s="96" t="s">
        <v>40</v>
      </c>
      <c r="D6" s="148">
        <v>5500</v>
      </c>
      <c r="E6" s="111"/>
      <c r="F6" s="66" t="s">
        <v>322</v>
      </c>
      <c r="J6" s="174" t="s">
        <v>50</v>
      </c>
      <c r="K6" s="168" t="s">
        <v>49</v>
      </c>
      <c r="L6" s="168" t="s">
        <v>78</v>
      </c>
      <c r="M6" s="173"/>
      <c r="N6" s="173"/>
      <c r="O6" s="173"/>
      <c r="P6" s="173"/>
    </row>
    <row r="7" spans="3:16" ht="12.75">
      <c r="C7" s="96" t="s">
        <v>44</v>
      </c>
      <c r="D7" s="149">
        <v>0.85</v>
      </c>
      <c r="E7" s="111"/>
      <c r="F7" s="66" t="s">
        <v>294</v>
      </c>
      <c r="H7" s="175">
        <v>1</v>
      </c>
      <c r="I7" s="176" t="s">
        <v>79</v>
      </c>
      <c r="J7" s="177">
        <v>0.6</v>
      </c>
      <c r="K7" s="177">
        <v>0.6</v>
      </c>
      <c r="L7" s="178">
        <f>HLOOKUP($L$5,$J$5:$K$12,3)</f>
        <v>0.6</v>
      </c>
      <c r="M7" s="168"/>
      <c r="N7" s="173"/>
      <c r="O7" s="173"/>
      <c r="P7" s="173"/>
    </row>
    <row r="8" spans="3:18" ht="12.75">
      <c r="C8" s="137" t="s">
        <v>32</v>
      </c>
      <c r="D8" s="100">
        <v>20</v>
      </c>
      <c r="E8" s="111" t="s">
        <v>22</v>
      </c>
      <c r="F8" s="66" t="s">
        <v>325</v>
      </c>
      <c r="H8" s="175">
        <v>2</v>
      </c>
      <c r="I8" s="176" t="s">
        <v>80</v>
      </c>
      <c r="J8" s="177">
        <v>0.6</v>
      </c>
      <c r="K8" s="177">
        <v>0.65</v>
      </c>
      <c r="L8" s="178">
        <f>HLOOKUP($L$5,$J$5:$K$12,4)</f>
        <v>0.65</v>
      </c>
      <c r="M8" s="168"/>
      <c r="N8" s="168"/>
      <c r="O8" s="168"/>
      <c r="P8" s="168"/>
      <c r="R8" s="167"/>
    </row>
    <row r="9" spans="3:16" ht="12.75">
      <c r="C9" s="137"/>
      <c r="D9" s="100"/>
      <c r="E9" s="111"/>
      <c r="F9" s="66"/>
      <c r="H9" s="167">
        <v>3</v>
      </c>
      <c r="I9" s="167" t="s">
        <v>81</v>
      </c>
      <c r="J9" s="177">
        <v>0.65</v>
      </c>
      <c r="K9" s="177">
        <v>0.75</v>
      </c>
      <c r="L9" s="178">
        <f>HLOOKUP($L$5,$J$5:$K$12,5)</f>
        <v>0.75</v>
      </c>
      <c r="M9" s="168"/>
      <c r="N9" s="168"/>
      <c r="O9" s="168"/>
      <c r="P9" s="168"/>
    </row>
    <row r="10" spans="3:16" ht="12.75">
      <c r="C10" s="138" t="s">
        <v>3</v>
      </c>
      <c r="D10" s="100"/>
      <c r="E10" s="111"/>
      <c r="F10" s="66"/>
      <c r="H10" s="167">
        <v>4</v>
      </c>
      <c r="I10" s="167" t="s">
        <v>82</v>
      </c>
      <c r="J10" s="179">
        <v>0.7</v>
      </c>
      <c r="K10" s="179">
        <v>0.8</v>
      </c>
      <c r="L10" s="178">
        <f>HLOOKUP($L$5,$J$5:$K$12,6)</f>
        <v>0.8</v>
      </c>
      <c r="M10" s="168"/>
      <c r="N10" s="168"/>
      <c r="O10" s="168"/>
      <c r="P10" s="168"/>
    </row>
    <row r="11" spans="3:16" ht="12.75">
      <c r="C11" s="96" t="s">
        <v>40</v>
      </c>
      <c r="D11" s="148">
        <v>4600</v>
      </c>
      <c r="E11" s="111"/>
      <c r="F11" s="66" t="s">
        <v>322</v>
      </c>
      <c r="H11" s="167">
        <v>5</v>
      </c>
      <c r="I11" s="167" t="s">
        <v>83</v>
      </c>
      <c r="J11" s="179">
        <v>0.77</v>
      </c>
      <c r="K11" s="179">
        <v>0.8</v>
      </c>
      <c r="L11" s="178">
        <f>HLOOKUP($L$5,$J$5:$K$12,7)</f>
        <v>0.8</v>
      </c>
      <c r="M11" s="168"/>
      <c r="N11" s="168"/>
      <c r="O11" s="168"/>
      <c r="P11" s="168"/>
    </row>
    <row r="12" spans="3:16" ht="12.75">
      <c r="C12" s="96" t="s">
        <v>44</v>
      </c>
      <c r="D12" s="150" t="s">
        <v>113</v>
      </c>
      <c r="E12" s="111"/>
      <c r="F12" s="66" t="s">
        <v>293</v>
      </c>
      <c r="H12" s="167">
        <v>6</v>
      </c>
      <c r="I12" s="167" t="s">
        <v>84</v>
      </c>
      <c r="J12" s="179">
        <v>0.8</v>
      </c>
      <c r="K12" s="179">
        <v>0.8</v>
      </c>
      <c r="L12" s="178">
        <f>HLOOKUP($L$5,$J$5:$K$12,8)</f>
        <v>0.8</v>
      </c>
      <c r="M12" s="168"/>
      <c r="N12" s="168"/>
      <c r="O12" s="168"/>
      <c r="P12" s="168"/>
    </row>
    <row r="13" spans="3:16" ht="12.75">
      <c r="C13" s="137" t="s">
        <v>32</v>
      </c>
      <c r="D13" s="151">
        <v>20</v>
      </c>
      <c r="E13" s="111" t="s">
        <v>22</v>
      </c>
      <c r="F13" s="66" t="s">
        <v>325</v>
      </c>
      <c r="G13" s="167">
        <v>2</v>
      </c>
      <c r="H13" s="167">
        <v>7</v>
      </c>
      <c r="I13" s="167" t="s">
        <v>85</v>
      </c>
      <c r="J13" s="179">
        <v>0.8</v>
      </c>
      <c r="K13" s="179">
        <v>0.8</v>
      </c>
      <c r="L13" s="178">
        <f>HLOOKUP($L$5,$J$5:$K$12,8)</f>
        <v>0.8</v>
      </c>
      <c r="M13" s="168"/>
      <c r="N13" s="168"/>
      <c r="O13" s="168"/>
      <c r="P13" s="168"/>
    </row>
    <row r="14" spans="3:16" ht="12.75">
      <c r="C14" s="137"/>
      <c r="D14" s="151"/>
      <c r="E14" s="97"/>
      <c r="F14" s="66"/>
      <c r="H14" s="167">
        <v>7</v>
      </c>
      <c r="I14" s="167" t="s">
        <v>86</v>
      </c>
      <c r="K14" s="168"/>
      <c r="L14" s="180">
        <f>VLOOKUP(H14,H7:L12,5)</f>
        <v>0.8</v>
      </c>
      <c r="M14" s="168"/>
      <c r="N14" s="168"/>
      <c r="O14" s="168"/>
      <c r="P14" s="168"/>
    </row>
    <row r="15" spans="3:16" ht="15">
      <c r="C15" s="99" t="s">
        <v>23</v>
      </c>
      <c r="D15" s="152"/>
      <c r="E15" s="134"/>
      <c r="F15" s="66"/>
      <c r="I15" s="167" t="s">
        <v>87</v>
      </c>
      <c r="K15" s="168"/>
      <c r="L15" s="168"/>
      <c r="M15" s="168"/>
      <c r="N15" s="168"/>
      <c r="O15" s="168"/>
      <c r="P15" s="168"/>
    </row>
    <row r="16" spans="3:20" ht="12.75">
      <c r="C16" s="96" t="s">
        <v>27</v>
      </c>
      <c r="D16" s="148">
        <v>20</v>
      </c>
      <c r="E16" s="111"/>
      <c r="F16" s="66" t="s">
        <v>64</v>
      </c>
      <c r="I16" s="167" t="s">
        <v>88</v>
      </c>
      <c r="J16" s="167" t="s">
        <v>89</v>
      </c>
      <c r="Q16" s="167"/>
      <c r="R16" s="167"/>
      <c r="S16" s="181" t="s">
        <v>78</v>
      </c>
      <c r="T16" s="167"/>
    </row>
    <row r="17" spans="3:19" ht="12.75">
      <c r="C17" s="96" t="s">
        <v>33</v>
      </c>
      <c r="D17" s="100">
        <v>0</v>
      </c>
      <c r="E17" s="111"/>
      <c r="F17" s="66" t="s">
        <v>64</v>
      </c>
      <c r="H17" s="175"/>
      <c r="I17" s="192" t="s">
        <v>89</v>
      </c>
      <c r="J17" s="167">
        <v>1</v>
      </c>
      <c r="K17" s="192">
        <v>2</v>
      </c>
      <c r="L17" s="192">
        <v>3</v>
      </c>
      <c r="M17" s="192">
        <v>4</v>
      </c>
      <c r="N17" s="192">
        <v>5</v>
      </c>
      <c r="O17" s="192">
        <v>6</v>
      </c>
      <c r="P17" s="192">
        <v>7</v>
      </c>
      <c r="Q17" s="192">
        <v>8</v>
      </c>
      <c r="R17" s="192">
        <v>9</v>
      </c>
      <c r="S17" s="183">
        <f>H39</f>
        <v>2</v>
      </c>
    </row>
    <row r="18" spans="1:23" s="38" customFormat="1" ht="12.75">
      <c r="A18" s="1"/>
      <c r="B18" s="1"/>
      <c r="C18" s="96"/>
      <c r="D18" s="100"/>
      <c r="E18" s="111"/>
      <c r="F18" s="66"/>
      <c r="G18" s="167"/>
      <c r="H18" s="167"/>
      <c r="I18" s="192" t="s">
        <v>90</v>
      </c>
      <c r="J18" s="193" t="s">
        <v>95</v>
      </c>
      <c r="K18" s="192" t="s">
        <v>93</v>
      </c>
      <c r="L18" s="192" t="s">
        <v>96</v>
      </c>
      <c r="M18" s="192" t="s">
        <v>92</v>
      </c>
      <c r="N18" s="192" t="s">
        <v>91</v>
      </c>
      <c r="O18" s="192" t="s">
        <v>98</v>
      </c>
      <c r="P18" s="192" t="s">
        <v>99</v>
      </c>
      <c r="Q18" s="193" t="s">
        <v>94</v>
      </c>
      <c r="R18" s="192" t="s">
        <v>97</v>
      </c>
      <c r="S18" s="183" t="str">
        <f>HLOOKUP($S$17,$J$17:$R$26,2)</f>
        <v>Mid Atlantic</v>
      </c>
      <c r="T18" s="168"/>
      <c r="U18" s="167"/>
      <c r="V18" s="167"/>
      <c r="W18" s="98"/>
    </row>
    <row r="19" spans="1:23" s="38" customFormat="1" ht="15">
      <c r="A19" s="1"/>
      <c r="B19" s="1"/>
      <c r="C19" s="124" t="s">
        <v>319</v>
      </c>
      <c r="D19" s="104">
        <v>2500</v>
      </c>
      <c r="E19" s="111" t="s">
        <v>107</v>
      </c>
      <c r="F19" s="66" t="s">
        <v>64</v>
      </c>
      <c r="G19" s="167"/>
      <c r="H19" s="167">
        <v>1</v>
      </c>
      <c r="I19" s="192" t="s">
        <v>296</v>
      </c>
      <c r="J19" s="192">
        <v>50</v>
      </c>
      <c r="K19" s="168">
        <v>49</v>
      </c>
      <c r="L19" s="168">
        <v>45</v>
      </c>
      <c r="M19" s="168">
        <v>34</v>
      </c>
      <c r="N19" s="168">
        <v>62</v>
      </c>
      <c r="O19" s="168">
        <v>47</v>
      </c>
      <c r="P19" s="168">
        <v>49</v>
      </c>
      <c r="Q19" s="192">
        <v>55</v>
      </c>
      <c r="R19" s="168">
        <v>29</v>
      </c>
      <c r="S19" s="194">
        <f>HLOOKUP($S$17,$J$17:$R$26,3)</f>
        <v>49</v>
      </c>
      <c r="T19" s="168"/>
      <c r="U19" s="167"/>
      <c r="V19" s="167"/>
      <c r="W19" s="98"/>
    </row>
    <row r="20" spans="1:23" s="38" customFormat="1" ht="12.75">
      <c r="A20" s="1"/>
      <c r="B20" s="1"/>
      <c r="C20" s="102"/>
      <c r="D20" s="100"/>
      <c r="E20" s="111"/>
      <c r="F20" s="135"/>
      <c r="G20" s="196"/>
      <c r="H20" s="167">
        <v>2</v>
      </c>
      <c r="I20" s="192" t="s">
        <v>297</v>
      </c>
      <c r="J20" s="192">
        <v>46</v>
      </c>
      <c r="K20" s="168">
        <v>45</v>
      </c>
      <c r="L20" s="168">
        <v>41</v>
      </c>
      <c r="M20" s="168">
        <v>33</v>
      </c>
      <c r="N20" s="168">
        <v>56</v>
      </c>
      <c r="O20" s="168">
        <v>44</v>
      </c>
      <c r="P20" s="168">
        <v>43</v>
      </c>
      <c r="Q20" s="192">
        <v>50</v>
      </c>
      <c r="R20" s="168">
        <v>27</v>
      </c>
      <c r="S20" s="194">
        <f>HLOOKUP($S$17,$J$17:$R$26,4)</f>
        <v>45</v>
      </c>
      <c r="T20" s="168"/>
      <c r="U20" s="167"/>
      <c r="V20" s="167"/>
      <c r="W20" s="98"/>
    </row>
    <row r="21" spans="1:23" s="38" customFormat="1" ht="15">
      <c r="A21" s="1"/>
      <c r="B21" s="1"/>
      <c r="C21" s="124" t="s">
        <v>108</v>
      </c>
      <c r="D21" s="98"/>
      <c r="E21" s="111"/>
      <c r="F21" s="135"/>
      <c r="G21" s="196"/>
      <c r="H21" s="167">
        <v>3</v>
      </c>
      <c r="I21" s="192" t="s">
        <v>298</v>
      </c>
      <c r="J21" s="192">
        <v>43</v>
      </c>
      <c r="K21" s="168">
        <v>41</v>
      </c>
      <c r="L21" s="168">
        <v>37</v>
      </c>
      <c r="M21" s="168">
        <v>33</v>
      </c>
      <c r="N21" s="168">
        <v>51</v>
      </c>
      <c r="O21" s="168">
        <v>41</v>
      </c>
      <c r="P21" s="168">
        <v>37</v>
      </c>
      <c r="Q21" s="192">
        <v>45</v>
      </c>
      <c r="R21" s="168">
        <v>26</v>
      </c>
      <c r="S21" s="194">
        <f>HLOOKUP($S$17,$J$17:$R$26,5)</f>
        <v>41</v>
      </c>
      <c r="T21" s="168"/>
      <c r="U21" s="167"/>
      <c r="V21" s="167"/>
      <c r="W21" s="98"/>
    </row>
    <row r="22" spans="1:23" s="38" customFormat="1" ht="12.75">
      <c r="A22" s="1"/>
      <c r="B22" s="1"/>
      <c r="C22" s="159" t="s">
        <v>295</v>
      </c>
      <c r="D22" s="153">
        <f>VLOOKUP(A23,A24:D211,4)*S27</f>
        <v>27</v>
      </c>
      <c r="E22" s="111"/>
      <c r="F22" s="135" t="s">
        <v>114</v>
      </c>
      <c r="G22" s="196"/>
      <c r="H22" s="167">
        <v>4</v>
      </c>
      <c r="I22" s="192" t="s">
        <v>80</v>
      </c>
      <c r="J22" s="192">
        <v>40</v>
      </c>
      <c r="K22" s="168">
        <v>38</v>
      </c>
      <c r="L22" s="168">
        <v>32</v>
      </c>
      <c r="M22" s="168">
        <v>32</v>
      </c>
      <c r="N22" s="168">
        <v>45</v>
      </c>
      <c r="O22" s="168">
        <v>38</v>
      </c>
      <c r="P22" s="168">
        <v>31</v>
      </c>
      <c r="Q22" s="192">
        <v>40</v>
      </c>
      <c r="R22" s="168">
        <v>25</v>
      </c>
      <c r="S22" s="195">
        <f>HLOOKUP($S$17,$J$17:$R$26,6)</f>
        <v>38</v>
      </c>
      <c r="T22" s="168"/>
      <c r="U22" s="167"/>
      <c r="V22" s="167"/>
      <c r="W22" s="98"/>
    </row>
    <row r="23" spans="1:23" s="38" customFormat="1" ht="30">
      <c r="A23" s="1">
        <v>109</v>
      </c>
      <c r="B23" s="1" t="s">
        <v>89</v>
      </c>
      <c r="C23" s="161" t="s">
        <v>321</v>
      </c>
      <c r="D23" s="154" t="s">
        <v>320</v>
      </c>
      <c r="F23" s="135" t="s">
        <v>318</v>
      </c>
      <c r="G23" s="196"/>
      <c r="H23" s="167">
        <v>5</v>
      </c>
      <c r="I23" s="192" t="s">
        <v>299</v>
      </c>
      <c r="J23" s="192">
        <v>37</v>
      </c>
      <c r="K23" s="168">
        <v>34</v>
      </c>
      <c r="L23" s="168">
        <v>28</v>
      </c>
      <c r="M23" s="168">
        <v>31</v>
      </c>
      <c r="N23" s="168">
        <v>39</v>
      </c>
      <c r="O23" s="168">
        <v>35</v>
      </c>
      <c r="P23" s="168">
        <v>24</v>
      </c>
      <c r="Q23" s="192">
        <v>36</v>
      </c>
      <c r="R23" s="168">
        <v>24</v>
      </c>
      <c r="S23" s="194">
        <f>HLOOKUP($S$17,$J$17:$R$26,7)</f>
        <v>34</v>
      </c>
      <c r="T23" s="168"/>
      <c r="U23" s="167"/>
      <c r="V23" s="167"/>
      <c r="W23" s="98"/>
    </row>
    <row r="24" spans="1:23" s="38" customFormat="1" ht="12.75">
      <c r="A24" s="1">
        <v>1</v>
      </c>
      <c r="B24" s="132">
        <v>9</v>
      </c>
      <c r="C24" s="139" t="s">
        <v>117</v>
      </c>
      <c r="D24" s="146">
        <v>2.4</v>
      </c>
      <c r="F24" s="66" t="s">
        <v>114</v>
      </c>
      <c r="G24" s="175"/>
      <c r="H24" s="167">
        <v>6</v>
      </c>
      <c r="I24" s="192" t="s">
        <v>300</v>
      </c>
      <c r="J24" s="192">
        <v>34</v>
      </c>
      <c r="K24" s="168">
        <v>30</v>
      </c>
      <c r="L24" s="168">
        <v>24</v>
      </c>
      <c r="M24" s="168">
        <v>30</v>
      </c>
      <c r="N24" s="168">
        <v>34</v>
      </c>
      <c r="O24" s="168">
        <v>32</v>
      </c>
      <c r="P24" s="168">
        <v>18</v>
      </c>
      <c r="Q24" s="192">
        <v>31</v>
      </c>
      <c r="R24" s="168">
        <v>22</v>
      </c>
      <c r="S24" s="194">
        <f>HLOOKUP($S$17,$J$17:$R$26,8)</f>
        <v>30</v>
      </c>
      <c r="T24" s="168"/>
      <c r="U24" s="167"/>
      <c r="V24" s="167"/>
      <c r="W24" s="98"/>
    </row>
    <row r="25" spans="1:23" s="38" customFormat="1" ht="12.75">
      <c r="A25" s="38">
        <f>1+A24</f>
        <v>2</v>
      </c>
      <c r="B25" s="132">
        <v>9</v>
      </c>
      <c r="C25" s="139" t="s">
        <v>118</v>
      </c>
      <c r="D25" s="146">
        <v>2</v>
      </c>
      <c r="F25" s="66" t="s">
        <v>114</v>
      </c>
      <c r="G25" s="175"/>
      <c r="H25" s="175"/>
      <c r="I25" s="192" t="s">
        <v>301</v>
      </c>
      <c r="J25" s="192">
        <v>31</v>
      </c>
      <c r="K25" s="168">
        <v>26</v>
      </c>
      <c r="L25" s="168">
        <v>20</v>
      </c>
      <c r="M25" s="168">
        <v>29</v>
      </c>
      <c r="N25" s="168">
        <v>28</v>
      </c>
      <c r="O25" s="168">
        <v>29</v>
      </c>
      <c r="P25" s="168">
        <v>12</v>
      </c>
      <c r="Q25" s="192">
        <v>26</v>
      </c>
      <c r="R25" s="168">
        <v>21</v>
      </c>
      <c r="S25" s="194">
        <f>HLOOKUP($S$17,$J$17:$R$26,9)</f>
        <v>26</v>
      </c>
      <c r="T25" s="168"/>
      <c r="U25" s="167"/>
      <c r="V25" s="167"/>
      <c r="W25" s="98"/>
    </row>
    <row r="26" spans="1:23" s="38" customFormat="1" ht="12.75">
      <c r="A26" s="38">
        <f aca="true" t="shared" si="0" ref="A26:A89">1+A25</f>
        <v>3</v>
      </c>
      <c r="B26" s="132">
        <v>4</v>
      </c>
      <c r="C26" s="120" t="s">
        <v>307</v>
      </c>
      <c r="D26" s="146">
        <v>0.8</v>
      </c>
      <c r="F26" s="66" t="s">
        <v>114</v>
      </c>
      <c r="G26" s="175"/>
      <c r="H26" s="175"/>
      <c r="I26" s="192" t="s">
        <v>323</v>
      </c>
      <c r="J26" s="192">
        <v>29</v>
      </c>
      <c r="K26" s="168">
        <v>24</v>
      </c>
      <c r="L26" s="168">
        <v>18</v>
      </c>
      <c r="M26" s="168">
        <v>28</v>
      </c>
      <c r="N26" s="168">
        <v>24</v>
      </c>
      <c r="O26" s="168">
        <v>27</v>
      </c>
      <c r="P26" s="168">
        <v>9</v>
      </c>
      <c r="Q26" s="192">
        <v>23</v>
      </c>
      <c r="R26" s="168">
        <v>20</v>
      </c>
      <c r="S26" s="194">
        <f>HLOOKUP($S$17,$J$17:$R$26,10)</f>
        <v>24</v>
      </c>
      <c r="T26" s="168"/>
      <c r="U26" s="167"/>
      <c r="V26" s="167"/>
      <c r="W26" s="98"/>
    </row>
    <row r="27" spans="1:23" s="38" customFormat="1" ht="12.75">
      <c r="A27" s="38">
        <f t="shared" si="0"/>
        <v>4</v>
      </c>
      <c r="B27" s="132">
        <v>4</v>
      </c>
      <c r="C27" s="139" t="s">
        <v>115</v>
      </c>
      <c r="D27" s="146">
        <v>0.9</v>
      </c>
      <c r="F27" s="66" t="s">
        <v>114</v>
      </c>
      <c r="G27" s="175"/>
      <c r="H27" s="175"/>
      <c r="I27" s="167" t="s">
        <v>324</v>
      </c>
      <c r="J27" s="167"/>
      <c r="K27" s="167"/>
      <c r="L27" s="167"/>
      <c r="M27" s="167"/>
      <c r="N27" s="167"/>
      <c r="O27" s="192"/>
      <c r="P27" s="192"/>
      <c r="Q27" s="192"/>
      <c r="R27" s="192"/>
      <c r="S27" s="184">
        <f>VLOOKUP(H24,H19:S26,12)</f>
        <v>30</v>
      </c>
      <c r="T27" s="168"/>
      <c r="U27" s="167"/>
      <c r="V27" s="167"/>
      <c r="W27" s="98"/>
    </row>
    <row r="28" spans="1:23" s="38" customFormat="1" ht="12.75">
      <c r="A28" s="38">
        <f t="shared" si="0"/>
        <v>5</v>
      </c>
      <c r="B28" s="132">
        <v>4</v>
      </c>
      <c r="C28" s="139" t="s">
        <v>116</v>
      </c>
      <c r="D28" s="146">
        <v>0.5</v>
      </c>
      <c r="F28" s="66" t="s">
        <v>114</v>
      </c>
      <c r="G28" s="175"/>
      <c r="H28" s="167" t="s">
        <v>9</v>
      </c>
      <c r="I28" s="182"/>
      <c r="J28" s="182"/>
      <c r="K28" s="182"/>
      <c r="L28" s="182"/>
      <c r="M28" s="182"/>
      <c r="N28" s="182"/>
      <c r="O28" s="182"/>
      <c r="P28" s="182"/>
      <c r="Q28" s="182"/>
      <c r="R28" s="182"/>
      <c r="S28" s="185"/>
      <c r="T28" s="168"/>
      <c r="U28" s="167"/>
      <c r="V28" s="167"/>
      <c r="W28" s="98"/>
    </row>
    <row r="29" spans="1:23" s="38" customFormat="1" ht="12.75">
      <c r="A29" s="38">
        <f t="shared" si="0"/>
        <v>6</v>
      </c>
      <c r="B29" s="132">
        <v>7</v>
      </c>
      <c r="C29" s="139" t="s">
        <v>124</v>
      </c>
      <c r="D29" s="146">
        <v>1.5</v>
      </c>
      <c r="F29" s="66" t="s">
        <v>114</v>
      </c>
      <c r="G29" s="167"/>
      <c r="H29" s="167"/>
      <c r="I29" s="167" t="s">
        <v>100</v>
      </c>
      <c r="J29" s="167"/>
      <c r="K29" s="168"/>
      <c r="L29" s="182"/>
      <c r="M29" s="182"/>
      <c r="N29" s="182"/>
      <c r="O29" s="182"/>
      <c r="P29" s="182"/>
      <c r="Q29" s="182"/>
      <c r="R29" s="182"/>
      <c r="S29" s="185"/>
      <c r="T29" s="168"/>
      <c r="U29" s="167"/>
      <c r="V29" s="167"/>
      <c r="W29" s="98"/>
    </row>
    <row r="30" spans="1:23" s="38" customFormat="1" ht="12.75">
      <c r="A30" s="38">
        <f t="shared" si="0"/>
        <v>7</v>
      </c>
      <c r="B30" s="132">
        <v>7</v>
      </c>
      <c r="C30" s="139" t="s">
        <v>125</v>
      </c>
      <c r="D30" s="146">
        <v>1.4</v>
      </c>
      <c r="F30" s="66" t="s">
        <v>114</v>
      </c>
      <c r="G30" s="167"/>
      <c r="H30" s="168">
        <v>1</v>
      </c>
      <c r="I30" s="182" t="s">
        <v>95</v>
      </c>
      <c r="J30" s="168"/>
      <c r="K30" s="168"/>
      <c r="L30" s="182"/>
      <c r="M30" s="182"/>
      <c r="N30" s="182"/>
      <c r="O30" s="182"/>
      <c r="P30" s="182"/>
      <c r="Q30" s="182"/>
      <c r="R30" s="182"/>
      <c r="S30" s="185"/>
      <c r="T30" s="168"/>
      <c r="U30" s="167"/>
      <c r="V30" s="167"/>
      <c r="W30" s="98"/>
    </row>
    <row r="31" spans="1:23" s="38" customFormat="1" ht="12.75">
      <c r="A31" s="38">
        <f t="shared" si="0"/>
        <v>8</v>
      </c>
      <c r="B31" s="132">
        <v>7</v>
      </c>
      <c r="C31" s="139" t="s">
        <v>126</v>
      </c>
      <c r="D31" s="146">
        <v>1.3</v>
      </c>
      <c r="F31" s="66" t="s">
        <v>114</v>
      </c>
      <c r="G31" s="167"/>
      <c r="H31" s="167">
        <v>2</v>
      </c>
      <c r="I31" s="182" t="s">
        <v>302</v>
      </c>
      <c r="J31" s="167"/>
      <c r="K31" s="168"/>
      <c r="L31" s="182"/>
      <c r="M31" s="182"/>
      <c r="N31" s="182"/>
      <c r="O31" s="182"/>
      <c r="P31" s="182"/>
      <c r="Q31" s="182"/>
      <c r="R31" s="182"/>
      <c r="S31" s="182"/>
      <c r="T31" s="182"/>
      <c r="U31" s="182"/>
      <c r="V31" s="182"/>
      <c r="W31"/>
    </row>
    <row r="32" spans="1:23" s="38" customFormat="1" ht="12.75">
      <c r="A32" s="38">
        <f t="shared" si="0"/>
        <v>9</v>
      </c>
      <c r="B32" s="132">
        <v>8</v>
      </c>
      <c r="C32" s="139" t="s">
        <v>119</v>
      </c>
      <c r="D32" s="146">
        <v>1.3</v>
      </c>
      <c r="F32" s="66" t="s">
        <v>114</v>
      </c>
      <c r="G32" s="167"/>
      <c r="H32" s="167">
        <v>3</v>
      </c>
      <c r="I32" s="182" t="s">
        <v>96</v>
      </c>
      <c r="J32" s="167"/>
      <c r="K32" s="168"/>
      <c r="L32" s="182"/>
      <c r="M32" s="182"/>
      <c r="N32" s="182"/>
      <c r="O32" s="182"/>
      <c r="P32" s="182"/>
      <c r="Q32" s="182"/>
      <c r="R32" s="182"/>
      <c r="S32" s="182"/>
      <c r="T32" s="182"/>
      <c r="U32" s="182"/>
      <c r="V32" s="182"/>
      <c r="W32"/>
    </row>
    <row r="33" spans="1:23" s="38" customFormat="1" ht="12.75">
      <c r="A33" s="38">
        <f t="shared" si="0"/>
        <v>10</v>
      </c>
      <c r="B33" s="132">
        <v>8</v>
      </c>
      <c r="C33" s="139" t="s">
        <v>120</v>
      </c>
      <c r="D33" s="146">
        <v>0.2</v>
      </c>
      <c r="F33" s="66" t="s">
        <v>114</v>
      </c>
      <c r="G33" s="167"/>
      <c r="H33" s="186">
        <v>4</v>
      </c>
      <c r="I33" s="187" t="s">
        <v>303</v>
      </c>
      <c r="J33" s="188"/>
      <c r="K33" s="167"/>
      <c r="L33" s="187"/>
      <c r="M33" s="187"/>
      <c r="N33" s="187"/>
      <c r="O33" s="182"/>
      <c r="P33" s="182"/>
      <c r="Q33" s="182"/>
      <c r="R33" s="182"/>
      <c r="S33" s="182"/>
      <c r="T33" s="182"/>
      <c r="U33" s="182"/>
      <c r="V33" s="182"/>
      <c r="W33"/>
    </row>
    <row r="34" spans="1:23" s="38" customFormat="1" ht="12.75">
      <c r="A34" s="38">
        <f t="shared" si="0"/>
        <v>11</v>
      </c>
      <c r="B34" s="132">
        <v>8</v>
      </c>
      <c r="C34" s="139" t="s">
        <v>121</v>
      </c>
      <c r="D34" s="146">
        <v>0.3</v>
      </c>
      <c r="F34" s="66" t="s">
        <v>114</v>
      </c>
      <c r="G34" s="167"/>
      <c r="H34" s="186">
        <v>5</v>
      </c>
      <c r="I34" s="182" t="s">
        <v>304</v>
      </c>
      <c r="J34" s="188"/>
      <c r="K34" s="168"/>
      <c r="L34" s="182"/>
      <c r="M34" s="168" t="s">
        <v>329</v>
      </c>
      <c r="N34" s="168"/>
      <c r="O34" s="168"/>
      <c r="P34" s="168"/>
      <c r="Q34" s="168"/>
      <c r="R34" s="182"/>
      <c r="S34" s="182"/>
      <c r="T34" s="182"/>
      <c r="U34" s="182"/>
      <c r="V34" s="182"/>
      <c r="W34"/>
    </row>
    <row r="35" spans="1:23" s="38" customFormat="1" ht="25.5">
      <c r="A35" s="38">
        <f t="shared" si="0"/>
        <v>12</v>
      </c>
      <c r="B35" s="132">
        <v>8</v>
      </c>
      <c r="C35" s="139" t="s">
        <v>122</v>
      </c>
      <c r="D35" s="146">
        <v>0.8</v>
      </c>
      <c r="F35" s="66" t="s">
        <v>114</v>
      </c>
      <c r="G35" s="167"/>
      <c r="H35" s="167">
        <v>6</v>
      </c>
      <c r="I35" s="182" t="s">
        <v>305</v>
      </c>
      <c r="J35" s="167"/>
      <c r="K35" s="168"/>
      <c r="L35" s="182"/>
      <c r="M35" s="182"/>
      <c r="N35" s="168" t="s">
        <v>330</v>
      </c>
      <c r="O35" s="168" t="s">
        <v>331</v>
      </c>
      <c r="P35" s="189" t="s">
        <v>332</v>
      </c>
      <c r="Q35" s="189" t="s">
        <v>333</v>
      </c>
      <c r="R35" s="182"/>
      <c r="S35" s="182"/>
      <c r="T35" s="182"/>
      <c r="U35" s="182"/>
      <c r="V35" s="182"/>
      <c r="W35"/>
    </row>
    <row r="36" spans="1:23" s="38" customFormat="1" ht="12.75">
      <c r="A36" s="38">
        <f t="shared" si="0"/>
        <v>13</v>
      </c>
      <c r="B36" s="132">
        <v>8</v>
      </c>
      <c r="C36" s="139" t="s">
        <v>123</v>
      </c>
      <c r="D36" s="146">
        <v>0.1</v>
      </c>
      <c r="F36" s="66" t="s">
        <v>114</v>
      </c>
      <c r="G36" s="167"/>
      <c r="H36" s="167">
        <v>7</v>
      </c>
      <c r="I36" s="182" t="s">
        <v>306</v>
      </c>
      <c r="J36" s="167"/>
      <c r="K36" s="168"/>
      <c r="L36" s="182"/>
      <c r="M36" s="172">
        <v>1</v>
      </c>
      <c r="N36" s="168">
        <v>-0.0037</v>
      </c>
      <c r="O36" s="168">
        <v>0.389</v>
      </c>
      <c r="P36" s="168">
        <v>30.7</v>
      </c>
      <c r="Q36" s="168">
        <v>60.7</v>
      </c>
      <c r="R36" s="182"/>
      <c r="S36" s="182"/>
      <c r="T36" s="182"/>
      <c r="U36" s="182"/>
      <c r="V36" s="182"/>
      <c r="W36"/>
    </row>
    <row r="37" spans="1:23" s="38" customFormat="1" ht="12.75">
      <c r="A37" s="38">
        <f t="shared" si="0"/>
        <v>14</v>
      </c>
      <c r="B37" s="132">
        <v>9</v>
      </c>
      <c r="C37" s="139" t="s">
        <v>127</v>
      </c>
      <c r="D37" s="146">
        <v>0.5</v>
      </c>
      <c r="F37" s="66" t="s">
        <v>114</v>
      </c>
      <c r="G37" s="167"/>
      <c r="H37" s="167">
        <v>8</v>
      </c>
      <c r="I37" s="182" t="s">
        <v>94</v>
      </c>
      <c r="J37" s="167"/>
      <c r="K37" s="168"/>
      <c r="L37" s="182"/>
      <c r="M37" s="175">
        <f aca="true" t="shared" si="1" ref="M37:M43">1+M36</f>
        <v>2</v>
      </c>
      <c r="N37" s="168">
        <v>-0.0042</v>
      </c>
      <c r="O37" s="168">
        <v>0.391</v>
      </c>
      <c r="P37" s="168">
        <v>27.9</v>
      </c>
      <c r="Q37" s="168">
        <v>54.6</v>
      </c>
      <c r="R37" s="182"/>
      <c r="S37" s="182"/>
      <c r="T37" s="182"/>
      <c r="U37" s="182"/>
      <c r="V37" s="182"/>
      <c r="W37"/>
    </row>
    <row r="38" spans="1:23" s="38" customFormat="1" ht="12.75">
      <c r="A38" s="38">
        <f t="shared" si="0"/>
        <v>15</v>
      </c>
      <c r="B38" s="132">
        <v>9</v>
      </c>
      <c r="C38" s="139" t="s">
        <v>128</v>
      </c>
      <c r="D38" s="146">
        <v>1</v>
      </c>
      <c r="E38" s="107"/>
      <c r="F38" s="66" t="s">
        <v>114</v>
      </c>
      <c r="G38" s="167"/>
      <c r="H38" s="167">
        <v>9</v>
      </c>
      <c r="I38" s="182" t="s">
        <v>97</v>
      </c>
      <c r="J38" s="167"/>
      <c r="K38" s="168"/>
      <c r="L38" s="182"/>
      <c r="M38" s="175">
        <f t="shared" si="1"/>
        <v>3</v>
      </c>
      <c r="N38" s="168">
        <v>-0.0047</v>
      </c>
      <c r="O38" s="168">
        <v>0.398</v>
      </c>
      <c r="P38" s="168">
        <v>26.2</v>
      </c>
      <c r="Q38" s="168">
        <v>49.8</v>
      </c>
      <c r="R38" s="182"/>
      <c r="S38" s="182"/>
      <c r="T38" s="182"/>
      <c r="U38" s="182"/>
      <c r="V38" s="182"/>
      <c r="W38"/>
    </row>
    <row r="39" spans="1:23" ht="12.75">
      <c r="A39" s="38">
        <f t="shared" si="0"/>
        <v>16</v>
      </c>
      <c r="B39" s="132">
        <v>9</v>
      </c>
      <c r="C39" s="139" t="s">
        <v>130</v>
      </c>
      <c r="D39" s="146">
        <v>0.6</v>
      </c>
      <c r="F39" s="66" t="s">
        <v>114</v>
      </c>
      <c r="H39" s="167">
        <f>LOOKUP(A23,A24:B211)</f>
        <v>2</v>
      </c>
      <c r="I39" s="167" t="s">
        <v>78</v>
      </c>
      <c r="K39" s="168"/>
      <c r="L39" s="182"/>
      <c r="M39" s="175">
        <f t="shared" si="1"/>
        <v>4</v>
      </c>
      <c r="N39" s="168">
        <v>-0.005</v>
      </c>
      <c r="O39" s="168">
        <v>0.399</v>
      </c>
      <c r="P39" s="168">
        <v>23.2</v>
      </c>
      <c r="Q39" s="168">
        <v>44</v>
      </c>
      <c r="R39" s="182"/>
      <c r="S39" s="182"/>
      <c r="T39" s="182"/>
      <c r="U39" s="182"/>
      <c r="V39" s="182"/>
      <c r="W39"/>
    </row>
    <row r="40" spans="1:17" ht="12.75">
      <c r="A40" s="38">
        <f t="shared" si="0"/>
        <v>17</v>
      </c>
      <c r="B40" s="132">
        <v>9</v>
      </c>
      <c r="C40" s="139" t="s">
        <v>131</v>
      </c>
      <c r="D40" s="146">
        <v>0.3</v>
      </c>
      <c r="F40" s="66" t="s">
        <v>114</v>
      </c>
      <c r="H40" s="175"/>
      <c r="I40" s="175"/>
      <c r="J40" s="175"/>
      <c r="K40" s="175"/>
      <c r="L40" s="182"/>
      <c r="M40" s="175">
        <f t="shared" si="1"/>
        <v>5</v>
      </c>
      <c r="N40" s="168">
        <v>-0.0059</v>
      </c>
      <c r="O40" s="168">
        <v>0.399</v>
      </c>
      <c r="P40" s="168">
        <v>20.7</v>
      </c>
      <c r="Q40" s="168">
        <v>39.2</v>
      </c>
    </row>
    <row r="41" spans="1:17" ht="12.75">
      <c r="A41" s="38">
        <f t="shared" si="0"/>
        <v>18</v>
      </c>
      <c r="B41" s="132">
        <v>9</v>
      </c>
      <c r="C41" s="139" t="s">
        <v>132</v>
      </c>
      <c r="D41" s="146">
        <v>0.2</v>
      </c>
      <c r="F41" s="66" t="s">
        <v>114</v>
      </c>
      <c r="H41" s="167" t="s">
        <v>101</v>
      </c>
      <c r="K41" s="168"/>
      <c r="L41" s="168"/>
      <c r="M41" s="175">
        <f t="shared" si="1"/>
        <v>6</v>
      </c>
      <c r="N41" s="168">
        <v>-0.0065</v>
      </c>
      <c r="O41" s="168">
        <v>0.395</v>
      </c>
      <c r="P41" s="168">
        <v>18.2</v>
      </c>
      <c r="Q41" s="168">
        <v>35</v>
      </c>
    </row>
    <row r="42" spans="1:17" ht="12.75">
      <c r="A42" s="38">
        <f t="shared" si="0"/>
        <v>19</v>
      </c>
      <c r="B42" s="132">
        <v>9</v>
      </c>
      <c r="C42" s="139" t="s">
        <v>133</v>
      </c>
      <c r="D42" s="146">
        <v>1.4</v>
      </c>
      <c r="F42" s="66" t="s">
        <v>114</v>
      </c>
      <c r="H42" s="167">
        <v>1</v>
      </c>
      <c r="I42" s="167" t="s">
        <v>50</v>
      </c>
      <c r="J42" s="167" t="s">
        <v>102</v>
      </c>
      <c r="K42" s="168"/>
      <c r="L42" s="168"/>
      <c r="M42" s="175">
        <f t="shared" si="1"/>
        <v>7</v>
      </c>
      <c r="N42" s="168">
        <v>-0.0069</v>
      </c>
      <c r="O42" s="168">
        <v>0.378</v>
      </c>
      <c r="P42" s="168">
        <v>14.7</v>
      </c>
      <c r="Q42" s="168">
        <v>30.6</v>
      </c>
    </row>
    <row r="43" spans="1:17" ht="12.75">
      <c r="A43" s="38">
        <f t="shared" si="0"/>
        <v>20</v>
      </c>
      <c r="B43" s="132">
        <v>9</v>
      </c>
      <c r="C43" s="139" t="s">
        <v>134</v>
      </c>
      <c r="D43" s="146">
        <v>0.6</v>
      </c>
      <c r="F43" s="66" t="s">
        <v>114</v>
      </c>
      <c r="H43" s="167">
        <v>2</v>
      </c>
      <c r="I43" s="167" t="s">
        <v>49</v>
      </c>
      <c r="J43" s="167" t="s">
        <v>103</v>
      </c>
      <c r="K43" s="168"/>
      <c r="L43" s="168"/>
      <c r="M43" s="175">
        <f t="shared" si="1"/>
        <v>8</v>
      </c>
      <c r="N43" s="168">
        <v>-0.0072</v>
      </c>
      <c r="O43" s="168">
        <v>0.362</v>
      </c>
      <c r="P43" s="168">
        <v>11.9</v>
      </c>
      <c r="Q43" s="168">
        <v>27.2</v>
      </c>
    </row>
    <row r="44" spans="1:16" ht="12.75">
      <c r="A44" s="38">
        <f t="shared" si="0"/>
        <v>21</v>
      </c>
      <c r="B44" s="132">
        <v>9</v>
      </c>
      <c r="C44" s="139" t="s">
        <v>135</v>
      </c>
      <c r="D44" s="146">
        <v>0.2</v>
      </c>
      <c r="F44" s="66" t="s">
        <v>114</v>
      </c>
      <c r="H44" s="167">
        <v>2</v>
      </c>
      <c r="I44" s="167" t="s">
        <v>78</v>
      </c>
      <c r="K44" s="168"/>
      <c r="L44" s="168"/>
      <c r="M44" s="168"/>
      <c r="N44" s="168"/>
      <c r="O44" s="168"/>
      <c r="P44" s="168"/>
    </row>
    <row r="45" spans="1:16" ht="12.75">
      <c r="A45" s="38">
        <f t="shared" si="0"/>
        <v>22</v>
      </c>
      <c r="B45" s="132">
        <v>9</v>
      </c>
      <c r="C45" s="139" t="s">
        <v>136</v>
      </c>
      <c r="D45" s="146">
        <v>0.6</v>
      </c>
      <c r="F45" s="66" t="s">
        <v>114</v>
      </c>
      <c r="K45" s="168"/>
      <c r="L45" s="168"/>
      <c r="M45" s="168"/>
      <c r="N45" s="168"/>
      <c r="O45" s="168"/>
      <c r="P45" s="168"/>
    </row>
    <row r="46" spans="1:16" ht="12.75">
      <c r="A46" s="38">
        <f t="shared" si="0"/>
        <v>23</v>
      </c>
      <c r="B46" s="132">
        <v>9</v>
      </c>
      <c r="C46" s="139" t="s">
        <v>137</v>
      </c>
      <c r="D46" s="146">
        <v>0.5</v>
      </c>
      <c r="F46" s="66" t="s">
        <v>114</v>
      </c>
      <c r="H46" s="167" t="s">
        <v>104</v>
      </c>
      <c r="K46" s="168"/>
      <c r="L46" s="168"/>
      <c r="M46" s="168"/>
      <c r="N46" s="168"/>
      <c r="O46" s="168"/>
      <c r="P46" s="168"/>
    </row>
    <row r="47" spans="1:16" ht="12.75">
      <c r="A47" s="38">
        <f t="shared" si="0"/>
        <v>24</v>
      </c>
      <c r="B47" s="132">
        <v>9</v>
      </c>
      <c r="C47" s="139" t="s">
        <v>138</v>
      </c>
      <c r="D47" s="146">
        <v>0.6</v>
      </c>
      <c r="F47" s="66" t="s">
        <v>114</v>
      </c>
      <c r="H47" s="167">
        <v>1</v>
      </c>
      <c r="I47" s="167" t="s">
        <v>41</v>
      </c>
      <c r="J47" s="167" t="s">
        <v>105</v>
      </c>
      <c r="K47" s="168"/>
      <c r="L47" s="168"/>
      <c r="M47" s="168"/>
      <c r="N47" s="168"/>
      <c r="O47" s="168"/>
      <c r="P47" s="168"/>
    </row>
    <row r="48" spans="1:16" ht="12.75">
      <c r="A48" s="38">
        <f t="shared" si="0"/>
        <v>25</v>
      </c>
      <c r="B48" s="132">
        <v>9</v>
      </c>
      <c r="C48" s="139" t="s">
        <v>139</v>
      </c>
      <c r="D48" s="146">
        <v>0.6</v>
      </c>
      <c r="F48" s="66" t="s">
        <v>114</v>
      </c>
      <c r="H48" s="167">
        <v>2</v>
      </c>
      <c r="I48" s="167" t="s">
        <v>42</v>
      </c>
      <c r="K48" s="168"/>
      <c r="L48" s="168"/>
      <c r="M48" s="168"/>
      <c r="N48" s="168"/>
      <c r="O48" s="168"/>
      <c r="P48" s="168"/>
    </row>
    <row r="49" spans="1:16" ht="12.75">
      <c r="A49" s="38">
        <f t="shared" si="0"/>
        <v>26</v>
      </c>
      <c r="B49" s="132">
        <v>9</v>
      </c>
      <c r="C49" s="139" t="s">
        <v>129</v>
      </c>
      <c r="D49" s="146">
        <v>1</v>
      </c>
      <c r="F49" s="66" t="s">
        <v>114</v>
      </c>
      <c r="H49" s="167">
        <v>1</v>
      </c>
      <c r="I49" s="167" t="s">
        <v>86</v>
      </c>
      <c r="K49" s="168"/>
      <c r="L49" s="168"/>
      <c r="M49" s="168"/>
      <c r="N49" s="168"/>
      <c r="O49" s="168"/>
      <c r="P49" s="168"/>
    </row>
    <row r="50" spans="1:16" ht="12.75">
      <c r="A50" s="38">
        <f t="shared" si="0"/>
        <v>27</v>
      </c>
      <c r="B50" s="132">
        <v>8</v>
      </c>
      <c r="C50" s="139" t="s">
        <v>140</v>
      </c>
      <c r="D50" s="146">
        <v>1.6</v>
      </c>
      <c r="F50" s="66" t="s">
        <v>114</v>
      </c>
      <c r="H50" s="167">
        <v>1</v>
      </c>
      <c r="I50" s="167" t="s">
        <v>41</v>
      </c>
      <c r="J50" s="167" t="s">
        <v>106</v>
      </c>
      <c r="K50" s="168"/>
      <c r="L50" s="168"/>
      <c r="M50" s="168"/>
      <c r="N50" s="168"/>
      <c r="O50" s="168"/>
      <c r="P50" s="168"/>
    </row>
    <row r="51" spans="1:16" ht="12.75">
      <c r="A51" s="38">
        <f t="shared" si="0"/>
        <v>28</v>
      </c>
      <c r="B51" s="132">
        <v>8</v>
      </c>
      <c r="C51" s="139" t="s">
        <v>141</v>
      </c>
      <c r="D51" s="146">
        <v>1.1</v>
      </c>
      <c r="F51" s="66" t="s">
        <v>114</v>
      </c>
      <c r="H51" s="167">
        <v>2</v>
      </c>
      <c r="I51" s="167" t="s">
        <v>42</v>
      </c>
      <c r="K51" s="168"/>
      <c r="L51" s="168"/>
      <c r="M51" s="168"/>
      <c r="N51" s="168"/>
      <c r="O51" s="168"/>
      <c r="P51" s="168"/>
    </row>
    <row r="52" spans="1:16" ht="12.75">
      <c r="A52" s="38">
        <f t="shared" si="0"/>
        <v>29</v>
      </c>
      <c r="B52" s="132">
        <v>8</v>
      </c>
      <c r="C52" s="139" t="s">
        <v>142</v>
      </c>
      <c r="D52" s="146">
        <v>1.1</v>
      </c>
      <c r="F52" s="66" t="s">
        <v>114</v>
      </c>
      <c r="H52" s="167">
        <v>2</v>
      </c>
      <c r="I52" s="167" t="s">
        <v>86</v>
      </c>
      <c r="K52" s="168"/>
      <c r="L52" s="168"/>
      <c r="M52" s="168"/>
      <c r="N52" s="168"/>
      <c r="O52" s="168"/>
      <c r="P52" s="168"/>
    </row>
    <row r="53" spans="1:16" ht="12.75">
      <c r="A53" s="38">
        <f t="shared" si="0"/>
        <v>30</v>
      </c>
      <c r="B53" s="132">
        <v>8</v>
      </c>
      <c r="C53" s="139" t="s">
        <v>143</v>
      </c>
      <c r="D53" s="146">
        <v>1</v>
      </c>
      <c r="F53" s="66" t="s">
        <v>114</v>
      </c>
      <c r="H53" s="190"/>
      <c r="I53" s="190"/>
      <c r="J53" s="190"/>
      <c r="K53" s="191"/>
      <c r="M53" s="168"/>
      <c r="N53" s="168"/>
      <c r="O53" s="168"/>
      <c r="P53" s="168"/>
    </row>
    <row r="54" spans="1:16" ht="12.75">
      <c r="A54" s="38">
        <f t="shared" si="0"/>
        <v>31</v>
      </c>
      <c r="B54" s="132">
        <v>8</v>
      </c>
      <c r="C54" s="139" t="s">
        <v>144</v>
      </c>
      <c r="D54" s="146">
        <v>1</v>
      </c>
      <c r="F54" s="66" t="s">
        <v>114</v>
      </c>
      <c r="H54" s="190"/>
      <c r="I54" s="190"/>
      <c r="J54" s="190"/>
      <c r="K54" s="191"/>
      <c r="M54" s="168"/>
      <c r="N54" s="168"/>
      <c r="O54" s="168"/>
      <c r="P54" s="168"/>
    </row>
    <row r="55" spans="1:16" ht="12.75">
      <c r="A55" s="38">
        <f t="shared" si="0"/>
        <v>32</v>
      </c>
      <c r="B55" s="132">
        <v>1</v>
      </c>
      <c r="C55" s="139" t="s">
        <v>145</v>
      </c>
      <c r="D55" s="146">
        <v>0.8</v>
      </c>
      <c r="F55" s="66" t="s">
        <v>114</v>
      </c>
      <c r="M55" s="168"/>
      <c r="N55" s="168"/>
      <c r="O55" s="168"/>
      <c r="P55" s="168"/>
    </row>
    <row r="56" spans="1:16" ht="12.75">
      <c r="A56" s="38">
        <f t="shared" si="0"/>
        <v>33</v>
      </c>
      <c r="B56" s="132">
        <v>1</v>
      </c>
      <c r="C56" s="139" t="s">
        <v>146</v>
      </c>
      <c r="D56" s="146">
        <v>0.9</v>
      </c>
      <c r="F56" s="66" t="s">
        <v>114</v>
      </c>
      <c r="K56" s="168"/>
      <c r="L56" s="168"/>
      <c r="M56" s="168"/>
      <c r="N56" s="168"/>
      <c r="O56" s="168"/>
      <c r="P56" s="168"/>
    </row>
    <row r="57" spans="1:16" ht="12.75">
      <c r="A57" s="38">
        <f t="shared" si="0"/>
        <v>34</v>
      </c>
      <c r="B57" s="132">
        <v>3</v>
      </c>
      <c r="C57" s="120" t="s">
        <v>308</v>
      </c>
      <c r="D57" s="146">
        <v>1.1</v>
      </c>
      <c r="F57" s="66" t="s">
        <v>114</v>
      </c>
      <c r="K57" s="168"/>
      <c r="L57" s="168"/>
      <c r="M57" s="168"/>
      <c r="N57" s="168"/>
      <c r="O57" s="168"/>
      <c r="P57" s="168"/>
    </row>
    <row r="58" spans="1:16" ht="12.75">
      <c r="A58" s="38">
        <f t="shared" si="0"/>
        <v>35</v>
      </c>
      <c r="B58" s="132">
        <v>3</v>
      </c>
      <c r="C58" s="139" t="s">
        <v>147</v>
      </c>
      <c r="D58" s="146">
        <v>1.3</v>
      </c>
      <c r="F58" s="66" t="s">
        <v>114</v>
      </c>
      <c r="K58" s="168"/>
      <c r="L58" s="168"/>
      <c r="M58" s="168"/>
      <c r="N58" s="168"/>
      <c r="O58" s="168"/>
      <c r="P58" s="168"/>
    </row>
    <row r="59" spans="1:16" ht="12.75">
      <c r="A59" s="38">
        <f t="shared" si="0"/>
        <v>36</v>
      </c>
      <c r="B59" s="132">
        <v>3</v>
      </c>
      <c r="C59" s="139" t="s">
        <v>148</v>
      </c>
      <c r="D59" s="146">
        <v>0</v>
      </c>
      <c r="F59" s="66" t="s">
        <v>114</v>
      </c>
      <c r="K59" s="168"/>
      <c r="L59" s="168"/>
      <c r="M59" s="168"/>
      <c r="N59" s="168"/>
      <c r="O59" s="168"/>
      <c r="P59" s="168"/>
    </row>
    <row r="60" spans="1:16" ht="12.75">
      <c r="A60" s="38">
        <f t="shared" si="0"/>
        <v>37</v>
      </c>
      <c r="B60" s="132">
        <v>3</v>
      </c>
      <c r="C60" s="139" t="s">
        <v>149</v>
      </c>
      <c r="D60" s="146">
        <v>0.2</v>
      </c>
      <c r="F60" s="66" t="s">
        <v>114</v>
      </c>
      <c r="K60" s="168"/>
      <c r="L60" s="168"/>
      <c r="M60" s="168"/>
      <c r="N60" s="168"/>
      <c r="O60" s="168"/>
      <c r="P60" s="168"/>
    </row>
    <row r="61" spans="1:16" ht="12.75">
      <c r="A61" s="38">
        <f t="shared" si="0"/>
        <v>38</v>
      </c>
      <c r="B61" s="132">
        <v>3</v>
      </c>
      <c r="C61" s="139" t="s">
        <v>150</v>
      </c>
      <c r="D61" s="146">
        <v>0.4</v>
      </c>
      <c r="F61" s="66" t="s">
        <v>114</v>
      </c>
      <c r="K61" s="168"/>
      <c r="L61" s="168"/>
      <c r="M61" s="168"/>
      <c r="N61" s="168"/>
      <c r="O61" s="168"/>
      <c r="P61" s="168"/>
    </row>
    <row r="62" spans="1:16" ht="12.75">
      <c r="A62" s="38">
        <f t="shared" si="0"/>
        <v>39</v>
      </c>
      <c r="B62" s="132">
        <v>3</v>
      </c>
      <c r="C62" s="139" t="s">
        <v>151</v>
      </c>
      <c r="D62" s="146">
        <v>0.8</v>
      </c>
      <c r="F62" s="66" t="s">
        <v>114</v>
      </c>
      <c r="K62" s="168"/>
      <c r="L62" s="168"/>
      <c r="M62" s="168"/>
      <c r="N62" s="168"/>
      <c r="O62" s="168"/>
      <c r="P62" s="168"/>
    </row>
    <row r="63" spans="1:16" ht="12.75">
      <c r="A63" s="38">
        <f t="shared" si="0"/>
        <v>40</v>
      </c>
      <c r="B63" s="132">
        <v>3</v>
      </c>
      <c r="C63" s="120" t="s">
        <v>309</v>
      </c>
      <c r="D63" s="146">
        <v>0.7</v>
      </c>
      <c r="F63" s="66" t="s">
        <v>114</v>
      </c>
      <c r="K63" s="168"/>
      <c r="L63" s="168"/>
      <c r="M63" s="168"/>
      <c r="N63" s="168"/>
      <c r="O63" s="168"/>
      <c r="P63" s="168"/>
    </row>
    <row r="64" spans="1:16" ht="12.75">
      <c r="A64" s="38">
        <f t="shared" si="0"/>
        <v>41</v>
      </c>
      <c r="B64" s="132">
        <v>9</v>
      </c>
      <c r="C64" s="120" t="s">
        <v>310</v>
      </c>
      <c r="D64" s="146">
        <v>0</v>
      </c>
      <c r="F64" s="66" t="s">
        <v>114</v>
      </c>
      <c r="K64" s="168"/>
      <c r="L64" s="168"/>
      <c r="M64" s="168"/>
      <c r="N64" s="168"/>
      <c r="O64" s="168"/>
      <c r="P64" s="168"/>
    </row>
    <row r="65" spans="1:16" ht="12.75">
      <c r="A65" s="38">
        <f t="shared" si="0"/>
        <v>42</v>
      </c>
      <c r="B65" s="132">
        <v>6</v>
      </c>
      <c r="C65" s="139" t="s">
        <v>161</v>
      </c>
      <c r="D65" s="146">
        <v>1</v>
      </c>
      <c r="F65" s="66" t="s">
        <v>114</v>
      </c>
      <c r="K65" s="168"/>
      <c r="L65" s="168"/>
      <c r="M65" s="168"/>
      <c r="N65" s="168"/>
      <c r="O65" s="168"/>
      <c r="P65" s="168"/>
    </row>
    <row r="66" spans="1:16" ht="12.75">
      <c r="A66" s="38">
        <f t="shared" si="0"/>
        <v>43</v>
      </c>
      <c r="B66" s="132">
        <v>6</v>
      </c>
      <c r="C66" s="139" t="s">
        <v>162</v>
      </c>
      <c r="D66" s="146">
        <v>1</v>
      </c>
      <c r="F66" s="66" t="s">
        <v>114</v>
      </c>
      <c r="K66" s="168"/>
      <c r="L66" s="168"/>
      <c r="M66" s="168"/>
      <c r="N66" s="168"/>
      <c r="O66" s="168"/>
      <c r="P66" s="168"/>
    </row>
    <row r="67" spans="1:16" ht="12.75">
      <c r="A67" s="38">
        <f t="shared" si="0"/>
        <v>44</v>
      </c>
      <c r="B67" s="132">
        <v>8</v>
      </c>
      <c r="C67" s="139" t="s">
        <v>152</v>
      </c>
      <c r="D67" s="146">
        <v>1</v>
      </c>
      <c r="F67" s="66" t="s">
        <v>114</v>
      </c>
      <c r="K67" s="168"/>
      <c r="L67" s="168"/>
      <c r="M67" s="168"/>
      <c r="N67" s="168"/>
      <c r="O67" s="168"/>
      <c r="P67" s="168"/>
    </row>
    <row r="68" spans="1:16" ht="12.75">
      <c r="A68" s="38">
        <f t="shared" si="0"/>
        <v>45</v>
      </c>
      <c r="B68" s="132">
        <v>8</v>
      </c>
      <c r="C68" s="139" t="s">
        <v>153</v>
      </c>
      <c r="D68" s="146">
        <v>0.9</v>
      </c>
      <c r="F68" s="66" t="s">
        <v>114</v>
      </c>
      <c r="K68" s="168"/>
      <c r="L68" s="168"/>
      <c r="M68" s="168"/>
      <c r="N68" s="168"/>
      <c r="O68" s="168"/>
      <c r="P68" s="168"/>
    </row>
    <row r="69" spans="1:16" ht="12.75">
      <c r="A69" s="38">
        <f t="shared" si="0"/>
        <v>46</v>
      </c>
      <c r="B69" s="132">
        <v>5</v>
      </c>
      <c r="C69" s="120" t="s">
        <v>311</v>
      </c>
      <c r="D69" s="146">
        <v>1</v>
      </c>
      <c r="F69" s="66" t="s">
        <v>114</v>
      </c>
      <c r="K69" s="168"/>
      <c r="L69" s="168"/>
      <c r="M69" s="168"/>
      <c r="N69" s="168"/>
      <c r="O69" s="168"/>
      <c r="P69" s="168"/>
    </row>
    <row r="70" spans="1:16" ht="12.75">
      <c r="A70" s="38">
        <f t="shared" si="0"/>
        <v>47</v>
      </c>
      <c r="B70" s="132">
        <v>5</v>
      </c>
      <c r="C70" s="139" t="s">
        <v>154</v>
      </c>
      <c r="D70" s="146">
        <v>1</v>
      </c>
      <c r="F70" s="66" t="s">
        <v>114</v>
      </c>
      <c r="K70" s="168"/>
      <c r="L70" s="168"/>
      <c r="M70" s="168"/>
      <c r="N70" s="168"/>
      <c r="O70" s="168"/>
      <c r="P70" s="168"/>
    </row>
    <row r="71" spans="1:16" ht="12.75">
      <c r="A71" s="38">
        <f t="shared" si="0"/>
        <v>48</v>
      </c>
      <c r="B71" s="132">
        <v>5</v>
      </c>
      <c r="C71" s="139" t="s">
        <v>155</v>
      </c>
      <c r="D71" s="146">
        <v>1</v>
      </c>
      <c r="F71" s="66" t="s">
        <v>114</v>
      </c>
      <c r="K71" s="168"/>
      <c r="L71" s="168"/>
      <c r="M71" s="168"/>
      <c r="N71" s="168"/>
      <c r="O71" s="168"/>
      <c r="P71" s="168"/>
    </row>
    <row r="72" spans="1:16" ht="12.75">
      <c r="A72" s="38">
        <f t="shared" si="0"/>
        <v>49</v>
      </c>
      <c r="B72" s="132">
        <v>5</v>
      </c>
      <c r="C72" s="139" t="s">
        <v>156</v>
      </c>
      <c r="D72" s="146">
        <v>0.9</v>
      </c>
      <c r="F72" s="66" t="s">
        <v>114</v>
      </c>
      <c r="K72" s="168"/>
      <c r="L72" s="168"/>
      <c r="M72" s="168"/>
      <c r="N72" s="168"/>
      <c r="O72" s="168"/>
      <c r="P72" s="168"/>
    </row>
    <row r="73" spans="1:16" ht="12.75">
      <c r="A73" s="38">
        <f t="shared" si="0"/>
        <v>50</v>
      </c>
      <c r="B73" s="132">
        <v>5</v>
      </c>
      <c r="C73" s="139" t="s">
        <v>157</v>
      </c>
      <c r="D73" s="146">
        <v>0.7</v>
      </c>
      <c r="F73" s="66" t="s">
        <v>114</v>
      </c>
      <c r="K73" s="168"/>
      <c r="L73" s="168"/>
      <c r="M73" s="168"/>
      <c r="N73" s="168"/>
      <c r="O73" s="168"/>
      <c r="P73" s="168"/>
    </row>
    <row r="74" spans="1:16" ht="12.75">
      <c r="A74" s="38">
        <f t="shared" si="0"/>
        <v>51</v>
      </c>
      <c r="B74" s="132">
        <v>5</v>
      </c>
      <c r="C74" s="139" t="s">
        <v>158</v>
      </c>
      <c r="D74" s="146">
        <v>1</v>
      </c>
      <c r="F74" s="66" t="s">
        <v>114</v>
      </c>
      <c r="K74" s="168"/>
      <c r="L74" s="168"/>
      <c r="M74" s="168"/>
      <c r="N74" s="168"/>
      <c r="O74" s="168"/>
      <c r="P74" s="168"/>
    </row>
    <row r="75" spans="1:16" ht="12.75">
      <c r="A75" s="38">
        <f t="shared" si="0"/>
        <v>52</v>
      </c>
      <c r="B75" s="132">
        <v>5</v>
      </c>
      <c r="C75" s="139" t="s">
        <v>159</v>
      </c>
      <c r="D75" s="146">
        <v>0.9</v>
      </c>
      <c r="F75" s="66" t="s">
        <v>114</v>
      </c>
      <c r="K75" s="168"/>
      <c r="L75" s="168"/>
      <c r="M75" s="168"/>
      <c r="N75" s="168"/>
      <c r="O75" s="168"/>
      <c r="P75" s="168"/>
    </row>
    <row r="76" spans="1:16" ht="12.75">
      <c r="A76" s="38">
        <f t="shared" si="0"/>
        <v>53</v>
      </c>
      <c r="B76" s="132">
        <v>5</v>
      </c>
      <c r="C76" s="139" t="s">
        <v>160</v>
      </c>
      <c r="D76" s="146">
        <v>1</v>
      </c>
      <c r="F76" s="66" t="s">
        <v>114</v>
      </c>
      <c r="K76" s="168"/>
      <c r="L76" s="168"/>
      <c r="M76" s="168"/>
      <c r="N76" s="168"/>
      <c r="O76" s="168"/>
      <c r="P76" s="168"/>
    </row>
    <row r="77" spans="1:16" ht="12.75">
      <c r="A77" s="38">
        <f t="shared" si="0"/>
        <v>54</v>
      </c>
      <c r="B77" s="132">
        <v>6</v>
      </c>
      <c r="C77" s="139" t="s">
        <v>163</v>
      </c>
      <c r="D77" s="146">
        <v>0.8</v>
      </c>
      <c r="F77" s="66" t="s">
        <v>114</v>
      </c>
      <c r="K77" s="168"/>
      <c r="L77" s="168"/>
      <c r="M77" s="168"/>
      <c r="N77" s="168"/>
      <c r="O77" s="168"/>
      <c r="P77" s="168"/>
    </row>
    <row r="78" spans="1:16" ht="12.75">
      <c r="A78" s="38">
        <f t="shared" si="0"/>
        <v>55</v>
      </c>
      <c r="B78" s="132">
        <v>6</v>
      </c>
      <c r="C78" s="139" t="s">
        <v>164</v>
      </c>
      <c r="D78" s="146">
        <v>0.8</v>
      </c>
      <c r="F78" s="66" t="s">
        <v>114</v>
      </c>
      <c r="K78" s="168"/>
      <c r="L78" s="168"/>
      <c r="M78" s="168"/>
      <c r="N78" s="168"/>
      <c r="O78" s="168"/>
      <c r="P78" s="168"/>
    </row>
    <row r="79" spans="1:16" ht="12.75">
      <c r="A79" s="38">
        <f t="shared" si="0"/>
        <v>56</v>
      </c>
      <c r="B79" s="132">
        <v>6</v>
      </c>
      <c r="C79" s="139" t="s">
        <v>165</v>
      </c>
      <c r="D79" s="146">
        <v>0.9</v>
      </c>
      <c r="F79" s="66" t="s">
        <v>114</v>
      </c>
      <c r="K79" s="168"/>
      <c r="L79" s="168"/>
      <c r="M79" s="168"/>
      <c r="N79" s="168"/>
      <c r="O79" s="168"/>
      <c r="P79" s="168"/>
    </row>
    <row r="80" spans="1:16" ht="12.75">
      <c r="A80" s="38">
        <f t="shared" si="0"/>
        <v>57</v>
      </c>
      <c r="B80" s="132">
        <v>6</v>
      </c>
      <c r="C80" s="139" t="s">
        <v>166</v>
      </c>
      <c r="D80" s="146">
        <v>0.8</v>
      </c>
      <c r="F80" s="66" t="s">
        <v>114</v>
      </c>
      <c r="K80" s="168"/>
      <c r="L80" s="168"/>
      <c r="M80" s="168"/>
      <c r="N80" s="168"/>
      <c r="O80" s="168"/>
      <c r="P80" s="168"/>
    </row>
    <row r="81" spans="1:16" ht="12.75">
      <c r="A81" s="38">
        <f t="shared" si="0"/>
        <v>58</v>
      </c>
      <c r="B81" s="132">
        <v>6</v>
      </c>
      <c r="C81" s="139" t="s">
        <v>167</v>
      </c>
      <c r="D81" s="146">
        <v>0.7</v>
      </c>
      <c r="F81" s="66" t="s">
        <v>114</v>
      </c>
      <c r="K81" s="168"/>
      <c r="L81" s="168"/>
      <c r="M81" s="168"/>
      <c r="N81" s="168"/>
      <c r="O81" s="168"/>
      <c r="P81" s="168"/>
    </row>
    <row r="82" spans="1:16" ht="12.75">
      <c r="A82" s="38">
        <f t="shared" si="0"/>
        <v>59</v>
      </c>
      <c r="B82" s="132">
        <v>4</v>
      </c>
      <c r="C82" s="139" t="s">
        <v>168</v>
      </c>
      <c r="D82" s="146">
        <v>1.3</v>
      </c>
      <c r="F82" s="66" t="s">
        <v>114</v>
      </c>
      <c r="K82" s="168"/>
      <c r="L82" s="168"/>
      <c r="M82" s="168"/>
      <c r="N82" s="168"/>
      <c r="O82" s="168"/>
      <c r="P82" s="168"/>
    </row>
    <row r="83" spans="1:16" ht="12.75">
      <c r="A83" s="38">
        <f t="shared" si="0"/>
        <v>60</v>
      </c>
      <c r="B83" s="132">
        <v>4</v>
      </c>
      <c r="C83" s="139" t="s">
        <v>169</v>
      </c>
      <c r="D83" s="146">
        <v>1.4</v>
      </c>
      <c r="F83" s="66" t="s">
        <v>114</v>
      </c>
      <c r="K83" s="168"/>
      <c r="L83" s="168"/>
      <c r="M83" s="168"/>
      <c r="N83" s="168"/>
      <c r="O83" s="168"/>
      <c r="P83" s="168"/>
    </row>
    <row r="84" spans="1:16" ht="12.75">
      <c r="A84" s="38">
        <f t="shared" si="0"/>
        <v>61</v>
      </c>
      <c r="B84" s="132">
        <v>4</v>
      </c>
      <c r="C84" s="139" t="s">
        <v>170</v>
      </c>
      <c r="D84" s="146">
        <v>1.3</v>
      </c>
      <c r="F84" s="66" t="s">
        <v>114</v>
      </c>
      <c r="K84" s="168"/>
      <c r="L84" s="168"/>
      <c r="M84" s="168"/>
      <c r="N84" s="168"/>
      <c r="O84" s="168"/>
      <c r="P84" s="168"/>
    </row>
    <row r="85" spans="1:16" ht="12.75">
      <c r="A85" s="38">
        <f t="shared" si="0"/>
        <v>62</v>
      </c>
      <c r="B85" s="132">
        <v>4</v>
      </c>
      <c r="C85" s="120" t="s">
        <v>312</v>
      </c>
      <c r="D85" s="146">
        <v>1.2</v>
      </c>
      <c r="F85" s="66" t="s">
        <v>114</v>
      </c>
      <c r="K85" s="168"/>
      <c r="L85" s="168"/>
      <c r="M85" s="168"/>
      <c r="N85" s="168"/>
      <c r="O85" s="168"/>
      <c r="P85" s="168"/>
    </row>
    <row r="86" spans="1:16" ht="12.75">
      <c r="A86" s="38">
        <f t="shared" si="0"/>
        <v>63</v>
      </c>
      <c r="B86" s="132">
        <v>7</v>
      </c>
      <c r="C86" s="139" t="s">
        <v>171</v>
      </c>
      <c r="D86" s="146">
        <v>0.7</v>
      </c>
      <c r="F86" s="66" t="s">
        <v>114</v>
      </c>
      <c r="K86" s="168"/>
      <c r="L86" s="168"/>
      <c r="M86" s="168"/>
      <c r="N86" s="168"/>
      <c r="O86" s="168"/>
      <c r="P86" s="168"/>
    </row>
    <row r="87" spans="1:16" ht="12.75">
      <c r="A87" s="38">
        <f t="shared" si="0"/>
        <v>64</v>
      </c>
      <c r="B87" s="132">
        <v>7</v>
      </c>
      <c r="C87" s="139" t="s">
        <v>172</v>
      </c>
      <c r="D87" s="146">
        <v>0.7</v>
      </c>
      <c r="F87" s="66" t="s">
        <v>114</v>
      </c>
      <c r="K87" s="168"/>
      <c r="L87" s="168"/>
      <c r="M87" s="168"/>
      <c r="N87" s="168"/>
      <c r="O87" s="168"/>
      <c r="P87" s="168"/>
    </row>
    <row r="88" spans="1:16" ht="12.75">
      <c r="A88" s="38">
        <f t="shared" si="0"/>
        <v>65</v>
      </c>
      <c r="B88" s="132">
        <v>7</v>
      </c>
      <c r="C88" s="139" t="s">
        <v>173</v>
      </c>
      <c r="D88" s="146">
        <v>0.6</v>
      </c>
      <c r="F88" s="66" t="s">
        <v>114</v>
      </c>
      <c r="K88" s="168"/>
      <c r="L88" s="168"/>
      <c r="M88" s="168"/>
      <c r="N88" s="168"/>
      <c r="O88" s="168"/>
      <c r="P88" s="168"/>
    </row>
    <row r="89" spans="1:16" ht="12.75">
      <c r="A89" s="38">
        <f t="shared" si="0"/>
        <v>66</v>
      </c>
      <c r="B89" s="132">
        <v>7</v>
      </c>
      <c r="C89" s="139" t="s">
        <v>174</v>
      </c>
      <c r="D89" s="146">
        <v>1</v>
      </c>
      <c r="F89" s="66" t="s">
        <v>114</v>
      </c>
      <c r="K89" s="168"/>
      <c r="L89" s="168"/>
      <c r="M89" s="168"/>
      <c r="N89" s="168"/>
      <c r="O89" s="168"/>
      <c r="P89" s="168"/>
    </row>
    <row r="90" spans="1:16" ht="12.75">
      <c r="A90" s="38">
        <f aca="true" t="shared" si="2" ref="A90:A153">1+A89</f>
        <v>67</v>
      </c>
      <c r="B90" s="132">
        <v>1</v>
      </c>
      <c r="C90" s="139" t="s">
        <v>177</v>
      </c>
      <c r="D90" s="146">
        <v>0.9</v>
      </c>
      <c r="F90" s="66" t="s">
        <v>114</v>
      </c>
      <c r="K90" s="168"/>
      <c r="L90" s="168"/>
      <c r="M90" s="168"/>
      <c r="N90" s="168"/>
      <c r="O90" s="168"/>
      <c r="P90" s="168"/>
    </row>
    <row r="91" spans="1:16" ht="12.75">
      <c r="A91" s="38">
        <f t="shared" si="2"/>
        <v>68</v>
      </c>
      <c r="B91" s="132">
        <v>1</v>
      </c>
      <c r="C91" s="139" t="s">
        <v>178</v>
      </c>
      <c r="D91" s="146">
        <v>1</v>
      </c>
      <c r="F91" s="66" t="s">
        <v>114</v>
      </c>
      <c r="K91" s="168"/>
      <c r="L91" s="168"/>
      <c r="M91" s="168"/>
      <c r="N91" s="168"/>
      <c r="O91" s="168"/>
      <c r="P91" s="168"/>
    </row>
    <row r="92" spans="1:16" ht="12.75">
      <c r="A92" s="38">
        <f t="shared" si="2"/>
        <v>69</v>
      </c>
      <c r="B92" s="132">
        <v>3</v>
      </c>
      <c r="C92" s="139" t="s">
        <v>176</v>
      </c>
      <c r="D92" s="146">
        <v>1.3</v>
      </c>
      <c r="F92" s="66" t="s">
        <v>114</v>
      </c>
      <c r="K92" s="168"/>
      <c r="L92" s="168"/>
      <c r="M92" s="168"/>
      <c r="N92" s="168"/>
      <c r="O92" s="168"/>
      <c r="P92" s="168"/>
    </row>
    <row r="93" spans="1:16" ht="12.75">
      <c r="A93" s="38">
        <f t="shared" si="2"/>
        <v>70</v>
      </c>
      <c r="B93" s="132">
        <v>1</v>
      </c>
      <c r="C93" s="139" t="s">
        <v>175</v>
      </c>
      <c r="D93" s="146">
        <v>1.1</v>
      </c>
      <c r="F93" s="66" t="s">
        <v>114</v>
      </c>
      <c r="K93" s="168"/>
      <c r="L93" s="168"/>
      <c r="M93" s="168"/>
      <c r="N93" s="168"/>
      <c r="O93" s="168"/>
      <c r="P93" s="168"/>
    </row>
    <row r="94" spans="1:16" ht="12.75">
      <c r="A94" s="38">
        <f t="shared" si="2"/>
        <v>71</v>
      </c>
      <c r="B94" s="132">
        <v>5</v>
      </c>
      <c r="C94" s="139" t="s">
        <v>179</v>
      </c>
      <c r="D94" s="146">
        <v>1</v>
      </c>
      <c r="F94" s="66" t="s">
        <v>114</v>
      </c>
      <c r="K94" s="168"/>
      <c r="L94" s="168"/>
      <c r="M94" s="168"/>
      <c r="N94" s="168"/>
      <c r="O94" s="168"/>
      <c r="P94" s="168"/>
    </row>
    <row r="95" spans="1:16" ht="12.75">
      <c r="A95" s="38">
        <f t="shared" si="2"/>
        <v>72</v>
      </c>
      <c r="B95" s="132">
        <v>5</v>
      </c>
      <c r="C95" s="139" t="s">
        <v>180</v>
      </c>
      <c r="D95" s="146">
        <v>1.1</v>
      </c>
      <c r="F95" s="66" t="s">
        <v>114</v>
      </c>
      <c r="K95" s="168"/>
      <c r="L95" s="168"/>
      <c r="M95" s="168"/>
      <c r="N95" s="168"/>
      <c r="O95" s="168"/>
      <c r="P95" s="168"/>
    </row>
    <row r="96" spans="1:16" ht="12.75">
      <c r="A96" s="38">
        <f t="shared" si="2"/>
        <v>73</v>
      </c>
      <c r="B96" s="132">
        <v>5</v>
      </c>
      <c r="C96" s="139" t="s">
        <v>181</v>
      </c>
      <c r="D96" s="146">
        <v>1.1</v>
      </c>
      <c r="F96" s="66" t="s">
        <v>114</v>
      </c>
      <c r="K96" s="168"/>
      <c r="L96" s="168"/>
      <c r="M96" s="168"/>
      <c r="N96" s="168"/>
      <c r="O96" s="168"/>
      <c r="P96" s="168"/>
    </row>
    <row r="97" spans="1:16" ht="12.75">
      <c r="A97" s="38">
        <f t="shared" si="2"/>
        <v>74</v>
      </c>
      <c r="B97" s="132">
        <v>5</v>
      </c>
      <c r="C97" s="139" t="s">
        <v>182</v>
      </c>
      <c r="D97" s="146">
        <v>1.1</v>
      </c>
      <c r="F97" s="66" t="s">
        <v>114</v>
      </c>
      <c r="K97" s="168"/>
      <c r="L97" s="168"/>
      <c r="M97" s="168"/>
      <c r="N97" s="168"/>
      <c r="O97" s="168"/>
      <c r="P97" s="168"/>
    </row>
    <row r="98" spans="1:16" ht="12.75">
      <c r="A98" s="38">
        <f t="shared" si="2"/>
        <v>75</v>
      </c>
      <c r="B98" s="132">
        <v>6</v>
      </c>
      <c r="C98" s="139" t="s">
        <v>183</v>
      </c>
      <c r="D98" s="146">
        <v>1.5</v>
      </c>
      <c r="F98" s="66" t="s">
        <v>114</v>
      </c>
      <c r="K98" s="168"/>
      <c r="L98" s="168"/>
      <c r="M98" s="168"/>
      <c r="N98" s="168"/>
      <c r="O98" s="168"/>
      <c r="P98" s="168"/>
    </row>
    <row r="99" spans="1:16" ht="12.75">
      <c r="A99" s="38">
        <f t="shared" si="2"/>
        <v>76</v>
      </c>
      <c r="B99" s="132">
        <v>6</v>
      </c>
      <c r="C99" s="139" t="s">
        <v>184</v>
      </c>
      <c r="D99" s="146">
        <v>1.2</v>
      </c>
      <c r="F99" s="66" t="s">
        <v>114</v>
      </c>
      <c r="K99" s="168"/>
      <c r="L99" s="168"/>
      <c r="M99" s="168"/>
      <c r="N99" s="168"/>
      <c r="O99" s="168"/>
      <c r="P99" s="168"/>
    </row>
    <row r="100" spans="1:16" ht="12.75">
      <c r="A100" s="38">
        <f t="shared" si="2"/>
        <v>77</v>
      </c>
      <c r="B100" s="132">
        <v>6</v>
      </c>
      <c r="C100" s="139" t="s">
        <v>185</v>
      </c>
      <c r="D100" s="146">
        <v>1.3</v>
      </c>
      <c r="F100" s="66" t="s">
        <v>114</v>
      </c>
      <c r="K100" s="168"/>
      <c r="L100" s="168"/>
      <c r="M100" s="168"/>
      <c r="N100" s="168"/>
      <c r="O100" s="168"/>
      <c r="P100" s="168"/>
    </row>
    <row r="101" spans="1:16" ht="12.75">
      <c r="A101" s="38">
        <f t="shared" si="2"/>
        <v>78</v>
      </c>
      <c r="B101" s="132">
        <v>6</v>
      </c>
      <c r="C101" s="139" t="s">
        <v>188</v>
      </c>
      <c r="D101" s="146">
        <v>0.8</v>
      </c>
      <c r="F101" s="66" t="s">
        <v>114</v>
      </c>
      <c r="K101" s="168"/>
      <c r="L101" s="168"/>
      <c r="M101" s="168"/>
      <c r="N101" s="168"/>
      <c r="O101" s="168"/>
      <c r="P101" s="168"/>
    </row>
    <row r="102" spans="1:16" ht="12.75">
      <c r="A102" s="38">
        <f t="shared" si="2"/>
        <v>79</v>
      </c>
      <c r="B102" s="132">
        <v>6</v>
      </c>
      <c r="C102" s="139" t="s">
        <v>189</v>
      </c>
      <c r="D102" s="146">
        <v>0.8</v>
      </c>
      <c r="F102" s="66" t="s">
        <v>114</v>
      </c>
      <c r="K102" s="168"/>
      <c r="L102" s="168"/>
      <c r="M102" s="168"/>
      <c r="N102" s="168"/>
      <c r="O102" s="168"/>
      <c r="P102" s="168"/>
    </row>
    <row r="103" spans="1:16" ht="12.75">
      <c r="A103" s="38">
        <f t="shared" si="2"/>
        <v>80</v>
      </c>
      <c r="B103" s="132">
        <v>6</v>
      </c>
      <c r="C103" s="139" t="s">
        <v>191</v>
      </c>
      <c r="D103" s="146">
        <v>0.7</v>
      </c>
      <c r="F103" s="66" t="s">
        <v>114</v>
      </c>
      <c r="K103" s="168"/>
      <c r="L103" s="168"/>
      <c r="M103" s="168"/>
      <c r="N103" s="168"/>
      <c r="O103" s="168"/>
      <c r="P103" s="168"/>
    </row>
    <row r="104" spans="1:16" ht="12.75">
      <c r="A104" s="38">
        <f t="shared" si="2"/>
        <v>81</v>
      </c>
      <c r="B104" s="132">
        <v>6</v>
      </c>
      <c r="C104" s="139" t="s">
        <v>190</v>
      </c>
      <c r="D104" s="146">
        <v>0.7</v>
      </c>
      <c r="F104" s="66" t="s">
        <v>114</v>
      </c>
      <c r="K104" s="168"/>
      <c r="L104" s="168"/>
      <c r="M104" s="168"/>
      <c r="N104" s="168"/>
      <c r="O104" s="168"/>
      <c r="P104" s="168"/>
    </row>
    <row r="105" spans="1:16" ht="12.75">
      <c r="A105" s="38">
        <f t="shared" si="2"/>
        <v>82</v>
      </c>
      <c r="B105" s="132">
        <v>4</v>
      </c>
      <c r="C105" s="139" t="s">
        <v>186</v>
      </c>
      <c r="D105" s="146">
        <v>0.7</v>
      </c>
      <c r="F105" s="66" t="s">
        <v>114</v>
      </c>
      <c r="K105" s="168"/>
      <c r="L105" s="168"/>
      <c r="M105" s="168"/>
      <c r="N105" s="168"/>
      <c r="O105" s="168"/>
      <c r="P105" s="168"/>
    </row>
    <row r="106" spans="1:16" ht="12.75">
      <c r="A106" s="38">
        <f t="shared" si="2"/>
        <v>83</v>
      </c>
      <c r="B106" s="132">
        <v>4</v>
      </c>
      <c r="C106" s="139" t="s">
        <v>187</v>
      </c>
      <c r="D106" s="146">
        <v>0.7</v>
      </c>
      <c r="F106" s="66" t="s">
        <v>114</v>
      </c>
      <c r="K106" s="168"/>
      <c r="L106" s="168"/>
      <c r="M106" s="168"/>
      <c r="N106" s="168"/>
      <c r="O106" s="168"/>
      <c r="P106" s="168"/>
    </row>
    <row r="107" spans="1:16" ht="12.75">
      <c r="A107" s="38">
        <f t="shared" si="2"/>
        <v>84</v>
      </c>
      <c r="B107" s="132">
        <v>8</v>
      </c>
      <c r="C107" s="139" t="s">
        <v>192</v>
      </c>
      <c r="D107" s="146">
        <v>1.3</v>
      </c>
      <c r="F107" s="66" t="s">
        <v>114</v>
      </c>
      <c r="K107" s="168"/>
      <c r="L107" s="168"/>
      <c r="M107" s="168"/>
      <c r="N107" s="168"/>
      <c r="O107" s="168"/>
      <c r="P107" s="168"/>
    </row>
    <row r="108" spans="1:16" ht="12.75">
      <c r="A108" s="38">
        <f t="shared" si="2"/>
        <v>85</v>
      </c>
      <c r="B108" s="132">
        <v>8</v>
      </c>
      <c r="C108" s="139" t="s">
        <v>193</v>
      </c>
      <c r="D108" s="146">
        <v>1.4</v>
      </c>
      <c r="F108" s="66" t="s">
        <v>114</v>
      </c>
      <c r="K108" s="168"/>
      <c r="L108" s="168"/>
      <c r="M108" s="168"/>
      <c r="N108" s="168"/>
      <c r="O108" s="168"/>
      <c r="P108" s="168"/>
    </row>
    <row r="109" spans="1:16" ht="12.75">
      <c r="A109" s="38">
        <f t="shared" si="2"/>
        <v>86</v>
      </c>
      <c r="B109" s="132">
        <v>8</v>
      </c>
      <c r="C109" s="139" t="s">
        <v>194</v>
      </c>
      <c r="D109" s="146">
        <v>1.4</v>
      </c>
      <c r="F109" s="66" t="s">
        <v>114</v>
      </c>
      <c r="K109" s="168"/>
      <c r="L109" s="168"/>
      <c r="M109" s="168"/>
      <c r="N109" s="168"/>
      <c r="O109" s="168"/>
      <c r="P109" s="168"/>
    </row>
    <row r="110" spans="1:16" ht="12.75">
      <c r="A110" s="38">
        <f t="shared" si="2"/>
        <v>87</v>
      </c>
      <c r="B110" s="132">
        <v>8</v>
      </c>
      <c r="C110" s="139" t="s">
        <v>195</v>
      </c>
      <c r="D110" s="146">
        <v>1.4</v>
      </c>
      <c r="F110" s="66" t="s">
        <v>114</v>
      </c>
      <c r="K110" s="168"/>
      <c r="L110" s="168"/>
      <c r="M110" s="168"/>
      <c r="N110" s="168"/>
      <c r="O110" s="168"/>
      <c r="P110" s="168"/>
    </row>
    <row r="111" spans="1:16" ht="12.75">
      <c r="A111" s="38">
        <f t="shared" si="2"/>
        <v>88</v>
      </c>
      <c r="B111" s="132">
        <v>3</v>
      </c>
      <c r="C111" s="139" t="s">
        <v>214</v>
      </c>
      <c r="D111" s="146">
        <v>1.1</v>
      </c>
      <c r="F111" s="66" t="s">
        <v>114</v>
      </c>
      <c r="K111" s="168"/>
      <c r="L111" s="168"/>
      <c r="M111" s="168"/>
      <c r="N111" s="168"/>
      <c r="O111" s="168"/>
      <c r="P111" s="168"/>
    </row>
    <row r="112" spans="1:16" ht="12.75">
      <c r="A112" s="38">
        <f t="shared" si="2"/>
        <v>89</v>
      </c>
      <c r="B112" s="132">
        <v>3</v>
      </c>
      <c r="C112" s="139" t="s">
        <v>215</v>
      </c>
      <c r="D112" s="146">
        <v>0.9</v>
      </c>
      <c r="F112" s="66" t="s">
        <v>114</v>
      </c>
      <c r="K112" s="168"/>
      <c r="L112" s="168"/>
      <c r="M112" s="168"/>
      <c r="N112" s="168"/>
      <c r="O112" s="168"/>
      <c r="P112" s="168"/>
    </row>
    <row r="113" spans="1:16" ht="12.75">
      <c r="A113" s="38">
        <f t="shared" si="2"/>
        <v>90</v>
      </c>
      <c r="B113" s="132">
        <v>3</v>
      </c>
      <c r="C113" s="139" t="s">
        <v>216</v>
      </c>
      <c r="D113" s="146">
        <v>0.9</v>
      </c>
      <c r="F113" s="66" t="s">
        <v>114</v>
      </c>
      <c r="K113" s="168"/>
      <c r="L113" s="168"/>
      <c r="M113" s="168"/>
      <c r="N113" s="168"/>
      <c r="O113" s="168"/>
      <c r="P113" s="168"/>
    </row>
    <row r="114" spans="1:16" ht="12.75">
      <c r="A114" s="38">
        <f t="shared" si="2"/>
        <v>91</v>
      </c>
      <c r="B114" s="132">
        <v>6</v>
      </c>
      <c r="C114" s="139" t="s">
        <v>217</v>
      </c>
      <c r="D114" s="146">
        <v>1.3</v>
      </c>
      <c r="F114" s="66" t="s">
        <v>114</v>
      </c>
      <c r="K114" s="168"/>
      <c r="L114" s="168"/>
      <c r="M114" s="168"/>
      <c r="N114" s="168"/>
      <c r="O114" s="168"/>
      <c r="P114" s="168"/>
    </row>
    <row r="115" spans="1:16" ht="12.75">
      <c r="A115" s="38">
        <f t="shared" si="2"/>
        <v>92</v>
      </c>
      <c r="B115" s="132">
        <v>6</v>
      </c>
      <c r="C115" s="139" t="s">
        <v>218</v>
      </c>
      <c r="D115" s="146">
        <v>1.4</v>
      </c>
      <c r="F115" s="66" t="s">
        <v>114</v>
      </c>
      <c r="K115" s="168"/>
      <c r="L115" s="168"/>
      <c r="M115" s="168"/>
      <c r="N115" s="168"/>
      <c r="O115" s="168"/>
      <c r="P115" s="168"/>
    </row>
    <row r="116" spans="1:16" ht="12.75">
      <c r="A116" s="38">
        <f t="shared" si="2"/>
        <v>93</v>
      </c>
      <c r="B116" s="132">
        <v>6</v>
      </c>
      <c r="C116" s="139" t="s">
        <v>196</v>
      </c>
      <c r="D116" s="146">
        <v>1</v>
      </c>
      <c r="F116" s="66" t="s">
        <v>114</v>
      </c>
      <c r="K116" s="168"/>
      <c r="L116" s="168"/>
      <c r="M116" s="168"/>
      <c r="N116" s="168"/>
      <c r="O116" s="168"/>
      <c r="P116" s="168"/>
    </row>
    <row r="117" spans="1:16" ht="12.75">
      <c r="A117" s="38">
        <f t="shared" si="2"/>
        <v>94</v>
      </c>
      <c r="B117" s="132">
        <v>6</v>
      </c>
      <c r="C117" s="139" t="s">
        <v>197</v>
      </c>
      <c r="D117" s="146">
        <v>0.9</v>
      </c>
      <c r="F117" s="66" t="s">
        <v>114</v>
      </c>
      <c r="K117" s="168"/>
      <c r="L117" s="168"/>
      <c r="M117" s="168"/>
      <c r="N117" s="168"/>
      <c r="O117" s="168"/>
      <c r="P117" s="168"/>
    </row>
    <row r="118" spans="1:16" ht="12.75">
      <c r="A118" s="38">
        <f t="shared" si="2"/>
        <v>95</v>
      </c>
      <c r="B118" s="132">
        <v>6</v>
      </c>
      <c r="C118" s="139" t="s">
        <v>198</v>
      </c>
      <c r="D118" s="146">
        <v>0.9</v>
      </c>
      <c r="F118" s="66" t="s">
        <v>114</v>
      </c>
      <c r="K118" s="168"/>
      <c r="L118" s="168"/>
      <c r="M118" s="168"/>
      <c r="N118" s="168"/>
      <c r="O118" s="168"/>
      <c r="P118" s="168"/>
    </row>
    <row r="119" spans="1:16" ht="12.75">
      <c r="A119" s="38">
        <f t="shared" si="2"/>
        <v>96</v>
      </c>
      <c r="B119" s="132">
        <v>6</v>
      </c>
      <c r="C119" s="139" t="s">
        <v>199</v>
      </c>
      <c r="D119" s="146">
        <v>1</v>
      </c>
      <c r="F119" s="66" t="s">
        <v>114</v>
      </c>
      <c r="K119" s="168"/>
      <c r="L119" s="168"/>
      <c r="M119" s="168"/>
      <c r="N119" s="168"/>
      <c r="O119" s="168"/>
      <c r="P119" s="168"/>
    </row>
    <row r="120" spans="1:16" ht="12.75">
      <c r="A120" s="38">
        <f t="shared" si="2"/>
        <v>97</v>
      </c>
      <c r="B120" s="132">
        <v>1</v>
      </c>
      <c r="C120" s="139" t="s">
        <v>203</v>
      </c>
      <c r="D120" s="146">
        <v>1.1</v>
      </c>
      <c r="F120" s="66" t="s">
        <v>114</v>
      </c>
      <c r="K120" s="168"/>
      <c r="L120" s="168"/>
      <c r="M120" s="168"/>
      <c r="N120" s="168"/>
      <c r="O120" s="168"/>
      <c r="P120" s="168"/>
    </row>
    <row r="121" spans="1:16" ht="12.75">
      <c r="A121" s="38">
        <f t="shared" si="2"/>
        <v>98</v>
      </c>
      <c r="B121" s="132">
        <v>3</v>
      </c>
      <c r="C121" s="120" t="s">
        <v>313</v>
      </c>
      <c r="D121" s="146">
        <v>1.2</v>
      </c>
      <c r="F121" s="66" t="s">
        <v>114</v>
      </c>
      <c r="K121" s="168"/>
      <c r="L121" s="168"/>
      <c r="M121" s="168"/>
      <c r="N121" s="168"/>
      <c r="O121" s="168"/>
      <c r="P121" s="168"/>
    </row>
    <row r="122" spans="1:16" ht="12.75">
      <c r="A122" s="38">
        <f t="shared" si="2"/>
        <v>99</v>
      </c>
      <c r="B122" s="132">
        <v>3</v>
      </c>
      <c r="C122" s="139" t="s">
        <v>204</v>
      </c>
      <c r="D122" s="146">
        <v>1.3</v>
      </c>
      <c r="F122" s="66" t="s">
        <v>114</v>
      </c>
      <c r="K122" s="168"/>
      <c r="L122" s="168"/>
      <c r="M122" s="168"/>
      <c r="N122" s="168"/>
      <c r="O122" s="168"/>
      <c r="P122" s="168"/>
    </row>
    <row r="123" spans="1:16" ht="12.75">
      <c r="A123" s="38">
        <f t="shared" si="2"/>
        <v>100</v>
      </c>
      <c r="B123" s="132">
        <v>8</v>
      </c>
      <c r="C123" s="139" t="s">
        <v>205</v>
      </c>
      <c r="D123" s="146">
        <v>0.8</v>
      </c>
      <c r="F123" s="66" t="s">
        <v>114</v>
      </c>
      <c r="K123" s="168"/>
      <c r="L123" s="168"/>
      <c r="M123" s="168"/>
      <c r="N123" s="168"/>
      <c r="O123" s="168"/>
      <c r="P123" s="168"/>
    </row>
    <row r="124" spans="1:16" ht="12.75">
      <c r="A124" s="38">
        <f t="shared" si="2"/>
        <v>101</v>
      </c>
      <c r="B124" s="132">
        <v>8</v>
      </c>
      <c r="C124" s="139" t="s">
        <v>206</v>
      </c>
      <c r="D124" s="146">
        <v>0.9</v>
      </c>
      <c r="F124" s="66" t="s">
        <v>114</v>
      </c>
      <c r="K124" s="168"/>
      <c r="L124" s="168"/>
      <c r="M124" s="168"/>
      <c r="N124" s="168"/>
      <c r="O124" s="168"/>
      <c r="P124" s="168"/>
    </row>
    <row r="125" spans="1:16" ht="12.75">
      <c r="A125" s="38">
        <f t="shared" si="2"/>
        <v>102</v>
      </c>
      <c r="B125" s="132">
        <v>8</v>
      </c>
      <c r="C125" s="139" t="s">
        <v>207</v>
      </c>
      <c r="D125" s="146">
        <v>0.6</v>
      </c>
      <c r="F125" s="66" t="s">
        <v>114</v>
      </c>
      <c r="K125" s="168"/>
      <c r="L125" s="168"/>
      <c r="M125" s="168"/>
      <c r="N125" s="168"/>
      <c r="O125" s="168"/>
      <c r="P125" s="168"/>
    </row>
    <row r="126" spans="1:16" ht="12.75">
      <c r="A126" s="38">
        <f t="shared" si="2"/>
        <v>103</v>
      </c>
      <c r="B126" s="132">
        <v>8</v>
      </c>
      <c r="C126" s="139" t="s">
        <v>200</v>
      </c>
      <c r="D126" s="146">
        <v>0.4</v>
      </c>
      <c r="F126" s="66" t="s">
        <v>114</v>
      </c>
      <c r="K126" s="168"/>
      <c r="L126" s="168"/>
      <c r="M126" s="168"/>
      <c r="N126" s="168"/>
      <c r="O126" s="168"/>
      <c r="P126" s="168"/>
    </row>
    <row r="127" spans="1:16" ht="12.75">
      <c r="A127" s="38">
        <f t="shared" si="2"/>
        <v>104</v>
      </c>
      <c r="B127" s="132">
        <v>8</v>
      </c>
      <c r="C127" s="139" t="s">
        <v>201</v>
      </c>
      <c r="D127" s="146">
        <v>1</v>
      </c>
      <c r="F127" s="66" t="s">
        <v>114</v>
      </c>
      <c r="K127" s="168"/>
      <c r="L127" s="168"/>
      <c r="M127" s="168"/>
      <c r="N127" s="168"/>
      <c r="O127" s="168"/>
      <c r="P127" s="168"/>
    </row>
    <row r="128" spans="1:16" ht="12.75">
      <c r="A128" s="38">
        <f t="shared" si="2"/>
        <v>105</v>
      </c>
      <c r="B128" s="132">
        <v>8</v>
      </c>
      <c r="C128" s="139" t="s">
        <v>202</v>
      </c>
      <c r="D128" s="146">
        <v>1.1</v>
      </c>
      <c r="F128" s="66" t="s">
        <v>114</v>
      </c>
      <c r="K128" s="168"/>
      <c r="L128" s="168"/>
      <c r="M128" s="168"/>
      <c r="N128" s="168"/>
      <c r="O128" s="168"/>
      <c r="P128" s="168"/>
    </row>
    <row r="129" spans="1:16" ht="12.75">
      <c r="A129" s="38">
        <f t="shared" si="2"/>
        <v>106</v>
      </c>
      <c r="B129" s="132">
        <v>2</v>
      </c>
      <c r="C129" s="139" t="s">
        <v>208</v>
      </c>
      <c r="D129" s="146">
        <v>1.1</v>
      </c>
      <c r="F129" s="66" t="s">
        <v>114</v>
      </c>
      <c r="K129" s="168"/>
      <c r="L129" s="168"/>
      <c r="M129" s="168"/>
      <c r="N129" s="168"/>
      <c r="O129" s="168"/>
      <c r="P129" s="168"/>
    </row>
    <row r="130" spans="1:16" ht="12.75">
      <c r="A130" s="38">
        <f t="shared" si="2"/>
        <v>107</v>
      </c>
      <c r="B130" s="132">
        <v>2</v>
      </c>
      <c r="C130" s="139" t="s">
        <v>209</v>
      </c>
      <c r="D130" s="146">
        <v>1.2</v>
      </c>
      <c r="F130" s="66" t="s">
        <v>114</v>
      </c>
      <c r="K130" s="168"/>
      <c r="L130" s="168"/>
      <c r="M130" s="168"/>
      <c r="N130" s="168"/>
      <c r="O130" s="168"/>
      <c r="P130" s="168"/>
    </row>
    <row r="131" spans="1:16" ht="12.75">
      <c r="A131" s="38">
        <f t="shared" si="2"/>
        <v>108</v>
      </c>
      <c r="B131" s="132">
        <v>2</v>
      </c>
      <c r="C131" s="139" t="s">
        <v>210</v>
      </c>
      <c r="D131" s="146">
        <v>1.1</v>
      </c>
      <c r="F131" s="66" t="s">
        <v>114</v>
      </c>
      <c r="K131" s="168"/>
      <c r="L131" s="168"/>
      <c r="M131" s="168"/>
      <c r="N131" s="168"/>
      <c r="O131" s="168"/>
      <c r="P131" s="168"/>
    </row>
    <row r="132" spans="1:16" ht="12.75">
      <c r="A132" s="38">
        <f t="shared" si="2"/>
        <v>109</v>
      </c>
      <c r="B132" s="132">
        <v>2</v>
      </c>
      <c r="C132" s="139" t="s">
        <v>211</v>
      </c>
      <c r="D132" s="146">
        <v>0.9</v>
      </c>
      <c r="F132" s="66" t="s">
        <v>114</v>
      </c>
      <c r="K132" s="168"/>
      <c r="L132" s="168"/>
      <c r="M132" s="168"/>
      <c r="N132" s="168"/>
      <c r="O132" s="168"/>
      <c r="P132" s="168"/>
    </row>
    <row r="133" spans="1:16" ht="12.75">
      <c r="A133" s="38">
        <f t="shared" si="2"/>
        <v>110</v>
      </c>
      <c r="B133" s="132">
        <v>2</v>
      </c>
      <c r="C133" s="139" t="s">
        <v>212</v>
      </c>
      <c r="D133" s="146">
        <v>0.8</v>
      </c>
      <c r="F133" s="66" t="s">
        <v>114</v>
      </c>
      <c r="K133" s="168"/>
      <c r="L133" s="168"/>
      <c r="M133" s="168"/>
      <c r="N133" s="168"/>
      <c r="O133" s="168"/>
      <c r="P133" s="168"/>
    </row>
    <row r="134" spans="1:16" ht="12.75">
      <c r="A134" s="38">
        <f t="shared" si="2"/>
        <v>111</v>
      </c>
      <c r="B134" s="132">
        <v>2</v>
      </c>
      <c r="C134" s="139" t="s">
        <v>213</v>
      </c>
      <c r="D134" s="146">
        <v>1.1</v>
      </c>
      <c r="F134" s="66" t="s">
        <v>114</v>
      </c>
      <c r="K134" s="168"/>
      <c r="L134" s="168"/>
      <c r="M134" s="168"/>
      <c r="N134" s="168"/>
      <c r="O134" s="168"/>
      <c r="P134" s="168"/>
    </row>
    <row r="135" spans="1:16" ht="12.75">
      <c r="A135" s="38">
        <f t="shared" si="2"/>
        <v>112</v>
      </c>
      <c r="B135" s="132">
        <v>5</v>
      </c>
      <c r="C135" s="139" t="s">
        <v>219</v>
      </c>
      <c r="D135" s="146">
        <v>1</v>
      </c>
      <c r="F135" s="66" t="s">
        <v>114</v>
      </c>
      <c r="K135" s="168"/>
      <c r="L135" s="168"/>
      <c r="M135" s="168"/>
      <c r="N135" s="168"/>
      <c r="O135" s="168"/>
      <c r="P135" s="168"/>
    </row>
    <row r="136" spans="1:16" ht="12.75">
      <c r="A136" s="38">
        <f t="shared" si="2"/>
        <v>113</v>
      </c>
      <c r="B136" s="132">
        <v>5</v>
      </c>
      <c r="C136" s="120" t="s">
        <v>220</v>
      </c>
      <c r="D136" s="146">
        <v>0.8</v>
      </c>
      <c r="F136" s="66" t="s">
        <v>114</v>
      </c>
      <c r="K136" s="168"/>
      <c r="L136" s="168"/>
      <c r="M136" s="168"/>
      <c r="N136" s="168"/>
      <c r="O136" s="168"/>
      <c r="P136" s="168"/>
    </row>
    <row r="137" spans="1:16" ht="12.75">
      <c r="A137" s="38">
        <f t="shared" si="2"/>
        <v>114</v>
      </c>
      <c r="B137" s="132">
        <v>5</v>
      </c>
      <c r="C137" s="139" t="s">
        <v>221</v>
      </c>
      <c r="D137" s="146">
        <v>1</v>
      </c>
      <c r="F137" s="66" t="s">
        <v>114</v>
      </c>
      <c r="K137" s="168"/>
      <c r="L137" s="168"/>
      <c r="M137" s="168"/>
      <c r="N137" s="168"/>
      <c r="O137" s="168"/>
      <c r="P137" s="168"/>
    </row>
    <row r="138" spans="1:16" ht="12.75">
      <c r="A138" s="38">
        <f t="shared" si="2"/>
        <v>115</v>
      </c>
      <c r="B138" s="132">
        <v>5</v>
      </c>
      <c r="C138" s="139" t="s">
        <v>222</v>
      </c>
      <c r="D138" s="146">
        <v>0.9</v>
      </c>
      <c r="F138" s="66" t="s">
        <v>114</v>
      </c>
      <c r="K138" s="168"/>
      <c r="L138" s="168"/>
      <c r="M138" s="168"/>
      <c r="N138" s="168"/>
      <c r="O138" s="168"/>
      <c r="P138" s="168"/>
    </row>
    <row r="139" spans="1:16" ht="12.75">
      <c r="A139" s="38">
        <f t="shared" si="2"/>
        <v>116</v>
      </c>
      <c r="B139" s="132">
        <v>5</v>
      </c>
      <c r="C139" s="139" t="s">
        <v>223</v>
      </c>
      <c r="D139" s="146">
        <v>0.9</v>
      </c>
      <c r="F139" s="66" t="s">
        <v>114</v>
      </c>
      <c r="K139" s="168"/>
      <c r="L139" s="168"/>
      <c r="M139" s="168"/>
      <c r="N139" s="168"/>
      <c r="O139" s="168"/>
      <c r="P139" s="168"/>
    </row>
    <row r="140" spans="1:16" ht="12.75">
      <c r="A140" s="38">
        <f t="shared" si="2"/>
        <v>117</v>
      </c>
      <c r="B140" s="132">
        <v>5</v>
      </c>
      <c r="C140" s="139" t="s">
        <v>224</v>
      </c>
      <c r="D140" s="146">
        <v>1</v>
      </c>
      <c r="F140" s="66" t="s">
        <v>114</v>
      </c>
      <c r="K140" s="168"/>
      <c r="L140" s="168"/>
      <c r="M140" s="168"/>
      <c r="N140" s="168"/>
      <c r="O140" s="168"/>
      <c r="P140" s="168"/>
    </row>
    <row r="141" spans="1:16" ht="12.75">
      <c r="A141" s="38">
        <f t="shared" si="2"/>
        <v>118</v>
      </c>
      <c r="B141" s="132">
        <v>5</v>
      </c>
      <c r="C141" s="139" t="s">
        <v>225</v>
      </c>
      <c r="D141" s="146">
        <v>1</v>
      </c>
      <c r="F141" s="66" t="s">
        <v>114</v>
      </c>
      <c r="K141" s="168"/>
      <c r="L141" s="168"/>
      <c r="M141" s="168"/>
      <c r="N141" s="168"/>
      <c r="O141" s="168"/>
      <c r="P141" s="168"/>
    </row>
    <row r="142" spans="1:16" ht="12.75">
      <c r="A142" s="38">
        <f t="shared" si="2"/>
        <v>119</v>
      </c>
      <c r="B142" s="132">
        <v>5</v>
      </c>
      <c r="C142" s="139" t="s">
        <v>226</v>
      </c>
      <c r="D142" s="146">
        <v>1</v>
      </c>
      <c r="F142" s="66" t="s">
        <v>114</v>
      </c>
      <c r="K142" s="168"/>
      <c r="L142" s="168"/>
      <c r="M142" s="168"/>
      <c r="N142" s="168"/>
      <c r="O142" s="168"/>
      <c r="P142" s="168"/>
    </row>
    <row r="143" spans="1:16" ht="12.75">
      <c r="A143" s="38">
        <f t="shared" si="2"/>
        <v>120</v>
      </c>
      <c r="B143" s="132">
        <v>7</v>
      </c>
      <c r="C143" s="139" t="s">
        <v>227</v>
      </c>
      <c r="D143" s="146">
        <v>1.6</v>
      </c>
      <c r="F143" s="66" t="s">
        <v>114</v>
      </c>
      <c r="K143" s="168"/>
      <c r="L143" s="168"/>
      <c r="M143" s="168"/>
      <c r="N143" s="168"/>
      <c r="O143" s="168"/>
      <c r="P143" s="168"/>
    </row>
    <row r="144" spans="1:16" ht="12.75">
      <c r="A144" s="38">
        <f t="shared" si="2"/>
        <v>121</v>
      </c>
      <c r="B144" s="132">
        <v>7</v>
      </c>
      <c r="C144" s="139" t="s">
        <v>228</v>
      </c>
      <c r="D144" s="146">
        <v>1.6</v>
      </c>
      <c r="F144" s="66" t="s">
        <v>114</v>
      </c>
      <c r="K144" s="168"/>
      <c r="L144" s="168"/>
      <c r="M144" s="168"/>
      <c r="N144" s="168"/>
      <c r="O144" s="168"/>
      <c r="P144" s="168"/>
    </row>
    <row r="145" spans="1:16" ht="12.75">
      <c r="A145" s="38">
        <f t="shared" si="2"/>
        <v>122</v>
      </c>
      <c r="B145" s="132">
        <v>9</v>
      </c>
      <c r="C145" s="139" t="s">
        <v>229</v>
      </c>
      <c r="D145" s="146">
        <v>1.2</v>
      </c>
      <c r="F145" s="66" t="s">
        <v>114</v>
      </c>
      <c r="K145" s="168"/>
      <c r="L145" s="168"/>
      <c r="M145" s="168"/>
      <c r="N145" s="168"/>
      <c r="O145" s="168"/>
      <c r="P145" s="168"/>
    </row>
    <row r="146" spans="1:16" ht="12.75">
      <c r="A146" s="38">
        <f t="shared" si="2"/>
        <v>123</v>
      </c>
      <c r="B146" s="132">
        <v>9</v>
      </c>
      <c r="C146" s="120" t="s">
        <v>314</v>
      </c>
      <c r="D146" s="146">
        <v>1.8</v>
      </c>
      <c r="F146" s="66" t="s">
        <v>114</v>
      </c>
      <c r="K146" s="168"/>
      <c r="L146" s="168"/>
      <c r="M146" s="168"/>
      <c r="N146" s="168"/>
      <c r="O146" s="168"/>
      <c r="P146" s="168"/>
    </row>
    <row r="147" spans="1:16" ht="12.75">
      <c r="A147" s="38">
        <f t="shared" si="2"/>
        <v>124</v>
      </c>
      <c r="B147" s="132">
        <v>9</v>
      </c>
      <c r="C147" s="139" t="s">
        <v>230</v>
      </c>
      <c r="D147" s="146">
        <v>1.1</v>
      </c>
      <c r="F147" s="66" t="s">
        <v>114</v>
      </c>
      <c r="K147" s="168"/>
      <c r="L147" s="168"/>
      <c r="M147" s="168"/>
      <c r="N147" s="168"/>
      <c r="O147" s="168"/>
      <c r="P147" s="168"/>
    </row>
    <row r="148" spans="1:16" ht="12.75">
      <c r="A148" s="38">
        <f t="shared" si="2"/>
        <v>125</v>
      </c>
      <c r="B148" s="132">
        <v>9</v>
      </c>
      <c r="C148" s="139" t="s">
        <v>231</v>
      </c>
      <c r="D148" s="146">
        <v>1</v>
      </c>
      <c r="F148" s="66" t="s">
        <v>114</v>
      </c>
      <c r="K148" s="168"/>
      <c r="L148" s="168"/>
      <c r="M148" s="168"/>
      <c r="N148" s="168"/>
      <c r="O148" s="168"/>
      <c r="P148" s="168"/>
    </row>
    <row r="149" spans="1:16" ht="12.75">
      <c r="A149" s="38">
        <f t="shared" si="2"/>
        <v>126</v>
      </c>
      <c r="B149" s="132">
        <v>9</v>
      </c>
      <c r="C149" s="139" t="s">
        <v>232</v>
      </c>
      <c r="D149" s="146">
        <v>1.2</v>
      </c>
      <c r="F149" s="66" t="s">
        <v>114</v>
      </c>
      <c r="K149" s="168"/>
      <c r="L149" s="168"/>
      <c r="M149" s="168"/>
      <c r="N149" s="168"/>
      <c r="O149" s="168"/>
      <c r="P149" s="168"/>
    </row>
    <row r="150" spans="1:16" ht="12.75">
      <c r="A150" s="38">
        <f t="shared" si="2"/>
        <v>127</v>
      </c>
      <c r="B150" s="132">
        <v>9</v>
      </c>
      <c r="C150" s="139" t="s">
        <v>233</v>
      </c>
      <c r="D150" s="146">
        <v>1</v>
      </c>
      <c r="F150" s="66" t="s">
        <v>114</v>
      </c>
      <c r="K150" s="168"/>
      <c r="L150" s="168"/>
      <c r="M150" s="168"/>
      <c r="N150" s="168"/>
      <c r="O150" s="168"/>
      <c r="P150" s="168"/>
    </row>
    <row r="151" spans="1:16" ht="12.75">
      <c r="A151" s="38">
        <f t="shared" si="2"/>
        <v>128</v>
      </c>
      <c r="B151" s="132">
        <v>9</v>
      </c>
      <c r="C151" s="139" t="s">
        <v>234</v>
      </c>
      <c r="D151" s="146">
        <v>1.1</v>
      </c>
      <c r="F151" s="66" t="s">
        <v>114</v>
      </c>
      <c r="K151" s="168"/>
      <c r="L151" s="168"/>
      <c r="M151" s="168"/>
      <c r="N151" s="168"/>
      <c r="O151" s="168"/>
      <c r="P151" s="168"/>
    </row>
    <row r="152" spans="1:16" ht="12.75">
      <c r="A152" s="38">
        <f t="shared" si="2"/>
        <v>129</v>
      </c>
      <c r="B152" s="132">
        <v>9</v>
      </c>
      <c r="C152" s="139" t="s">
        <v>235</v>
      </c>
      <c r="D152" s="146">
        <v>1.4</v>
      </c>
      <c r="F152" s="66" t="s">
        <v>114</v>
      </c>
      <c r="K152" s="168"/>
      <c r="L152" s="168"/>
      <c r="M152" s="168"/>
      <c r="N152" s="168"/>
      <c r="O152" s="168"/>
      <c r="P152" s="168"/>
    </row>
    <row r="153" spans="1:16" ht="12.75">
      <c r="A153" s="38">
        <f t="shared" si="2"/>
        <v>130</v>
      </c>
      <c r="B153" s="132">
        <v>2</v>
      </c>
      <c r="C153" s="139" t="s">
        <v>236</v>
      </c>
      <c r="D153" s="146">
        <v>0.9</v>
      </c>
      <c r="F153" s="66" t="s">
        <v>114</v>
      </c>
      <c r="K153" s="168"/>
      <c r="L153" s="168"/>
      <c r="M153" s="168"/>
      <c r="N153" s="168"/>
      <c r="O153" s="168"/>
      <c r="P153" s="168"/>
    </row>
    <row r="154" spans="1:16" ht="12.75">
      <c r="A154" s="38">
        <f aca="true" t="shared" si="3" ref="A154:A211">1+A153</f>
        <v>131</v>
      </c>
      <c r="B154" s="132">
        <v>2</v>
      </c>
      <c r="C154" s="139" t="s">
        <v>238</v>
      </c>
      <c r="D154" s="146">
        <v>0.9</v>
      </c>
      <c r="F154" s="66" t="s">
        <v>114</v>
      </c>
      <c r="K154" s="168"/>
      <c r="L154" s="168"/>
      <c r="M154" s="168"/>
      <c r="N154" s="168"/>
      <c r="O154" s="168"/>
      <c r="P154" s="168"/>
    </row>
    <row r="155" spans="1:16" ht="12.75">
      <c r="A155" s="38">
        <f t="shared" si="3"/>
        <v>132</v>
      </c>
      <c r="B155" s="132">
        <v>2</v>
      </c>
      <c r="C155" s="139" t="s">
        <v>239</v>
      </c>
      <c r="D155" s="146">
        <v>0.8</v>
      </c>
      <c r="F155" s="66" t="s">
        <v>114</v>
      </c>
      <c r="K155" s="168"/>
      <c r="L155" s="168"/>
      <c r="M155" s="168"/>
      <c r="N155" s="168"/>
      <c r="O155" s="168"/>
      <c r="P155" s="168"/>
    </row>
    <row r="156" spans="1:16" ht="12.75">
      <c r="A156" s="38">
        <f t="shared" si="3"/>
        <v>133</v>
      </c>
      <c r="B156" s="132">
        <v>2</v>
      </c>
      <c r="C156" s="139" t="s">
        <v>240</v>
      </c>
      <c r="D156" s="146">
        <v>1</v>
      </c>
      <c r="F156" s="66" t="s">
        <v>114</v>
      </c>
      <c r="K156" s="168"/>
      <c r="L156" s="168"/>
      <c r="M156" s="168"/>
      <c r="N156" s="168"/>
      <c r="O156" s="168"/>
      <c r="P156" s="168"/>
    </row>
    <row r="157" spans="1:16" ht="12.75">
      <c r="A157" s="38">
        <f t="shared" si="3"/>
        <v>134</v>
      </c>
      <c r="B157" s="132">
        <v>2</v>
      </c>
      <c r="C157" s="139" t="s">
        <v>241</v>
      </c>
      <c r="D157" s="146">
        <v>1</v>
      </c>
      <c r="F157" s="66" t="s">
        <v>114</v>
      </c>
      <c r="K157" s="168"/>
      <c r="L157" s="168"/>
      <c r="M157" s="168"/>
      <c r="N157" s="168"/>
      <c r="O157" s="168"/>
      <c r="P157" s="168"/>
    </row>
    <row r="158" spans="1:16" ht="12.75">
      <c r="A158" s="38">
        <f t="shared" si="3"/>
        <v>135</v>
      </c>
      <c r="B158" s="132">
        <v>2</v>
      </c>
      <c r="C158" s="139" t="s">
        <v>237</v>
      </c>
      <c r="D158" s="146">
        <v>1.1</v>
      </c>
      <c r="F158" s="66" t="s">
        <v>114</v>
      </c>
      <c r="K158" s="168"/>
      <c r="L158" s="168"/>
      <c r="M158" s="168"/>
      <c r="N158" s="168"/>
      <c r="O158" s="168"/>
      <c r="P158" s="168"/>
    </row>
    <row r="159" spans="1:16" ht="12.75">
      <c r="A159" s="38">
        <f t="shared" si="3"/>
        <v>136</v>
      </c>
      <c r="B159" s="132">
        <v>1</v>
      </c>
      <c r="C159" s="139" t="s">
        <v>242</v>
      </c>
      <c r="D159" s="146">
        <v>0.9</v>
      </c>
      <c r="F159" s="66" t="s">
        <v>114</v>
      </c>
      <c r="K159" s="168"/>
      <c r="L159" s="168"/>
      <c r="M159" s="168"/>
      <c r="N159" s="168"/>
      <c r="O159" s="168"/>
      <c r="P159" s="168"/>
    </row>
    <row r="160" spans="1:16" ht="12.75">
      <c r="A160" s="38">
        <f t="shared" si="3"/>
        <v>137</v>
      </c>
      <c r="B160" s="132">
        <v>3</v>
      </c>
      <c r="C160" s="139" t="s">
        <v>243</v>
      </c>
      <c r="D160" s="146">
        <v>0.7</v>
      </c>
      <c r="F160" s="66" t="s">
        <v>114</v>
      </c>
      <c r="K160" s="168"/>
      <c r="L160" s="168"/>
      <c r="M160" s="168"/>
      <c r="N160" s="168"/>
      <c r="O160" s="168"/>
      <c r="P160" s="168"/>
    </row>
    <row r="161" spans="1:16" ht="12.75">
      <c r="A161" s="38">
        <f t="shared" si="3"/>
        <v>138</v>
      </c>
      <c r="B161" s="132">
        <v>6</v>
      </c>
      <c r="C161" s="139" t="s">
        <v>244</v>
      </c>
      <c r="D161" s="146">
        <v>1.2</v>
      </c>
      <c r="F161" s="66" t="s">
        <v>114</v>
      </c>
      <c r="K161" s="168"/>
      <c r="L161" s="168"/>
      <c r="M161" s="168"/>
      <c r="N161" s="168"/>
      <c r="O161" s="168"/>
      <c r="P161" s="168"/>
    </row>
    <row r="162" spans="1:16" ht="12.75">
      <c r="A162" s="38">
        <f t="shared" si="3"/>
        <v>139</v>
      </c>
      <c r="B162" s="132">
        <v>6</v>
      </c>
      <c r="C162" s="139" t="s">
        <v>245</v>
      </c>
      <c r="D162" s="146">
        <v>1.1</v>
      </c>
      <c r="F162" s="66" t="s">
        <v>114</v>
      </c>
      <c r="K162" s="168"/>
      <c r="L162" s="168"/>
      <c r="M162" s="168"/>
      <c r="N162" s="168"/>
      <c r="O162" s="168"/>
      <c r="P162" s="168"/>
    </row>
    <row r="163" spans="1:16" ht="12.75">
      <c r="A163" s="38">
        <f t="shared" si="3"/>
        <v>140</v>
      </c>
      <c r="B163" s="132">
        <v>6</v>
      </c>
      <c r="C163" s="139" t="s">
        <v>246</v>
      </c>
      <c r="D163" s="146">
        <v>1.2</v>
      </c>
      <c r="F163" s="66" t="s">
        <v>114</v>
      </c>
      <c r="K163" s="168"/>
      <c r="L163" s="168"/>
      <c r="M163" s="168"/>
      <c r="N163" s="168"/>
      <c r="O163" s="168"/>
      <c r="P163" s="168"/>
    </row>
    <row r="164" spans="1:16" ht="12.75">
      <c r="A164" s="38">
        <f t="shared" si="3"/>
        <v>141</v>
      </c>
      <c r="B164" s="132">
        <v>4</v>
      </c>
      <c r="C164" s="120" t="s">
        <v>315</v>
      </c>
      <c r="D164" s="146">
        <v>1.3</v>
      </c>
      <c r="F164" s="66" t="s">
        <v>114</v>
      </c>
      <c r="K164" s="168"/>
      <c r="L164" s="168"/>
      <c r="M164" s="168"/>
      <c r="N164" s="168"/>
      <c r="O164" s="168"/>
      <c r="P164" s="168"/>
    </row>
    <row r="165" spans="1:16" ht="12.75">
      <c r="A165" s="38">
        <f t="shared" si="3"/>
        <v>142</v>
      </c>
      <c r="B165" s="132">
        <v>4</v>
      </c>
      <c r="C165" s="139" t="s">
        <v>247</v>
      </c>
      <c r="D165" s="146">
        <v>1</v>
      </c>
      <c r="F165" s="66" t="s">
        <v>114</v>
      </c>
      <c r="K165" s="168"/>
      <c r="L165" s="168"/>
      <c r="M165" s="168"/>
      <c r="N165" s="168"/>
      <c r="O165" s="168"/>
      <c r="P165" s="168"/>
    </row>
    <row r="166" spans="1:16" ht="12.75">
      <c r="A166" s="38">
        <f t="shared" si="3"/>
        <v>143</v>
      </c>
      <c r="B166" s="132">
        <v>4</v>
      </c>
      <c r="C166" s="139" t="s">
        <v>248</v>
      </c>
      <c r="D166" s="146">
        <v>1.1</v>
      </c>
      <c r="F166" s="66" t="s">
        <v>114</v>
      </c>
      <c r="K166" s="168"/>
      <c r="L166" s="168"/>
      <c r="M166" s="168"/>
      <c r="N166" s="168"/>
      <c r="O166" s="168"/>
      <c r="P166" s="168"/>
    </row>
    <row r="167" spans="1:16" ht="12.75">
      <c r="A167" s="38">
        <f t="shared" si="3"/>
        <v>144</v>
      </c>
      <c r="B167" s="132">
        <v>4</v>
      </c>
      <c r="C167" s="139" t="s">
        <v>249</v>
      </c>
      <c r="D167" s="146">
        <v>0.9</v>
      </c>
      <c r="F167" s="66" t="s">
        <v>114</v>
      </c>
      <c r="K167" s="168"/>
      <c r="L167" s="168"/>
      <c r="M167" s="168"/>
      <c r="N167" s="168"/>
      <c r="O167" s="168"/>
      <c r="P167" s="168"/>
    </row>
    <row r="168" spans="1:16" ht="12.75">
      <c r="A168" s="38">
        <f t="shared" si="3"/>
        <v>145</v>
      </c>
      <c r="B168" s="132">
        <v>4</v>
      </c>
      <c r="C168" s="139" t="s">
        <v>250</v>
      </c>
      <c r="D168" s="146">
        <v>1.1</v>
      </c>
      <c r="F168" s="66" t="s">
        <v>114</v>
      </c>
      <c r="K168" s="168"/>
      <c r="L168" s="168"/>
      <c r="M168" s="168"/>
      <c r="N168" s="168"/>
      <c r="O168" s="168"/>
      <c r="P168" s="168"/>
    </row>
    <row r="169" spans="1:16" ht="12.75">
      <c r="A169" s="38">
        <f t="shared" si="3"/>
        <v>146</v>
      </c>
      <c r="B169" s="132">
        <v>7</v>
      </c>
      <c r="C169" s="139" t="s">
        <v>251</v>
      </c>
      <c r="D169" s="146">
        <v>1.2</v>
      </c>
      <c r="F169" s="66" t="s">
        <v>114</v>
      </c>
      <c r="K169" s="168"/>
      <c r="L169" s="168"/>
      <c r="M169" s="168"/>
      <c r="N169" s="168"/>
      <c r="O169" s="168"/>
      <c r="P169" s="168"/>
    </row>
    <row r="170" spans="1:16" ht="12.75">
      <c r="A170" s="38">
        <f t="shared" si="3"/>
        <v>147</v>
      </c>
      <c r="B170" s="132">
        <v>7</v>
      </c>
      <c r="C170" s="139" t="s">
        <v>252</v>
      </c>
      <c r="D170" s="146">
        <v>1.9</v>
      </c>
      <c r="F170" s="66" t="s">
        <v>114</v>
      </c>
      <c r="K170" s="168"/>
      <c r="L170" s="168"/>
      <c r="M170" s="168"/>
      <c r="N170" s="168"/>
      <c r="O170" s="168"/>
      <c r="P170" s="168"/>
    </row>
    <row r="171" spans="1:16" ht="12.75">
      <c r="A171" s="38">
        <f t="shared" si="3"/>
        <v>148</v>
      </c>
      <c r="B171" s="132">
        <v>7</v>
      </c>
      <c r="C171" s="139" t="s">
        <v>254</v>
      </c>
      <c r="D171" s="146">
        <v>0.8</v>
      </c>
      <c r="F171" s="66" t="s">
        <v>114</v>
      </c>
      <c r="K171" s="168"/>
      <c r="L171" s="168"/>
      <c r="M171" s="168"/>
      <c r="N171" s="168"/>
      <c r="O171" s="168"/>
      <c r="P171" s="168"/>
    </row>
    <row r="172" spans="1:16" ht="12.75">
      <c r="A172" s="38">
        <f t="shared" si="3"/>
        <v>149</v>
      </c>
      <c r="B172" s="132">
        <v>7</v>
      </c>
      <c r="C172" s="139" t="s">
        <v>253</v>
      </c>
      <c r="D172" s="146">
        <v>0.7</v>
      </c>
      <c r="F172" s="66" t="s">
        <v>114</v>
      </c>
      <c r="K172" s="168"/>
      <c r="L172" s="168"/>
      <c r="M172" s="168"/>
      <c r="N172" s="168"/>
      <c r="O172" s="168"/>
      <c r="P172" s="168"/>
    </row>
    <row r="173" spans="1:16" ht="12.75">
      <c r="A173" s="38">
        <f t="shared" si="3"/>
        <v>150</v>
      </c>
      <c r="B173" s="132">
        <v>7</v>
      </c>
      <c r="C173" s="139" t="s">
        <v>255</v>
      </c>
      <c r="D173" s="146">
        <v>0.3</v>
      </c>
      <c r="F173" s="66" t="s">
        <v>114</v>
      </c>
      <c r="K173" s="168"/>
      <c r="L173" s="168"/>
      <c r="M173" s="168"/>
      <c r="N173" s="168"/>
      <c r="O173" s="168"/>
      <c r="P173" s="168"/>
    </row>
    <row r="174" spans="1:16" ht="12.75">
      <c r="A174" s="38">
        <f t="shared" si="3"/>
        <v>151</v>
      </c>
      <c r="B174" s="132">
        <v>7</v>
      </c>
      <c r="C174" s="139" t="s">
        <v>256</v>
      </c>
      <c r="D174" s="146">
        <v>0.4</v>
      </c>
      <c r="F174" s="66" t="s">
        <v>114</v>
      </c>
      <c r="K174" s="168"/>
      <c r="L174" s="168"/>
      <c r="M174" s="168"/>
      <c r="N174" s="168"/>
      <c r="O174" s="168"/>
      <c r="P174" s="168"/>
    </row>
    <row r="175" spans="1:16" ht="12.75">
      <c r="A175" s="38">
        <f t="shared" si="3"/>
        <v>152</v>
      </c>
      <c r="B175" s="132">
        <v>7</v>
      </c>
      <c r="C175" s="139" t="s">
        <v>257</v>
      </c>
      <c r="D175" s="146">
        <v>1.1</v>
      </c>
      <c r="F175" s="66" t="s">
        <v>114</v>
      </c>
      <c r="K175" s="168"/>
      <c r="L175" s="168"/>
      <c r="M175" s="168"/>
      <c r="N175" s="168"/>
      <c r="O175" s="168"/>
      <c r="P175" s="168"/>
    </row>
    <row r="176" spans="1:16" ht="12.75">
      <c r="A176" s="38">
        <f t="shared" si="3"/>
        <v>153</v>
      </c>
      <c r="B176" s="132">
        <v>7</v>
      </c>
      <c r="C176" s="139" t="s">
        <v>258</v>
      </c>
      <c r="D176" s="146">
        <v>1</v>
      </c>
      <c r="F176" s="66" t="s">
        <v>114</v>
      </c>
      <c r="K176" s="168"/>
      <c r="L176" s="168"/>
      <c r="M176" s="168"/>
      <c r="N176" s="168"/>
      <c r="O176" s="168"/>
      <c r="P176" s="168"/>
    </row>
    <row r="177" spans="1:16" ht="12.75">
      <c r="A177" s="38">
        <f t="shared" si="3"/>
        <v>154</v>
      </c>
      <c r="B177" s="132">
        <v>7</v>
      </c>
      <c r="C177" s="139" t="s">
        <v>259</v>
      </c>
      <c r="D177" s="146">
        <v>0.6</v>
      </c>
      <c r="F177" s="66" t="s">
        <v>114</v>
      </c>
      <c r="K177" s="168"/>
      <c r="L177" s="168"/>
      <c r="M177" s="168"/>
      <c r="N177" s="168"/>
      <c r="O177" s="168"/>
      <c r="P177" s="168"/>
    </row>
    <row r="178" spans="1:16" ht="12.75">
      <c r="A178" s="38">
        <f t="shared" si="3"/>
        <v>155</v>
      </c>
      <c r="B178" s="132">
        <v>7</v>
      </c>
      <c r="C178" s="139" t="s">
        <v>260</v>
      </c>
      <c r="D178" s="146">
        <v>1.2</v>
      </c>
      <c r="F178" s="66" t="s">
        <v>114</v>
      </c>
      <c r="K178" s="168"/>
      <c r="L178" s="168"/>
      <c r="M178" s="168"/>
      <c r="N178" s="168"/>
      <c r="O178" s="168"/>
      <c r="P178" s="168"/>
    </row>
    <row r="179" spans="1:16" ht="12.75">
      <c r="A179" s="38">
        <f t="shared" si="3"/>
        <v>156</v>
      </c>
      <c r="B179" s="132">
        <v>7</v>
      </c>
      <c r="C179" s="139" t="s">
        <v>261</v>
      </c>
      <c r="D179" s="146">
        <v>0.5</v>
      </c>
      <c r="F179" s="66" t="s">
        <v>114</v>
      </c>
      <c r="K179" s="168"/>
      <c r="L179" s="168"/>
      <c r="M179" s="168"/>
      <c r="N179" s="168"/>
      <c r="O179" s="168"/>
      <c r="P179" s="168"/>
    </row>
    <row r="180" spans="1:16" ht="12.75">
      <c r="A180" s="38">
        <f t="shared" si="3"/>
        <v>157</v>
      </c>
      <c r="B180" s="132">
        <v>7</v>
      </c>
      <c r="C180" s="139" t="s">
        <v>262</v>
      </c>
      <c r="D180" s="146">
        <v>0.7</v>
      </c>
      <c r="F180" s="66" t="s">
        <v>114</v>
      </c>
      <c r="K180" s="168"/>
      <c r="L180" s="168"/>
      <c r="M180" s="168"/>
      <c r="N180" s="168"/>
      <c r="O180" s="168"/>
      <c r="P180" s="168"/>
    </row>
    <row r="181" spans="1:16" ht="12.75">
      <c r="A181" s="38">
        <f t="shared" si="3"/>
        <v>158</v>
      </c>
      <c r="B181" s="132">
        <v>7</v>
      </c>
      <c r="C181" s="139" t="s">
        <v>263</v>
      </c>
      <c r="D181" s="146">
        <v>1.5</v>
      </c>
      <c r="F181" s="66" t="s">
        <v>114</v>
      </c>
      <c r="K181" s="168"/>
      <c r="L181" s="168"/>
      <c r="M181" s="168"/>
      <c r="N181" s="168"/>
      <c r="O181" s="168"/>
      <c r="P181" s="168"/>
    </row>
    <row r="182" spans="1:16" ht="12.75">
      <c r="A182" s="38">
        <f t="shared" si="3"/>
        <v>159</v>
      </c>
      <c r="B182" s="132">
        <v>7</v>
      </c>
      <c r="C182" s="139" t="s">
        <v>264</v>
      </c>
      <c r="D182" s="146">
        <v>1.2</v>
      </c>
      <c r="F182" s="66" t="s">
        <v>114</v>
      </c>
      <c r="K182" s="168"/>
      <c r="L182" s="168"/>
      <c r="M182" s="168"/>
      <c r="N182" s="168"/>
      <c r="O182" s="168"/>
      <c r="P182" s="168"/>
    </row>
    <row r="183" spans="1:16" ht="12.75">
      <c r="A183" s="38">
        <f t="shared" si="3"/>
        <v>160</v>
      </c>
      <c r="B183" s="132">
        <v>7</v>
      </c>
      <c r="C183" s="139" t="s">
        <v>265</v>
      </c>
      <c r="D183" s="146">
        <v>0.6</v>
      </c>
      <c r="F183" s="66" t="s">
        <v>114</v>
      </c>
      <c r="K183" s="168"/>
      <c r="L183" s="168"/>
      <c r="M183" s="168"/>
      <c r="N183" s="168"/>
      <c r="O183" s="168"/>
      <c r="P183" s="168"/>
    </row>
    <row r="184" spans="1:16" ht="12.75">
      <c r="A184" s="38">
        <f t="shared" si="3"/>
        <v>161</v>
      </c>
      <c r="B184" s="132">
        <v>7</v>
      </c>
      <c r="C184" s="139" t="s">
        <v>266</v>
      </c>
      <c r="D184" s="146">
        <v>1.1</v>
      </c>
      <c r="F184" s="66" t="s">
        <v>114</v>
      </c>
      <c r="K184" s="168"/>
      <c r="L184" s="168"/>
      <c r="M184" s="168"/>
      <c r="N184" s="168"/>
      <c r="O184" s="168"/>
      <c r="P184" s="168"/>
    </row>
    <row r="185" spans="1:16" ht="12.75">
      <c r="A185" s="38">
        <f t="shared" si="3"/>
        <v>162</v>
      </c>
      <c r="B185" s="132">
        <v>7</v>
      </c>
      <c r="C185" s="139" t="s">
        <v>267</v>
      </c>
      <c r="D185" s="146">
        <v>0.7</v>
      </c>
      <c r="F185" s="66" t="s">
        <v>114</v>
      </c>
      <c r="K185" s="168"/>
      <c r="L185" s="168"/>
      <c r="M185" s="168"/>
      <c r="N185" s="168"/>
      <c r="O185" s="168"/>
      <c r="P185" s="168"/>
    </row>
    <row r="186" spans="1:16" ht="12.75">
      <c r="A186" s="38">
        <f t="shared" si="3"/>
        <v>163</v>
      </c>
      <c r="B186" s="132">
        <v>7</v>
      </c>
      <c r="C186" s="139" t="s">
        <v>268</v>
      </c>
      <c r="D186" s="146">
        <v>0.6</v>
      </c>
      <c r="F186" s="66" t="s">
        <v>114</v>
      </c>
      <c r="K186" s="168"/>
      <c r="L186" s="168"/>
      <c r="M186" s="168"/>
      <c r="N186" s="168"/>
      <c r="O186" s="168"/>
      <c r="P186" s="168"/>
    </row>
    <row r="187" spans="1:16" ht="12.75">
      <c r="A187" s="38">
        <f t="shared" si="3"/>
        <v>164</v>
      </c>
      <c r="B187" s="132">
        <v>7</v>
      </c>
      <c r="C187" s="139" t="s">
        <v>269</v>
      </c>
      <c r="D187" s="146">
        <v>1</v>
      </c>
      <c r="F187" s="66" t="s">
        <v>114</v>
      </c>
      <c r="K187" s="168"/>
      <c r="L187" s="168"/>
      <c r="M187" s="168"/>
      <c r="N187" s="168"/>
      <c r="O187" s="168"/>
      <c r="P187" s="168"/>
    </row>
    <row r="188" spans="1:16" ht="12.75">
      <c r="A188" s="38">
        <f t="shared" si="3"/>
        <v>165</v>
      </c>
      <c r="B188" s="132">
        <v>7</v>
      </c>
      <c r="C188" s="139" t="s">
        <v>270</v>
      </c>
      <c r="D188" s="146">
        <v>1.4</v>
      </c>
      <c r="F188" s="66" t="s">
        <v>114</v>
      </c>
      <c r="K188" s="168"/>
      <c r="L188" s="168"/>
      <c r="M188" s="168"/>
      <c r="N188" s="168"/>
      <c r="O188" s="168"/>
      <c r="P188" s="168"/>
    </row>
    <row r="189" spans="1:16" ht="12.75">
      <c r="A189" s="38">
        <f t="shared" si="3"/>
        <v>166</v>
      </c>
      <c r="B189" s="132">
        <v>8</v>
      </c>
      <c r="C189" s="139" t="s">
        <v>271</v>
      </c>
      <c r="D189" s="146">
        <v>1.1</v>
      </c>
      <c r="F189" s="66" t="s">
        <v>114</v>
      </c>
      <c r="K189" s="168"/>
      <c r="L189" s="168"/>
      <c r="M189" s="168"/>
      <c r="N189" s="168"/>
      <c r="O189" s="168"/>
      <c r="P189" s="168"/>
    </row>
    <row r="190" spans="1:16" ht="12.75">
      <c r="A190" s="38">
        <f t="shared" si="3"/>
        <v>167</v>
      </c>
      <c r="B190" s="132">
        <v>8</v>
      </c>
      <c r="C190" s="139" t="s">
        <v>272</v>
      </c>
      <c r="D190" s="146">
        <v>1</v>
      </c>
      <c r="F190" s="66" t="s">
        <v>114</v>
      </c>
      <c r="K190" s="168"/>
      <c r="L190" s="168"/>
      <c r="M190" s="168"/>
      <c r="N190" s="168"/>
      <c r="O190" s="168"/>
      <c r="P190" s="168"/>
    </row>
    <row r="191" spans="1:16" ht="12.75">
      <c r="A191" s="38">
        <f t="shared" si="3"/>
        <v>168</v>
      </c>
      <c r="B191" s="132">
        <v>3</v>
      </c>
      <c r="C191" s="139" t="s">
        <v>274</v>
      </c>
      <c r="D191" s="146">
        <v>1.2</v>
      </c>
      <c r="F191" s="66" t="s">
        <v>114</v>
      </c>
      <c r="K191" s="168"/>
      <c r="L191" s="168"/>
      <c r="M191" s="168"/>
      <c r="N191" s="168"/>
      <c r="O191" s="168"/>
      <c r="P191" s="168"/>
    </row>
    <row r="192" spans="1:16" ht="12.75">
      <c r="A192" s="38">
        <f t="shared" si="3"/>
        <v>169</v>
      </c>
      <c r="B192" s="132">
        <v>3</v>
      </c>
      <c r="C192" s="139" t="s">
        <v>275</v>
      </c>
      <c r="D192" s="146">
        <v>0.9</v>
      </c>
      <c r="F192" s="66" t="s">
        <v>114</v>
      </c>
      <c r="K192" s="168"/>
      <c r="L192" s="168"/>
      <c r="M192" s="168"/>
      <c r="N192" s="168"/>
      <c r="O192" s="168"/>
      <c r="P192" s="168"/>
    </row>
    <row r="193" spans="1:16" ht="12.75">
      <c r="A193" s="38">
        <f t="shared" si="3"/>
        <v>170</v>
      </c>
      <c r="B193" s="132">
        <v>3</v>
      </c>
      <c r="C193" s="139" t="s">
        <v>276</v>
      </c>
      <c r="D193" s="146">
        <v>1.1</v>
      </c>
      <c r="F193" s="66" t="s">
        <v>114</v>
      </c>
      <c r="K193" s="168"/>
      <c r="L193" s="168"/>
      <c r="M193" s="168"/>
      <c r="N193" s="168"/>
      <c r="O193" s="168"/>
      <c r="P193" s="168"/>
    </row>
    <row r="194" spans="1:16" ht="12.75">
      <c r="A194" s="38">
        <f t="shared" si="3"/>
        <v>171</v>
      </c>
      <c r="B194" s="132">
        <v>3</v>
      </c>
      <c r="C194" s="139" t="s">
        <v>277</v>
      </c>
      <c r="D194" s="146">
        <v>1.2</v>
      </c>
      <c r="F194" s="66" t="s">
        <v>114</v>
      </c>
      <c r="K194" s="168"/>
      <c r="L194" s="168"/>
      <c r="M194" s="168"/>
      <c r="N194" s="168"/>
      <c r="O194" s="168"/>
      <c r="P194" s="168"/>
    </row>
    <row r="195" spans="1:16" ht="12.75">
      <c r="A195" s="38">
        <f t="shared" si="3"/>
        <v>172</v>
      </c>
      <c r="B195" s="132">
        <v>1</v>
      </c>
      <c r="C195" s="139" t="s">
        <v>273</v>
      </c>
      <c r="D195" s="146">
        <v>1.2</v>
      </c>
      <c r="F195" s="66" t="s">
        <v>114</v>
      </c>
      <c r="K195" s="168"/>
      <c r="L195" s="168"/>
      <c r="M195" s="168"/>
      <c r="N195" s="168"/>
      <c r="O195" s="168"/>
      <c r="P195" s="168"/>
    </row>
    <row r="196" spans="1:16" ht="12.75">
      <c r="A196" s="38">
        <f t="shared" si="3"/>
        <v>173</v>
      </c>
      <c r="B196" s="132">
        <v>9</v>
      </c>
      <c r="C196" s="139" t="s">
        <v>278</v>
      </c>
      <c r="D196" s="146">
        <v>1.3</v>
      </c>
      <c r="F196" s="66" t="s">
        <v>114</v>
      </c>
      <c r="K196" s="168"/>
      <c r="L196" s="168"/>
      <c r="M196" s="168"/>
      <c r="N196" s="168"/>
      <c r="O196" s="168"/>
      <c r="P196" s="168"/>
    </row>
    <row r="197" spans="1:16" ht="12.75">
      <c r="A197" s="38">
        <f t="shared" si="3"/>
        <v>174</v>
      </c>
      <c r="B197" s="132">
        <v>9</v>
      </c>
      <c r="C197" s="139" t="s">
        <v>279</v>
      </c>
      <c r="D197" s="146">
        <v>1.3</v>
      </c>
      <c r="F197" s="66" t="s">
        <v>114</v>
      </c>
      <c r="K197" s="168"/>
      <c r="L197" s="168"/>
      <c r="M197" s="168"/>
      <c r="N197" s="168"/>
      <c r="O197" s="168"/>
      <c r="P197" s="168"/>
    </row>
    <row r="198" spans="1:16" ht="12.75">
      <c r="A198" s="38">
        <f t="shared" si="3"/>
        <v>175</v>
      </c>
      <c r="B198" s="132">
        <v>9</v>
      </c>
      <c r="C198" s="120" t="s">
        <v>316</v>
      </c>
      <c r="D198" s="146">
        <v>1.1</v>
      </c>
      <c r="F198" s="66" t="s">
        <v>114</v>
      </c>
      <c r="K198" s="168"/>
      <c r="L198" s="168"/>
      <c r="M198" s="168"/>
      <c r="N198" s="168"/>
      <c r="O198" s="168"/>
      <c r="P198" s="168"/>
    </row>
    <row r="199" spans="1:16" ht="12.75">
      <c r="A199" s="38">
        <f t="shared" si="3"/>
        <v>176</v>
      </c>
      <c r="B199" s="132">
        <v>9</v>
      </c>
      <c r="C199" s="139" t="s">
        <v>280</v>
      </c>
      <c r="D199" s="146">
        <v>1.6</v>
      </c>
      <c r="F199" s="66" t="s">
        <v>114</v>
      </c>
      <c r="K199" s="168"/>
      <c r="L199" s="168"/>
      <c r="M199" s="168"/>
      <c r="N199" s="168"/>
      <c r="O199" s="168"/>
      <c r="P199" s="168"/>
    </row>
    <row r="200" spans="1:16" ht="12.75">
      <c r="A200" s="38">
        <f t="shared" si="3"/>
        <v>177</v>
      </c>
      <c r="B200" s="132">
        <v>9</v>
      </c>
      <c r="C200" s="120" t="s">
        <v>317</v>
      </c>
      <c r="D200" s="146">
        <v>1.1</v>
      </c>
      <c r="F200" s="66" t="s">
        <v>114</v>
      </c>
      <c r="K200" s="168"/>
      <c r="L200" s="168"/>
      <c r="M200" s="168"/>
      <c r="N200" s="168"/>
      <c r="O200" s="168"/>
      <c r="P200" s="168"/>
    </row>
    <row r="201" spans="1:16" ht="12.75">
      <c r="A201" s="38">
        <f t="shared" si="3"/>
        <v>178</v>
      </c>
      <c r="B201" s="132">
        <v>9</v>
      </c>
      <c r="C201" s="139" t="s">
        <v>281</v>
      </c>
      <c r="D201" s="146">
        <v>1.4</v>
      </c>
      <c r="F201" s="66" t="s">
        <v>114</v>
      </c>
      <c r="K201" s="168"/>
      <c r="L201" s="168"/>
      <c r="M201" s="168"/>
      <c r="N201" s="168"/>
      <c r="O201" s="168"/>
      <c r="P201" s="168"/>
    </row>
    <row r="202" spans="1:16" ht="12.75">
      <c r="A202" s="38">
        <f t="shared" si="3"/>
        <v>179</v>
      </c>
      <c r="B202" s="132">
        <v>5</v>
      </c>
      <c r="C202" s="139" t="s">
        <v>286</v>
      </c>
      <c r="D202" s="146">
        <v>1.3</v>
      </c>
      <c r="F202" s="66" t="s">
        <v>114</v>
      </c>
      <c r="K202" s="168"/>
      <c r="L202" s="168"/>
      <c r="M202" s="168"/>
      <c r="N202" s="168"/>
      <c r="O202" s="168"/>
      <c r="P202" s="168"/>
    </row>
    <row r="203" spans="1:16" ht="12.75">
      <c r="A203" s="38">
        <f t="shared" si="3"/>
        <v>180</v>
      </c>
      <c r="B203" s="132">
        <v>5</v>
      </c>
      <c r="C203" s="139" t="s">
        <v>287</v>
      </c>
      <c r="D203" s="146">
        <v>1.2</v>
      </c>
      <c r="F203" s="66" t="s">
        <v>114</v>
      </c>
      <c r="K203" s="168"/>
      <c r="L203" s="168"/>
      <c r="M203" s="168"/>
      <c r="N203" s="168"/>
      <c r="O203" s="168"/>
      <c r="P203" s="168"/>
    </row>
    <row r="204" spans="1:16" ht="12.75">
      <c r="A204" s="38">
        <f t="shared" si="3"/>
        <v>181</v>
      </c>
      <c r="B204" s="132">
        <v>5</v>
      </c>
      <c r="C204" s="139" t="s">
        <v>288</v>
      </c>
      <c r="D204" s="146">
        <v>1.1</v>
      </c>
      <c r="F204" s="66" t="s">
        <v>114</v>
      </c>
      <c r="K204" s="168"/>
      <c r="L204" s="168"/>
      <c r="M204" s="168"/>
      <c r="N204" s="168"/>
      <c r="O204" s="168"/>
      <c r="P204" s="168"/>
    </row>
    <row r="205" spans="1:16" ht="12.75">
      <c r="A205" s="38">
        <f t="shared" si="3"/>
        <v>182</v>
      </c>
      <c r="B205" s="132">
        <v>3</v>
      </c>
      <c r="C205" s="139" t="s">
        <v>282</v>
      </c>
      <c r="D205" s="146">
        <v>1.5</v>
      </c>
      <c r="F205" s="66" t="s">
        <v>114</v>
      </c>
      <c r="K205" s="168"/>
      <c r="L205" s="168"/>
      <c r="M205" s="168"/>
      <c r="N205" s="168"/>
      <c r="O205" s="168"/>
      <c r="P205" s="168"/>
    </row>
    <row r="206" spans="1:16" ht="12.75">
      <c r="A206" s="38">
        <f t="shared" si="3"/>
        <v>183</v>
      </c>
      <c r="B206" s="132">
        <v>3</v>
      </c>
      <c r="C206" s="139" t="s">
        <v>283</v>
      </c>
      <c r="D206" s="146">
        <v>1.3</v>
      </c>
      <c r="F206" s="66" t="s">
        <v>114</v>
      </c>
      <c r="K206" s="168"/>
      <c r="L206" s="168"/>
      <c r="M206" s="168"/>
      <c r="N206" s="168"/>
      <c r="O206" s="168"/>
      <c r="P206" s="168"/>
    </row>
    <row r="207" spans="1:16" ht="12.75">
      <c r="A207" s="38">
        <f t="shared" si="3"/>
        <v>184</v>
      </c>
      <c r="B207" s="132">
        <v>3</v>
      </c>
      <c r="C207" s="139" t="s">
        <v>284</v>
      </c>
      <c r="D207" s="146">
        <v>1.7</v>
      </c>
      <c r="F207" s="66" t="s">
        <v>114</v>
      </c>
      <c r="K207" s="168"/>
      <c r="L207" s="168"/>
      <c r="M207" s="168"/>
      <c r="N207" s="168"/>
      <c r="O207" s="168"/>
      <c r="P207" s="168"/>
    </row>
    <row r="208" spans="1:16" ht="12.75">
      <c r="A208" s="38">
        <f t="shared" si="3"/>
        <v>185</v>
      </c>
      <c r="B208" s="132">
        <v>3</v>
      </c>
      <c r="C208" s="139" t="s">
        <v>285</v>
      </c>
      <c r="D208" s="146">
        <v>1.3</v>
      </c>
      <c r="F208" s="66" t="s">
        <v>114</v>
      </c>
      <c r="K208" s="168"/>
      <c r="L208" s="168"/>
      <c r="M208" s="168"/>
      <c r="N208" s="168"/>
      <c r="O208" s="168"/>
      <c r="P208" s="168"/>
    </row>
    <row r="209" spans="1:16" ht="12.75">
      <c r="A209" s="38">
        <f t="shared" si="3"/>
        <v>186</v>
      </c>
      <c r="B209" s="132">
        <v>8</v>
      </c>
      <c r="C209" s="139" t="s">
        <v>289</v>
      </c>
      <c r="D209" s="146">
        <v>1.3</v>
      </c>
      <c r="F209" s="66" t="s">
        <v>114</v>
      </c>
      <c r="K209" s="168"/>
      <c r="L209" s="168"/>
      <c r="M209" s="168"/>
      <c r="N209" s="168"/>
      <c r="O209" s="168"/>
      <c r="P209" s="168"/>
    </row>
    <row r="210" spans="1:16" ht="12.75">
      <c r="A210" s="38">
        <f t="shared" si="3"/>
        <v>187</v>
      </c>
      <c r="B210" s="132">
        <v>8</v>
      </c>
      <c r="C210" s="139" t="s">
        <v>290</v>
      </c>
      <c r="D210" s="146">
        <v>1.4</v>
      </c>
      <c r="F210" s="66" t="s">
        <v>114</v>
      </c>
      <c r="K210" s="168"/>
      <c r="L210" s="168"/>
      <c r="M210" s="168"/>
      <c r="N210" s="168"/>
      <c r="O210" s="168"/>
      <c r="P210" s="168"/>
    </row>
    <row r="211" spans="1:16" ht="12.75">
      <c r="A211" s="38">
        <f t="shared" si="3"/>
        <v>188</v>
      </c>
      <c r="B211" s="132">
        <v>8</v>
      </c>
      <c r="C211" s="139" t="s">
        <v>291</v>
      </c>
      <c r="D211" s="146">
        <v>1.4</v>
      </c>
      <c r="F211" s="66" t="s">
        <v>114</v>
      </c>
      <c r="K211" s="168"/>
      <c r="L211" s="168"/>
      <c r="M211" s="168"/>
      <c r="N211" s="168"/>
      <c r="O211" s="168"/>
      <c r="P211" s="168"/>
    </row>
    <row r="212" spans="1:16" ht="12.75">
      <c r="A212" s="116"/>
      <c r="B212" s="116"/>
      <c r="C212" s="102"/>
      <c r="D212" s="100"/>
      <c r="F212" s="66"/>
      <c r="H212" s="172"/>
      <c r="I212" s="172"/>
      <c r="J212" s="172"/>
      <c r="K212" s="172"/>
      <c r="L212" s="168"/>
      <c r="M212" s="168"/>
      <c r="N212" s="168"/>
      <c r="O212" s="168"/>
      <c r="P212" s="168"/>
    </row>
    <row r="213" spans="1:22" s="38" customFormat="1" ht="15">
      <c r="A213" s="162"/>
      <c r="B213" s="162"/>
      <c r="C213" s="163" t="s">
        <v>109</v>
      </c>
      <c r="E213" s="95"/>
      <c r="F213" s="66"/>
      <c r="G213" s="175"/>
      <c r="H213" s="175"/>
      <c r="I213" s="175"/>
      <c r="J213" s="175"/>
      <c r="K213" s="167"/>
      <c r="L213" s="167"/>
      <c r="M213" s="167"/>
      <c r="N213" s="167"/>
      <c r="O213" s="167"/>
      <c r="P213" s="167"/>
      <c r="Q213" s="167"/>
      <c r="R213" s="167"/>
      <c r="S213" s="167"/>
      <c r="T213" s="167"/>
      <c r="U213" s="167"/>
      <c r="V213" s="167"/>
    </row>
    <row r="214" spans="3:16" ht="12.75">
      <c r="C214" s="137" t="s">
        <v>326</v>
      </c>
      <c r="D214" s="164">
        <v>0.166</v>
      </c>
      <c r="E214" s="95"/>
      <c r="F214" s="66" t="s">
        <v>325</v>
      </c>
      <c r="H214" s="172"/>
      <c r="I214" s="172"/>
      <c r="J214" s="172"/>
      <c r="K214" s="172"/>
      <c r="L214" s="168"/>
      <c r="M214" s="168"/>
      <c r="N214" s="168"/>
      <c r="O214" s="168"/>
      <c r="P214" s="168"/>
    </row>
    <row r="215" spans="3:16" ht="12.75">
      <c r="C215" s="137" t="s">
        <v>327</v>
      </c>
      <c r="D215" s="164">
        <v>0.276</v>
      </c>
      <c r="E215" s="95"/>
      <c r="F215" s="66" t="s">
        <v>325</v>
      </c>
      <c r="H215" s="172"/>
      <c r="I215" s="172"/>
      <c r="J215" s="172"/>
      <c r="K215" s="172"/>
      <c r="L215" s="168"/>
      <c r="M215" s="168"/>
      <c r="N215" s="168"/>
      <c r="O215" s="168"/>
      <c r="P215" s="168"/>
    </row>
    <row r="216" spans="3:16" ht="12.75">
      <c r="C216" s="137" t="s">
        <v>328</v>
      </c>
      <c r="D216" s="165">
        <f>(IF(D22&lt;=VLOOKUP(H24,M36:Q43,4),D215,IF(D22&gt;=VLOOKUP(H24,M36:Q43,5),D214,(VLOOKUP(H24,M36:Q43,2)*D22+VLOOKUP(H24,M36:Q43,3)))))</f>
        <v>0.21950000000000003</v>
      </c>
      <c r="E216" s="95"/>
      <c r="F216" s="66" t="s">
        <v>334</v>
      </c>
      <c r="H216" s="172"/>
      <c r="I216" s="172"/>
      <c r="J216" s="172"/>
      <c r="K216" s="172"/>
      <c r="L216" s="168"/>
      <c r="M216" s="168"/>
      <c r="N216" s="168"/>
      <c r="O216" s="168"/>
      <c r="P216" s="168"/>
    </row>
    <row r="217" spans="3:16" ht="12.75">
      <c r="C217" s="96"/>
      <c r="D217" s="155"/>
      <c r="E217" s="95"/>
      <c r="F217" s="66"/>
      <c r="H217" s="172"/>
      <c r="I217" s="172"/>
      <c r="J217" s="172"/>
      <c r="K217" s="172"/>
      <c r="L217" s="168"/>
      <c r="M217" s="168"/>
      <c r="N217" s="168"/>
      <c r="O217" s="168"/>
      <c r="P217" s="168"/>
    </row>
    <row r="218" spans="3:16" ht="15">
      <c r="C218" s="140" t="s">
        <v>24</v>
      </c>
      <c r="D218" s="100"/>
      <c r="E218" s="95"/>
      <c r="F218" s="66"/>
      <c r="H218" s="172"/>
      <c r="I218" s="172"/>
      <c r="J218" s="172"/>
      <c r="K218" s="172"/>
      <c r="L218" s="168"/>
      <c r="M218" s="168"/>
      <c r="N218" s="168"/>
      <c r="O218" s="168"/>
      <c r="P218" s="168"/>
    </row>
    <row r="219" spans="3:16" ht="39.75" customHeight="1">
      <c r="C219" s="141" t="s">
        <v>25</v>
      </c>
      <c r="D219" s="156">
        <v>0.04</v>
      </c>
      <c r="E219" s="95"/>
      <c r="F219" s="101" t="s">
        <v>26</v>
      </c>
      <c r="H219" s="172"/>
      <c r="I219" s="172"/>
      <c r="J219" s="172"/>
      <c r="K219" s="172"/>
      <c r="L219" s="168"/>
      <c r="M219" s="168"/>
      <c r="N219" s="168"/>
      <c r="O219" s="168"/>
      <c r="P219" s="168"/>
    </row>
    <row r="220" spans="3:16" ht="12.75">
      <c r="C220" s="102"/>
      <c r="D220" s="100"/>
      <c r="E220" s="95"/>
      <c r="F220" s="66"/>
      <c r="H220" s="172"/>
      <c r="I220" s="172"/>
      <c r="J220" s="172"/>
      <c r="K220" s="172"/>
      <c r="L220" s="168"/>
      <c r="M220" s="168"/>
      <c r="N220" s="168"/>
      <c r="O220" s="168"/>
      <c r="P220" s="168"/>
    </row>
    <row r="221" spans="3:16" ht="15">
      <c r="C221" s="103" t="s">
        <v>63</v>
      </c>
      <c r="D221" s="100"/>
      <c r="E221" s="95"/>
      <c r="F221" s="66"/>
      <c r="H221" s="172"/>
      <c r="I221" s="172"/>
      <c r="J221" s="172"/>
      <c r="K221" s="172"/>
      <c r="L221" s="168"/>
      <c r="M221" s="168"/>
      <c r="N221" s="168"/>
      <c r="O221" s="168"/>
      <c r="P221" s="168"/>
    </row>
    <row r="222" spans="3:16" ht="12.75">
      <c r="C222" s="96" t="s">
        <v>59</v>
      </c>
      <c r="D222" s="157">
        <v>139000</v>
      </c>
      <c r="E222" s="97" t="s">
        <v>45</v>
      </c>
      <c r="F222" s="66" t="s">
        <v>65</v>
      </c>
      <c r="H222" s="172"/>
      <c r="I222" s="172"/>
      <c r="J222" s="172"/>
      <c r="K222" s="172"/>
      <c r="L222" s="168"/>
      <c r="M222" s="168"/>
      <c r="N222" s="168"/>
      <c r="O222" s="168"/>
      <c r="P222" s="168"/>
    </row>
    <row r="223" spans="3:16" ht="12.75">
      <c r="C223" s="96" t="s">
        <v>60</v>
      </c>
      <c r="D223" s="157">
        <v>100000</v>
      </c>
      <c r="E223" s="97" t="s">
        <v>48</v>
      </c>
      <c r="F223" s="66" t="s">
        <v>52</v>
      </c>
      <c r="H223" s="172"/>
      <c r="I223" s="172"/>
      <c r="J223" s="172"/>
      <c r="K223" s="172"/>
      <c r="L223" s="168"/>
      <c r="M223" s="168"/>
      <c r="N223" s="168"/>
      <c r="O223" s="168"/>
      <c r="P223" s="168"/>
    </row>
    <row r="224" spans="3:16" ht="15">
      <c r="C224" s="103"/>
      <c r="D224" s="100"/>
      <c r="E224" s="95"/>
      <c r="F224" s="66"/>
      <c r="H224" s="172"/>
      <c r="I224" s="172"/>
      <c r="J224" s="172"/>
      <c r="K224" s="172"/>
      <c r="L224" s="168"/>
      <c r="M224" s="168"/>
      <c r="N224" s="168"/>
      <c r="O224" s="168"/>
      <c r="P224" s="168"/>
    </row>
    <row r="225" spans="3:16" ht="15">
      <c r="C225" s="103" t="s">
        <v>39</v>
      </c>
      <c r="D225" s="100"/>
      <c r="E225" s="95"/>
      <c r="F225" s="66"/>
      <c r="K225" s="168"/>
      <c r="L225" s="168"/>
      <c r="M225" s="168"/>
      <c r="N225" s="168"/>
      <c r="O225" s="168"/>
      <c r="P225" s="168"/>
    </row>
    <row r="226" spans="3:16" ht="12.75">
      <c r="C226" s="96" t="s">
        <v>66</v>
      </c>
      <c r="D226" s="127">
        <v>2.68</v>
      </c>
      <c r="E226" s="95" t="s">
        <v>46</v>
      </c>
      <c r="F226" s="66" t="s">
        <v>338</v>
      </c>
      <c r="K226" s="168"/>
      <c r="L226" s="168"/>
      <c r="M226" s="168"/>
      <c r="N226" s="168"/>
      <c r="O226" s="168"/>
      <c r="P226" s="168"/>
    </row>
    <row r="227" spans="3:16" ht="12.75">
      <c r="C227" s="160" t="s">
        <v>67</v>
      </c>
      <c r="D227" s="158">
        <v>1.1</v>
      </c>
      <c r="E227" s="109" t="s">
        <v>61</v>
      </c>
      <c r="F227" s="197" t="s">
        <v>338</v>
      </c>
      <c r="M227" s="168"/>
      <c r="N227" s="168"/>
      <c r="O227" s="168"/>
      <c r="P227" s="168"/>
    </row>
    <row r="228" spans="3:16" ht="12.75">
      <c r="C228" s="160" t="s">
        <v>68</v>
      </c>
      <c r="D228" s="158">
        <v>1.27</v>
      </c>
      <c r="E228" s="109" t="s">
        <v>61</v>
      </c>
      <c r="F228" s="197" t="s">
        <v>338</v>
      </c>
      <c r="M228" s="168"/>
      <c r="N228" s="168"/>
      <c r="O228" s="168"/>
      <c r="P228" s="168"/>
    </row>
    <row r="229" spans="3:16" ht="12.75">
      <c r="C229" s="96"/>
      <c r="D229" s="100"/>
      <c r="E229" s="95"/>
      <c r="F229" s="66"/>
      <c r="M229" s="168"/>
      <c r="N229" s="168"/>
      <c r="O229" s="168"/>
      <c r="P229" s="168"/>
    </row>
    <row r="230" spans="3:16" ht="15">
      <c r="C230" s="103" t="s">
        <v>34</v>
      </c>
      <c r="D230" s="100"/>
      <c r="E230" s="95"/>
      <c r="F230" s="66"/>
      <c r="M230" s="168"/>
      <c r="N230" s="168"/>
      <c r="O230" s="168"/>
      <c r="P230" s="168"/>
    </row>
    <row r="231" spans="3:16" ht="15.75">
      <c r="C231" s="96" t="s">
        <v>69</v>
      </c>
      <c r="D231" s="100">
        <v>161.27</v>
      </c>
      <c r="E231" s="95" t="s">
        <v>53</v>
      </c>
      <c r="F231" s="66" t="s">
        <v>336</v>
      </c>
      <c r="M231" s="168"/>
      <c r="N231" s="168"/>
      <c r="O231" s="168"/>
      <c r="P231" s="168"/>
    </row>
    <row r="232" spans="3:16" ht="15.75">
      <c r="C232" s="96" t="s">
        <v>70</v>
      </c>
      <c r="D232" s="100">
        <v>116.97</v>
      </c>
      <c r="E232" s="95" t="s">
        <v>53</v>
      </c>
      <c r="F232" s="66" t="s">
        <v>336</v>
      </c>
      <c r="M232" s="168"/>
      <c r="N232" s="168"/>
      <c r="O232" s="168"/>
      <c r="P232" s="168"/>
    </row>
    <row r="233" spans="3:16" ht="12.75" customHeight="1">
      <c r="C233" s="66"/>
      <c r="D233" s="100"/>
      <c r="E233" s="95"/>
      <c r="F233" s="66"/>
      <c r="M233" s="168"/>
      <c r="N233" s="168"/>
      <c r="O233" s="168"/>
      <c r="P233" s="168"/>
    </row>
    <row r="234" spans="3:16" ht="16.5">
      <c r="C234" s="103" t="s">
        <v>54</v>
      </c>
      <c r="D234" s="104"/>
      <c r="E234" s="95"/>
      <c r="F234" s="66"/>
      <c r="M234" s="168"/>
      <c r="N234" s="168"/>
      <c r="O234" s="168"/>
      <c r="P234" s="168"/>
    </row>
    <row r="235" spans="1:16" ht="15.75">
      <c r="A235" s="88"/>
      <c r="B235" s="88"/>
      <c r="C235" s="96" t="s">
        <v>55</v>
      </c>
      <c r="D235" s="104">
        <v>9700</v>
      </c>
      <c r="E235" s="95" t="s">
        <v>56</v>
      </c>
      <c r="F235" s="66" t="s">
        <v>336</v>
      </c>
      <c r="M235" s="168"/>
      <c r="N235" s="168"/>
      <c r="O235" s="168"/>
      <c r="P235" s="168"/>
    </row>
    <row r="236" spans="3:16" ht="15.75">
      <c r="C236" s="110" t="s">
        <v>57</v>
      </c>
      <c r="D236" s="198">
        <v>12037</v>
      </c>
      <c r="E236" s="105" t="s">
        <v>56</v>
      </c>
      <c r="F236" s="199" t="s">
        <v>336</v>
      </c>
      <c r="M236" s="168"/>
      <c r="N236" s="168"/>
      <c r="O236" s="168"/>
      <c r="P236" s="168"/>
    </row>
    <row r="237" spans="3:16" ht="12.75">
      <c r="C237" s="98"/>
      <c r="D237" s="104"/>
      <c r="E237" s="111"/>
      <c r="F237" s="98"/>
      <c r="M237" s="168"/>
      <c r="N237" s="168"/>
      <c r="O237" s="168"/>
      <c r="P237" s="168"/>
    </row>
    <row r="238" spans="3:16" ht="12.75">
      <c r="C238" s="98" t="s">
        <v>337</v>
      </c>
      <c r="M238" s="168"/>
      <c r="N238" s="168"/>
      <c r="O238" s="168"/>
      <c r="P238" s="168"/>
    </row>
    <row r="239" spans="3:7" ht="12.75">
      <c r="C239" s="98"/>
      <c r="G239" s="190"/>
    </row>
    <row r="240" spans="3:7" ht="38.25">
      <c r="C240" s="200" t="s">
        <v>62</v>
      </c>
      <c r="D240" s="201"/>
      <c r="E240" s="201"/>
      <c r="F240" s="201"/>
      <c r="G240" s="190"/>
    </row>
    <row r="241" spans="7:11" ht="12.75">
      <c r="G241" s="190"/>
      <c r="H241" s="190"/>
      <c r="I241" s="190"/>
      <c r="J241" s="190"/>
      <c r="K241" s="191"/>
    </row>
    <row r="242" spans="7:11" ht="12.75">
      <c r="G242" s="190"/>
      <c r="H242" s="190"/>
      <c r="I242" s="190"/>
      <c r="J242" s="190"/>
      <c r="K242" s="191"/>
    </row>
    <row r="243" spans="7:11" ht="12.75">
      <c r="G243" s="190"/>
      <c r="H243" s="190"/>
      <c r="I243" s="190"/>
      <c r="J243" s="190"/>
      <c r="K243" s="191"/>
    </row>
    <row r="244" spans="7:11" ht="12.75">
      <c r="G244" s="190"/>
      <c r="H244" s="190"/>
      <c r="I244" s="190"/>
      <c r="J244" s="190"/>
      <c r="K244" s="191"/>
    </row>
    <row r="247" spans="7:11" ht="12.75">
      <c r="G247" s="190"/>
      <c r="H247" s="190"/>
      <c r="I247" s="190"/>
      <c r="J247" s="190"/>
      <c r="K247" s="191"/>
    </row>
    <row r="248" spans="7:11" ht="12.75">
      <c r="G248" s="190"/>
      <c r="H248" s="190"/>
      <c r="I248" s="190"/>
      <c r="J248" s="190"/>
      <c r="K248" s="191"/>
    </row>
    <row r="265" spans="1:2" ht="12.75">
      <c r="A265" s="38"/>
      <c r="B265" s="38"/>
    </row>
    <row r="266" spans="1:2" ht="12.75">
      <c r="A266" s="38"/>
      <c r="B266" s="38"/>
    </row>
    <row r="267" spans="1:2" ht="12.75">
      <c r="A267" s="38"/>
      <c r="B267" s="38"/>
    </row>
    <row r="268" spans="1:2" ht="12.75">
      <c r="A268" s="38"/>
      <c r="B268" s="38"/>
    </row>
    <row r="269" spans="1:2" ht="12.75">
      <c r="A269" s="38"/>
      <c r="B269" s="38"/>
    </row>
    <row r="270" spans="1:2" ht="12.75">
      <c r="A270" s="38"/>
      <c r="B270" s="38"/>
    </row>
    <row r="271" spans="1:2" ht="12.75">
      <c r="A271" s="38"/>
      <c r="B271" s="38"/>
    </row>
    <row r="272" spans="1:2" ht="12.75">
      <c r="A272" s="38"/>
      <c r="B272" s="38"/>
    </row>
    <row r="273" spans="1:2" ht="12.75">
      <c r="A273" s="38"/>
      <c r="B273" s="38"/>
    </row>
  </sheetData>
  <sheetProtection/>
  <mergeCells count="2">
    <mergeCell ref="C1:F1"/>
    <mergeCell ref="D3:E3"/>
  </mergeCells>
  <printOptions horizontalCentered="1"/>
  <pageMargins left="0.5" right="0.5" top="0.5" bottom="0.5" header="0" footer="0"/>
  <pageSetup fitToHeight="2" horizontalDpi="600" verticalDpi="600" orientation="portrait"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Jenny</cp:lastModifiedBy>
  <cp:lastPrinted>2007-03-15T15:02:56Z</cp:lastPrinted>
  <dcterms:created xsi:type="dcterms:W3CDTF">2004-07-12T13:20:55Z</dcterms:created>
  <dcterms:modified xsi:type="dcterms:W3CDTF">2008-11-17T15:50:59Z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