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5" sheetId="3" r:id="rId3"/>
    <sheet name="2000" sheetId="4" r:id="rId4"/>
  </sheets>
  <definedNames>
    <definedName name="_xlnm.Print_Area" localSheetId="2">'2005'!$A$1:$J$60</definedName>
    <definedName name="_xlnm.Print_Area" localSheetId="0">'Data'!$A$1:$I$46</definedName>
  </definedNames>
  <calcPr fullCalcOnLoad="1"/>
</workbook>
</file>

<file path=xl/sharedStrings.xml><?xml version="1.0" encoding="utf-8"?>
<sst xmlns="http://schemas.openxmlformats.org/spreadsheetml/2006/main" count="241" uniqueCount="82">
  <si>
    <t>As of October. Covers civilian noninstitutional population 15 years old and over</t>
  </si>
  <si>
    <t xml:space="preserve">enrolled in colleges and graduate schools. Based on Current Population Survey, see </t>
  </si>
  <si>
    <t>text, Section 1, Population and Appendix III]</t>
  </si>
  <si>
    <t>Male</t>
  </si>
  <si>
    <t>-</t>
  </si>
  <si>
    <t xml:space="preserve">           Race and Hispanic Origin</t>
  </si>
  <si>
    <t>Characteristic</t>
  </si>
  <si>
    <t xml:space="preserve">       Sex</t>
  </si>
  <si>
    <t xml:space="preserve">      White</t>
  </si>
  <si>
    <t>Asian</t>
  </si>
  <si>
    <t>---------</t>
  </si>
  <si>
    <t>and</t>
  </si>
  <si>
    <t>Non-</t>
  </si>
  <si>
    <t>Pacific</t>
  </si>
  <si>
    <t>Total \1</t>
  </si>
  <si>
    <t>Female</t>
  </si>
  <si>
    <t>Total</t>
  </si>
  <si>
    <t>Hispanic</t>
  </si>
  <si>
    <t>Black</t>
  </si>
  <si>
    <t>Islander</t>
  </si>
  <si>
    <t>Hispanic \2</t>
  </si>
  <si>
    <t xml:space="preserve">COLLEGE ENROLLMENT </t>
  </si>
  <si>
    <t>Total enrollment</t>
  </si>
  <si>
    <t xml:space="preserve">  15 to 17 years old</t>
  </si>
  <si>
    <t xml:space="preserve">  18 to 19 years old</t>
  </si>
  <si>
    <t xml:space="preserve">  20 to 21 years old</t>
  </si>
  <si>
    <t xml:space="preserve">  22 to 24 years old</t>
  </si>
  <si>
    <t xml:space="preserve">  25 to 29 years old</t>
  </si>
  <si>
    <t xml:space="preserve">  30 to 34 years old</t>
  </si>
  <si>
    <t xml:space="preserve">  35 years old and over</t>
  </si>
  <si>
    <t>Type of school:</t>
  </si>
  <si>
    <t xml:space="preserve">  2-year</t>
  </si>
  <si>
    <t xml:space="preserve">    15 to 19 years old</t>
  </si>
  <si>
    <t xml:space="preserve">    20 to 24 years old</t>
  </si>
  <si>
    <t xml:space="preserve">    25 years old and over</t>
  </si>
  <si>
    <t xml:space="preserve">  4-year</t>
  </si>
  <si>
    <t xml:space="preserve">  Graduate school</t>
  </si>
  <si>
    <t xml:space="preserve">    15 to 24 years old</t>
  </si>
  <si>
    <t xml:space="preserve">    25 to 34 years old</t>
  </si>
  <si>
    <t xml:space="preserve">    35 years old and over</t>
  </si>
  <si>
    <t xml:space="preserve">  Public</t>
  </si>
  <si>
    <t xml:space="preserve">    2-year</t>
  </si>
  <si>
    <t xml:space="preserve">    4-year</t>
  </si>
  <si>
    <t xml:space="preserve">    Graduate</t>
  </si>
  <si>
    <t>Percent of students:</t>
  </si>
  <si>
    <t xml:space="preserve">  Employed full-time</t>
  </si>
  <si>
    <t xml:space="preserve">  Employed part-time</t>
  </si>
  <si>
    <t xml:space="preserve">FULL-TIME ENROLLMENT </t>
  </si>
  <si>
    <t>Total full-time enrollment</t>
  </si>
  <si>
    <t>\1 Includes other races, not shown separately.</t>
  </si>
  <si>
    <t>\2 Persons of Hispanic origin may be of any race.</t>
  </si>
  <si>
    <t>See Internet site</t>
  </si>
  <si>
    <t>&lt;http://www.census.gov/population/www/socdemo/school.html&gt;</t>
  </si>
  <si>
    <t>http://www.census.gov/population/www/socdemo/education.html</t>
  </si>
  <si>
    <t>Source: U.S. Census Bureau, Current Population Reports,</t>
  </si>
  <si>
    <t>College Enrollment--Summary by Sex, Race and Hispanic Origin: 2000</t>
  </si>
  <si>
    <t>[In thousands (15,313 represents 15,313,000), except percent.</t>
  </si>
  <si>
    <t>PPL-148.</t>
  </si>
  <si>
    <t>Source: U.S. Census Bureau, unpublished data.</t>
  </si>
  <si>
    <t>Race and Hispanic origin</t>
  </si>
  <si>
    <t>FOOTNOTES</t>
  </si>
  <si>
    <t>INTERNET LINK</t>
  </si>
  <si>
    <t>Black \2</t>
  </si>
  <si>
    <t>Asian \2</t>
  </si>
  <si>
    <t>Hispanic \3</t>
  </si>
  <si>
    <t>\3 Persons of Hispanic origin may be of any race.</t>
  </si>
  <si>
    <t>&lt;http://www.census.gov/population/www/socdemo/school.html&gt;.</t>
  </si>
  <si>
    <t>Number \1</t>
  </si>
  <si>
    <t>Non-Hispanic</t>
  </si>
  <si>
    <r>
      <t>[</t>
    </r>
    <r>
      <rPr>
        <b/>
        <sz val="12"/>
        <rFont val="Courier New"/>
        <family val="3"/>
      </rPr>
      <t>In thousands (17,472 represents 17,472,000), except percent.</t>
    </r>
  </si>
  <si>
    <t>\2 For persons who selected this race group only. See footnote 2, Table 217.</t>
  </si>
  <si>
    <t>text, Section 1, Population, and Appendix III]</t>
  </si>
  <si>
    <t>White \2</t>
  </si>
  <si>
    <r>
      <t>Table 274.</t>
    </r>
    <r>
      <rPr>
        <b/>
        <sz val="12"/>
        <rFont val="Courier New"/>
        <family val="3"/>
      </rPr>
      <t xml:space="preserve"> College Enrollment--Summary by Sex, Race and Hispanic Origin: 2006</t>
    </r>
  </si>
  <si>
    <t>\2 For persons who selected this race group only. See footnote 2, Table 221.</t>
  </si>
  <si>
    <r>
      <t>[</t>
    </r>
    <r>
      <rPr>
        <b/>
        <sz val="12"/>
        <rFont val="Courier New"/>
        <family val="3"/>
      </rPr>
      <t>In thousands (17,232 represents 17,232,000), except percent.</t>
    </r>
  </si>
  <si>
    <t>\1 Includes other races not shown separately.</t>
  </si>
  <si>
    <t>For more information:</t>
  </si>
  <si>
    <t>Back to data</t>
  </si>
  <si>
    <t>HEADNOTE</t>
  </si>
  <si>
    <t>See notes</t>
  </si>
  <si>
    <t>College Enrollment--Summary by Sex, Race and Hispanic Origin: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</si>
</sst>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6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3" fontId="7" fillId="0" borderId="1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8" fillId="0" borderId="0" xfId="15" applyNumberFormat="1" applyFont="1" applyAlignment="1">
      <alignment/>
    </xf>
    <xf numFmtId="3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NumberFormat="1" applyFont="1" applyBorder="1" applyAlignment="1">
      <alignment horizontal="fill"/>
    </xf>
    <xf numFmtId="3" fontId="7" fillId="0" borderId="7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education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education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8.796875" defaultRowHeight="15.75"/>
  <cols>
    <col min="1" max="1" width="25.5" style="13" customWidth="1"/>
    <col min="2" max="5" width="9.69921875" style="13" customWidth="1"/>
    <col min="6" max="6" width="14.8984375" style="13" customWidth="1"/>
    <col min="7" max="7" width="9.69921875" style="13" customWidth="1"/>
    <col min="8" max="8" width="12.69921875" style="13" customWidth="1"/>
    <col min="9" max="9" width="13.69921875" style="13" customWidth="1"/>
    <col min="10" max="16384" width="9.69921875" style="13" customWidth="1"/>
  </cols>
  <sheetData>
    <row r="1" spans="1:10" ht="16.5">
      <c r="A1" s="12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>
      <c r="A3" s="38" t="s">
        <v>80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>
      <c r="A4" s="17"/>
      <c r="B4" s="12"/>
      <c r="C4" s="12"/>
      <c r="D4" s="12"/>
      <c r="E4" s="12"/>
      <c r="F4" s="12"/>
      <c r="G4" s="12"/>
      <c r="H4" s="12"/>
      <c r="I4" s="12"/>
      <c r="J4" s="12"/>
    </row>
    <row r="5" spans="1:10" ht="15.75">
      <c r="A5" s="46" t="s">
        <v>6</v>
      </c>
      <c r="B5" s="48" t="s">
        <v>16</v>
      </c>
      <c r="C5" s="49"/>
      <c r="D5" s="51"/>
      <c r="E5" s="55" t="s">
        <v>59</v>
      </c>
      <c r="F5" s="49"/>
      <c r="G5" s="49"/>
      <c r="H5" s="49"/>
      <c r="I5" s="49"/>
      <c r="J5" s="12"/>
    </row>
    <row r="6" spans="1:10" ht="15.75">
      <c r="A6" s="46"/>
      <c r="B6" s="52"/>
      <c r="C6" s="46"/>
      <c r="D6" s="53"/>
      <c r="E6" s="50"/>
      <c r="F6" s="47"/>
      <c r="G6" s="47"/>
      <c r="H6" s="47"/>
      <c r="I6" s="47"/>
      <c r="J6" s="12"/>
    </row>
    <row r="7" spans="1:10" ht="15.75">
      <c r="A7" s="46"/>
      <c r="B7" s="52"/>
      <c r="C7" s="46"/>
      <c r="D7" s="53"/>
      <c r="E7" s="48" t="s">
        <v>72</v>
      </c>
      <c r="F7" s="51"/>
      <c r="G7" s="15"/>
      <c r="H7" s="14"/>
      <c r="I7" s="14"/>
      <c r="J7" s="12"/>
    </row>
    <row r="8" spans="1:10" ht="15.75">
      <c r="A8" s="46"/>
      <c r="B8" s="50"/>
      <c r="C8" s="47"/>
      <c r="D8" s="54"/>
      <c r="E8" s="50"/>
      <c r="F8" s="54"/>
      <c r="G8" s="16"/>
      <c r="I8" s="12"/>
      <c r="J8" s="12"/>
    </row>
    <row r="9" spans="1:10" ht="15.75">
      <c r="A9" s="46"/>
      <c r="B9" s="16"/>
      <c r="C9" s="18"/>
      <c r="D9" s="18"/>
      <c r="E9" s="15"/>
      <c r="F9" s="14"/>
      <c r="G9" s="16"/>
      <c r="H9" s="23"/>
      <c r="I9" s="12"/>
      <c r="J9" s="12"/>
    </row>
    <row r="10" spans="1:10" ht="15.75">
      <c r="A10" s="46"/>
      <c r="B10" s="25" t="s">
        <v>67</v>
      </c>
      <c r="C10" s="26" t="s">
        <v>3</v>
      </c>
      <c r="D10" s="23" t="s">
        <v>15</v>
      </c>
      <c r="E10" s="25" t="s">
        <v>16</v>
      </c>
      <c r="F10" s="23" t="s">
        <v>68</v>
      </c>
      <c r="G10" s="25" t="s">
        <v>62</v>
      </c>
      <c r="H10" s="23" t="s">
        <v>63</v>
      </c>
      <c r="I10" s="23" t="s">
        <v>64</v>
      </c>
      <c r="J10" s="12"/>
    </row>
    <row r="11" spans="1:10" ht="15.75">
      <c r="A11" s="47"/>
      <c r="B11" s="20"/>
      <c r="C11" s="27"/>
      <c r="D11" s="27"/>
      <c r="E11" s="20"/>
      <c r="F11" s="27"/>
      <c r="G11" s="20"/>
      <c r="H11" s="27"/>
      <c r="I11" s="27"/>
      <c r="J11" s="12"/>
    </row>
    <row r="12" spans="1:10" ht="15.75">
      <c r="A12" s="21" t="s">
        <v>21</v>
      </c>
      <c r="B12" s="16"/>
      <c r="C12" s="19"/>
      <c r="D12" s="12"/>
      <c r="E12" s="16"/>
      <c r="F12" s="12"/>
      <c r="G12" s="16"/>
      <c r="H12" s="12"/>
      <c r="I12" s="12"/>
      <c r="J12" s="12"/>
    </row>
    <row r="13" spans="1:10" ht="16.5">
      <c r="A13" s="7" t="s">
        <v>22</v>
      </c>
      <c r="B13" s="9">
        <v>17232</v>
      </c>
      <c r="C13" s="10">
        <v>7506</v>
      </c>
      <c r="D13" s="8">
        <v>9726</v>
      </c>
      <c r="E13" s="9">
        <v>13273</v>
      </c>
      <c r="F13" s="8">
        <v>11485</v>
      </c>
      <c r="G13" s="9">
        <v>2334</v>
      </c>
      <c r="H13" s="8">
        <v>1084</v>
      </c>
      <c r="I13" s="8">
        <v>1968</v>
      </c>
      <c r="J13" s="11"/>
    </row>
    <row r="14" spans="1:10" ht="15.75">
      <c r="A14" s="12" t="s">
        <v>23</v>
      </c>
      <c r="B14" s="30">
        <v>212</v>
      </c>
      <c r="C14" s="31">
        <v>79</v>
      </c>
      <c r="D14" s="32">
        <v>133</v>
      </c>
      <c r="E14" s="30">
        <v>161</v>
      </c>
      <c r="F14" s="39">
        <v>114</v>
      </c>
      <c r="G14" s="41">
        <v>29.8</v>
      </c>
      <c r="H14" s="32">
        <v>8</v>
      </c>
      <c r="I14" s="32">
        <v>54</v>
      </c>
      <c r="J14" s="11"/>
    </row>
    <row r="15" spans="1:10" ht="15.75">
      <c r="A15" s="12" t="s">
        <v>24</v>
      </c>
      <c r="B15" s="30">
        <v>3746</v>
      </c>
      <c r="C15" s="31">
        <v>1703</v>
      </c>
      <c r="D15" s="32">
        <v>2043</v>
      </c>
      <c r="E15" s="30">
        <v>2982</v>
      </c>
      <c r="F15" s="39">
        <v>2564</v>
      </c>
      <c r="G15" s="42">
        <v>464</v>
      </c>
      <c r="H15" s="32">
        <v>204</v>
      </c>
      <c r="I15" s="32">
        <v>444</v>
      </c>
      <c r="J15" s="11"/>
    </row>
    <row r="16" spans="1:10" ht="15.75">
      <c r="A16" s="12" t="s">
        <v>25</v>
      </c>
      <c r="B16" s="30">
        <v>3675</v>
      </c>
      <c r="C16" s="31">
        <v>1682</v>
      </c>
      <c r="D16" s="32">
        <v>1993</v>
      </c>
      <c r="E16" s="30">
        <v>2958</v>
      </c>
      <c r="F16" s="39">
        <v>2606</v>
      </c>
      <c r="G16" s="42">
        <v>416</v>
      </c>
      <c r="H16" s="32">
        <v>215</v>
      </c>
      <c r="I16" s="32">
        <v>386</v>
      </c>
      <c r="J16" s="11"/>
    </row>
    <row r="17" spans="1:10" ht="15.75">
      <c r="A17" s="12" t="s">
        <v>26</v>
      </c>
      <c r="B17" s="30">
        <v>3166</v>
      </c>
      <c r="C17" s="31">
        <v>1489</v>
      </c>
      <c r="D17" s="32">
        <v>1677</v>
      </c>
      <c r="E17" s="30">
        <v>2358</v>
      </c>
      <c r="F17" s="39">
        <v>2030</v>
      </c>
      <c r="G17" s="42">
        <v>441</v>
      </c>
      <c r="H17" s="32">
        <v>242</v>
      </c>
      <c r="I17" s="32">
        <v>353</v>
      </c>
      <c r="J17" s="11"/>
    </row>
    <row r="18" spans="1:10" ht="15.75">
      <c r="A18" s="12" t="s">
        <v>27</v>
      </c>
      <c r="B18" s="30">
        <v>2312</v>
      </c>
      <c r="C18" s="31">
        <v>1033</v>
      </c>
      <c r="D18" s="32">
        <v>1278</v>
      </c>
      <c r="E18" s="30">
        <v>1740</v>
      </c>
      <c r="F18" s="39">
        <v>1494</v>
      </c>
      <c r="G18" s="42">
        <v>303</v>
      </c>
      <c r="H18" s="32">
        <v>187</v>
      </c>
      <c r="I18" s="32">
        <v>271</v>
      </c>
      <c r="J18" s="11"/>
    </row>
    <row r="19" spans="1:10" ht="15.75">
      <c r="A19" s="12" t="s">
        <v>28</v>
      </c>
      <c r="B19" s="33">
        <v>1346</v>
      </c>
      <c r="C19" s="34">
        <v>537</v>
      </c>
      <c r="D19" s="32">
        <v>809</v>
      </c>
      <c r="E19" s="30">
        <v>985</v>
      </c>
      <c r="F19" s="40">
        <v>830</v>
      </c>
      <c r="G19" s="42">
        <v>199</v>
      </c>
      <c r="H19" s="32">
        <v>103</v>
      </c>
      <c r="I19" s="32">
        <v>190</v>
      </c>
      <c r="J19" s="11"/>
    </row>
    <row r="20" spans="1:10" ht="15.75">
      <c r="A20" s="12" t="s">
        <v>29</v>
      </c>
      <c r="B20" s="30">
        <v>2775</v>
      </c>
      <c r="C20" s="31">
        <v>982</v>
      </c>
      <c r="D20" s="32">
        <v>1793</v>
      </c>
      <c r="E20" s="30">
        <v>2089</v>
      </c>
      <c r="F20" s="32">
        <v>1848</v>
      </c>
      <c r="G20" s="30">
        <v>481</v>
      </c>
      <c r="H20" s="32">
        <v>125</v>
      </c>
      <c r="I20" s="32">
        <v>270</v>
      </c>
      <c r="J20" s="11"/>
    </row>
    <row r="21" spans="1:10" ht="15.75">
      <c r="A21" s="12"/>
      <c r="B21" s="30"/>
      <c r="C21" s="31"/>
      <c r="D21" s="32"/>
      <c r="E21" s="30"/>
      <c r="F21" s="32"/>
      <c r="G21" s="30"/>
      <c r="H21" s="32"/>
      <c r="I21" s="32"/>
      <c r="J21" s="11"/>
    </row>
    <row r="22" spans="1:10" ht="15.75">
      <c r="A22" s="12" t="s">
        <v>30</v>
      </c>
      <c r="B22" s="30"/>
      <c r="C22" s="31"/>
      <c r="D22" s="32"/>
      <c r="E22" s="30"/>
      <c r="F22" s="32"/>
      <c r="G22" s="30"/>
      <c r="H22" s="32"/>
      <c r="I22" s="32"/>
      <c r="J22" s="11"/>
    </row>
    <row r="23" spans="1:10" ht="15.75">
      <c r="A23" s="12" t="s">
        <v>31</v>
      </c>
      <c r="B23" s="30">
        <v>4294</v>
      </c>
      <c r="C23" s="31">
        <v>1788.38</v>
      </c>
      <c r="D23" s="44">
        <v>2506</v>
      </c>
      <c r="E23" s="31">
        <v>3228</v>
      </c>
      <c r="F23" s="31">
        <v>2602</v>
      </c>
      <c r="G23" s="30">
        <v>688.3</v>
      </c>
      <c r="H23" s="31">
        <v>184.9</v>
      </c>
      <c r="I23" s="31">
        <v>689.3</v>
      </c>
      <c r="J23" s="11"/>
    </row>
    <row r="24" spans="1:10" ht="15.75">
      <c r="A24" s="12" t="s">
        <v>32</v>
      </c>
      <c r="B24" s="30">
        <v>1367</v>
      </c>
      <c r="C24" s="31">
        <v>650</v>
      </c>
      <c r="D24" s="32">
        <v>716.7</v>
      </c>
      <c r="E24" s="30">
        <v>1094</v>
      </c>
      <c r="F24" s="32">
        <v>864</v>
      </c>
      <c r="G24" s="30">
        <v>200.5</v>
      </c>
      <c r="H24" s="32">
        <v>36</v>
      </c>
      <c r="I24" s="32">
        <v>238</v>
      </c>
      <c r="J24" s="11"/>
    </row>
    <row r="25" spans="1:10" ht="15.75">
      <c r="A25" s="12" t="s">
        <v>33</v>
      </c>
      <c r="B25" s="30">
        <v>1361</v>
      </c>
      <c r="C25" s="31">
        <v>609.68</v>
      </c>
      <c r="D25" s="32">
        <v>750.8</v>
      </c>
      <c r="E25" s="30">
        <v>1026</v>
      </c>
      <c r="F25" s="32">
        <v>836</v>
      </c>
      <c r="G25" s="30">
        <v>187.9</v>
      </c>
      <c r="H25" s="32">
        <v>72.9</v>
      </c>
      <c r="I25" s="32">
        <v>210.7</v>
      </c>
      <c r="J25" s="11"/>
    </row>
    <row r="26" spans="1:10" ht="15.75">
      <c r="A26" s="12" t="s">
        <v>34</v>
      </c>
      <c r="B26" s="30">
        <v>1567</v>
      </c>
      <c r="C26" s="31">
        <v>528.7</v>
      </c>
      <c r="D26" s="32">
        <v>1038.5</v>
      </c>
      <c r="E26" s="30">
        <v>1108</v>
      </c>
      <c r="F26" s="32">
        <v>902</v>
      </c>
      <c r="G26" s="30">
        <v>299.9</v>
      </c>
      <c r="H26" s="32">
        <v>76</v>
      </c>
      <c r="I26" s="32">
        <v>240.6</v>
      </c>
      <c r="J26" s="11"/>
    </row>
    <row r="27" spans="1:10" ht="15.75">
      <c r="A27" s="12" t="s">
        <v>35</v>
      </c>
      <c r="B27" s="30">
        <v>9559.83</v>
      </c>
      <c r="C27" s="31">
        <v>4346.4</v>
      </c>
      <c r="D27" s="44">
        <v>5213</v>
      </c>
      <c r="E27" s="31">
        <v>7456.5</v>
      </c>
      <c r="F27" s="31">
        <v>6546</v>
      </c>
      <c r="G27" s="30">
        <v>1271.3</v>
      </c>
      <c r="H27" s="31">
        <v>553.1</v>
      </c>
      <c r="I27" s="31">
        <v>1006.6</v>
      </c>
      <c r="J27" s="11"/>
    </row>
    <row r="28" spans="1:10" ht="15.75">
      <c r="A28" s="12" t="s">
        <v>32</v>
      </c>
      <c r="B28" s="30">
        <v>2573</v>
      </c>
      <c r="C28" s="31">
        <v>1127.8</v>
      </c>
      <c r="D28" s="32">
        <v>1445.2</v>
      </c>
      <c r="E28" s="30">
        <v>2031</v>
      </c>
      <c r="F28" s="32">
        <v>1799</v>
      </c>
      <c r="G28" s="30">
        <v>293.6</v>
      </c>
      <c r="H28" s="32">
        <v>174.6</v>
      </c>
      <c r="I28" s="32">
        <v>256.9</v>
      </c>
      <c r="J28" s="11"/>
    </row>
    <row r="29" spans="1:10" ht="15.75">
      <c r="A29" s="12" t="s">
        <v>33</v>
      </c>
      <c r="B29" s="30">
        <v>4667</v>
      </c>
      <c r="C29" s="31">
        <v>2272</v>
      </c>
      <c r="D29" s="32">
        <v>2394.9</v>
      </c>
      <c r="E29" s="30">
        <v>3682</v>
      </c>
      <c r="F29" s="32">
        <v>3272</v>
      </c>
      <c r="G29" s="30">
        <v>574</v>
      </c>
      <c r="H29" s="32">
        <v>283.7</v>
      </c>
      <c r="I29" s="32">
        <v>448</v>
      </c>
      <c r="J29" s="11"/>
    </row>
    <row r="30" spans="1:10" ht="15.75">
      <c r="A30" s="12" t="s">
        <v>34</v>
      </c>
      <c r="B30" s="30">
        <v>2319.5</v>
      </c>
      <c r="C30" s="31">
        <v>946.6</v>
      </c>
      <c r="D30" s="32">
        <v>1372.9</v>
      </c>
      <c r="E30" s="30">
        <v>1743.5</v>
      </c>
      <c r="F30" s="32">
        <v>1475</v>
      </c>
      <c r="G30" s="30">
        <v>403.7</v>
      </c>
      <c r="H30" s="32">
        <v>94.8</v>
      </c>
      <c r="I30" s="32">
        <v>301.7</v>
      </c>
      <c r="J30" s="11"/>
    </row>
    <row r="31" spans="1:10" ht="15.75">
      <c r="A31" s="12" t="s">
        <v>36</v>
      </c>
      <c r="B31" s="30">
        <v>3377.9</v>
      </c>
      <c r="C31" s="31">
        <v>1371</v>
      </c>
      <c r="D31" s="44">
        <v>2007</v>
      </c>
      <c r="E31" s="31">
        <v>2585.7</v>
      </c>
      <c r="F31" s="31">
        <v>2334.7</v>
      </c>
      <c r="G31" s="30">
        <v>372</v>
      </c>
      <c r="H31" s="31">
        <v>345</v>
      </c>
      <c r="I31" s="31">
        <v>271.1</v>
      </c>
      <c r="J31" s="11"/>
    </row>
    <row r="32" spans="1:10" ht="15.75">
      <c r="A32" s="12" t="s">
        <v>37</v>
      </c>
      <c r="B32" s="30">
        <v>831.2</v>
      </c>
      <c r="C32" s="31">
        <v>293</v>
      </c>
      <c r="D32" s="32">
        <v>538</v>
      </c>
      <c r="E32" s="30">
        <v>623</v>
      </c>
      <c r="F32" s="32">
        <v>541.8</v>
      </c>
      <c r="G32" s="30">
        <v>94</v>
      </c>
      <c r="H32" s="32">
        <v>102</v>
      </c>
      <c r="I32" s="32">
        <v>82</v>
      </c>
      <c r="J32" s="11"/>
    </row>
    <row r="33" spans="1:10" ht="15.75">
      <c r="A33" s="12" t="s">
        <v>38</v>
      </c>
      <c r="B33" s="30">
        <v>1479</v>
      </c>
      <c r="C33" s="31">
        <v>663</v>
      </c>
      <c r="D33" s="32">
        <v>816</v>
      </c>
      <c r="E33" s="30">
        <v>1113</v>
      </c>
      <c r="F33" s="32">
        <v>1021</v>
      </c>
      <c r="G33" s="30">
        <v>135</v>
      </c>
      <c r="H33" s="32">
        <v>190</v>
      </c>
      <c r="I33" s="32">
        <v>106.6</v>
      </c>
      <c r="J33" s="11"/>
    </row>
    <row r="34" spans="1:10" ht="15.75">
      <c r="A34" s="12" t="s">
        <v>39</v>
      </c>
      <c r="B34" s="30">
        <v>1067</v>
      </c>
      <c r="C34" s="31">
        <v>414</v>
      </c>
      <c r="D34" s="32">
        <v>652.6</v>
      </c>
      <c r="E34" s="30">
        <v>849.7</v>
      </c>
      <c r="F34" s="32">
        <v>771.9</v>
      </c>
      <c r="G34" s="30">
        <v>143</v>
      </c>
      <c r="H34" s="32">
        <v>53</v>
      </c>
      <c r="I34" s="32">
        <v>82.5</v>
      </c>
      <c r="J34" s="11"/>
    </row>
    <row r="35" spans="1:10" ht="15.75">
      <c r="A35" s="12"/>
      <c r="B35" s="30"/>
      <c r="C35" s="31"/>
      <c r="D35" s="44"/>
      <c r="F35" s="32"/>
      <c r="G35" s="30"/>
      <c r="H35" s="32"/>
      <c r="I35" s="32"/>
      <c r="J35" s="11"/>
    </row>
    <row r="36" spans="1:10" ht="15.75">
      <c r="A36" s="12" t="s">
        <v>40</v>
      </c>
      <c r="B36" s="30">
        <v>13465.7</v>
      </c>
      <c r="C36" s="31">
        <v>5896</v>
      </c>
      <c r="D36" s="44">
        <v>7571</v>
      </c>
      <c r="E36" s="31">
        <v>10336.9</v>
      </c>
      <c r="F36" s="31">
        <v>8820.5</v>
      </c>
      <c r="G36" s="30">
        <v>1815.1</v>
      </c>
      <c r="H36" s="31">
        <v>861.4</v>
      </c>
      <c r="I36" s="31">
        <v>1663.5</v>
      </c>
      <c r="J36" s="11"/>
    </row>
    <row r="37" spans="1:10" ht="15.75">
      <c r="A37" s="12" t="s">
        <v>41</v>
      </c>
      <c r="B37" s="30">
        <v>3878.5</v>
      </c>
      <c r="C37" s="31">
        <v>1602</v>
      </c>
      <c r="D37" s="32">
        <v>2277</v>
      </c>
      <c r="E37" s="30">
        <v>2935</v>
      </c>
      <c r="F37" s="32">
        <v>2347</v>
      </c>
      <c r="G37" s="33">
        <v>590.6</v>
      </c>
      <c r="H37" s="31">
        <v>178.6</v>
      </c>
      <c r="I37" s="31">
        <v>642.5</v>
      </c>
      <c r="J37" s="11"/>
    </row>
    <row r="38" spans="1:10" ht="15.75">
      <c r="A38" s="12" t="s">
        <v>42</v>
      </c>
      <c r="B38" s="30">
        <v>7390</v>
      </c>
      <c r="C38" s="31">
        <v>3424</v>
      </c>
      <c r="D38" s="32">
        <v>3966</v>
      </c>
      <c r="E38" s="30">
        <v>5734</v>
      </c>
      <c r="F38" s="32">
        <v>4967.5</v>
      </c>
      <c r="G38" s="30">
        <v>982.5</v>
      </c>
      <c r="H38" s="32">
        <v>438.8</v>
      </c>
      <c r="I38" s="32">
        <v>845</v>
      </c>
      <c r="J38" s="11"/>
    </row>
    <row r="39" spans="1:10" ht="15.75">
      <c r="A39" s="12" t="s">
        <v>43</v>
      </c>
      <c r="B39" s="30">
        <v>2196.8</v>
      </c>
      <c r="C39" s="31">
        <v>870</v>
      </c>
      <c r="D39" s="32">
        <v>1328</v>
      </c>
      <c r="E39" s="30">
        <v>1667.9</v>
      </c>
      <c r="F39" s="32">
        <v>1506</v>
      </c>
      <c r="G39" s="30">
        <v>242</v>
      </c>
      <c r="H39" s="32">
        <v>244</v>
      </c>
      <c r="I39" s="32">
        <v>176</v>
      </c>
      <c r="J39" s="11"/>
    </row>
    <row r="40" spans="1:10" ht="15.75">
      <c r="A40" s="12"/>
      <c r="B40" s="28"/>
      <c r="C40" s="29"/>
      <c r="D40" s="11"/>
      <c r="E40" s="24"/>
      <c r="G40" s="24"/>
      <c r="J40" s="11"/>
    </row>
    <row r="41" spans="1:10" ht="15.75">
      <c r="A41" s="12" t="s">
        <v>44</v>
      </c>
      <c r="B41" s="30"/>
      <c r="C41" s="31"/>
      <c r="D41" s="32"/>
      <c r="E41" s="30"/>
      <c r="F41" s="32"/>
      <c r="G41" s="30"/>
      <c r="H41" s="32"/>
      <c r="I41" s="32"/>
      <c r="J41" s="11"/>
    </row>
    <row r="42" spans="1:10" ht="15.75">
      <c r="A42" s="12" t="s">
        <v>45</v>
      </c>
      <c r="B42" s="35">
        <v>17.5</v>
      </c>
      <c r="C42" s="36">
        <v>17.5</v>
      </c>
      <c r="D42" s="37">
        <v>17.6</v>
      </c>
      <c r="E42" s="35">
        <v>17.48</v>
      </c>
      <c r="F42" s="37">
        <v>17.8</v>
      </c>
      <c r="G42" s="35">
        <v>19.1</v>
      </c>
      <c r="H42" s="37">
        <v>13.6</v>
      </c>
      <c r="I42" s="37">
        <v>16.1</v>
      </c>
      <c r="J42" s="11"/>
    </row>
    <row r="43" spans="1:10" ht="15.75">
      <c r="A43" s="19" t="s">
        <v>46</v>
      </c>
      <c r="B43" s="35">
        <v>25.2</v>
      </c>
      <c r="C43" s="36">
        <v>22.6</v>
      </c>
      <c r="D43" s="36">
        <v>27.5</v>
      </c>
      <c r="E43" s="35">
        <v>27.2</v>
      </c>
      <c r="F43" s="36">
        <v>28.6</v>
      </c>
      <c r="G43" s="35">
        <v>16.8</v>
      </c>
      <c r="H43" s="36">
        <v>22.3</v>
      </c>
      <c r="I43" s="36">
        <v>20</v>
      </c>
      <c r="J43" s="29"/>
    </row>
    <row r="44" spans="1:10" ht="15.75">
      <c r="A44" s="43"/>
      <c r="B44" s="17"/>
      <c r="C44" s="17"/>
      <c r="D44" s="22"/>
      <c r="E44" s="17"/>
      <c r="F44" s="17"/>
      <c r="G44" s="17"/>
      <c r="H44" s="17"/>
      <c r="I44" s="17"/>
      <c r="J44" s="12"/>
    </row>
    <row r="45" spans="1:10" ht="15.75">
      <c r="A45" s="18"/>
      <c r="B45" s="19"/>
      <c r="C45" s="19"/>
      <c r="D45" s="19"/>
      <c r="E45" s="19"/>
      <c r="F45" s="19"/>
      <c r="G45" s="19"/>
      <c r="H45" s="19"/>
      <c r="I45" s="19"/>
      <c r="J45" s="12"/>
    </row>
    <row r="46" spans="1:10" ht="15.75">
      <c r="A46" s="12" t="s">
        <v>58</v>
      </c>
      <c r="B46" s="12"/>
      <c r="C46" s="12"/>
      <c r="D46" s="12"/>
      <c r="E46" s="12"/>
      <c r="F46" s="12"/>
      <c r="G46" s="12"/>
      <c r="H46" s="12"/>
      <c r="I46" s="12"/>
      <c r="J46" s="12"/>
    </row>
  </sheetData>
  <mergeCells count="4">
    <mergeCell ref="A5:A11"/>
    <mergeCell ref="B5:D8"/>
    <mergeCell ref="E5:I6"/>
    <mergeCell ref="E7:F8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2" t="s">
        <v>73</v>
      </c>
    </row>
    <row r="2" ht="15.75">
      <c r="A2" s="12"/>
    </row>
    <row r="3" ht="15.75">
      <c r="A3" s="38" t="s">
        <v>78</v>
      </c>
    </row>
    <row r="4" ht="15.75">
      <c r="A4" s="12"/>
    </row>
    <row r="5" ht="15.75">
      <c r="A5" s="12" t="s">
        <v>79</v>
      </c>
    </row>
    <row r="6" ht="16.5">
      <c r="A6" s="12" t="s">
        <v>75</v>
      </c>
    </row>
    <row r="7" ht="15.75">
      <c r="A7" s="12" t="s">
        <v>0</v>
      </c>
    </row>
    <row r="8" ht="15.75">
      <c r="A8" s="12" t="s">
        <v>1</v>
      </c>
    </row>
    <row r="9" ht="15.75">
      <c r="A9" s="12" t="s">
        <v>71</v>
      </c>
    </row>
    <row r="11" ht="15.75">
      <c r="A11" s="12" t="s">
        <v>60</v>
      </c>
    </row>
    <row r="12" ht="15.75">
      <c r="A12" s="12" t="s">
        <v>76</v>
      </c>
    </row>
    <row r="13" ht="15.75">
      <c r="A13" s="12" t="s">
        <v>74</v>
      </c>
    </row>
    <row r="14" ht="15.75">
      <c r="A14" s="12" t="s">
        <v>65</v>
      </c>
    </row>
    <row r="15" ht="15.75">
      <c r="A15" s="13"/>
    </row>
    <row r="16" ht="15.75">
      <c r="A16" s="12" t="s">
        <v>58</v>
      </c>
    </row>
    <row r="17" ht="15.75">
      <c r="A17" s="12"/>
    </row>
    <row r="18" ht="15.75">
      <c r="A18" s="13" t="s">
        <v>77</v>
      </c>
    </row>
    <row r="19" ht="15.75">
      <c r="A19" s="38" t="s">
        <v>53</v>
      </c>
    </row>
  </sheetData>
  <hyperlinks>
    <hyperlink ref="A19" r:id="rId1" display="http://www.census.gov/population/www/socdemo/education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0.09765625" style="13" customWidth="1"/>
    <col min="2" max="5" width="9.69921875" style="13" customWidth="1"/>
    <col min="6" max="6" width="14.8984375" style="13" customWidth="1"/>
    <col min="7" max="7" width="9.69921875" style="13" customWidth="1"/>
    <col min="8" max="8" width="12.69921875" style="13" customWidth="1"/>
    <col min="9" max="9" width="13.69921875" style="13" customWidth="1"/>
    <col min="10" max="16384" width="9.69921875" style="13" customWidth="1"/>
  </cols>
  <sheetData>
    <row r="1" spans="1:10" ht="16.5">
      <c r="A1" s="7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6.5">
      <c r="A3" s="12" t="s">
        <v>69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.7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.75">
      <c r="A6" s="12" t="s">
        <v>71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5.7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5.75">
      <c r="A8" s="45" t="s">
        <v>6</v>
      </c>
      <c r="B8" s="48">
        <v>2005</v>
      </c>
      <c r="C8" s="49"/>
      <c r="D8" s="49"/>
      <c r="E8" s="49"/>
      <c r="F8" s="49"/>
      <c r="G8" s="49"/>
      <c r="H8" s="49"/>
      <c r="I8" s="49"/>
      <c r="J8" s="12"/>
    </row>
    <row r="9" spans="1:10" ht="15.75">
      <c r="A9" s="46"/>
      <c r="B9" s="50"/>
      <c r="C9" s="47"/>
      <c r="D9" s="47"/>
      <c r="E9" s="47"/>
      <c r="F9" s="47"/>
      <c r="G9" s="47"/>
      <c r="H9" s="47"/>
      <c r="I9" s="47"/>
      <c r="J9" s="12"/>
    </row>
    <row r="10" spans="1:10" ht="15.75">
      <c r="A10" s="46"/>
      <c r="B10" s="48" t="s">
        <v>16</v>
      </c>
      <c r="C10" s="49"/>
      <c r="D10" s="51"/>
      <c r="E10" s="55" t="s">
        <v>59</v>
      </c>
      <c r="F10" s="49"/>
      <c r="G10" s="49"/>
      <c r="H10" s="49"/>
      <c r="I10" s="49"/>
      <c r="J10" s="12"/>
    </row>
    <row r="11" spans="1:10" ht="15.75">
      <c r="A11" s="46"/>
      <c r="B11" s="52"/>
      <c r="C11" s="46"/>
      <c r="D11" s="53"/>
      <c r="E11" s="50"/>
      <c r="F11" s="47"/>
      <c r="G11" s="47"/>
      <c r="H11" s="47"/>
      <c r="I11" s="47"/>
      <c r="J11" s="12"/>
    </row>
    <row r="12" spans="1:10" ht="15.75">
      <c r="A12" s="46"/>
      <c r="B12" s="52"/>
      <c r="C12" s="46"/>
      <c r="D12" s="53"/>
      <c r="E12" s="48" t="s">
        <v>72</v>
      </c>
      <c r="F12" s="51"/>
      <c r="G12" s="15"/>
      <c r="H12" s="14"/>
      <c r="I12" s="14"/>
      <c r="J12" s="12"/>
    </row>
    <row r="13" spans="1:10" ht="15.75">
      <c r="A13" s="46"/>
      <c r="B13" s="50"/>
      <c r="C13" s="47"/>
      <c r="D13" s="54"/>
      <c r="E13" s="50"/>
      <c r="F13" s="54"/>
      <c r="G13" s="16"/>
      <c r="I13" s="12"/>
      <c r="J13" s="12"/>
    </row>
    <row r="14" spans="1:10" ht="15.75">
      <c r="A14" s="46"/>
      <c r="B14" s="16"/>
      <c r="C14" s="18"/>
      <c r="D14" s="18"/>
      <c r="E14" s="15"/>
      <c r="F14" s="14"/>
      <c r="G14" s="16"/>
      <c r="H14" s="23"/>
      <c r="I14" s="12"/>
      <c r="J14" s="12"/>
    </row>
    <row r="15" spans="1:10" ht="15.75">
      <c r="A15" s="46"/>
      <c r="B15" s="24"/>
      <c r="C15" s="19"/>
      <c r="D15" s="12"/>
      <c r="E15" s="16"/>
      <c r="F15" s="23"/>
      <c r="G15" s="16"/>
      <c r="H15" s="23"/>
      <c r="I15" s="12"/>
      <c r="J15" s="12"/>
    </row>
    <row r="16" spans="1:10" ht="15.75">
      <c r="A16" s="46"/>
      <c r="B16" s="25" t="s">
        <v>67</v>
      </c>
      <c r="C16" s="26" t="s">
        <v>3</v>
      </c>
      <c r="D16" s="23" t="s">
        <v>15</v>
      </c>
      <c r="E16" s="25" t="s">
        <v>16</v>
      </c>
      <c r="F16" s="23" t="s">
        <v>68</v>
      </c>
      <c r="G16" s="25" t="s">
        <v>62</v>
      </c>
      <c r="H16" s="23" t="s">
        <v>63</v>
      </c>
      <c r="I16" s="23" t="s">
        <v>64</v>
      </c>
      <c r="J16" s="12"/>
    </row>
    <row r="17" spans="1:10" ht="15.75">
      <c r="A17" s="47"/>
      <c r="B17" s="20"/>
      <c r="C17" s="27"/>
      <c r="D17" s="27"/>
      <c r="E17" s="20"/>
      <c r="F17" s="27"/>
      <c r="G17" s="20"/>
      <c r="H17" s="27"/>
      <c r="I17" s="27"/>
      <c r="J17" s="12"/>
    </row>
    <row r="18" spans="1:10" ht="15.75">
      <c r="A18" s="21" t="s">
        <v>21</v>
      </c>
      <c r="B18" s="16"/>
      <c r="C18" s="19"/>
      <c r="D18" s="12"/>
      <c r="E18" s="16"/>
      <c r="F18" s="12"/>
      <c r="G18" s="16"/>
      <c r="H18" s="12"/>
      <c r="I18" s="12"/>
      <c r="J18" s="12"/>
    </row>
    <row r="19" spans="1:10" ht="16.5">
      <c r="A19" s="7" t="s">
        <v>22</v>
      </c>
      <c r="B19" s="9">
        <v>17472</v>
      </c>
      <c r="C19" s="10">
        <v>7539</v>
      </c>
      <c r="D19" s="8">
        <v>9933</v>
      </c>
      <c r="E19" s="9">
        <v>13466</v>
      </c>
      <c r="F19" s="8">
        <v>11714</v>
      </c>
      <c r="G19" s="9">
        <v>2299</v>
      </c>
      <c r="H19" s="8">
        <v>1184</v>
      </c>
      <c r="I19" s="8">
        <v>1941</v>
      </c>
      <c r="J19" s="11"/>
    </row>
    <row r="20" spans="1:10" ht="15.75">
      <c r="A20" s="12" t="s">
        <v>23</v>
      </c>
      <c r="B20" s="30">
        <v>182</v>
      </c>
      <c r="C20" s="31">
        <v>62</v>
      </c>
      <c r="D20" s="32">
        <v>119</v>
      </c>
      <c r="E20" s="30">
        <v>116</v>
      </c>
      <c r="F20" s="39">
        <v>94</v>
      </c>
      <c r="G20" s="41">
        <v>31</v>
      </c>
      <c r="H20" s="32">
        <v>22</v>
      </c>
      <c r="I20" s="32">
        <v>32</v>
      </c>
      <c r="J20" s="11"/>
    </row>
    <row r="21" spans="1:10" ht="15.75">
      <c r="A21" s="12" t="s">
        <v>24</v>
      </c>
      <c r="B21" s="30">
        <v>3727</v>
      </c>
      <c r="C21" s="31">
        <v>1676</v>
      </c>
      <c r="D21" s="32">
        <v>2052</v>
      </c>
      <c r="E21" s="30">
        <v>2972</v>
      </c>
      <c r="F21" s="39">
        <v>2619</v>
      </c>
      <c r="G21" s="42">
        <v>451</v>
      </c>
      <c r="H21" s="32">
        <v>188</v>
      </c>
      <c r="I21" s="32">
        <v>405</v>
      </c>
      <c r="J21" s="11"/>
    </row>
    <row r="22" spans="1:10" ht="15.75">
      <c r="A22" s="12" t="s">
        <v>25</v>
      </c>
      <c r="B22" s="30">
        <v>3945</v>
      </c>
      <c r="C22" s="31">
        <v>1877</v>
      </c>
      <c r="D22" s="32">
        <v>2067</v>
      </c>
      <c r="E22" s="30">
        <v>3177</v>
      </c>
      <c r="F22" s="39">
        <v>2769</v>
      </c>
      <c r="G22" s="42">
        <v>397</v>
      </c>
      <c r="H22" s="32">
        <v>271</v>
      </c>
      <c r="I22" s="32">
        <v>420</v>
      </c>
      <c r="J22" s="11"/>
    </row>
    <row r="23" spans="1:10" ht="15.75">
      <c r="A23" s="12" t="s">
        <v>26</v>
      </c>
      <c r="B23" s="30">
        <v>3162</v>
      </c>
      <c r="C23" s="31">
        <v>1420</v>
      </c>
      <c r="D23" s="32">
        <v>1742</v>
      </c>
      <c r="E23" s="30">
        <v>2350</v>
      </c>
      <c r="F23" s="39">
        <v>2006</v>
      </c>
      <c r="G23" s="42">
        <v>447</v>
      </c>
      <c r="H23" s="32">
        <v>232</v>
      </c>
      <c r="I23" s="32">
        <v>388</v>
      </c>
      <c r="J23" s="11"/>
    </row>
    <row r="24" spans="1:10" ht="15.75">
      <c r="A24" s="12" t="s">
        <v>27</v>
      </c>
      <c r="B24" s="30">
        <v>2291</v>
      </c>
      <c r="C24" s="31">
        <v>924</v>
      </c>
      <c r="D24" s="32">
        <v>1367</v>
      </c>
      <c r="E24" s="30">
        <v>1708</v>
      </c>
      <c r="F24" s="39">
        <v>1445</v>
      </c>
      <c r="G24" s="42">
        <v>292</v>
      </c>
      <c r="H24" s="32">
        <v>225</v>
      </c>
      <c r="I24" s="32">
        <v>288</v>
      </c>
      <c r="J24" s="11"/>
    </row>
    <row r="25" spans="1:10" ht="15.75">
      <c r="A25" s="12" t="s">
        <v>28</v>
      </c>
      <c r="B25" s="33">
        <v>1309</v>
      </c>
      <c r="C25" s="34">
        <v>562</v>
      </c>
      <c r="D25" s="32">
        <v>748</v>
      </c>
      <c r="E25" s="30">
        <v>939</v>
      </c>
      <c r="F25" s="40">
        <v>807</v>
      </c>
      <c r="G25" s="42">
        <v>228</v>
      </c>
      <c r="H25" s="32">
        <v>113</v>
      </c>
      <c r="I25" s="32">
        <v>150</v>
      </c>
      <c r="J25" s="11"/>
    </row>
    <row r="26" spans="1:10" ht="15.75">
      <c r="A26" s="12" t="s">
        <v>29</v>
      </c>
      <c r="B26" s="30">
        <v>2858</v>
      </c>
      <c r="C26" s="31">
        <v>1019</v>
      </c>
      <c r="D26" s="32">
        <v>1838</v>
      </c>
      <c r="E26" s="30">
        <v>2206</v>
      </c>
      <c r="F26" s="32">
        <v>1978</v>
      </c>
      <c r="G26" s="30">
        <v>446</v>
      </c>
      <c r="H26" s="32">
        <v>130</v>
      </c>
      <c r="I26" s="32">
        <v>255</v>
      </c>
      <c r="J26" s="11"/>
    </row>
    <row r="27" spans="1:10" ht="15.75">
      <c r="A27" s="12"/>
      <c r="B27" s="30"/>
      <c r="C27" s="31"/>
      <c r="D27" s="32"/>
      <c r="E27" s="30"/>
      <c r="F27" s="32"/>
      <c r="G27" s="30"/>
      <c r="H27" s="32"/>
      <c r="I27" s="32"/>
      <c r="J27" s="11"/>
    </row>
    <row r="28" spans="1:10" ht="15.75">
      <c r="A28" s="12" t="s">
        <v>30</v>
      </c>
      <c r="B28" s="30"/>
      <c r="C28" s="31"/>
      <c r="D28" s="32"/>
      <c r="E28" s="30"/>
      <c r="F28" s="32"/>
      <c r="G28" s="30"/>
      <c r="H28" s="32"/>
      <c r="I28" s="32"/>
      <c r="J28" s="11"/>
    </row>
    <row r="29" spans="1:10" ht="15.75">
      <c r="A29" s="12" t="s">
        <v>31</v>
      </c>
      <c r="B29" s="30">
        <v>4327</v>
      </c>
      <c r="C29" s="31">
        <v>1866</v>
      </c>
      <c r="D29" s="31">
        <v>2462</v>
      </c>
      <c r="E29" s="30">
        <v>3230</v>
      </c>
      <c r="F29" s="32">
        <v>2663</v>
      </c>
      <c r="G29" s="30">
        <v>702</v>
      </c>
      <c r="H29" s="32">
        <v>223</v>
      </c>
      <c r="I29" s="32">
        <v>641</v>
      </c>
      <c r="J29" s="11"/>
    </row>
    <row r="30" spans="1:10" ht="15.75">
      <c r="A30" s="12" t="s">
        <v>32</v>
      </c>
      <c r="B30" s="30">
        <v>1259</v>
      </c>
      <c r="C30" s="31">
        <v>570</v>
      </c>
      <c r="D30" s="32">
        <v>689</v>
      </c>
      <c r="E30" s="30">
        <v>979</v>
      </c>
      <c r="F30" s="32">
        <v>807</v>
      </c>
      <c r="G30" s="30">
        <v>163</v>
      </c>
      <c r="H30" s="32">
        <v>62</v>
      </c>
      <c r="I30" s="32">
        <v>199</v>
      </c>
      <c r="J30" s="11"/>
    </row>
    <row r="31" spans="1:10" ht="15.75">
      <c r="A31" s="12" t="s">
        <v>33</v>
      </c>
      <c r="B31" s="30">
        <v>1436</v>
      </c>
      <c r="C31" s="31">
        <v>686</v>
      </c>
      <c r="D31" s="32">
        <v>750</v>
      </c>
      <c r="E31" s="30">
        <v>1066</v>
      </c>
      <c r="F31" s="32">
        <v>854</v>
      </c>
      <c r="G31" s="30">
        <v>218</v>
      </c>
      <c r="H31" s="32">
        <v>91</v>
      </c>
      <c r="I31" s="32">
        <v>236</v>
      </c>
      <c r="J31" s="11"/>
    </row>
    <row r="32" spans="1:10" ht="15.75">
      <c r="A32" s="12" t="s">
        <v>34</v>
      </c>
      <c r="B32" s="30">
        <v>1631</v>
      </c>
      <c r="C32" s="31">
        <v>611</v>
      </c>
      <c r="D32" s="32">
        <v>1020</v>
      </c>
      <c r="E32" s="30">
        <v>1186</v>
      </c>
      <c r="F32" s="32">
        <v>1004</v>
      </c>
      <c r="G32" s="30">
        <v>319</v>
      </c>
      <c r="H32" s="32">
        <v>69</v>
      </c>
      <c r="I32" s="32">
        <v>204</v>
      </c>
      <c r="J32" s="11"/>
    </row>
    <row r="33" spans="1:10" ht="15.75">
      <c r="A33" s="12" t="s">
        <v>35</v>
      </c>
      <c r="B33" s="30">
        <v>9841</v>
      </c>
      <c r="C33" s="31">
        <v>4324</v>
      </c>
      <c r="D33" s="31">
        <v>5517</v>
      </c>
      <c r="E33" s="30">
        <v>7702</v>
      </c>
      <c r="F33" s="32">
        <v>6754</v>
      </c>
      <c r="G33" s="30">
        <v>1271</v>
      </c>
      <c r="H33" s="32">
        <v>572</v>
      </c>
      <c r="I33" s="32">
        <v>1029</v>
      </c>
      <c r="J33" s="11"/>
    </row>
    <row r="34" spans="1:10" ht="15.75">
      <c r="A34" s="12" t="s">
        <v>32</v>
      </c>
      <c r="B34" s="30">
        <v>2643</v>
      </c>
      <c r="C34" s="31">
        <v>1167</v>
      </c>
      <c r="D34" s="32">
        <v>1476</v>
      </c>
      <c r="E34" s="30">
        <v>2102</v>
      </c>
      <c r="F34" s="32">
        <v>1899</v>
      </c>
      <c r="G34" s="30">
        <v>319</v>
      </c>
      <c r="H34" s="32">
        <v>148</v>
      </c>
      <c r="I34" s="32">
        <v>238</v>
      </c>
      <c r="J34" s="11"/>
    </row>
    <row r="35" spans="1:10" ht="15.75">
      <c r="A35" s="12" t="s">
        <v>33</v>
      </c>
      <c r="B35" s="30">
        <v>5000</v>
      </c>
      <c r="C35" s="31">
        <v>2329</v>
      </c>
      <c r="D35" s="32">
        <v>2671</v>
      </c>
      <c r="E35" s="30">
        <v>3954</v>
      </c>
      <c r="F35" s="32">
        <v>3465</v>
      </c>
      <c r="G35" s="30">
        <v>563</v>
      </c>
      <c r="H35" s="32">
        <v>317</v>
      </c>
      <c r="I35" s="32">
        <v>515</v>
      </c>
      <c r="J35" s="11"/>
    </row>
    <row r="36" spans="1:10" ht="15.75">
      <c r="A36" s="12" t="s">
        <v>34</v>
      </c>
      <c r="B36" s="30">
        <v>2200</v>
      </c>
      <c r="C36" s="31">
        <v>829</v>
      </c>
      <c r="D36" s="32">
        <v>1374</v>
      </c>
      <c r="E36" s="30">
        <v>1646</v>
      </c>
      <c r="F36" s="32">
        <v>1392</v>
      </c>
      <c r="G36" s="30">
        <v>387</v>
      </c>
      <c r="H36" s="32">
        <v>103</v>
      </c>
      <c r="I36" s="32">
        <v>277</v>
      </c>
      <c r="J36" s="11"/>
    </row>
    <row r="37" spans="1:10" ht="15.75">
      <c r="A37" s="12" t="s">
        <v>36</v>
      </c>
      <c r="B37" s="30">
        <v>3304</v>
      </c>
      <c r="C37" s="31">
        <v>1349</v>
      </c>
      <c r="D37" s="31">
        <v>1954</v>
      </c>
      <c r="E37" s="30">
        <v>2534</v>
      </c>
      <c r="F37" s="32">
        <v>2297</v>
      </c>
      <c r="G37" s="30">
        <v>326</v>
      </c>
      <c r="H37" s="32">
        <v>389</v>
      </c>
      <c r="I37" s="32">
        <v>271</v>
      </c>
      <c r="J37" s="11"/>
    </row>
    <row r="38" spans="1:10" ht="15.75">
      <c r="A38" s="12" t="s">
        <v>37</v>
      </c>
      <c r="B38" s="30">
        <v>678</v>
      </c>
      <c r="C38" s="31">
        <v>283</v>
      </c>
      <c r="D38" s="32">
        <v>394</v>
      </c>
      <c r="E38" s="30">
        <v>514</v>
      </c>
      <c r="F38" s="32">
        <v>463</v>
      </c>
      <c r="G38" s="30">
        <v>63</v>
      </c>
      <c r="H38" s="32">
        <v>95</v>
      </c>
      <c r="I38" s="32">
        <v>57</v>
      </c>
      <c r="J38" s="11"/>
    </row>
    <row r="39" spans="1:10" ht="15.75">
      <c r="A39" s="12" t="s">
        <v>38</v>
      </c>
      <c r="B39" s="30">
        <v>1458</v>
      </c>
      <c r="C39" s="31">
        <v>662</v>
      </c>
      <c r="D39" s="32">
        <v>796</v>
      </c>
      <c r="E39" s="30">
        <v>1084</v>
      </c>
      <c r="F39" s="32">
        <v>965</v>
      </c>
      <c r="G39" s="30">
        <v>115</v>
      </c>
      <c r="H39" s="32">
        <v>224</v>
      </c>
      <c r="I39" s="32">
        <v>130</v>
      </c>
      <c r="J39" s="11"/>
    </row>
    <row r="40" spans="1:10" ht="15.75">
      <c r="A40" s="12" t="s">
        <v>39</v>
      </c>
      <c r="B40" s="30">
        <v>1169</v>
      </c>
      <c r="C40" s="31">
        <v>403</v>
      </c>
      <c r="D40" s="32">
        <v>763</v>
      </c>
      <c r="E40" s="30">
        <v>937</v>
      </c>
      <c r="F40" s="32">
        <v>869</v>
      </c>
      <c r="G40" s="30">
        <v>145</v>
      </c>
      <c r="H40" s="32">
        <v>72</v>
      </c>
      <c r="I40" s="32">
        <v>82</v>
      </c>
      <c r="J40" s="11"/>
    </row>
    <row r="41" spans="1:10" ht="15.75">
      <c r="A41" s="12"/>
      <c r="B41" s="30"/>
      <c r="C41" s="31"/>
      <c r="D41" s="32"/>
      <c r="E41" s="30"/>
      <c r="F41" s="32"/>
      <c r="G41" s="30"/>
      <c r="H41" s="32"/>
      <c r="I41" s="32"/>
      <c r="J41" s="11"/>
    </row>
    <row r="42" spans="1:10" ht="15.75">
      <c r="A42" s="12" t="s">
        <v>40</v>
      </c>
      <c r="B42" s="30">
        <v>13435</v>
      </c>
      <c r="C42" s="31">
        <v>5733</v>
      </c>
      <c r="D42" s="31">
        <v>7702</v>
      </c>
      <c r="E42" s="30">
        <v>10303</v>
      </c>
      <c r="F42" s="31">
        <v>8852</v>
      </c>
      <c r="G42" s="30">
        <v>1800</v>
      </c>
      <c r="H42" s="31">
        <v>904</v>
      </c>
      <c r="I42" s="31">
        <v>1625</v>
      </c>
      <c r="J42" s="11"/>
    </row>
    <row r="43" spans="1:10" ht="15.75">
      <c r="A43" s="12" t="s">
        <v>41</v>
      </c>
      <c r="B43" s="30">
        <v>3890</v>
      </c>
      <c r="C43" s="31">
        <v>1672</v>
      </c>
      <c r="D43" s="32">
        <v>2218</v>
      </c>
      <c r="E43" s="30">
        <v>2921</v>
      </c>
      <c r="F43" s="32">
        <v>2389</v>
      </c>
      <c r="G43" s="30">
        <v>612</v>
      </c>
      <c r="H43" s="32">
        <v>204</v>
      </c>
      <c r="I43" s="32">
        <v>604</v>
      </c>
      <c r="J43" s="11"/>
    </row>
    <row r="44" spans="1:10" ht="15.75">
      <c r="A44" s="12" t="s">
        <v>42</v>
      </c>
      <c r="B44" s="30">
        <v>7402</v>
      </c>
      <c r="C44" s="31">
        <v>3212</v>
      </c>
      <c r="D44" s="32">
        <v>4190</v>
      </c>
      <c r="E44" s="30">
        <v>5751</v>
      </c>
      <c r="F44" s="32">
        <v>4974</v>
      </c>
      <c r="G44" s="30">
        <v>967</v>
      </c>
      <c r="H44" s="32">
        <v>448</v>
      </c>
      <c r="I44" s="32">
        <v>853</v>
      </c>
      <c r="J44" s="11"/>
    </row>
    <row r="45" spans="1:10" ht="15.75">
      <c r="A45" s="12" t="s">
        <v>43</v>
      </c>
      <c r="B45" s="30">
        <v>2143</v>
      </c>
      <c r="C45" s="31">
        <v>849</v>
      </c>
      <c r="D45" s="32">
        <v>1294</v>
      </c>
      <c r="E45" s="30">
        <v>1631</v>
      </c>
      <c r="F45" s="32">
        <v>1489</v>
      </c>
      <c r="G45" s="30">
        <v>221</v>
      </c>
      <c r="H45" s="32">
        <v>252</v>
      </c>
      <c r="I45" s="32">
        <v>168</v>
      </c>
      <c r="J45" s="11"/>
    </row>
    <row r="46" spans="1:10" ht="15.75">
      <c r="A46" s="12"/>
      <c r="B46" s="28"/>
      <c r="C46" s="29"/>
      <c r="D46" s="11"/>
      <c r="E46" s="24"/>
      <c r="G46" s="24"/>
      <c r="J46" s="11"/>
    </row>
    <row r="47" spans="1:10" ht="15.75">
      <c r="A47" s="12" t="s">
        <v>44</v>
      </c>
      <c r="B47" s="30"/>
      <c r="C47" s="31"/>
      <c r="D47" s="32"/>
      <c r="E47" s="30"/>
      <c r="F47" s="32"/>
      <c r="G47" s="30"/>
      <c r="H47" s="32"/>
      <c r="I47" s="32"/>
      <c r="J47" s="11"/>
    </row>
    <row r="48" spans="1:10" ht="15.75">
      <c r="A48" s="12" t="s">
        <v>45</v>
      </c>
      <c r="B48" s="35">
        <v>17.88</v>
      </c>
      <c r="C48" s="36">
        <v>17.13</v>
      </c>
      <c r="D48" s="37">
        <v>18.56</v>
      </c>
      <c r="E48" s="35">
        <v>17.95</v>
      </c>
      <c r="F48" s="37">
        <v>18.36</v>
      </c>
      <c r="G48" s="35">
        <v>18.75</v>
      </c>
      <c r="H48" s="37">
        <v>15.81</v>
      </c>
      <c r="I48" s="37">
        <v>16.14</v>
      </c>
      <c r="J48" s="11"/>
    </row>
    <row r="49" spans="1:10" ht="15.75">
      <c r="A49" s="19" t="s">
        <v>46</v>
      </c>
      <c r="B49" s="35">
        <v>25.37</v>
      </c>
      <c r="C49" s="36">
        <v>23.3</v>
      </c>
      <c r="D49" s="36">
        <v>27.19</v>
      </c>
      <c r="E49" s="35">
        <v>22.57</v>
      </c>
      <c r="F49" s="36">
        <v>29.14</v>
      </c>
      <c r="G49" s="35">
        <v>15.35</v>
      </c>
      <c r="H49" s="36">
        <v>21.87</v>
      </c>
      <c r="I49" s="36">
        <v>18.62</v>
      </c>
      <c r="J49" s="29"/>
    </row>
    <row r="50" spans="1:10" ht="15.75">
      <c r="A50" s="27"/>
      <c r="B50" s="17"/>
      <c r="C50" s="17"/>
      <c r="D50" s="17"/>
      <c r="E50" s="17"/>
      <c r="F50" s="17"/>
      <c r="G50" s="17"/>
      <c r="H50" s="17"/>
      <c r="I50" s="17"/>
      <c r="J50" s="12"/>
    </row>
    <row r="51" spans="1:10" ht="15.75">
      <c r="A51" s="18"/>
      <c r="B51" s="19"/>
      <c r="C51" s="19"/>
      <c r="D51" s="19"/>
      <c r="E51" s="19"/>
      <c r="F51" s="19"/>
      <c r="G51" s="19"/>
      <c r="H51" s="19"/>
      <c r="I51" s="19"/>
      <c r="J51" s="12"/>
    </row>
    <row r="52" spans="1:10" ht="15.75">
      <c r="A52" s="12" t="s">
        <v>60</v>
      </c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.75">
      <c r="A53" s="12" t="s">
        <v>49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.75">
      <c r="A54" s="12" t="s">
        <v>70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>
      <c r="A55" s="12" t="s">
        <v>65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5.75"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.75">
      <c r="A57" s="12" t="s">
        <v>58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>
      <c r="A58" s="12" t="s">
        <v>51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5.75">
      <c r="A59" s="12" t="s">
        <v>66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5.7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5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5.75"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.75">
      <c r="A63" s="13" t="s">
        <v>61</v>
      </c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5.75">
      <c r="A64" s="38" t="s">
        <v>53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.7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.7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5.7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5.7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.75">
      <c r="A69" s="12"/>
      <c r="B69" s="12"/>
      <c r="C69" s="12"/>
      <c r="D69" s="12"/>
      <c r="E69" s="12"/>
      <c r="F69" s="12"/>
      <c r="G69" s="12"/>
      <c r="H69" s="12"/>
      <c r="I69" s="12"/>
      <c r="J69" s="12"/>
    </row>
  </sheetData>
  <mergeCells count="5">
    <mergeCell ref="A8:A17"/>
    <mergeCell ref="B8:I9"/>
    <mergeCell ref="B10:D13"/>
    <mergeCell ref="E10:I11"/>
    <mergeCell ref="E12:F13"/>
  </mergeCells>
  <hyperlinks>
    <hyperlink ref="A64" r:id="rId1" display="http://www.census.gov/population/www/socdemo/education.html"/>
  </hyperlinks>
  <printOptions/>
  <pageMargins left="0.75" right="0.75" top="1" bottom="1" header="0.5" footer="0.5"/>
  <pageSetup horizontalDpi="600" verticalDpi="600" orientation="landscape" paperSize="17" scale="75" r:id="rId2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2"/>
  <sheetViews>
    <sheetView showGridLines="0" showOutlineSymbols="0" zoomScale="75" zoomScaleNormal="75" workbookViewId="0" topLeftCell="A1">
      <selection activeCell="A6" sqref="A6"/>
    </sheetView>
  </sheetViews>
  <sheetFormatPr defaultColWidth="8.796875" defaultRowHeight="15.75"/>
  <cols>
    <col min="1" max="1" width="35.69921875" style="0" customWidth="1"/>
    <col min="2" max="13" width="12.69921875" style="0" customWidth="1"/>
    <col min="14" max="16384" width="9.69921875" style="0" customWidth="1"/>
  </cols>
  <sheetData>
    <row r="1" spans="1:10" ht="15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 t="s">
        <v>56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2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1"/>
    </row>
    <row r="9" spans="1:10" ht="15.75">
      <c r="A9" s="1"/>
      <c r="B9" s="1"/>
      <c r="C9" s="1"/>
      <c r="D9" s="1">
        <v>2000</v>
      </c>
      <c r="E9" s="1"/>
      <c r="F9" s="1"/>
      <c r="G9" s="1"/>
      <c r="H9" s="1"/>
      <c r="I9" s="1"/>
      <c r="J9" s="1"/>
    </row>
    <row r="10" spans="1:10" ht="15.75">
      <c r="A10" s="1"/>
      <c r="B10" s="2" t="s">
        <v>4</v>
      </c>
      <c r="C10" s="2" t="s">
        <v>4</v>
      </c>
      <c r="D10" s="2" t="s">
        <v>4</v>
      </c>
      <c r="E10" s="2" t="s">
        <v>4</v>
      </c>
      <c r="F10" s="2" t="s">
        <v>4</v>
      </c>
      <c r="G10" s="2" t="s">
        <v>4</v>
      </c>
      <c r="H10" s="2" t="s">
        <v>4</v>
      </c>
      <c r="I10" s="2" t="s">
        <v>4</v>
      </c>
      <c r="J10" s="1"/>
    </row>
    <row r="11" spans="1:10" ht="15.75">
      <c r="A11" s="1"/>
      <c r="B11" s="1"/>
      <c r="C11" s="1"/>
      <c r="D11" s="1"/>
      <c r="E11" s="1" t="s">
        <v>5</v>
      </c>
      <c r="F11" s="1"/>
      <c r="G11" s="1"/>
      <c r="H11" s="1"/>
      <c r="I11" s="1"/>
      <c r="J11" s="1"/>
    </row>
    <row r="12" spans="1:10" ht="15.75">
      <c r="A12" s="1"/>
      <c r="B12" s="1"/>
      <c r="C12" s="1"/>
      <c r="D12" s="1"/>
      <c r="E12" s="2" t="s">
        <v>4</v>
      </c>
      <c r="F12" s="2" t="s">
        <v>4</v>
      </c>
      <c r="G12" s="2" t="s">
        <v>4</v>
      </c>
      <c r="H12" s="2" t="s">
        <v>4</v>
      </c>
      <c r="I12" s="2" t="s">
        <v>4</v>
      </c>
      <c r="J12" s="1"/>
    </row>
    <row r="13" spans="1:10" ht="15.75">
      <c r="A13" s="3" t="s">
        <v>6</v>
      </c>
      <c r="B13" s="1"/>
      <c r="C13" s="1" t="s">
        <v>7</v>
      </c>
      <c r="D13" s="1"/>
      <c r="E13" s="1" t="s">
        <v>8</v>
      </c>
      <c r="F13" s="1"/>
      <c r="G13" s="1"/>
      <c r="H13" s="4" t="s">
        <v>9</v>
      </c>
      <c r="I13" s="1"/>
      <c r="J13" s="1"/>
    </row>
    <row r="14" spans="1:10" ht="15.75">
      <c r="A14" s="1"/>
      <c r="B14" s="1"/>
      <c r="C14" s="2" t="s">
        <v>4</v>
      </c>
      <c r="D14" s="2" t="s">
        <v>4</v>
      </c>
      <c r="E14" s="4" t="s">
        <v>10</v>
      </c>
      <c r="F14" s="2" t="s">
        <v>4</v>
      </c>
      <c r="G14" s="1"/>
      <c r="H14" s="4" t="s">
        <v>11</v>
      </c>
      <c r="I14" s="1"/>
      <c r="J14" s="1"/>
    </row>
    <row r="15" spans="1:10" ht="15.75">
      <c r="A15" s="1"/>
      <c r="B15" s="1"/>
      <c r="C15" s="1"/>
      <c r="D15" s="1"/>
      <c r="E15" s="1"/>
      <c r="F15" s="4" t="s">
        <v>12</v>
      </c>
      <c r="G15" s="1"/>
      <c r="H15" s="4" t="s">
        <v>13</v>
      </c>
      <c r="I15" s="1"/>
      <c r="J15" s="1"/>
    </row>
    <row r="16" spans="1:10" ht="15.75">
      <c r="A16" s="1"/>
      <c r="B16" s="4" t="s">
        <v>14</v>
      </c>
      <c r="C16" s="4" t="s">
        <v>3</v>
      </c>
      <c r="D16" s="4" t="s">
        <v>15</v>
      </c>
      <c r="E16" s="4" t="s">
        <v>16</v>
      </c>
      <c r="F16" s="4" t="s">
        <v>17</v>
      </c>
      <c r="G16" s="4" t="s">
        <v>18</v>
      </c>
      <c r="H16" s="4" t="s">
        <v>19</v>
      </c>
      <c r="I16" s="4" t="s">
        <v>20</v>
      </c>
      <c r="J16" s="1"/>
    </row>
    <row r="17" spans="1:10" ht="15.75">
      <c r="A17" s="2" t="s">
        <v>4</v>
      </c>
      <c r="B17" s="2" t="s">
        <v>4</v>
      </c>
      <c r="C17" s="2" t="s">
        <v>4</v>
      </c>
      <c r="D17" s="2" t="s">
        <v>4</v>
      </c>
      <c r="E17" s="2" t="s">
        <v>4</v>
      </c>
      <c r="F17" s="2" t="s">
        <v>4</v>
      </c>
      <c r="G17" s="2" t="s">
        <v>4</v>
      </c>
      <c r="H17" s="2" t="s">
        <v>4</v>
      </c>
      <c r="I17" s="2" t="s">
        <v>4</v>
      </c>
      <c r="J17" s="1"/>
    </row>
    <row r="18" spans="1:10" ht="15.75">
      <c r="A18" s="3" t="s">
        <v>21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1" t="s">
        <v>22</v>
      </c>
      <c r="B19" s="5">
        <f>28252-12939</f>
        <v>15313</v>
      </c>
      <c r="C19" s="5">
        <f>13404-6722</f>
        <v>6682</v>
      </c>
      <c r="D19" s="5">
        <f>14849-6217</f>
        <v>8632</v>
      </c>
      <c r="E19" s="5">
        <f>22155-10155</f>
        <v>12000</v>
      </c>
      <c r="F19" s="5">
        <f>18975-8339</f>
        <v>10636</v>
      </c>
      <c r="G19" s="5">
        <f>4263-2098</f>
        <v>2165</v>
      </c>
      <c r="H19" s="5">
        <f>1571-522</f>
        <v>1049</v>
      </c>
      <c r="I19" s="5">
        <f>3331-1905</f>
        <v>1426</v>
      </c>
      <c r="J19" s="5"/>
    </row>
    <row r="20" spans="1:10" ht="15.75">
      <c r="A20" s="1" t="s">
        <v>23</v>
      </c>
      <c r="B20" s="5">
        <f>11306-11157</f>
        <v>149</v>
      </c>
      <c r="C20" s="5">
        <f>5806-5745</f>
        <v>61</v>
      </c>
      <c r="D20" s="5">
        <f>5500-5413</f>
        <v>87</v>
      </c>
      <c r="E20" s="5">
        <f>8943-8827</f>
        <v>116</v>
      </c>
      <c r="F20" s="5">
        <f>7510-7418</f>
        <v>92</v>
      </c>
      <c r="G20" s="5">
        <f>1745-1726</f>
        <v>19</v>
      </c>
      <c r="H20" s="5">
        <f>469-457</f>
        <v>12</v>
      </c>
      <c r="I20" s="5">
        <f>1502-1477</f>
        <v>25</v>
      </c>
      <c r="J20" s="5"/>
    </row>
    <row r="21" spans="1:10" ht="15.75">
      <c r="A21" s="1" t="s">
        <v>24</v>
      </c>
      <c r="B21" s="5">
        <f>4926-1327</f>
        <v>3599</v>
      </c>
      <c r="C21" s="5">
        <f>2353-782</f>
        <v>1571</v>
      </c>
      <c r="D21" s="5">
        <f>2573-545</f>
        <v>2028</v>
      </c>
      <c r="E21" s="5">
        <f>3924-1009</f>
        <v>2915</v>
      </c>
      <c r="F21" s="5">
        <f>3337-757</f>
        <v>2580</v>
      </c>
      <c r="G21" s="5">
        <f>716-261</f>
        <v>455</v>
      </c>
      <c r="H21" s="5">
        <f>257-45</f>
        <v>212</v>
      </c>
      <c r="I21" s="5">
        <f>617-268</f>
        <v>349</v>
      </c>
      <c r="J21" s="5"/>
    </row>
    <row r="22" spans="1:10" ht="15.75">
      <c r="A22" s="1" t="s">
        <v>25</v>
      </c>
      <c r="B22" s="5">
        <f>3314-145</f>
        <v>3169</v>
      </c>
      <c r="C22" s="5">
        <f>1548-76</f>
        <v>1472</v>
      </c>
      <c r="D22" s="5">
        <f>1766-69</f>
        <v>1697</v>
      </c>
      <c r="E22" s="5">
        <f>2688-98</f>
        <v>2590</v>
      </c>
      <c r="F22" s="5">
        <f>2388-55</f>
        <v>2333</v>
      </c>
      <c r="G22" s="5">
        <f>416-41</f>
        <v>375</v>
      </c>
      <c r="H22" s="5">
        <f>206-6</f>
        <v>200</v>
      </c>
      <c r="I22" s="5">
        <f>311-43</f>
        <v>268</v>
      </c>
      <c r="J22" s="5"/>
    </row>
    <row r="23" spans="1:10" ht="15.75">
      <c r="A23" s="1" t="s">
        <v>26</v>
      </c>
      <c r="B23" s="5">
        <f>2731-48</f>
        <v>2683</v>
      </c>
      <c r="C23" s="5">
        <f>1320-20</f>
        <v>1300</v>
      </c>
      <c r="D23" s="5">
        <f>1411-28</f>
        <v>1383</v>
      </c>
      <c r="E23" s="5">
        <f>2101-40</f>
        <v>2061</v>
      </c>
      <c r="F23" s="5">
        <f>1809-13</f>
        <v>1796</v>
      </c>
      <c r="G23" s="5">
        <f>393-6</f>
        <v>387</v>
      </c>
      <c r="H23" s="5">
        <f>229-2</f>
        <v>227</v>
      </c>
      <c r="I23" s="5">
        <f>309-26</f>
        <v>283</v>
      </c>
      <c r="J23" s="5"/>
    </row>
    <row r="24" spans="1:10" ht="15.75">
      <c r="A24" s="1" t="s">
        <v>27</v>
      </c>
      <c r="B24" s="5">
        <f>2030-68</f>
        <v>1962</v>
      </c>
      <c r="C24" s="5">
        <f>860-16</f>
        <v>844</v>
      </c>
      <c r="D24" s="5">
        <f>1170-52</f>
        <v>1118</v>
      </c>
      <c r="E24" s="5">
        <f>1473-41</f>
        <v>1432</v>
      </c>
      <c r="F24" s="5">
        <f>1286-12</f>
        <v>1274</v>
      </c>
      <c r="G24" s="5">
        <f>353-27</f>
        <v>326</v>
      </c>
      <c r="H24" s="5">
        <v>188</v>
      </c>
      <c r="I24" s="5">
        <f>198-32</f>
        <v>166</v>
      </c>
      <c r="J24" s="5"/>
    </row>
    <row r="25" spans="1:10" ht="15.75">
      <c r="A25" s="1" t="s">
        <v>28</v>
      </c>
      <c r="B25" s="5">
        <f>1292-48</f>
        <v>1244</v>
      </c>
      <c r="C25" s="5">
        <f>536-19</f>
        <v>517</v>
      </c>
      <c r="D25" s="5">
        <f>757-29</f>
        <v>728</v>
      </c>
      <c r="E25" s="5">
        <f>939-33</f>
        <v>906</v>
      </c>
      <c r="F25" s="5">
        <f>785-15</f>
        <v>770</v>
      </c>
      <c r="G25" s="5">
        <f>252-10</f>
        <v>242</v>
      </c>
      <c r="H25" s="5">
        <f>86-5</f>
        <v>81</v>
      </c>
      <c r="I25" s="5">
        <f>160-18</f>
        <v>142</v>
      </c>
      <c r="J25" s="5"/>
    </row>
    <row r="26" spans="1:10" ht="15.75">
      <c r="A26" s="1" t="s">
        <v>29</v>
      </c>
      <c r="B26" s="5">
        <f>2653-146</f>
        <v>2507</v>
      </c>
      <c r="C26" s="5">
        <f>982-63</f>
        <v>919</v>
      </c>
      <c r="D26" s="5">
        <f>1671-83</f>
        <v>1588</v>
      </c>
      <c r="E26" s="5">
        <f>2086-108</f>
        <v>1978</v>
      </c>
      <c r="F26" s="5">
        <f>1860-70</f>
        <v>1790</v>
      </c>
      <c r="G26" s="5">
        <f>388-27</f>
        <v>361</v>
      </c>
      <c r="H26" s="5">
        <f>135-6</f>
        <v>129</v>
      </c>
      <c r="I26" s="5">
        <f>235-41</f>
        <v>194</v>
      </c>
      <c r="J26" s="5"/>
    </row>
    <row r="27" spans="1:10" ht="15.75">
      <c r="A27" s="1"/>
      <c r="B27" s="5"/>
      <c r="C27" s="5"/>
      <c r="D27" s="5"/>
      <c r="E27" s="5"/>
      <c r="F27" s="5"/>
      <c r="G27" s="5"/>
      <c r="H27" s="5"/>
      <c r="I27" s="5"/>
      <c r="J27" s="5"/>
    </row>
    <row r="28" spans="1:10" ht="15.75">
      <c r="A28" s="1" t="s">
        <v>30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ht="15.75">
      <c r="A29" s="1" t="s">
        <v>31</v>
      </c>
      <c r="B29" s="5">
        <f>2193+1688</f>
        <v>3881</v>
      </c>
      <c r="C29" s="5">
        <f>969+686</f>
        <v>1655</v>
      </c>
      <c r="D29" s="5">
        <f>1224+1002</f>
        <v>2226</v>
      </c>
      <c r="E29" s="5">
        <f>1701+1334</f>
        <v>3035</v>
      </c>
      <c r="F29" s="5">
        <f>1425+1119</f>
        <v>2544</v>
      </c>
      <c r="G29" s="5">
        <f>344+259</f>
        <v>603</v>
      </c>
      <c r="H29" s="5">
        <f>133+81</f>
        <v>214</v>
      </c>
      <c r="I29" s="5">
        <f>285+221</f>
        <v>506</v>
      </c>
      <c r="J29" s="5"/>
    </row>
    <row r="30" spans="1:10" ht="15.75">
      <c r="A30" s="1" t="s">
        <v>32</v>
      </c>
      <c r="B30" s="5">
        <f>53+10+940+229</f>
        <v>1232</v>
      </c>
      <c r="C30" s="5">
        <f>31+5+448+126</f>
        <v>610</v>
      </c>
      <c r="D30" s="5">
        <f>23+4+492+103</f>
        <v>622</v>
      </c>
      <c r="E30" s="5">
        <f>51+6+745+191</f>
        <v>993</v>
      </c>
      <c r="F30" s="5">
        <f>38+6+620+156</f>
        <v>820</v>
      </c>
      <c r="G30" s="5">
        <f>2+3+131+34</f>
        <v>170</v>
      </c>
      <c r="H30" s="5">
        <f>59+5</f>
        <v>64</v>
      </c>
      <c r="I30" s="5">
        <f>13+132+35</f>
        <v>180</v>
      </c>
      <c r="J30" s="5"/>
    </row>
    <row r="31" spans="1:10" ht="15.75">
      <c r="A31" s="1" t="s">
        <v>33</v>
      </c>
      <c r="B31" s="5">
        <f>507+202+278+247</f>
        <v>1234</v>
      </c>
      <c r="C31" s="5">
        <f>197+76+131+121</f>
        <v>525</v>
      </c>
      <c r="D31" s="5">
        <f>310+127+147+126</f>
        <v>710</v>
      </c>
      <c r="E31" s="5">
        <f>407+166+197+199</f>
        <v>969</v>
      </c>
      <c r="F31" s="5">
        <f>337+142+169+153</f>
        <v>801</v>
      </c>
      <c r="G31" s="5">
        <f>68+25+51+29</f>
        <v>173</v>
      </c>
      <c r="H31" s="5">
        <f>30+9+30+15</f>
        <v>84</v>
      </c>
      <c r="I31" s="5">
        <f>69+24+28+48</f>
        <v>169</v>
      </c>
      <c r="J31" s="5"/>
    </row>
    <row r="32" spans="1:10" ht="15.75">
      <c r="A32" s="1" t="s">
        <v>34</v>
      </c>
      <c r="B32" s="5">
        <f>163+254+67+190+184+557</f>
        <v>1415</v>
      </c>
      <c r="C32" s="5">
        <f>63+102+20+69+78+187</f>
        <v>519</v>
      </c>
      <c r="D32" s="5">
        <f>99+152+47+121+107+370</f>
        <v>896</v>
      </c>
      <c r="E32" s="5">
        <f>117+200+52+138+132+433</f>
        <v>1072</v>
      </c>
      <c r="F32" s="5">
        <f>101+171+39+112+121+379</f>
        <v>923</v>
      </c>
      <c r="G32" s="5">
        <f>44+36+10+42+37+90</f>
        <v>259</v>
      </c>
      <c r="H32" s="5">
        <f>1+15+4+10+8+27</f>
        <v>65</v>
      </c>
      <c r="I32" s="5">
        <f>17+30+14+26+11+58</f>
        <v>156</v>
      </c>
      <c r="J32" s="5"/>
    </row>
    <row r="33" spans="1:10" ht="15.75">
      <c r="A33" s="1" t="s">
        <v>35</v>
      </c>
      <c r="B33" s="5">
        <f>6698+1822</f>
        <v>8520</v>
      </c>
      <c r="C33" s="5">
        <f>3089+776</f>
        <v>3865</v>
      </c>
      <c r="D33" s="5">
        <f>3608+1046</f>
        <v>4654</v>
      </c>
      <c r="E33" s="5">
        <f>5276+1377</f>
        <v>6653</v>
      </c>
      <c r="F33" s="5">
        <f>4810+1169</f>
        <v>5979</v>
      </c>
      <c r="G33" s="5">
        <f>881+357</f>
        <v>1238</v>
      </c>
      <c r="H33" s="5">
        <f>497+75</f>
        <v>572</v>
      </c>
      <c r="I33" s="5">
        <f>491+231</f>
        <v>722</v>
      </c>
      <c r="J33" s="5"/>
    </row>
    <row r="34" spans="1:10" ht="15.75">
      <c r="A34" s="1" t="s">
        <v>32</v>
      </c>
      <c r="B34" s="5">
        <f>81+2293+104</f>
        <v>2478</v>
      </c>
      <c r="C34" s="5">
        <f>22+921+53</f>
        <v>996</v>
      </c>
      <c r="D34" s="5">
        <f>59+1373+51</f>
        <v>1483</v>
      </c>
      <c r="E34" s="5">
        <f>54+1872+84</f>
        <v>2010</v>
      </c>
      <c r="F34" s="5">
        <f>44+1721+69</f>
        <v>1834</v>
      </c>
      <c r="G34" s="5">
        <f>14+263+16</f>
        <v>293</v>
      </c>
      <c r="H34" s="5">
        <f>12+144+4</f>
        <v>160</v>
      </c>
      <c r="I34" s="5">
        <f>9+158+16</f>
        <v>183</v>
      </c>
      <c r="J34" s="5"/>
    </row>
    <row r="35" spans="1:10" ht="15.75">
      <c r="A35" s="1" t="s">
        <v>33</v>
      </c>
      <c r="B35" s="5">
        <f>2150+233+1201+386</f>
        <v>3970</v>
      </c>
      <c r="C35" s="5">
        <f>1030+124+667+177</f>
        <v>1998</v>
      </c>
      <c r="D35" s="5">
        <f>1121+109+534+210</f>
        <v>1974</v>
      </c>
      <c r="E35" s="5">
        <f>1768+196+897+311</f>
        <v>3172</v>
      </c>
      <c r="F35" s="5">
        <f>1634+172+812+252</f>
        <v>2870</v>
      </c>
      <c r="G35" s="5">
        <f>239+25+194+57</f>
        <v>515</v>
      </c>
      <c r="H35" s="5">
        <f>143+11+105+18</f>
        <v>277</v>
      </c>
      <c r="I35" s="5">
        <f>145+25+93+66</f>
        <v>329</v>
      </c>
      <c r="J35" s="5"/>
    </row>
    <row r="36" spans="1:10" ht="15.75">
      <c r="A36" s="1" t="s">
        <v>34</v>
      </c>
      <c r="B36" s="5">
        <f>475+354+225+260+272+485</f>
        <v>2071</v>
      </c>
      <c r="C36" s="5">
        <f>243+165+92+108+115+150</f>
        <v>873</v>
      </c>
      <c r="D36" s="5">
        <f>232+190+132+153+158+335</f>
        <v>1200</v>
      </c>
      <c r="E36" s="5">
        <f>321+237+159+171+205+378</f>
        <v>1471</v>
      </c>
      <c r="F36" s="5">
        <f>283+195+133+141+184+341</f>
        <v>1277</v>
      </c>
      <c r="G36" s="5">
        <f>84+84+45+79+41+94</f>
        <v>427</v>
      </c>
      <c r="H36" s="5">
        <f>63+31+16+2+15+9</f>
        <v>136</v>
      </c>
      <c r="I36" s="5">
        <f>38+48+26+35+21+40</f>
        <v>208</v>
      </c>
      <c r="J36" s="5"/>
    </row>
    <row r="37" spans="1:10" ht="15.75">
      <c r="A37" s="1" t="s">
        <v>36</v>
      </c>
      <c r="B37" s="5">
        <f>1268+1645</f>
        <v>2913</v>
      </c>
      <c r="C37" s="5">
        <f>546+616</f>
        <v>1162</v>
      </c>
      <c r="D37" s="5">
        <f>722+1028</f>
        <v>1750</v>
      </c>
      <c r="E37" s="5">
        <f>967+1344</f>
        <v>2311</v>
      </c>
      <c r="F37" s="5">
        <f>870+1243</f>
        <v>2113</v>
      </c>
      <c r="G37" s="5">
        <f>126+198</f>
        <v>324</v>
      </c>
      <c r="H37" s="5">
        <f>162+100</f>
        <v>262</v>
      </c>
      <c r="I37" s="5">
        <f>97+101</f>
        <v>198</v>
      </c>
      <c r="J37" s="5"/>
    </row>
    <row r="38" spans="1:10" ht="15.75">
      <c r="A38" s="1" t="s">
        <v>37</v>
      </c>
      <c r="B38" s="5">
        <f>5+27+6+67+10+414+156</f>
        <v>685</v>
      </c>
      <c r="C38" s="5">
        <f>3+18+5+41+5+151+53</f>
        <v>276</v>
      </c>
      <c r="D38" s="5">
        <f>2+9+1+26+5+263+103</f>
        <v>409</v>
      </c>
      <c r="E38" s="5">
        <f>5+17+6+53+337+120</f>
        <v>538</v>
      </c>
      <c r="F38" s="5">
        <f>3+9+6+48+305+105</f>
        <v>476</v>
      </c>
      <c r="G38" s="5">
        <f>10+7+10+32+23</f>
        <v>82</v>
      </c>
      <c r="H38" s="5">
        <f>7+46+13</f>
        <v>66</v>
      </c>
      <c r="I38" s="5">
        <f>2+7+5+31+15</f>
        <v>60</v>
      </c>
      <c r="J38" s="5"/>
    </row>
    <row r="39" spans="1:10" ht="15.75">
      <c r="A39" s="1" t="s">
        <v>38</v>
      </c>
      <c r="B39" s="5">
        <f>360+356+184+318</f>
        <v>1218</v>
      </c>
      <c r="C39" s="5">
        <f>151+120+100+127</f>
        <v>498</v>
      </c>
      <c r="D39" s="5">
        <f>209+237+84+191</f>
        <v>721</v>
      </c>
      <c r="E39" s="5">
        <f>268+290+129+257</f>
        <v>944</v>
      </c>
      <c r="F39" s="5">
        <f>252+272+107+238</f>
        <v>869</v>
      </c>
      <c r="G39" s="5">
        <f>42+35+22+44</f>
        <v>143</v>
      </c>
      <c r="H39" s="5">
        <f>48+30+31+17</f>
        <v>126</v>
      </c>
      <c r="I39" s="5">
        <f>16+18+22+19</f>
        <v>75</v>
      </c>
      <c r="J39" s="5"/>
    </row>
    <row r="40" spans="1:10" ht="15.75">
      <c r="A40" s="1" t="s">
        <v>39</v>
      </c>
      <c r="B40" s="5">
        <f>211+798</f>
        <v>1009</v>
      </c>
      <c r="C40" s="5">
        <f>82+307</f>
        <v>389</v>
      </c>
      <c r="D40" s="5">
        <f>129+491</f>
        <v>620</v>
      </c>
      <c r="E40" s="5">
        <f>160+670</f>
        <v>830</v>
      </c>
      <c r="F40" s="5">
        <f>145+621</f>
        <v>766</v>
      </c>
      <c r="G40" s="5">
        <f>13+86</f>
        <v>99</v>
      </c>
      <c r="H40" s="5">
        <f>30+40</f>
        <v>70</v>
      </c>
      <c r="I40" s="5">
        <f>14+49</f>
        <v>63</v>
      </c>
      <c r="J40" s="5"/>
    </row>
    <row r="41" spans="1:10" ht="15.75">
      <c r="A41" s="1"/>
      <c r="B41" s="5"/>
      <c r="C41" s="5"/>
      <c r="D41" s="5"/>
      <c r="E41" s="5"/>
      <c r="F41" s="5"/>
      <c r="G41" s="5"/>
      <c r="H41" s="5"/>
      <c r="I41" s="5"/>
      <c r="J41" s="5"/>
    </row>
    <row r="42" spans="1:10" ht="15.75">
      <c r="A42" s="1" t="s">
        <v>40</v>
      </c>
      <c r="B42" s="5">
        <f>23888-11880</f>
        <v>12008</v>
      </c>
      <c r="C42" s="5">
        <f>11343-6151</f>
        <v>5192</v>
      </c>
      <c r="D42" s="5">
        <f>12545-5729</f>
        <v>6816</v>
      </c>
      <c r="E42" s="5">
        <f>18605-9242</f>
        <v>9363</v>
      </c>
      <c r="F42" s="5">
        <f>15712-7511</f>
        <v>8201</v>
      </c>
      <c r="G42" s="5">
        <f>3708-1987</f>
        <v>1721</v>
      </c>
      <c r="H42" s="5">
        <f>1326-495</f>
        <v>831</v>
      </c>
      <c r="I42" s="5">
        <f>3036-1817</f>
        <v>1219</v>
      </c>
      <c r="J42" s="5"/>
    </row>
    <row r="43" spans="1:10" ht="15.75">
      <c r="A43" s="1" t="s">
        <v>41</v>
      </c>
      <c r="B43" s="5">
        <f>2010+1581</f>
        <v>3591</v>
      </c>
      <c r="C43" s="5">
        <f>869+642</f>
        <v>1511</v>
      </c>
      <c r="D43" s="5">
        <f>1141+938</f>
        <v>2079</v>
      </c>
      <c r="E43" s="5">
        <f>1577+1249</f>
        <v>2826</v>
      </c>
      <c r="F43" s="5">
        <f>1328+1037</f>
        <v>2365</v>
      </c>
      <c r="G43" s="5">
        <f>303+238</f>
        <v>541</v>
      </c>
      <c r="H43" s="5">
        <f>118+80</f>
        <v>198</v>
      </c>
      <c r="I43" s="5">
        <f>256+218</f>
        <v>474</v>
      </c>
      <c r="J43" s="5"/>
    </row>
    <row r="44" spans="1:10" ht="15.75">
      <c r="A44" s="1" t="s">
        <v>42</v>
      </c>
      <c r="B44" s="5">
        <f>4971+1482</f>
        <v>6453</v>
      </c>
      <c r="C44" s="5">
        <f>2298+637</f>
        <v>2935</v>
      </c>
      <c r="D44" s="5">
        <f>2674+845</f>
        <v>3519</v>
      </c>
      <c r="E44" s="5">
        <f>3879+1140</f>
        <v>5019</v>
      </c>
      <c r="F44" s="5">
        <f>3504+959</f>
        <v>4463</v>
      </c>
      <c r="G44" s="5">
        <f>668+271</f>
        <v>939</v>
      </c>
      <c r="H44" s="5">
        <f>384+59</f>
        <v>443</v>
      </c>
      <c r="I44" s="5">
        <f>395+203</f>
        <v>598</v>
      </c>
      <c r="J44" s="5"/>
    </row>
    <row r="45" spans="1:10" ht="15.75">
      <c r="A45" s="1" t="s">
        <v>43</v>
      </c>
      <c r="B45" s="5">
        <f>839+1125</f>
        <v>1964</v>
      </c>
      <c r="C45" s="5">
        <f>366+381</f>
        <v>747</v>
      </c>
      <c r="D45" s="5">
        <f>473+745</f>
        <v>1218</v>
      </c>
      <c r="E45" s="5">
        <f>619+901</f>
        <v>1520</v>
      </c>
      <c r="F45" s="5">
        <f>532+842</f>
        <v>1374</v>
      </c>
      <c r="G45" s="5">
        <f>97+144</f>
        <v>241</v>
      </c>
      <c r="H45" s="5">
        <f>112+77</f>
        <v>189</v>
      </c>
      <c r="I45" s="5">
        <f>87+59</f>
        <v>146</v>
      </c>
      <c r="J45" s="5"/>
    </row>
    <row r="46" spans="1:10" ht="15.75">
      <c r="A46" s="1"/>
      <c r="B46" s="5"/>
      <c r="C46" s="5"/>
      <c r="D46" s="5"/>
      <c r="E46" s="5"/>
      <c r="F46" s="5"/>
      <c r="G46" s="5"/>
      <c r="H46" s="5"/>
      <c r="I46" s="5"/>
      <c r="J46" s="5"/>
    </row>
    <row r="47" spans="1:10" ht="15.75">
      <c r="A47" s="1" t="s">
        <v>44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ht="15.75">
      <c r="A48" s="1" t="s">
        <v>45</v>
      </c>
      <c r="B48" s="6">
        <f>(6+269+291+338+321+156+213+1+142+232+510+743+613+1394)/B19*100</f>
        <v>34.147456409586624</v>
      </c>
      <c r="C48" s="6">
        <f>(3+112+133+168+168+78+113+85+106+257+315+277+544)/C19*100</f>
        <v>35.30380125710865</v>
      </c>
      <c r="D48" s="6">
        <f>(3+157+159+170+153+78+100+1+57+125+253+428+336+850)/D19*100</f>
        <v>33.2483781278962</v>
      </c>
      <c r="E48" s="6">
        <f>(6+245+247+260+237+118+151+1+128+196+412+571+442+1123)/E19*100</f>
        <v>34.475</v>
      </c>
      <c r="F48" s="6">
        <f>(6+210+216+231+196+94+134+1+111+177+328+512+384+1005)/F19*100</f>
        <v>33.89432117337345</v>
      </c>
      <c r="G48" s="6">
        <f>(21+37+60+58+33+37+14+29+73+119+135+207)/G19*100</f>
        <v>38.01385681293303</v>
      </c>
      <c r="H48" s="6">
        <f>(2+7+18+25+5+16+6+25+50+30+60)/H19*100</f>
        <v>23.260247855100094</v>
      </c>
      <c r="I48" s="6">
        <f>(35+34+36+41+24+17+18+19+90+64+61+124)/I19*100</f>
        <v>39.48106591865358</v>
      </c>
      <c r="J48" s="5"/>
    </row>
    <row r="49" spans="1:10" ht="15.75">
      <c r="A49" s="1" t="s">
        <v>46</v>
      </c>
      <c r="B49" s="6">
        <f>(46+1258+1215+753+285+127+153+9+125+159+166+115+63+172)/B19*100</f>
        <v>30.340233788284465</v>
      </c>
      <c r="C49" s="6">
        <f>(28+523+507+370+129+53+52+5+61+70+55+40+2+28)/C19*100</f>
        <v>28.77880873989823</v>
      </c>
      <c r="D49" s="6">
        <f>(18+736+707+382+156+74+101+3+64+89+112+75+61+144)/D19*100</f>
        <v>31.533827618164967</v>
      </c>
      <c r="E49" s="6">
        <f>(36+1058+1058+608+205+95+118+5+109+127+143+92+57+143)/E19*100</f>
        <v>32.11666666666667</v>
      </c>
      <c r="F49" s="6">
        <f>(26+925+962+546+196+78+113+5+84+101+117+74+50+139)/F19*100</f>
        <v>32.11733734486649</v>
      </c>
      <c r="G49" s="6">
        <f>(6+128+83+82+50+13+16+3+14+19+15+10+6+21)/G19*100</f>
        <v>21.524249422632792</v>
      </c>
      <c r="H49" s="6">
        <f>(3+65+74+59+29+20+14+2+12+7+12+8)/H19*100</f>
        <v>29.075309818875116</v>
      </c>
      <c r="I49" s="6">
        <f>(10+138+100+61+9+17+5+25+26+26+17+6+4)/I19*100</f>
        <v>31.136044880785413</v>
      </c>
      <c r="J49" s="5"/>
    </row>
    <row r="50" spans="1:10" ht="15.75">
      <c r="A50" s="1"/>
      <c r="B50" s="5"/>
      <c r="C50" s="5"/>
      <c r="D50" s="5"/>
      <c r="E50" s="5"/>
      <c r="F50" s="5"/>
      <c r="G50" s="5"/>
      <c r="H50" s="5"/>
      <c r="I50" s="5"/>
      <c r="J50" s="5"/>
    </row>
    <row r="51" spans="1:10" ht="15.75">
      <c r="A51" s="3" t="s">
        <v>47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15.75">
      <c r="A52" s="1" t="s">
        <v>48</v>
      </c>
      <c r="B52" s="5">
        <f>2193+6698+1268</f>
        <v>10159</v>
      </c>
      <c r="C52" s="5">
        <v>4605</v>
      </c>
      <c r="D52" s="5">
        <f>1224+3608+722</f>
        <v>5554</v>
      </c>
      <c r="E52" s="5">
        <f>1701+5276+967</f>
        <v>7944</v>
      </c>
      <c r="F52" s="5">
        <f>1425+4810+870</f>
        <v>7105</v>
      </c>
      <c r="G52" s="5">
        <f>344+881+126</f>
        <v>1351</v>
      </c>
      <c r="H52" s="5">
        <v>793</v>
      </c>
      <c r="I52" s="5">
        <f>285+491+97</f>
        <v>873</v>
      </c>
      <c r="J52" s="5"/>
    </row>
    <row r="53" spans="1:10" ht="15.75">
      <c r="A53" s="1" t="s">
        <v>23</v>
      </c>
      <c r="B53" s="5">
        <f>53+81+5</f>
        <v>139</v>
      </c>
      <c r="C53" s="5">
        <f>31+22+3</f>
        <v>56</v>
      </c>
      <c r="D53" s="5">
        <v>83</v>
      </c>
      <c r="E53" s="5">
        <f>51+54+5</f>
        <v>110</v>
      </c>
      <c r="F53" s="5">
        <v>86</v>
      </c>
      <c r="G53" s="5">
        <f>2+14</f>
        <v>16</v>
      </c>
      <c r="H53" s="5">
        <f>12</f>
        <v>12</v>
      </c>
      <c r="I53" s="5">
        <f>13+9+2</f>
        <v>24</v>
      </c>
      <c r="J53" s="5"/>
    </row>
    <row r="54" spans="1:10" ht="15.75">
      <c r="A54" s="1" t="s">
        <v>24</v>
      </c>
      <c r="B54" s="5">
        <v>3261</v>
      </c>
      <c r="C54" s="5">
        <f>448+921+18</f>
        <v>1387</v>
      </c>
      <c r="D54" s="5">
        <f>492+1373+9</f>
        <v>1874</v>
      </c>
      <c r="E54" s="5">
        <f>745+1872+17</f>
        <v>2634</v>
      </c>
      <c r="F54" s="5">
        <f>620+1721+9</f>
        <v>2350</v>
      </c>
      <c r="G54" s="5">
        <f>131+263+10</f>
        <v>404</v>
      </c>
      <c r="H54" s="5">
        <f>59+144</f>
        <v>203</v>
      </c>
      <c r="I54" s="5">
        <f>132+158+7</f>
        <v>297</v>
      </c>
      <c r="J54" s="5"/>
    </row>
    <row r="55" spans="1:10" ht="15.75">
      <c r="A55" s="1" t="s">
        <v>25</v>
      </c>
      <c r="B55" s="5">
        <v>2725</v>
      </c>
      <c r="C55" s="5">
        <f>197+1030+41</f>
        <v>1268</v>
      </c>
      <c r="D55" s="5">
        <f>310+1121+26</f>
        <v>1457</v>
      </c>
      <c r="E55" s="5">
        <v>2227</v>
      </c>
      <c r="F55" s="5">
        <f>337+1634+48</f>
        <v>2019</v>
      </c>
      <c r="G55" s="5">
        <f>68+239+7</f>
        <v>314</v>
      </c>
      <c r="H55" s="5">
        <f>30+143+7</f>
        <v>180</v>
      </c>
      <c r="I55" s="5">
        <f>69+145+5</f>
        <v>219</v>
      </c>
      <c r="J55" s="5"/>
    </row>
    <row r="56" spans="1:10" ht="15.75">
      <c r="A56" s="1" t="s">
        <v>26</v>
      </c>
      <c r="B56" s="5">
        <v>1894</v>
      </c>
      <c r="C56" s="5">
        <f>131+667+151</f>
        <v>949</v>
      </c>
      <c r="D56" s="5">
        <v>945</v>
      </c>
      <c r="E56" s="5">
        <f>197+897+337</f>
        <v>1431</v>
      </c>
      <c r="F56" s="5">
        <f>169+812+305</f>
        <v>1286</v>
      </c>
      <c r="G56" s="5">
        <f>51+194+32</f>
        <v>277</v>
      </c>
      <c r="H56" s="5">
        <f>30+105+46</f>
        <v>181</v>
      </c>
      <c r="I56" s="5">
        <v>153</v>
      </c>
      <c r="J56" s="5"/>
    </row>
    <row r="57" spans="1:10" ht="15.75">
      <c r="A57" s="1" t="s">
        <v>27</v>
      </c>
      <c r="B57" s="5">
        <f>163+475+360</f>
        <v>998</v>
      </c>
      <c r="C57" s="5">
        <v>458</v>
      </c>
      <c r="D57" s="5">
        <f>99+232+209</f>
        <v>540</v>
      </c>
      <c r="E57" s="5">
        <f>117+321+268</f>
        <v>706</v>
      </c>
      <c r="F57" s="5">
        <f>101+283+252</f>
        <v>636</v>
      </c>
      <c r="G57" s="5">
        <f>44+84+42</f>
        <v>170</v>
      </c>
      <c r="H57" s="5">
        <f>1+63+48</f>
        <v>112</v>
      </c>
      <c r="I57" s="5">
        <f>17+38+16</f>
        <v>71</v>
      </c>
      <c r="J57" s="5"/>
    </row>
    <row r="58" spans="1:10" ht="15.75">
      <c r="A58" s="1" t="s">
        <v>28</v>
      </c>
      <c r="B58" s="5">
        <f>67+225+184</f>
        <v>476</v>
      </c>
      <c r="C58" s="5">
        <v>213</v>
      </c>
      <c r="D58" s="5">
        <f>47+132+84</f>
        <v>263</v>
      </c>
      <c r="E58" s="5">
        <f>52+159+129</f>
        <v>340</v>
      </c>
      <c r="F58" s="5">
        <v>278</v>
      </c>
      <c r="G58" s="5">
        <f>10+45+22</f>
        <v>77</v>
      </c>
      <c r="H58" s="5">
        <f>4+16+31</f>
        <v>51</v>
      </c>
      <c r="I58" s="5">
        <f>14+26+22</f>
        <v>62</v>
      </c>
      <c r="J58" s="5"/>
    </row>
    <row r="59" spans="1:10" ht="15.75">
      <c r="A59" s="1" t="s">
        <v>29</v>
      </c>
      <c r="B59" s="5">
        <f>184+272+211</f>
        <v>667</v>
      </c>
      <c r="C59" s="5">
        <v>274</v>
      </c>
      <c r="D59" s="5">
        <v>393</v>
      </c>
      <c r="E59" s="5">
        <v>496</v>
      </c>
      <c r="F59" s="5">
        <v>449</v>
      </c>
      <c r="G59" s="5">
        <v>92</v>
      </c>
      <c r="H59" s="5">
        <f>8+15+30</f>
        <v>53</v>
      </c>
      <c r="I59" s="5">
        <v>47</v>
      </c>
      <c r="J59" s="5"/>
    </row>
    <row r="60" spans="1:10" ht="15.75">
      <c r="A60" s="1"/>
      <c r="B60" s="5"/>
      <c r="C60" s="5"/>
      <c r="D60" s="5"/>
      <c r="E60" s="5"/>
      <c r="F60" s="5"/>
      <c r="G60" s="5"/>
      <c r="H60" s="5"/>
      <c r="I60" s="5"/>
      <c r="J60" s="5"/>
    </row>
    <row r="61" spans="1:10" ht="15.75">
      <c r="A61" s="1" t="s">
        <v>30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5.75">
      <c r="A62" s="1" t="s">
        <v>31</v>
      </c>
      <c r="B62" s="5">
        <v>2193</v>
      </c>
      <c r="C62" s="5">
        <v>969</v>
      </c>
      <c r="D62" s="5">
        <v>1224</v>
      </c>
      <c r="E62" s="5">
        <v>1701</v>
      </c>
      <c r="F62" s="5">
        <v>1425</v>
      </c>
      <c r="G62" s="5">
        <v>344</v>
      </c>
      <c r="H62" s="5">
        <f>133</f>
        <v>133</v>
      </c>
      <c r="I62" s="5">
        <v>285</v>
      </c>
      <c r="J62" s="5"/>
    </row>
    <row r="63" spans="1:10" ht="15.75">
      <c r="A63" s="1" t="s">
        <v>32</v>
      </c>
      <c r="B63" s="5">
        <f>53+940</f>
        <v>993</v>
      </c>
      <c r="C63" s="5">
        <f>31+448</f>
        <v>479</v>
      </c>
      <c r="D63" s="5">
        <f>23+492</f>
        <v>515</v>
      </c>
      <c r="E63" s="5">
        <f>51+745</f>
        <v>796</v>
      </c>
      <c r="F63" s="5">
        <f>38+620</f>
        <v>658</v>
      </c>
      <c r="G63" s="5">
        <f>2+131</f>
        <v>133</v>
      </c>
      <c r="H63" s="5">
        <f>59</f>
        <v>59</v>
      </c>
      <c r="I63" s="5">
        <f>13+132</f>
        <v>145</v>
      </c>
      <c r="J63" s="5"/>
    </row>
    <row r="64" spans="1:10" ht="15.75">
      <c r="A64" s="1" t="s">
        <v>33</v>
      </c>
      <c r="B64" s="5">
        <f>507+278</f>
        <v>785</v>
      </c>
      <c r="C64" s="5">
        <f>197+131</f>
        <v>328</v>
      </c>
      <c r="D64" s="5">
        <f>310+147</f>
        <v>457</v>
      </c>
      <c r="E64" s="5">
        <f>407+197</f>
        <v>604</v>
      </c>
      <c r="F64" s="5">
        <f>337+169</f>
        <v>506</v>
      </c>
      <c r="G64" s="5">
        <f>68+51</f>
        <v>119</v>
      </c>
      <c r="H64" s="5">
        <f>30+30</f>
        <v>60</v>
      </c>
      <c r="I64" s="5">
        <f>69+28</f>
        <v>97</v>
      </c>
      <c r="J64" s="5"/>
    </row>
    <row r="65" spans="1:10" ht="15.75">
      <c r="A65" s="1" t="s">
        <v>34</v>
      </c>
      <c r="B65" s="5">
        <f>163+67+184</f>
        <v>414</v>
      </c>
      <c r="C65" s="5">
        <f>63+20+78</f>
        <v>161</v>
      </c>
      <c r="D65" s="5">
        <f>99+47+107</f>
        <v>253</v>
      </c>
      <c r="E65" s="5">
        <f>117+52+132</f>
        <v>301</v>
      </c>
      <c r="F65" s="5">
        <f>101+39+121</f>
        <v>261</v>
      </c>
      <c r="G65" s="5">
        <f>44+10+37</f>
        <v>91</v>
      </c>
      <c r="H65" s="5">
        <f>1+4+8</f>
        <v>13</v>
      </c>
      <c r="I65" s="5">
        <f>17+14+11</f>
        <v>42</v>
      </c>
      <c r="J65" s="5"/>
    </row>
    <row r="66" spans="1:10" ht="15.75">
      <c r="A66" s="1" t="s">
        <v>35</v>
      </c>
      <c r="B66" s="5">
        <v>6698</v>
      </c>
      <c r="C66" s="5">
        <v>3089</v>
      </c>
      <c r="D66" s="5">
        <v>3608</v>
      </c>
      <c r="E66" s="5">
        <f>5276</f>
        <v>5276</v>
      </c>
      <c r="F66" s="5">
        <f>4810</f>
        <v>4810</v>
      </c>
      <c r="G66" s="5">
        <f>881</f>
        <v>881</v>
      </c>
      <c r="H66" s="5">
        <f>497</f>
        <v>497</v>
      </c>
      <c r="I66" s="5">
        <f>491</f>
        <v>491</v>
      </c>
      <c r="J66" s="5"/>
    </row>
    <row r="67" spans="1:10" ht="15.75">
      <c r="A67" s="1" t="s">
        <v>32</v>
      </c>
      <c r="B67" s="5">
        <f>81+2293</f>
        <v>2374</v>
      </c>
      <c r="C67" s="5">
        <f>22+921</f>
        <v>943</v>
      </c>
      <c r="D67" s="5">
        <f>59+1373</f>
        <v>1432</v>
      </c>
      <c r="E67" s="5">
        <f>54+1872</f>
        <v>1926</v>
      </c>
      <c r="F67" s="5">
        <f>44+1721</f>
        <v>1765</v>
      </c>
      <c r="G67" s="5">
        <f>14+263</f>
        <v>277</v>
      </c>
      <c r="H67" s="5">
        <f>12+144</f>
        <v>156</v>
      </c>
      <c r="I67" s="5">
        <f>9+158</f>
        <v>167</v>
      </c>
      <c r="J67" s="5"/>
    </row>
    <row r="68" spans="1:10" ht="15.75">
      <c r="A68" s="1" t="s">
        <v>33</v>
      </c>
      <c r="B68" s="5">
        <f>2150+1201</f>
        <v>3351</v>
      </c>
      <c r="C68" s="5">
        <f>1030+667</f>
        <v>1697</v>
      </c>
      <c r="D68" s="5">
        <f>1121+534</f>
        <v>1655</v>
      </c>
      <c r="E68" s="5">
        <f>1768+897</f>
        <v>2665</v>
      </c>
      <c r="F68" s="5">
        <f>1634+812</f>
        <v>2446</v>
      </c>
      <c r="G68" s="5">
        <f>239+194</f>
        <v>433</v>
      </c>
      <c r="H68" s="5">
        <f>143+105</f>
        <v>248</v>
      </c>
      <c r="I68" s="5">
        <f>145+93</f>
        <v>238</v>
      </c>
      <c r="J68" s="5"/>
    </row>
    <row r="69" spans="1:10" ht="15.75">
      <c r="A69" s="1" t="s">
        <v>34</v>
      </c>
      <c r="B69" s="5">
        <f>475+225+272</f>
        <v>972</v>
      </c>
      <c r="C69" s="5">
        <f>243+92+115</f>
        <v>450</v>
      </c>
      <c r="D69" s="5">
        <f>232+132+158</f>
        <v>522</v>
      </c>
      <c r="E69" s="5">
        <f>321+159+205</f>
        <v>685</v>
      </c>
      <c r="F69" s="5">
        <f>283+133+184</f>
        <v>600</v>
      </c>
      <c r="G69" s="5">
        <f>84+45+41</f>
        <v>170</v>
      </c>
      <c r="H69" s="5">
        <f>63+16+15</f>
        <v>94</v>
      </c>
      <c r="I69" s="5">
        <f>38+26+21</f>
        <v>85</v>
      </c>
      <c r="J69" s="5"/>
    </row>
    <row r="70" spans="1:10" ht="15.75">
      <c r="A70" s="1" t="s">
        <v>36</v>
      </c>
      <c r="B70" s="5">
        <v>1268</v>
      </c>
      <c r="C70" s="5">
        <v>546</v>
      </c>
      <c r="D70" s="5">
        <f>722</f>
        <v>722</v>
      </c>
      <c r="E70" s="5">
        <f>967</f>
        <v>967</v>
      </c>
      <c r="F70" s="5">
        <f>870</f>
        <v>870</v>
      </c>
      <c r="G70" s="5">
        <f>126</f>
        <v>126</v>
      </c>
      <c r="H70" s="5">
        <f>162</f>
        <v>162</v>
      </c>
      <c r="I70" s="5">
        <f>97</f>
        <v>97</v>
      </c>
      <c r="J70" s="5"/>
    </row>
    <row r="71" spans="1:10" ht="15.75">
      <c r="A71" s="1" t="s">
        <v>37</v>
      </c>
      <c r="B71" s="5">
        <f>5+27+67+414</f>
        <v>513</v>
      </c>
      <c r="C71" s="5">
        <f>3+18+41+151</f>
        <v>213</v>
      </c>
      <c r="D71" s="5">
        <f>2+9+26+263</f>
        <v>300</v>
      </c>
      <c r="E71" s="5">
        <f>5+17+53+337</f>
        <v>412</v>
      </c>
      <c r="F71" s="5">
        <f>3+9+48+305</f>
        <v>365</v>
      </c>
      <c r="G71" s="5">
        <f>10+7+32</f>
        <v>49</v>
      </c>
      <c r="H71" s="5">
        <f>7+46</f>
        <v>53</v>
      </c>
      <c r="I71" s="5">
        <f>2+7+5+31</f>
        <v>45</v>
      </c>
      <c r="J71" s="5"/>
    </row>
    <row r="72" spans="1:10" ht="15.75">
      <c r="A72" s="1" t="s">
        <v>38</v>
      </c>
      <c r="B72" s="5">
        <f>360+184</f>
        <v>544</v>
      </c>
      <c r="C72" s="5">
        <f>151+100</f>
        <v>251</v>
      </c>
      <c r="D72" s="5">
        <f>209+84</f>
        <v>293</v>
      </c>
      <c r="E72" s="5">
        <f>268+129</f>
        <v>397</v>
      </c>
      <c r="F72" s="5">
        <f>252+107</f>
        <v>359</v>
      </c>
      <c r="G72" s="5">
        <f>42+22</f>
        <v>64</v>
      </c>
      <c r="H72" s="5">
        <f>48+31</f>
        <v>79</v>
      </c>
      <c r="I72" s="5">
        <f>16+22</f>
        <v>38</v>
      </c>
      <c r="J72" s="5"/>
    </row>
    <row r="73" spans="1:10" ht="15.75">
      <c r="A73" s="1" t="s">
        <v>39</v>
      </c>
      <c r="B73" s="5">
        <v>211</v>
      </c>
      <c r="C73" s="5">
        <v>82</v>
      </c>
      <c r="D73" s="5">
        <f>129</f>
        <v>129</v>
      </c>
      <c r="E73" s="5">
        <f>160</f>
        <v>160</v>
      </c>
      <c r="F73" s="5">
        <f>145</f>
        <v>145</v>
      </c>
      <c r="G73" s="5">
        <v>13</v>
      </c>
      <c r="H73" s="5">
        <v>30</v>
      </c>
      <c r="I73" s="5">
        <v>14</v>
      </c>
      <c r="J73" s="5"/>
    </row>
    <row r="74" spans="1:10" ht="15.75">
      <c r="A74" s="1"/>
      <c r="B74" s="5"/>
      <c r="C74" s="5"/>
      <c r="D74" s="5"/>
      <c r="E74" s="5"/>
      <c r="F74" s="5"/>
      <c r="G74" s="5"/>
      <c r="H74" s="5"/>
      <c r="I74" s="5"/>
      <c r="J74" s="5"/>
    </row>
    <row r="75" spans="1:10" ht="15.75">
      <c r="A75" s="1" t="s">
        <v>40</v>
      </c>
      <c r="B75" s="5">
        <f>2010+4971+839</f>
        <v>7820</v>
      </c>
      <c r="C75" s="5">
        <f aca="true" t="shared" si="0" ref="C75:I75">SUM(C76:C78)</f>
        <v>3533</v>
      </c>
      <c r="D75" s="5">
        <f t="shared" si="0"/>
        <v>4288</v>
      </c>
      <c r="E75" s="5">
        <f t="shared" si="0"/>
        <v>6075</v>
      </c>
      <c r="F75" s="5">
        <f t="shared" si="0"/>
        <v>5364</v>
      </c>
      <c r="G75" s="5">
        <f t="shared" si="0"/>
        <v>1068</v>
      </c>
      <c r="H75" s="5">
        <f t="shared" si="0"/>
        <v>614</v>
      </c>
      <c r="I75" s="5">
        <f t="shared" si="0"/>
        <v>738</v>
      </c>
      <c r="J75" s="5"/>
    </row>
    <row r="76" spans="1:10" ht="15.75">
      <c r="A76" s="1" t="s">
        <v>41</v>
      </c>
      <c r="B76" s="5">
        <v>2010</v>
      </c>
      <c r="C76" s="5">
        <v>869</v>
      </c>
      <c r="D76" s="5">
        <v>1141</v>
      </c>
      <c r="E76" s="5">
        <v>1577</v>
      </c>
      <c r="F76" s="5">
        <v>1328</v>
      </c>
      <c r="G76" s="5">
        <v>303</v>
      </c>
      <c r="H76" s="5">
        <v>118</v>
      </c>
      <c r="I76" s="5">
        <v>256</v>
      </c>
      <c r="J76" s="5"/>
    </row>
    <row r="77" spans="1:10" ht="15.75">
      <c r="A77" s="1" t="s">
        <v>42</v>
      </c>
      <c r="B77" s="5">
        <v>4971</v>
      </c>
      <c r="C77" s="5">
        <v>2298</v>
      </c>
      <c r="D77" s="5">
        <v>2674</v>
      </c>
      <c r="E77" s="5">
        <v>3879</v>
      </c>
      <c r="F77" s="5">
        <v>3504</v>
      </c>
      <c r="G77" s="5">
        <v>668</v>
      </c>
      <c r="H77" s="5">
        <v>384</v>
      </c>
      <c r="I77" s="5">
        <v>395</v>
      </c>
      <c r="J77" s="5"/>
    </row>
    <row r="78" spans="1:10" ht="15.75">
      <c r="A78" s="1" t="s">
        <v>43</v>
      </c>
      <c r="B78" s="5">
        <v>839</v>
      </c>
      <c r="C78" s="5">
        <v>366</v>
      </c>
      <c r="D78" s="5">
        <v>473</v>
      </c>
      <c r="E78" s="5">
        <v>619</v>
      </c>
      <c r="F78" s="5">
        <v>532</v>
      </c>
      <c r="G78" s="5">
        <v>97</v>
      </c>
      <c r="H78" s="5">
        <v>112</v>
      </c>
      <c r="I78" s="5">
        <v>87</v>
      </c>
      <c r="J78" s="5"/>
    </row>
    <row r="79" spans="1:10" ht="15.75">
      <c r="A79" s="1"/>
      <c r="B79" s="5"/>
      <c r="C79" s="5"/>
      <c r="D79" s="5"/>
      <c r="E79" s="5"/>
      <c r="F79" s="5"/>
      <c r="G79" s="5"/>
      <c r="H79" s="5"/>
      <c r="I79" s="5"/>
      <c r="J79" s="5"/>
    </row>
    <row r="80" spans="1:10" ht="15.75">
      <c r="A80" s="1" t="s">
        <v>44</v>
      </c>
      <c r="B80" s="5"/>
      <c r="C80" s="5"/>
      <c r="D80" s="5"/>
      <c r="E80" s="5"/>
      <c r="F80" s="5"/>
      <c r="G80" s="5"/>
      <c r="H80" s="5"/>
      <c r="I80" s="5"/>
      <c r="J80" s="5"/>
    </row>
    <row r="81" spans="1:10" ht="15.75">
      <c r="A81" s="1" t="s">
        <v>45</v>
      </c>
      <c r="B81" s="6">
        <f>(6+269+291+338+321+156+213)/B52*100</f>
        <v>15.690520720543361</v>
      </c>
      <c r="C81" s="6">
        <f>(3+112+133+168+168+78+113)/C52*100</f>
        <v>16.829533116178066</v>
      </c>
      <c r="D81" s="6">
        <f>(3+157+159+170+153+78+100)/D52*100</f>
        <v>14.764133957508102</v>
      </c>
      <c r="E81" s="6">
        <f>(6+245+247+260+237+118+151)/E52*100</f>
        <v>15.911379657603222</v>
      </c>
      <c r="F81" s="6">
        <f>(6+210+216+231+196+94+134)/F52*100</f>
        <v>15.2990851513019</v>
      </c>
      <c r="G81" s="6">
        <f>(21+37+60+58+33+37)/G52*100</f>
        <v>18.208734270910437</v>
      </c>
      <c r="H81" s="6">
        <f>(2+7+18+25+5+16)/H52*100</f>
        <v>9.205548549810844</v>
      </c>
      <c r="I81" s="6">
        <f>(35+34+36+41+24+17)/I52*100</f>
        <v>21.420389461626574</v>
      </c>
      <c r="J81" s="5"/>
    </row>
    <row r="82" spans="1:10" ht="15.75">
      <c r="A82" s="1" t="s">
        <v>46</v>
      </c>
      <c r="B82" s="6">
        <f>(46+1258+1215+753+285+127+153)/B52*100</f>
        <v>37.7694654985727</v>
      </c>
      <c r="C82" s="6">
        <f>(28+523+507+370+129+53+52)/C52*100</f>
        <v>36.09120521172638</v>
      </c>
      <c r="D82" s="6">
        <f>(18+736+707+382+156+74+101)/D52*100</f>
        <v>39.14296002880807</v>
      </c>
      <c r="E82" s="6">
        <f>(36+1058+1058+608+205+95+118)/E52*100</f>
        <v>40.00503524672709</v>
      </c>
      <c r="F82" s="6">
        <f>(26+925+962+546+196+78+113)/F52*100</f>
        <v>40.056298381421534</v>
      </c>
      <c r="G82" s="6">
        <f>(6+128+83+82+50+13+16)/G52*100</f>
        <v>27.979274611398964</v>
      </c>
      <c r="H82" s="6">
        <f>(3+65+74+59+29+20+14)/H52*100</f>
        <v>33.29129886506936</v>
      </c>
      <c r="I82" s="6">
        <f>(10+138+100+61+9+17+5)/I52*100</f>
        <v>38.94616265750287</v>
      </c>
      <c r="J82" s="5"/>
    </row>
    <row r="83" spans="1:10" ht="15.75">
      <c r="A83" s="2" t="s">
        <v>4</v>
      </c>
      <c r="B83" s="2" t="s">
        <v>4</v>
      </c>
      <c r="C83" s="2" t="s">
        <v>4</v>
      </c>
      <c r="D83" s="2" t="s">
        <v>4</v>
      </c>
      <c r="E83" s="2" t="s">
        <v>4</v>
      </c>
      <c r="F83" s="2" t="s">
        <v>4</v>
      </c>
      <c r="G83" s="2" t="s">
        <v>4</v>
      </c>
      <c r="H83" s="2" t="s">
        <v>4</v>
      </c>
      <c r="I83" s="2" t="s">
        <v>4</v>
      </c>
      <c r="J83" s="1"/>
    </row>
    <row r="84" spans="1:10" ht="15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 t="s">
        <v>49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1" t="s">
        <v>50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1" t="s">
        <v>54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1" t="s">
        <v>57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>
      <c r="A91" s="1" t="s">
        <v>52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1"/>
      <c r="I92" s="1"/>
      <c r="J92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Enrollment--Summary by SEx, Race, and Hispanic Origin</dc:title>
  <dc:subject/>
  <dc:creator>US Census Bureau</dc:creator>
  <cp:keywords/>
  <dc:description/>
  <cp:lastModifiedBy>mulli320</cp:lastModifiedBy>
  <cp:lastPrinted>2008-07-30T13:34:48Z</cp:lastPrinted>
  <dcterms:created xsi:type="dcterms:W3CDTF">2004-03-03T22:27:44Z</dcterms:created>
  <dcterms:modified xsi:type="dcterms:W3CDTF">2008-11-12T20:47:56Z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