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</sheets>
  <definedNames>
    <definedName name="DATABASE">'Data'!$A$1:$A$1</definedName>
    <definedName name="DATABASE_MI">'Data'!$A$1:$A$1</definedName>
    <definedName name="INTERNET">'Data'!$A$57:$A$57</definedName>
    <definedName name="_xlnm.Print_Area" localSheetId="0">'Data'!$A$1:$T$57</definedName>
    <definedName name="_xlnm.Print_Area">'Data'!$A$3:$S$74</definedName>
    <definedName name="PRINT_AREA_MI">'Data'!$A$3:$S$74</definedName>
    <definedName name="SOURCE">'Data'!$A$52:$A$56</definedName>
    <definedName name="TITLE">'Data'!$A$1:$A$1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<sst xmlns="http://schemas.openxmlformats.org/spreadsheetml/2006/main" count="109" uniqueCount="50">
  <si>
    <t>add check</t>
  </si>
  <si>
    <t>Total:</t>
  </si>
  <si>
    <t xml:space="preserve">  2001</t>
  </si>
  <si>
    <t xml:space="preserve">  2002</t>
  </si>
  <si>
    <t xml:space="preserve">  2003</t>
  </si>
  <si>
    <t xml:space="preserve">  2004</t>
  </si>
  <si>
    <t xml:space="preserve">  2005</t>
  </si>
  <si>
    <t>Apparel:</t>
  </si>
  <si>
    <t>Home textiles:</t>
  </si>
  <si>
    <t>Floor coverings:</t>
  </si>
  <si>
    <t>Fiber Organon, monthly (copyright).</t>
  </si>
  <si>
    <t>http://www.fibersource.com/feb/feb1.htm</t>
  </si>
  <si>
    <t>Cotton</t>
  </si>
  <si>
    <t>Wool</t>
  </si>
  <si>
    <t>Manufactured fibers</t>
  </si>
  <si>
    <t>INTERNET LINK</t>
  </si>
  <si>
    <t>Synthetic</t>
  </si>
  <si>
    <t>Fiber consumption, total</t>
  </si>
  <si>
    <t>(million pounds)</t>
  </si>
  <si>
    <t>Cotton consumption,total</t>
  </si>
  <si>
    <t>Wool consumption, total</t>
  </si>
  <si>
    <t>Percent of end-use</t>
  </si>
  <si>
    <t>(percent)</t>
  </si>
  <si>
    <t>Synthetic consumption, total</t>
  </si>
  <si>
    <t>End-use and year</t>
  </si>
  <si>
    <t>Manufactured fibers consumption, total</t>
  </si>
  <si>
    <t>Cellulosic</t>
  </si>
  <si>
    <t>Cellulosic consumption, total</t>
  </si>
  <si>
    <t>\1 Includes consumer-type products.</t>
  </si>
  <si>
    <t>Industrial: \1</t>
  </si>
  <si>
    <t>glass fiber]</t>
  </si>
  <si>
    <t>fiber</t>
  </si>
  <si>
    <t>percent</t>
  </si>
  <si>
    <t>ADD</t>
  </si>
  <si>
    <t>CALC</t>
  </si>
  <si>
    <t xml:space="preserve">Source: Fiber Economics Bureau, Inc., Arlington, VA, </t>
  </si>
  <si>
    <t>FOOTNOTE</t>
  </si>
  <si>
    <t xml:space="preserve">  2006</t>
  </si>
  <si>
    <t>Table 3</t>
  </si>
  <si>
    <t>Total Apparel</t>
  </si>
  <si>
    <t>Table 5 car-</t>
  </si>
  <si>
    <t>pet and rugs</t>
  </si>
  <si>
    <t>Table 6 Total</t>
  </si>
  <si>
    <t>Industrial</t>
  </si>
  <si>
    <t>Table 4 Total</t>
  </si>
  <si>
    <t>Home Textiles</t>
  </si>
  <si>
    <t>See notes</t>
  </si>
  <si>
    <t>Back to data</t>
  </si>
  <si>
    <r>
      <t>Table 982.</t>
    </r>
    <r>
      <rPr>
        <b/>
        <sz val="12"/>
        <color indexed="8"/>
        <rFont val="Courier New"/>
        <family val="3"/>
      </rPr>
      <t xml:space="preserve"> Cotton, Wool, and Manmade Fibers -- Consumption by End-Use</t>
    </r>
  </si>
  <si>
    <r>
      <t>[</t>
    </r>
    <r>
      <rPr>
        <b/>
        <sz val="12"/>
        <color indexed="8"/>
        <rFont val="Courier New"/>
        <family val="3"/>
      </rPr>
      <t>16,077 represents 16,077,000,000</t>
    </r>
    <r>
      <rPr>
        <sz val="12"/>
        <color indexed="8"/>
        <rFont val="Courier New"/>
        <family val="3"/>
      </rPr>
      <t xml:space="preserve">. Represents products manufactured by U.S. mills. Excludes 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</si>
</sst>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Courier New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12"/>
      <color indexed="8"/>
      <name val="Courier New"/>
      <family val="3"/>
    </font>
    <font>
      <u val="single"/>
      <sz val="10.45"/>
      <color indexed="36"/>
      <name val="Courier New"/>
      <family val="0"/>
    </font>
    <font>
      <u val="single"/>
      <sz val="12"/>
      <color indexed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fill"/>
    </xf>
    <xf numFmtId="0" fontId="6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3" fontId="6" fillId="0" borderId="1" xfId="0" applyNumberFormat="1" applyFont="1" applyFill="1" applyBorder="1" applyAlignment="1">
      <alignment/>
    </xf>
    <xf numFmtId="172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173" fontId="6" fillId="0" borderId="0" xfId="0" applyNumberFormat="1" applyFont="1" applyFill="1" applyAlignment="1">
      <alignment/>
    </xf>
    <xf numFmtId="0" fontId="6" fillId="0" borderId="0" xfId="0" applyFont="1" applyFill="1" applyAlignment="1" quotePrefix="1">
      <alignment/>
    </xf>
    <xf numFmtId="0" fontId="7" fillId="0" borderId="0" xfId="16" applyNumberFormat="1" applyFont="1" applyFill="1" applyAlignment="1">
      <alignment/>
    </xf>
    <xf numFmtId="0" fontId="6" fillId="0" borderId="2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 horizontal="fill"/>
    </xf>
    <xf numFmtId="0" fontId="6" fillId="0" borderId="3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wrapText="1"/>
    </xf>
    <xf numFmtId="1" fontId="6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 quotePrefix="1">
      <alignment horizontal="right"/>
    </xf>
    <xf numFmtId="3" fontId="6" fillId="0" borderId="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/>
    </xf>
    <xf numFmtId="1" fontId="6" fillId="0" borderId="1" xfId="0" applyNumberFormat="1" applyFont="1" applyFill="1" applyBorder="1" applyAlignment="1" quotePrefix="1">
      <alignment horizontal="right"/>
    </xf>
    <xf numFmtId="1" fontId="6" fillId="0" borderId="1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" fontId="0" fillId="2" borderId="1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 horizontal="fill"/>
    </xf>
    <xf numFmtId="3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 vertical="center" wrapText="1"/>
    </xf>
    <xf numFmtId="173" fontId="6" fillId="0" borderId="4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fill"/>
    </xf>
    <xf numFmtId="3" fontId="6" fillId="0" borderId="0" xfId="0" applyNumberFormat="1" applyFont="1" applyFill="1" applyBorder="1" applyAlignment="1">
      <alignment horizontal="fill"/>
    </xf>
    <xf numFmtId="172" fontId="6" fillId="0" borderId="0" xfId="0" applyNumberFormat="1" applyFont="1" applyFill="1" applyBorder="1" applyAlignment="1">
      <alignment horizontal="fill"/>
    </xf>
    <xf numFmtId="0" fontId="6" fillId="0" borderId="0" xfId="0" applyFont="1" applyFill="1" applyBorder="1" applyAlignment="1">
      <alignment horizontal="fill"/>
    </xf>
    <xf numFmtId="3" fontId="6" fillId="0" borderId="0" xfId="0" applyNumberFormat="1" applyFont="1" applyFill="1" applyBorder="1" applyAlignment="1">
      <alignment horizontal="fill"/>
    </xf>
    <xf numFmtId="1" fontId="6" fillId="0" borderId="0" xfId="0" applyNumberFormat="1" applyFont="1" applyFill="1" applyBorder="1" applyAlignment="1">
      <alignment horizontal="fill"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Alignment="1" quotePrefix="1">
      <alignment/>
    </xf>
    <xf numFmtId="3" fontId="6" fillId="0" borderId="5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172" fontId="6" fillId="0" borderId="2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1" fontId="6" fillId="0" borderId="5" xfId="0" applyNumberFormat="1" applyFont="1" applyFill="1" applyBorder="1" applyAlignment="1">
      <alignment horizontal="right"/>
    </xf>
    <xf numFmtId="173" fontId="6" fillId="0" borderId="2" xfId="0" applyNumberFormat="1" applyFont="1" applyFill="1" applyBorder="1" applyAlignment="1">
      <alignment horizontal="right"/>
    </xf>
    <xf numFmtId="173" fontId="6" fillId="0" borderId="6" xfId="0" applyNumberFormat="1" applyFont="1" applyFill="1" applyBorder="1" applyAlignment="1">
      <alignment/>
    </xf>
    <xf numFmtId="173" fontId="6" fillId="0" borderId="2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right" vertical="center"/>
    </xf>
    <xf numFmtId="3" fontId="6" fillId="0" borderId="4" xfId="0" applyNumberFormat="1" applyFont="1" applyFill="1" applyBorder="1" applyAlignment="1">
      <alignment/>
    </xf>
    <xf numFmtId="0" fontId="6" fillId="0" borderId="2" xfId="0" applyFont="1" applyFill="1" applyBorder="1" applyAlignment="1" quotePrefix="1">
      <alignment/>
    </xf>
    <xf numFmtId="0" fontId="9" fillId="0" borderId="0" xfId="16" applyFont="1" applyFill="1" applyAlignment="1">
      <alignment/>
    </xf>
    <xf numFmtId="0" fontId="6" fillId="0" borderId="0" xfId="0" applyFont="1" applyFill="1" applyBorder="1" applyAlignment="1">
      <alignment horizontal="right" wrapText="1"/>
    </xf>
    <xf numFmtId="0" fontId="6" fillId="0" borderId="7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ibersource.com/feb/feb1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1"/>
  <sheetViews>
    <sheetView showGridLines="0" tabSelected="1" showOutlineSymbols="0" zoomScale="75" zoomScaleNormal="75" workbookViewId="0" topLeftCell="A1">
      <selection activeCell="A3" sqref="A3"/>
    </sheetView>
  </sheetViews>
  <sheetFormatPr defaultColWidth="11.69921875" defaultRowHeight="15.75"/>
  <cols>
    <col min="1" max="1" width="19.69921875" style="5" customWidth="1"/>
    <col min="2" max="2" width="12.69921875" style="5" customWidth="1"/>
    <col min="3" max="6" width="12.69921875" style="5" hidden="1" customWidth="1"/>
    <col min="7" max="7" width="12.69921875" style="5" customWidth="1"/>
    <col min="8" max="8" width="11.69921875" style="5" customWidth="1"/>
    <col min="9" max="9" width="12.69921875" style="5" customWidth="1"/>
    <col min="10" max="10" width="11.69921875" style="5" customWidth="1"/>
    <col min="11" max="11" width="12.69921875" style="5" customWidth="1"/>
    <col min="12" max="13" width="12.69921875" style="5" hidden="1" customWidth="1"/>
    <col min="14" max="14" width="11.69921875" style="5" customWidth="1"/>
    <col min="15" max="15" width="13.59765625" style="5" hidden="1" customWidth="1"/>
    <col min="16" max="16" width="12.69921875" style="5" customWidth="1"/>
    <col min="17" max="17" width="11.69921875" style="5" customWidth="1"/>
    <col min="18" max="18" width="12.69921875" style="5" customWidth="1"/>
    <col min="19" max="16384" width="11.69921875" style="5" customWidth="1"/>
  </cols>
  <sheetData>
    <row r="1" spans="1:19" ht="16.5">
      <c r="A1" s="5" t="s">
        <v>48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16.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ht="15.75">
      <c r="A3" s="66" t="s">
        <v>46</v>
      </c>
    </row>
    <row r="4" ht="15.75">
      <c r="A4" s="10"/>
    </row>
    <row r="5" spans="1:19" ht="15.75">
      <c r="A5" s="74" t="s">
        <v>24</v>
      </c>
      <c r="B5" s="68" t="s">
        <v>17</v>
      </c>
      <c r="C5" s="21"/>
      <c r="D5" s="21"/>
      <c r="E5" s="21"/>
      <c r="F5" s="21"/>
      <c r="G5" s="76" t="s">
        <v>12</v>
      </c>
      <c r="H5" s="74"/>
      <c r="I5" s="76" t="s">
        <v>13</v>
      </c>
      <c r="J5" s="74"/>
      <c r="K5" s="76" t="s">
        <v>14</v>
      </c>
      <c r="L5" s="74"/>
      <c r="M5" s="74"/>
      <c r="N5" s="74"/>
      <c r="O5" s="74"/>
      <c r="P5" s="74"/>
      <c r="Q5" s="74"/>
      <c r="R5" s="74"/>
      <c r="S5" s="74"/>
    </row>
    <row r="6" spans="1:19" ht="15.75">
      <c r="A6" s="75"/>
      <c r="B6" s="81"/>
      <c r="C6" s="22"/>
      <c r="D6" s="22"/>
      <c r="E6" s="22"/>
      <c r="F6" s="22"/>
      <c r="G6" s="77"/>
      <c r="H6" s="78"/>
      <c r="I6" s="77"/>
      <c r="J6" s="78"/>
      <c r="K6" s="77"/>
      <c r="L6" s="78"/>
      <c r="M6" s="78"/>
      <c r="N6" s="78"/>
      <c r="O6" s="78"/>
      <c r="P6" s="78"/>
      <c r="Q6" s="78"/>
      <c r="R6" s="78"/>
      <c r="S6" s="78"/>
    </row>
    <row r="7" spans="1:19" ht="15.75">
      <c r="A7" s="75"/>
      <c r="B7" s="81"/>
      <c r="C7" s="22"/>
      <c r="D7" s="22"/>
      <c r="E7" s="22"/>
      <c r="F7" s="22"/>
      <c r="G7" s="69" t="s">
        <v>19</v>
      </c>
      <c r="H7" s="67" t="s">
        <v>21</v>
      </c>
      <c r="I7" s="68" t="s">
        <v>20</v>
      </c>
      <c r="J7" s="67" t="s">
        <v>21</v>
      </c>
      <c r="K7" s="69" t="s">
        <v>25</v>
      </c>
      <c r="L7" s="43"/>
      <c r="M7" s="43"/>
      <c r="N7" s="67" t="s">
        <v>21</v>
      </c>
      <c r="O7" s="43"/>
      <c r="P7" s="82" t="s">
        <v>26</v>
      </c>
      <c r="Q7" s="83"/>
      <c r="R7" s="82" t="s">
        <v>16</v>
      </c>
      <c r="S7" s="74"/>
    </row>
    <row r="8" spans="1:19" ht="15.75">
      <c r="A8" s="75"/>
      <c r="B8" s="81"/>
      <c r="D8" s="2"/>
      <c r="E8" s="2"/>
      <c r="F8" s="2"/>
      <c r="G8" s="69"/>
      <c r="H8" s="67"/>
      <c r="I8" s="69"/>
      <c r="J8" s="67"/>
      <c r="K8" s="69"/>
      <c r="L8" s="43"/>
      <c r="M8" s="43"/>
      <c r="N8" s="67"/>
      <c r="O8" s="43"/>
      <c r="P8" s="84"/>
      <c r="Q8" s="85"/>
      <c r="R8" s="84"/>
      <c r="S8" s="78"/>
    </row>
    <row r="9" spans="1:20" ht="15.75">
      <c r="A9" s="75"/>
      <c r="B9" s="81"/>
      <c r="D9" s="2"/>
      <c r="E9" s="2"/>
      <c r="F9" s="2"/>
      <c r="G9" s="69"/>
      <c r="H9" s="67"/>
      <c r="I9" s="69"/>
      <c r="J9" s="67"/>
      <c r="K9" s="69"/>
      <c r="L9" s="43"/>
      <c r="M9" s="43"/>
      <c r="N9" s="67"/>
      <c r="O9" s="43"/>
      <c r="P9" s="68" t="s">
        <v>27</v>
      </c>
      <c r="Q9" s="67" t="s">
        <v>21</v>
      </c>
      <c r="R9" s="68" t="s">
        <v>23</v>
      </c>
      <c r="S9" s="67" t="s">
        <v>21</v>
      </c>
      <c r="T9" s="2"/>
    </row>
    <row r="10" spans="1:20" ht="15.75">
      <c r="A10" s="75"/>
      <c r="B10" s="81"/>
      <c r="C10" s="2"/>
      <c r="D10" s="2"/>
      <c r="E10" s="2"/>
      <c r="F10" s="2"/>
      <c r="G10" s="69"/>
      <c r="H10" s="67"/>
      <c r="I10" s="69"/>
      <c r="J10" s="67"/>
      <c r="K10" s="69"/>
      <c r="L10" s="43"/>
      <c r="M10" s="43"/>
      <c r="N10" s="67"/>
      <c r="O10" s="43"/>
      <c r="P10" s="69"/>
      <c r="Q10" s="67"/>
      <c r="R10" s="69"/>
      <c r="S10" s="67"/>
      <c r="T10" s="2"/>
    </row>
    <row r="11" spans="1:20" ht="15.75">
      <c r="A11" s="75"/>
      <c r="B11" s="81"/>
      <c r="C11" s="3"/>
      <c r="D11" s="3"/>
      <c r="E11" s="3"/>
      <c r="F11" s="3"/>
      <c r="G11" s="69"/>
      <c r="H11" s="67"/>
      <c r="I11" s="69"/>
      <c r="J11" s="67"/>
      <c r="K11" s="69"/>
      <c r="L11" s="43" t="s">
        <v>33</v>
      </c>
      <c r="M11" s="43" t="s">
        <v>34</v>
      </c>
      <c r="N11" s="67"/>
      <c r="O11" s="43"/>
      <c r="P11" s="69"/>
      <c r="Q11" s="67"/>
      <c r="R11" s="69"/>
      <c r="S11" s="67"/>
      <c r="T11" s="2"/>
    </row>
    <row r="12" spans="1:20" ht="15.75">
      <c r="A12" s="75"/>
      <c r="B12" s="81"/>
      <c r="C12" s="28" t="s">
        <v>0</v>
      </c>
      <c r="D12" s="28" t="s">
        <v>0</v>
      </c>
      <c r="E12" s="28"/>
      <c r="F12" s="28"/>
      <c r="G12" s="69"/>
      <c r="H12" s="67"/>
      <c r="I12" s="69"/>
      <c r="J12" s="67"/>
      <c r="K12" s="69"/>
      <c r="L12" s="43"/>
      <c r="M12" s="43"/>
      <c r="N12" s="67"/>
      <c r="O12" s="43"/>
      <c r="P12" s="69"/>
      <c r="Q12" s="67"/>
      <c r="R12" s="69"/>
      <c r="S12" s="67"/>
      <c r="T12" s="2"/>
    </row>
    <row r="13" spans="1:19" ht="15.75" customHeight="1">
      <c r="A13" s="79"/>
      <c r="B13" s="70" t="s">
        <v>18</v>
      </c>
      <c r="C13" s="28" t="s">
        <v>31</v>
      </c>
      <c r="D13" s="28" t="s">
        <v>32</v>
      </c>
      <c r="E13" s="28" t="s">
        <v>33</v>
      </c>
      <c r="F13" s="28" t="s">
        <v>34</v>
      </c>
      <c r="G13" s="70" t="s">
        <v>18</v>
      </c>
      <c r="H13" s="72" t="s">
        <v>22</v>
      </c>
      <c r="I13" s="70" t="s">
        <v>18</v>
      </c>
      <c r="J13" s="72" t="s">
        <v>22</v>
      </c>
      <c r="K13" s="70" t="s">
        <v>18</v>
      </c>
      <c r="L13" s="24"/>
      <c r="M13" s="24"/>
      <c r="N13" s="72" t="s">
        <v>22</v>
      </c>
      <c r="O13" s="23"/>
      <c r="P13" s="70" t="s">
        <v>18</v>
      </c>
      <c r="Q13" s="72" t="s">
        <v>22</v>
      </c>
      <c r="R13" s="70" t="s">
        <v>18</v>
      </c>
      <c r="S13" s="72" t="s">
        <v>22</v>
      </c>
    </row>
    <row r="14" spans="1:19" ht="15.75">
      <c r="A14" s="79"/>
      <c r="B14" s="70"/>
      <c r="C14" s="3"/>
      <c r="D14" s="3"/>
      <c r="E14" s="3"/>
      <c r="F14" s="3"/>
      <c r="G14" s="70"/>
      <c r="H14" s="72"/>
      <c r="I14" s="70"/>
      <c r="J14" s="72"/>
      <c r="K14" s="70"/>
      <c r="L14" s="24"/>
      <c r="M14" s="24"/>
      <c r="N14" s="72"/>
      <c r="O14" s="23"/>
      <c r="P14" s="70"/>
      <c r="Q14" s="72"/>
      <c r="R14" s="70"/>
      <c r="S14" s="72"/>
    </row>
    <row r="15" spans="1:19" ht="15.75">
      <c r="A15" s="80"/>
      <c r="B15" s="71"/>
      <c r="C15" s="19"/>
      <c r="D15" s="19"/>
      <c r="E15" s="19"/>
      <c r="F15" s="19"/>
      <c r="G15" s="71"/>
      <c r="H15" s="73"/>
      <c r="I15" s="71"/>
      <c r="J15" s="73"/>
      <c r="K15" s="71"/>
      <c r="L15" s="44"/>
      <c r="M15" s="44"/>
      <c r="N15" s="73"/>
      <c r="O15" s="63"/>
      <c r="P15" s="71"/>
      <c r="Q15" s="73"/>
      <c r="R15" s="71"/>
      <c r="S15" s="73"/>
    </row>
    <row r="16" spans="1:19" ht="15.75">
      <c r="A16" s="7" t="s">
        <v>1</v>
      </c>
      <c r="B16" s="34"/>
      <c r="C16" s="15"/>
      <c r="D16" s="10"/>
      <c r="E16" s="10"/>
      <c r="F16" s="10"/>
      <c r="G16" s="34"/>
      <c r="H16" s="35"/>
      <c r="I16" s="36"/>
      <c r="J16" s="37"/>
      <c r="K16" s="34"/>
      <c r="L16" s="36"/>
      <c r="M16" s="36"/>
      <c r="N16" s="36"/>
      <c r="O16" s="36"/>
      <c r="P16" s="4"/>
      <c r="Q16" s="2"/>
      <c r="R16" s="34"/>
      <c r="S16" s="32"/>
    </row>
    <row r="17" spans="1:19" ht="15.75">
      <c r="A17" s="7" t="s">
        <v>2</v>
      </c>
      <c r="B17" s="34">
        <v>16077</v>
      </c>
      <c r="C17" s="53">
        <f aca="true" t="shared" si="0" ref="C17:C22">(G17+I17+K17)-B17</f>
        <v>-1</v>
      </c>
      <c r="D17" s="11">
        <f aca="true" t="shared" si="1" ref="D17:D22">SUM(H17+J17+N17)-100</f>
        <v>-0.006220065932694752</v>
      </c>
      <c r="E17" s="11">
        <f aca="true" t="shared" si="2" ref="E17:E22">+G17+I17+K17-B17</f>
        <v>-1</v>
      </c>
      <c r="F17" s="11">
        <f aca="true" t="shared" si="3" ref="F17:F22">+H17+J17+N17-100</f>
        <v>-0.006220065932694752</v>
      </c>
      <c r="G17" s="34">
        <v>4484</v>
      </c>
      <c r="H17" s="45">
        <f aca="true" t="shared" si="4" ref="H17:H22">(G17/$B17)*100</f>
        <v>27.89077564222181</v>
      </c>
      <c r="I17" s="37">
        <v>120</v>
      </c>
      <c r="J17" s="45">
        <f aca="true" t="shared" si="5" ref="J17:J22">(I17/$B17)*100</f>
        <v>0.7464079119238665</v>
      </c>
      <c r="K17" s="34">
        <v>11472</v>
      </c>
      <c r="L17" s="36">
        <f>+P17+R17-K17</f>
        <v>0.4000000000014552</v>
      </c>
      <c r="M17" s="36">
        <f>+Q17+S17-N17</f>
        <v>0.002488026373086427</v>
      </c>
      <c r="N17" s="33">
        <f aca="true" t="shared" si="6" ref="N17:N22">(K17/$B17)*100</f>
        <v>71.35659637992163</v>
      </c>
      <c r="O17" s="45"/>
      <c r="P17" s="12">
        <v>276.2</v>
      </c>
      <c r="Q17" s="45">
        <f aca="true" t="shared" si="7" ref="Q17:Q22">(P17/$B17)*100</f>
        <v>1.7179822106114324</v>
      </c>
      <c r="R17" s="12">
        <v>11196.2</v>
      </c>
      <c r="S17" s="33">
        <f aca="true" t="shared" si="8" ref="S17:S22">(R17/$B17)*100</f>
        <v>69.64110219568327</v>
      </c>
    </row>
    <row r="18" spans="1:19" ht="15.75">
      <c r="A18" s="7" t="s">
        <v>3</v>
      </c>
      <c r="B18" s="34">
        <v>15682</v>
      </c>
      <c r="C18" s="53">
        <f t="shared" si="0"/>
        <v>0</v>
      </c>
      <c r="D18" s="11">
        <f t="shared" si="1"/>
        <v>0</v>
      </c>
      <c r="E18" s="11">
        <f t="shared" si="2"/>
        <v>0</v>
      </c>
      <c r="F18" s="11">
        <f t="shared" si="3"/>
        <v>0</v>
      </c>
      <c r="G18" s="34">
        <v>4044</v>
      </c>
      <c r="H18" s="45">
        <f t="shared" si="4"/>
        <v>25.787527101135062</v>
      </c>
      <c r="I18" s="37">
        <v>109</v>
      </c>
      <c r="J18" s="45">
        <f t="shared" si="5"/>
        <v>0.6950644050503763</v>
      </c>
      <c r="K18" s="34">
        <v>11529</v>
      </c>
      <c r="L18" s="36">
        <f>+P18+R18-K18</f>
        <v>34.5</v>
      </c>
      <c r="M18" s="36">
        <f>+Q18+S18-N18</f>
        <v>0.21999744930494103</v>
      </c>
      <c r="N18" s="33">
        <f t="shared" si="6"/>
        <v>73.51740849381456</v>
      </c>
      <c r="O18" s="45"/>
      <c r="P18" s="12">
        <v>249.5</v>
      </c>
      <c r="Q18" s="45">
        <f t="shared" si="7"/>
        <v>1.5909960464226502</v>
      </c>
      <c r="R18" s="12">
        <v>11314</v>
      </c>
      <c r="S18" s="33">
        <f t="shared" si="8"/>
        <v>72.14640989669685</v>
      </c>
    </row>
    <row r="19" spans="1:19" ht="15.75">
      <c r="A19" s="7" t="s">
        <v>4</v>
      </c>
      <c r="B19" s="34">
        <v>14741</v>
      </c>
      <c r="C19" s="53">
        <f t="shared" si="0"/>
        <v>-1</v>
      </c>
      <c r="D19" s="11">
        <f t="shared" si="1"/>
        <v>-0.006783800284921426</v>
      </c>
      <c r="E19" s="11">
        <f t="shared" si="2"/>
        <v>-1</v>
      </c>
      <c r="F19" s="11">
        <f t="shared" si="3"/>
        <v>-0.006783800284921426</v>
      </c>
      <c r="G19" s="34">
        <v>3465</v>
      </c>
      <c r="H19" s="45">
        <f t="shared" si="4"/>
        <v>23.505867987246457</v>
      </c>
      <c r="I19" s="37">
        <v>112</v>
      </c>
      <c r="J19" s="45">
        <f t="shared" si="5"/>
        <v>0.7597856319109965</v>
      </c>
      <c r="K19" s="34">
        <v>11163</v>
      </c>
      <c r="L19" s="36">
        <f>+P19+R19-K19</f>
        <v>28</v>
      </c>
      <c r="M19" s="36">
        <f>+Q19+S19-N19</f>
        <v>0.1899464079777431</v>
      </c>
      <c r="N19" s="33">
        <f t="shared" si="6"/>
        <v>75.72756258055763</v>
      </c>
      <c r="O19" s="45"/>
      <c r="P19" s="12">
        <v>227.1</v>
      </c>
      <c r="Q19" s="45">
        <f t="shared" si="7"/>
        <v>1.5406010447052438</v>
      </c>
      <c r="R19" s="12">
        <v>10963.9</v>
      </c>
      <c r="S19" s="33">
        <f t="shared" si="8"/>
        <v>74.37690794383013</v>
      </c>
    </row>
    <row r="20" spans="1:19" ht="15.75">
      <c r="A20" s="7" t="s">
        <v>5</v>
      </c>
      <c r="B20" s="34">
        <v>13974</v>
      </c>
      <c r="C20" s="53">
        <f t="shared" si="0"/>
        <v>1</v>
      </c>
      <c r="D20" s="11">
        <f t="shared" si="1"/>
        <v>0.007156147130388035</v>
      </c>
      <c r="E20" s="11">
        <f t="shared" si="2"/>
        <v>1</v>
      </c>
      <c r="F20" s="11">
        <f t="shared" si="3"/>
        <v>0.007156147130388035</v>
      </c>
      <c r="G20" s="34">
        <v>2743</v>
      </c>
      <c r="H20" s="45">
        <f t="shared" si="4"/>
        <v>19.629311578646057</v>
      </c>
      <c r="I20" s="37">
        <v>107</v>
      </c>
      <c r="J20" s="45">
        <f t="shared" si="5"/>
        <v>0.7657077429511951</v>
      </c>
      <c r="K20" s="34">
        <v>11125</v>
      </c>
      <c r="L20" s="36">
        <f>+P20+R20-K20</f>
        <v>3.7000000000007276</v>
      </c>
      <c r="M20" s="36">
        <f>+Q20+S20-N20</f>
        <v>0.02647774438243289</v>
      </c>
      <c r="N20" s="33">
        <f t="shared" si="6"/>
        <v>79.61213682553313</v>
      </c>
      <c r="O20" s="45"/>
      <c r="P20" s="12">
        <v>218</v>
      </c>
      <c r="Q20" s="45">
        <f t="shared" si="7"/>
        <v>1.56004007442393</v>
      </c>
      <c r="R20" s="12">
        <v>10910.7</v>
      </c>
      <c r="S20" s="33">
        <f t="shared" si="8"/>
        <v>78.07857449549164</v>
      </c>
    </row>
    <row r="21" spans="1:19" ht="15.75">
      <c r="A21" s="7" t="s">
        <v>6</v>
      </c>
      <c r="B21" s="34">
        <v>13552</v>
      </c>
      <c r="C21" s="53">
        <f t="shared" si="0"/>
        <v>0</v>
      </c>
      <c r="D21" s="11">
        <f t="shared" si="1"/>
        <v>0</v>
      </c>
      <c r="E21" s="11">
        <f t="shared" si="2"/>
        <v>0</v>
      </c>
      <c r="F21" s="11">
        <f t="shared" si="3"/>
        <v>0</v>
      </c>
      <c r="G21" s="34">
        <v>2533</v>
      </c>
      <c r="H21" s="45">
        <f t="shared" si="4"/>
        <v>18.690968122786305</v>
      </c>
      <c r="I21" s="37">
        <v>95</v>
      </c>
      <c r="J21" s="45">
        <f t="shared" si="5"/>
        <v>0.7010035419126328</v>
      </c>
      <c r="K21" s="34">
        <v>10924</v>
      </c>
      <c r="L21" s="36">
        <f>+P21+R21-K21</f>
        <v>-16.399999999999636</v>
      </c>
      <c r="M21" s="36">
        <f>+Q21+S21-N21</f>
        <v>-0.12101534828806848</v>
      </c>
      <c r="N21" s="33">
        <f t="shared" si="6"/>
        <v>80.60802833530106</v>
      </c>
      <c r="O21" s="45"/>
      <c r="P21" s="12">
        <v>210.4</v>
      </c>
      <c r="Q21" s="45">
        <f t="shared" si="7"/>
        <v>1.552538370720189</v>
      </c>
      <c r="R21" s="12">
        <v>10697.2</v>
      </c>
      <c r="S21" s="33">
        <f t="shared" si="8"/>
        <v>78.9344746162928</v>
      </c>
    </row>
    <row r="22" spans="1:19" ht="15.75">
      <c r="A22" s="17" t="s">
        <v>37</v>
      </c>
      <c r="B22" s="12">
        <v>12591</v>
      </c>
      <c r="C22" s="11">
        <f t="shared" si="0"/>
        <v>0</v>
      </c>
      <c r="D22" s="11">
        <f t="shared" si="1"/>
        <v>0</v>
      </c>
      <c r="E22" s="11">
        <f t="shared" si="2"/>
        <v>0</v>
      </c>
      <c r="F22" s="11">
        <f t="shared" si="3"/>
        <v>0</v>
      </c>
      <c r="G22" s="12">
        <v>2437</v>
      </c>
      <c r="H22" s="33">
        <f t="shared" si="4"/>
        <v>19.35509490906203</v>
      </c>
      <c r="I22" s="14">
        <v>97</v>
      </c>
      <c r="J22" s="16">
        <f t="shared" si="5"/>
        <v>0.7703915495194981</v>
      </c>
      <c r="K22" s="12">
        <v>10057</v>
      </c>
      <c r="L22" s="14"/>
      <c r="M22" s="14"/>
      <c r="N22" s="33">
        <f t="shared" si="6"/>
        <v>79.87451354141847</v>
      </c>
      <c r="O22" s="45"/>
      <c r="P22" s="25">
        <f>40+23+126</f>
        <v>189</v>
      </c>
      <c r="Q22" s="45">
        <f t="shared" si="7"/>
        <v>1.5010721944245888</v>
      </c>
      <c r="R22" s="12">
        <f>1484+531+4171+3683</f>
        <v>9869</v>
      </c>
      <c r="S22" s="33">
        <f t="shared" si="8"/>
        <v>78.38138352791677</v>
      </c>
    </row>
    <row r="23" spans="1:19" ht="15.75">
      <c r="A23" s="7" t="s">
        <v>7</v>
      </c>
      <c r="B23" s="12"/>
      <c r="C23" s="11"/>
      <c r="D23" s="11"/>
      <c r="E23" s="11"/>
      <c r="F23" s="11"/>
      <c r="G23" s="12"/>
      <c r="H23" s="29"/>
      <c r="I23" s="12"/>
      <c r="J23" s="8"/>
      <c r="K23" s="12"/>
      <c r="L23" s="14"/>
      <c r="M23" s="14"/>
      <c r="N23" s="14"/>
      <c r="O23" s="64"/>
      <c r="P23" s="25"/>
      <c r="Q23" s="33"/>
      <c r="R23" s="12"/>
      <c r="S23" s="33"/>
    </row>
    <row r="24" spans="1:19" ht="15.75">
      <c r="A24" s="7" t="s">
        <v>2</v>
      </c>
      <c r="B24" s="12">
        <v>5338</v>
      </c>
      <c r="C24" s="53">
        <f aca="true" t="shared" si="9" ref="C24:C29">(G24+I24+K24)-B24</f>
        <v>-1</v>
      </c>
      <c r="D24" s="11">
        <f aca="true" t="shared" si="10" ref="D24:D29">SUM(H24+J24+N24)-100</f>
        <v>-0.0187336080929299</v>
      </c>
      <c r="E24" s="11">
        <f aca="true" t="shared" si="11" ref="E24:E29">+G24+I24+K24-B24</f>
        <v>-1</v>
      </c>
      <c r="F24" s="11">
        <f aca="true" t="shared" si="12" ref="F24:F29">+H24+J24+N24-100</f>
        <v>-0.0187336080929299</v>
      </c>
      <c r="G24" s="12">
        <v>2651</v>
      </c>
      <c r="H24" s="45">
        <f aca="true" t="shared" si="13" ref="H24:H29">(G24/$B24)*100</f>
        <v>49.66279505432746</v>
      </c>
      <c r="I24" s="12">
        <v>73</v>
      </c>
      <c r="J24" s="45">
        <f aca="true" t="shared" si="14" ref="J24:J29">(I24/$B24)*100</f>
        <v>1.3675533907830648</v>
      </c>
      <c r="K24" s="34">
        <v>2613</v>
      </c>
      <c r="L24" s="36">
        <f>+P24+R24-K24</f>
        <v>0.3999999999996362</v>
      </c>
      <c r="M24" s="36">
        <f>+Q24+S24-N24</f>
        <v>0.007493443237166275</v>
      </c>
      <c r="N24" s="33">
        <f aca="true" t="shared" si="15" ref="N24:N29">(K24/$B24)*100</f>
        <v>48.95091794679655</v>
      </c>
      <c r="O24" s="45" t="s">
        <v>38</v>
      </c>
      <c r="P24" s="12">
        <f>84.8+49.9</f>
        <v>134.7</v>
      </c>
      <c r="Q24" s="45">
        <f aca="true" t="shared" si="16" ref="Q24:Q29">(P24/$B24)*100</f>
        <v>2.523417010116148</v>
      </c>
      <c r="R24" s="12">
        <f>944.9+1533.8</f>
        <v>2478.7</v>
      </c>
      <c r="S24" s="33">
        <f aca="true" t="shared" si="17" ref="S24:S29">(R24/$B24)*100</f>
        <v>46.43499437991757</v>
      </c>
    </row>
    <row r="25" spans="1:19" ht="15.75">
      <c r="A25" s="7" t="s">
        <v>3</v>
      </c>
      <c r="B25" s="12">
        <v>4777</v>
      </c>
      <c r="C25" s="53">
        <f t="shared" si="9"/>
        <v>0</v>
      </c>
      <c r="D25" s="11">
        <f t="shared" si="10"/>
        <v>0</v>
      </c>
      <c r="E25" s="11">
        <f t="shared" si="11"/>
        <v>0</v>
      </c>
      <c r="F25" s="11">
        <f t="shared" si="12"/>
        <v>0</v>
      </c>
      <c r="G25" s="12">
        <v>2297</v>
      </c>
      <c r="H25" s="45">
        <f t="shared" si="13"/>
        <v>48.08457190705464</v>
      </c>
      <c r="I25" s="12">
        <v>64</v>
      </c>
      <c r="J25" s="45">
        <f t="shared" si="14"/>
        <v>1.3397529830437513</v>
      </c>
      <c r="K25" s="34">
        <v>2416</v>
      </c>
      <c r="L25" s="36">
        <f>+P25+R25-K25</f>
        <v>0</v>
      </c>
      <c r="M25" s="36">
        <f>+Q25+S25-N25</f>
        <v>0</v>
      </c>
      <c r="N25" s="33">
        <f t="shared" si="15"/>
        <v>50.57567510990161</v>
      </c>
      <c r="O25" s="45" t="s">
        <v>39</v>
      </c>
      <c r="P25" s="12">
        <f>62.9+49.9</f>
        <v>112.8</v>
      </c>
      <c r="Q25" s="45">
        <f t="shared" si="16"/>
        <v>2.3613146326146115</v>
      </c>
      <c r="R25" s="26">
        <f>843.3+1459.9</f>
        <v>2303.2</v>
      </c>
      <c r="S25" s="33">
        <f t="shared" si="17"/>
        <v>48.214360477286995</v>
      </c>
    </row>
    <row r="26" spans="1:19" ht="15.75">
      <c r="A26" s="7" t="s">
        <v>4</v>
      </c>
      <c r="B26" s="12">
        <v>4145</v>
      </c>
      <c r="C26" s="53">
        <f t="shared" si="9"/>
        <v>0</v>
      </c>
      <c r="D26" s="11">
        <f t="shared" si="10"/>
        <v>0</v>
      </c>
      <c r="E26" s="11">
        <f t="shared" si="11"/>
        <v>0</v>
      </c>
      <c r="F26" s="11">
        <f t="shared" si="12"/>
        <v>0</v>
      </c>
      <c r="G26" s="12">
        <v>1902</v>
      </c>
      <c r="H26" s="45">
        <f t="shared" si="13"/>
        <v>45.886610373944514</v>
      </c>
      <c r="I26" s="12">
        <v>65</v>
      </c>
      <c r="J26" s="45">
        <f t="shared" si="14"/>
        <v>1.5681544028950543</v>
      </c>
      <c r="K26" s="34">
        <v>2178</v>
      </c>
      <c r="L26" s="36">
        <f>+P26+R26-K26</f>
        <v>0.29999999999972715</v>
      </c>
      <c r="M26" s="36">
        <f>+Q26+S26-N26</f>
        <v>0.007237635705664047</v>
      </c>
      <c r="N26" s="33">
        <f t="shared" si="15"/>
        <v>52.54523522316043</v>
      </c>
      <c r="O26" s="45" t="s">
        <v>38</v>
      </c>
      <c r="P26" s="12">
        <f>51.9+41.2</f>
        <v>93.1</v>
      </c>
      <c r="Q26" s="45">
        <f t="shared" si="16"/>
        <v>2.2460796139927623</v>
      </c>
      <c r="R26" s="27">
        <f>737.7+1347.5</f>
        <v>2085.2</v>
      </c>
      <c r="S26" s="33">
        <f t="shared" si="17"/>
        <v>50.306393244873334</v>
      </c>
    </row>
    <row r="27" spans="1:19" ht="15.75">
      <c r="A27" s="7" t="s">
        <v>5</v>
      </c>
      <c r="B27" s="12">
        <v>3457</v>
      </c>
      <c r="C27" s="53">
        <f t="shared" si="9"/>
        <v>0</v>
      </c>
      <c r="D27" s="11">
        <f t="shared" si="10"/>
        <v>0</v>
      </c>
      <c r="E27" s="11">
        <f t="shared" si="11"/>
        <v>0</v>
      </c>
      <c r="F27" s="11">
        <f t="shared" si="12"/>
        <v>0</v>
      </c>
      <c r="G27" s="12">
        <v>1438</v>
      </c>
      <c r="H27" s="45">
        <f t="shared" si="13"/>
        <v>41.59676019670234</v>
      </c>
      <c r="I27" s="12">
        <v>60</v>
      </c>
      <c r="J27" s="45">
        <f t="shared" si="14"/>
        <v>1.7356089094590683</v>
      </c>
      <c r="K27" s="34">
        <v>1959</v>
      </c>
      <c r="L27" s="36">
        <f>+P27+R27-K27</f>
        <v>-0.10000000000013642</v>
      </c>
      <c r="M27" s="36">
        <f>+Q27+S27-N27</f>
        <v>-0.002892681515760387</v>
      </c>
      <c r="N27" s="33">
        <f t="shared" si="15"/>
        <v>56.667630893838584</v>
      </c>
      <c r="O27" s="45" t="s">
        <v>39</v>
      </c>
      <c r="P27" s="38">
        <f>43.5+32.3</f>
        <v>75.8</v>
      </c>
      <c r="Q27" s="45">
        <f t="shared" si="16"/>
        <v>2.1926525889499566</v>
      </c>
      <c r="R27" s="12">
        <f>668+1215.1</f>
        <v>1883.1</v>
      </c>
      <c r="S27" s="33">
        <f t="shared" si="17"/>
        <v>54.47208562337287</v>
      </c>
    </row>
    <row r="28" spans="1:19" ht="15.75">
      <c r="A28" s="7" t="s">
        <v>6</v>
      </c>
      <c r="B28" s="12">
        <v>3232</v>
      </c>
      <c r="C28" s="53">
        <f t="shared" si="9"/>
        <v>0</v>
      </c>
      <c r="D28" s="11">
        <f t="shared" si="10"/>
        <v>0</v>
      </c>
      <c r="E28" s="11">
        <f t="shared" si="11"/>
        <v>0</v>
      </c>
      <c r="F28" s="11">
        <f t="shared" si="12"/>
        <v>0</v>
      </c>
      <c r="G28" s="12">
        <v>1392</v>
      </c>
      <c r="H28" s="45">
        <f t="shared" si="13"/>
        <v>43.06930693069307</v>
      </c>
      <c r="I28" s="12">
        <v>51</v>
      </c>
      <c r="J28" s="45">
        <f t="shared" si="14"/>
        <v>1.577970297029703</v>
      </c>
      <c r="K28" s="34">
        <v>1789</v>
      </c>
      <c r="L28" s="36">
        <f>+P28+R28-K28</f>
        <v>0.20000000000027285</v>
      </c>
      <c r="M28" s="36">
        <f>+Q28+S28-N28</f>
        <v>0.006188118811884635</v>
      </c>
      <c r="N28" s="33">
        <f t="shared" si="15"/>
        <v>55.35272277227723</v>
      </c>
      <c r="O28" s="45" t="s">
        <v>38</v>
      </c>
      <c r="P28" s="12">
        <f>36.1+26.3</f>
        <v>62.400000000000006</v>
      </c>
      <c r="Q28" s="45">
        <f t="shared" si="16"/>
        <v>1.930693069306931</v>
      </c>
      <c r="R28" s="12">
        <f>597.6+1129.2</f>
        <v>1726.8000000000002</v>
      </c>
      <c r="S28" s="33">
        <f t="shared" si="17"/>
        <v>53.428217821782184</v>
      </c>
    </row>
    <row r="29" spans="1:19" ht="15.75">
      <c r="A29" s="17" t="s">
        <v>37</v>
      </c>
      <c r="B29" s="12">
        <v>2943</v>
      </c>
      <c r="C29" s="11">
        <f t="shared" si="9"/>
        <v>0</v>
      </c>
      <c r="D29" s="11">
        <f t="shared" si="10"/>
        <v>0</v>
      </c>
      <c r="E29" s="11">
        <f t="shared" si="11"/>
        <v>0</v>
      </c>
      <c r="F29" s="11">
        <f t="shared" si="12"/>
        <v>0</v>
      </c>
      <c r="G29" s="12">
        <v>1369</v>
      </c>
      <c r="H29" s="29">
        <f t="shared" si="13"/>
        <v>46.51715936119606</v>
      </c>
      <c r="I29" s="12">
        <v>51</v>
      </c>
      <c r="J29" s="13">
        <f t="shared" si="14"/>
        <v>1.7329255861365953</v>
      </c>
      <c r="K29" s="12">
        <v>1523</v>
      </c>
      <c r="L29" s="14"/>
      <c r="M29" s="14"/>
      <c r="N29" s="33">
        <f t="shared" si="15"/>
        <v>51.74991505266735</v>
      </c>
      <c r="O29" s="45" t="s">
        <v>39</v>
      </c>
      <c r="P29" s="31">
        <f>21+18.5</f>
        <v>39.5</v>
      </c>
      <c r="Q29" s="45">
        <f t="shared" si="16"/>
        <v>1.3421678559293237</v>
      </c>
      <c r="R29" s="12">
        <f>510.6+973.3</f>
        <v>1483.9</v>
      </c>
      <c r="S29" s="33">
        <f t="shared" si="17"/>
        <v>50.42133876996263</v>
      </c>
    </row>
    <row r="30" spans="1:19" ht="15.75">
      <c r="A30" s="7" t="s">
        <v>8</v>
      </c>
      <c r="B30" s="12"/>
      <c r="C30" s="11"/>
      <c r="D30" s="11"/>
      <c r="E30" s="11"/>
      <c r="F30" s="11"/>
      <c r="G30" s="12"/>
      <c r="H30" s="29"/>
      <c r="I30" s="12"/>
      <c r="J30" s="13"/>
      <c r="K30" s="12"/>
      <c r="L30" s="14"/>
      <c r="M30" s="14"/>
      <c r="N30" s="14"/>
      <c r="O30" s="64"/>
      <c r="P30" s="25"/>
      <c r="Q30" s="33"/>
      <c r="R30" s="12"/>
      <c r="S30" s="33"/>
    </row>
    <row r="31" spans="1:19" ht="15.75">
      <c r="A31" s="7" t="s">
        <v>2</v>
      </c>
      <c r="B31" s="12">
        <v>2537</v>
      </c>
      <c r="C31" s="11">
        <f aca="true" t="shared" si="18" ref="C31:C36">B31-(G31+I31+K31)</f>
        <v>0</v>
      </c>
      <c r="D31" s="11">
        <f aca="true" t="shared" si="19" ref="D31:D36">SUM(H31+J31+N31)-100</f>
        <v>0</v>
      </c>
      <c r="E31" s="11">
        <f aca="true" t="shared" si="20" ref="E31:E36">+G31+I31+K31-B31</f>
        <v>0</v>
      </c>
      <c r="F31" s="11">
        <f aca="true" t="shared" si="21" ref="F31:F36">+H31+J31+N31-100</f>
        <v>0</v>
      </c>
      <c r="G31" s="12">
        <v>1450</v>
      </c>
      <c r="H31" s="45">
        <f aca="true" t="shared" si="22" ref="H31:H36">(G31/$B31)*100</f>
        <v>57.15411903823413</v>
      </c>
      <c r="I31" s="25">
        <v>13</v>
      </c>
      <c r="J31" s="45">
        <f aca="true" t="shared" si="23" ref="J31:J36">(I31/$B31)*100</f>
        <v>0.5124162396531337</v>
      </c>
      <c r="K31" s="12">
        <v>1074</v>
      </c>
      <c r="L31" s="36">
        <f>+P31+R31-K31</f>
        <v>0.20000000000004547</v>
      </c>
      <c r="M31" s="36">
        <f>+Q31+S31-N31</f>
        <v>0.007883326763895582</v>
      </c>
      <c r="N31" s="33">
        <f aca="true" t="shared" si="24" ref="N31:N36">(K31/$B31)*100</f>
        <v>42.33346472211273</v>
      </c>
      <c r="O31" s="45" t="s">
        <v>44</v>
      </c>
      <c r="P31" s="25">
        <f>7.2+44.7</f>
        <v>51.900000000000006</v>
      </c>
      <c r="Q31" s="45">
        <f aca="true" t="shared" si="25" ref="Q31:Q36">(P31/$B31)*100</f>
        <v>2.0457232952305877</v>
      </c>
      <c r="R31" s="12">
        <f>421+601.3</f>
        <v>1022.3</v>
      </c>
      <c r="S31" s="33">
        <f aca="true" t="shared" si="26" ref="S31:S36">(R31/$B31)*100</f>
        <v>40.29562475364604</v>
      </c>
    </row>
    <row r="32" spans="1:19" ht="15.75">
      <c r="A32" s="54" t="s">
        <v>3</v>
      </c>
      <c r="B32" s="12">
        <v>2379.6</v>
      </c>
      <c r="C32" s="11">
        <f t="shared" si="18"/>
        <v>0.599999999999909</v>
      </c>
      <c r="D32" s="11">
        <f t="shared" si="19"/>
        <v>-0.02521432173475091</v>
      </c>
      <c r="E32" s="11">
        <f t="shared" si="20"/>
        <v>-0.599999999999909</v>
      </c>
      <c r="F32" s="11">
        <f t="shared" si="21"/>
        <v>-0.02521432173475091</v>
      </c>
      <c r="G32" s="12">
        <v>1370</v>
      </c>
      <c r="H32" s="45">
        <f t="shared" si="22"/>
        <v>57.57270129433518</v>
      </c>
      <c r="I32" s="25">
        <v>10</v>
      </c>
      <c r="J32" s="45">
        <f t="shared" si="23"/>
        <v>0.420238695579089</v>
      </c>
      <c r="K32" s="12">
        <v>999</v>
      </c>
      <c r="L32" s="36">
        <f>+P32+R32-K32</f>
        <v>0</v>
      </c>
      <c r="M32" s="36">
        <f>+Q32+S32-N32</f>
        <v>0</v>
      </c>
      <c r="N32" s="33">
        <f t="shared" si="24"/>
        <v>41.98184568835098</v>
      </c>
      <c r="O32" s="45" t="s">
        <v>45</v>
      </c>
      <c r="P32" s="30">
        <f>8.3+40.1</f>
        <v>48.400000000000006</v>
      </c>
      <c r="Q32" s="45">
        <f t="shared" si="25"/>
        <v>2.0339552866027906</v>
      </c>
      <c r="R32" s="27">
        <f>409.8+540.8</f>
        <v>950.5999999999999</v>
      </c>
      <c r="S32" s="33">
        <f t="shared" si="26"/>
        <v>39.94789040174819</v>
      </c>
    </row>
    <row r="33" spans="1:19" ht="15.75">
      <c r="A33" s="7" t="s">
        <v>4</v>
      </c>
      <c r="B33" s="12">
        <v>2069</v>
      </c>
      <c r="C33" s="11">
        <f t="shared" si="18"/>
        <v>0</v>
      </c>
      <c r="D33" s="11">
        <f t="shared" si="19"/>
        <v>0</v>
      </c>
      <c r="E33" s="11">
        <f t="shared" si="20"/>
        <v>0</v>
      </c>
      <c r="F33" s="11">
        <f t="shared" si="21"/>
        <v>0</v>
      </c>
      <c r="G33" s="12">
        <v>1180</v>
      </c>
      <c r="H33" s="45">
        <f t="shared" si="22"/>
        <v>57.03238279362011</v>
      </c>
      <c r="I33" s="25">
        <v>12</v>
      </c>
      <c r="J33" s="45">
        <f t="shared" si="23"/>
        <v>0.5799903334944417</v>
      </c>
      <c r="K33" s="12">
        <v>877</v>
      </c>
      <c r="L33" s="36">
        <f>+P33+R33-K33</f>
        <v>-0.39999999999997726</v>
      </c>
      <c r="M33" s="36">
        <f>+Q33+S33-N33</f>
        <v>-0.01933301111647978</v>
      </c>
      <c r="N33" s="33">
        <f t="shared" si="24"/>
        <v>42.387626872885455</v>
      </c>
      <c r="O33" s="45" t="s">
        <v>44</v>
      </c>
      <c r="P33" s="31">
        <f>9.6+33.4</f>
        <v>43</v>
      </c>
      <c r="Q33" s="45">
        <f t="shared" si="25"/>
        <v>2.0782986950217497</v>
      </c>
      <c r="R33" s="27">
        <f>358.1+475.5</f>
        <v>833.6</v>
      </c>
      <c r="S33" s="33">
        <f t="shared" si="26"/>
        <v>40.289995166747225</v>
      </c>
    </row>
    <row r="34" spans="1:19" ht="15.75">
      <c r="A34" s="7" t="s">
        <v>5</v>
      </c>
      <c r="B34" s="12">
        <v>1745</v>
      </c>
      <c r="C34" s="11">
        <f t="shared" si="18"/>
        <v>1</v>
      </c>
      <c r="D34" s="11">
        <f t="shared" si="19"/>
        <v>-0.05730659025786622</v>
      </c>
      <c r="E34" s="11">
        <f t="shared" si="20"/>
        <v>-1</v>
      </c>
      <c r="F34" s="11">
        <f t="shared" si="21"/>
        <v>-0.05730659025786622</v>
      </c>
      <c r="G34" s="12">
        <v>940</v>
      </c>
      <c r="H34" s="45">
        <f t="shared" si="22"/>
        <v>53.86819484240688</v>
      </c>
      <c r="I34" s="12">
        <v>10</v>
      </c>
      <c r="J34" s="45">
        <f t="shared" si="23"/>
        <v>0.5730659025787965</v>
      </c>
      <c r="K34" s="12">
        <v>794</v>
      </c>
      <c r="L34" s="36">
        <f>+P34+R34-K34</f>
        <v>-0.40000000000009095</v>
      </c>
      <c r="M34" s="36">
        <f>+Q34+S34-N34</f>
        <v>-0.0229226361031607</v>
      </c>
      <c r="N34" s="33">
        <f t="shared" si="24"/>
        <v>45.50143266475645</v>
      </c>
      <c r="O34" s="45" t="s">
        <v>45</v>
      </c>
      <c r="P34" s="25">
        <f>9.1+31.2</f>
        <v>40.3</v>
      </c>
      <c r="Q34" s="45">
        <f t="shared" si="25"/>
        <v>2.30945558739255</v>
      </c>
      <c r="R34" s="12">
        <f>340.3+413</f>
        <v>753.3</v>
      </c>
      <c r="S34" s="33">
        <f t="shared" si="26"/>
        <v>43.16905444126074</v>
      </c>
    </row>
    <row r="35" spans="1:19" ht="15.75">
      <c r="A35" s="7" t="s">
        <v>6</v>
      </c>
      <c r="B35" s="12">
        <v>1498</v>
      </c>
      <c r="C35" s="11">
        <f t="shared" si="18"/>
        <v>1</v>
      </c>
      <c r="D35" s="11">
        <f t="shared" si="19"/>
        <v>-0.06675567423229722</v>
      </c>
      <c r="E35" s="11">
        <f t="shared" si="20"/>
        <v>-1</v>
      </c>
      <c r="F35" s="11">
        <f t="shared" si="21"/>
        <v>-0.06675567423229722</v>
      </c>
      <c r="G35" s="12">
        <v>797</v>
      </c>
      <c r="H35" s="45">
        <f t="shared" si="22"/>
        <v>53.20427236315087</v>
      </c>
      <c r="I35" s="12">
        <v>9</v>
      </c>
      <c r="J35" s="45">
        <f t="shared" si="23"/>
        <v>0.6008010680907877</v>
      </c>
      <c r="K35" s="12">
        <v>691</v>
      </c>
      <c r="L35" s="36">
        <f>+P35+R35-K35</f>
        <v>0.39999999999997726</v>
      </c>
      <c r="M35" s="36">
        <f>+Q35+S35-N35</f>
        <v>0.02670226969291889</v>
      </c>
      <c r="N35" s="33">
        <f t="shared" si="24"/>
        <v>46.128170894526036</v>
      </c>
      <c r="O35" s="45" t="s">
        <v>44</v>
      </c>
      <c r="P35" s="25">
        <f>5.8+25.3</f>
        <v>31.1</v>
      </c>
      <c r="Q35" s="45">
        <f t="shared" si="25"/>
        <v>2.0761014686248336</v>
      </c>
      <c r="R35" s="12">
        <f>300.6+359.7</f>
        <v>660.3</v>
      </c>
      <c r="S35" s="33">
        <f t="shared" si="26"/>
        <v>44.07877169559412</v>
      </c>
    </row>
    <row r="36" spans="1:19" ht="15.75">
      <c r="A36" s="17" t="s">
        <v>37</v>
      </c>
      <c r="B36" s="12">
        <v>1272</v>
      </c>
      <c r="C36" s="11">
        <f t="shared" si="18"/>
        <v>-1</v>
      </c>
      <c r="D36" s="11">
        <f t="shared" si="19"/>
        <v>0.07861635220126573</v>
      </c>
      <c r="E36" s="11">
        <f t="shared" si="20"/>
        <v>1</v>
      </c>
      <c r="F36" s="11">
        <f t="shared" si="21"/>
        <v>0.07861635220126573</v>
      </c>
      <c r="G36" s="12">
        <v>707</v>
      </c>
      <c r="H36" s="29">
        <f t="shared" si="22"/>
        <v>55.58176100628931</v>
      </c>
      <c r="I36" s="12">
        <v>12</v>
      </c>
      <c r="J36" s="13">
        <f t="shared" si="23"/>
        <v>0.9433962264150944</v>
      </c>
      <c r="K36" s="12">
        <v>554</v>
      </c>
      <c r="L36" s="14"/>
      <c r="M36" s="14"/>
      <c r="N36" s="33">
        <f t="shared" si="24"/>
        <v>43.55345911949686</v>
      </c>
      <c r="O36" s="45" t="s">
        <v>45</v>
      </c>
      <c r="P36" s="25">
        <f>4.6+18.1</f>
        <v>22.700000000000003</v>
      </c>
      <c r="Q36" s="45">
        <f t="shared" si="25"/>
        <v>1.7845911949685538</v>
      </c>
      <c r="R36" s="12">
        <f>240.7+290.4</f>
        <v>531.0999999999999</v>
      </c>
      <c r="S36" s="33">
        <f t="shared" si="26"/>
        <v>41.75314465408804</v>
      </c>
    </row>
    <row r="37" spans="1:19" ht="15.75">
      <c r="A37" s="7" t="s">
        <v>9</v>
      </c>
      <c r="B37" s="12"/>
      <c r="C37" s="11"/>
      <c r="D37" s="11"/>
      <c r="E37" s="11"/>
      <c r="F37" s="11"/>
      <c r="G37" s="12"/>
      <c r="H37" s="29"/>
      <c r="I37" s="12"/>
      <c r="J37" s="13"/>
      <c r="K37" s="12"/>
      <c r="L37" s="14"/>
      <c r="M37" s="14"/>
      <c r="N37" s="14"/>
      <c r="O37" s="64"/>
      <c r="P37" s="25"/>
      <c r="Q37" s="33"/>
      <c r="R37" s="12"/>
      <c r="S37" s="33"/>
    </row>
    <row r="38" spans="1:19" ht="15.75">
      <c r="A38" s="7" t="s">
        <v>2</v>
      </c>
      <c r="B38" s="12">
        <v>4089</v>
      </c>
      <c r="C38" s="11">
        <f aca="true" t="shared" si="27" ref="C38:C43">B38-(G38+I38+K38)</f>
        <v>0</v>
      </c>
      <c r="D38" s="11">
        <f aca="true" t="shared" si="28" ref="D38:D43">SUM(H38+J38+N38)-100</f>
        <v>0</v>
      </c>
      <c r="E38" s="11">
        <f aca="true" t="shared" si="29" ref="E38:E43">+G38+I38+K38-B38</f>
        <v>0</v>
      </c>
      <c r="F38" s="11">
        <f aca="true" t="shared" si="30" ref="F38:F43">+H38+J38+N38-100</f>
        <v>0</v>
      </c>
      <c r="G38" s="12">
        <v>30</v>
      </c>
      <c r="H38" s="45">
        <f aca="true" t="shared" si="31" ref="H38:H43">(G38/$B38)*100</f>
        <v>0.7336757153338225</v>
      </c>
      <c r="I38" s="12">
        <v>25</v>
      </c>
      <c r="J38" s="45">
        <f aca="true" t="shared" si="32" ref="J38:J43">(I38/$B38)*100</f>
        <v>0.6113964294448521</v>
      </c>
      <c r="K38" s="12">
        <v>4034</v>
      </c>
      <c r="L38" s="36">
        <f>+P38+R38-K38</f>
        <v>-0.09999999999990905</v>
      </c>
      <c r="M38" s="36">
        <f>+Q38+S38-N38</f>
        <v>-0.0024455857177798634</v>
      </c>
      <c r="N38" s="33">
        <f aca="true" t="shared" si="33" ref="N38:N43">(K38/$B38)*100</f>
        <v>98.65492785522133</v>
      </c>
      <c r="O38" s="45" t="s">
        <v>40</v>
      </c>
      <c r="P38" s="31">
        <v>0</v>
      </c>
      <c r="Q38" s="46">
        <v>0</v>
      </c>
      <c r="R38" s="12">
        <f>2842.9+1191</f>
        <v>4033.9</v>
      </c>
      <c r="S38" s="33">
        <f aca="true" t="shared" si="34" ref="S38:S43">(R38/$B38)*100</f>
        <v>98.65248226950355</v>
      </c>
    </row>
    <row r="39" spans="1:19" ht="15.75">
      <c r="A39" s="7" t="s">
        <v>3</v>
      </c>
      <c r="B39" s="12">
        <v>4365</v>
      </c>
      <c r="C39" s="11">
        <f t="shared" si="27"/>
        <v>0</v>
      </c>
      <c r="D39" s="11">
        <f t="shared" si="28"/>
        <v>0</v>
      </c>
      <c r="E39" s="11">
        <f t="shared" si="29"/>
        <v>0</v>
      </c>
      <c r="F39" s="11">
        <f t="shared" si="30"/>
        <v>0</v>
      </c>
      <c r="G39" s="12">
        <v>30</v>
      </c>
      <c r="H39" s="45">
        <f t="shared" si="31"/>
        <v>0.6872852233676976</v>
      </c>
      <c r="I39" s="12">
        <v>25</v>
      </c>
      <c r="J39" s="45">
        <f t="shared" si="32"/>
        <v>0.572737686139748</v>
      </c>
      <c r="K39" s="12">
        <v>4310</v>
      </c>
      <c r="L39" s="36">
        <f>+P39+R39-K39</f>
        <v>0.3999999999996362</v>
      </c>
      <c r="M39" s="36">
        <f>+Q39+S39-N39</f>
        <v>0.009163802978221725</v>
      </c>
      <c r="N39" s="33">
        <f t="shared" si="33"/>
        <v>98.73997709049256</v>
      </c>
      <c r="O39" s="45" t="s">
        <v>41</v>
      </c>
      <c r="P39" s="31">
        <v>0</v>
      </c>
      <c r="Q39" s="46">
        <v>0</v>
      </c>
      <c r="R39" s="26">
        <f>3065.4+1245</f>
        <v>4310.4</v>
      </c>
      <c r="S39" s="33">
        <f t="shared" si="34"/>
        <v>98.74914089347078</v>
      </c>
    </row>
    <row r="40" spans="1:19" ht="15.75">
      <c r="A40" s="7" t="s">
        <v>4</v>
      </c>
      <c r="B40" s="12">
        <v>4409</v>
      </c>
      <c r="C40" s="11">
        <f t="shared" si="27"/>
        <v>0</v>
      </c>
      <c r="D40" s="11">
        <f t="shared" si="28"/>
        <v>0</v>
      </c>
      <c r="E40" s="11">
        <f t="shared" si="29"/>
        <v>0</v>
      </c>
      <c r="F40" s="11">
        <f t="shared" si="30"/>
        <v>0</v>
      </c>
      <c r="G40" s="12">
        <v>32</v>
      </c>
      <c r="H40" s="45">
        <f t="shared" si="31"/>
        <v>0.7257881605806306</v>
      </c>
      <c r="I40" s="12">
        <v>28</v>
      </c>
      <c r="J40" s="45">
        <f t="shared" si="32"/>
        <v>0.6350646405080518</v>
      </c>
      <c r="K40" s="12">
        <v>4349</v>
      </c>
      <c r="L40" s="36">
        <f>+P40+R40-K40</f>
        <v>0.1000000000003638</v>
      </c>
      <c r="M40" s="36">
        <f>+Q40+S40-N40</f>
        <v>0.0022680880018128846</v>
      </c>
      <c r="N40" s="33">
        <f t="shared" si="33"/>
        <v>98.63914719891132</v>
      </c>
      <c r="O40" s="45" t="s">
        <v>40</v>
      </c>
      <c r="P40" s="31">
        <v>0</v>
      </c>
      <c r="Q40" s="46">
        <v>0</v>
      </c>
      <c r="R40" s="27">
        <f>3100.7+1248.4</f>
        <v>4349.1</v>
      </c>
      <c r="S40" s="33">
        <f t="shared" si="34"/>
        <v>98.64141528691313</v>
      </c>
    </row>
    <row r="41" spans="1:19" ht="15.75">
      <c r="A41" s="7" t="s">
        <v>5</v>
      </c>
      <c r="B41" s="12">
        <v>4489</v>
      </c>
      <c r="C41" s="11">
        <f t="shared" si="27"/>
        <v>-1</v>
      </c>
      <c r="D41" s="11">
        <f t="shared" si="28"/>
        <v>0.022276676319890498</v>
      </c>
      <c r="E41" s="11">
        <f t="shared" si="29"/>
        <v>1</v>
      </c>
      <c r="F41" s="11">
        <f t="shared" si="30"/>
        <v>0.022276676319890498</v>
      </c>
      <c r="G41" s="12">
        <v>32</v>
      </c>
      <c r="H41" s="45">
        <f t="shared" si="31"/>
        <v>0.7128536422365783</v>
      </c>
      <c r="I41" s="12">
        <v>29</v>
      </c>
      <c r="J41" s="45">
        <f t="shared" si="32"/>
        <v>0.6460236132768991</v>
      </c>
      <c r="K41" s="12">
        <v>4429</v>
      </c>
      <c r="L41" s="36">
        <f>+P41+R41-K41</f>
        <v>-0.1000000000003638</v>
      </c>
      <c r="M41" s="36">
        <f>+Q41+S41-N41</f>
        <v>-0.0022276676319989974</v>
      </c>
      <c r="N41" s="33">
        <f t="shared" si="33"/>
        <v>98.66339942080641</v>
      </c>
      <c r="O41" s="45" t="s">
        <v>41</v>
      </c>
      <c r="P41" s="31">
        <v>0</v>
      </c>
      <c r="Q41" s="46">
        <v>0</v>
      </c>
      <c r="R41" s="12">
        <f>3168.5+1260.4</f>
        <v>4428.9</v>
      </c>
      <c r="S41" s="33">
        <f t="shared" si="34"/>
        <v>98.66117175317441</v>
      </c>
    </row>
    <row r="42" spans="1:19" ht="15.75">
      <c r="A42" s="7" t="s">
        <v>6</v>
      </c>
      <c r="B42" s="12">
        <v>4555</v>
      </c>
      <c r="C42" s="11">
        <f t="shared" si="27"/>
        <v>0</v>
      </c>
      <c r="D42" s="11">
        <f t="shared" si="28"/>
        <v>0</v>
      </c>
      <c r="E42" s="11">
        <f t="shared" si="29"/>
        <v>0</v>
      </c>
      <c r="F42" s="11">
        <f t="shared" si="30"/>
        <v>0</v>
      </c>
      <c r="G42" s="12">
        <v>32</v>
      </c>
      <c r="H42" s="45">
        <f t="shared" si="31"/>
        <v>0.7025246981339187</v>
      </c>
      <c r="I42" s="12">
        <v>29</v>
      </c>
      <c r="J42" s="45">
        <f t="shared" si="32"/>
        <v>0.6366630076838639</v>
      </c>
      <c r="K42" s="12">
        <v>4494</v>
      </c>
      <c r="L42" s="36">
        <f>+P42+R42-K42</f>
        <v>0.1999999999998181</v>
      </c>
      <c r="M42" s="36">
        <f>+Q42+S42-N42</f>
        <v>0.004390779363333763</v>
      </c>
      <c r="N42" s="33">
        <f t="shared" si="33"/>
        <v>98.66081229418222</v>
      </c>
      <c r="O42" s="45" t="s">
        <v>40</v>
      </c>
      <c r="P42" s="31">
        <v>0</v>
      </c>
      <c r="Q42" s="46">
        <v>0</v>
      </c>
      <c r="R42" s="12">
        <f>3252.4+1241.8</f>
        <v>4494.2</v>
      </c>
      <c r="S42" s="33">
        <f t="shared" si="34"/>
        <v>98.66520307354556</v>
      </c>
    </row>
    <row r="43" spans="1:19" ht="15.75">
      <c r="A43" s="17" t="s">
        <v>37</v>
      </c>
      <c r="B43" s="12">
        <v>4230</v>
      </c>
      <c r="C43" s="11">
        <f t="shared" si="27"/>
        <v>0</v>
      </c>
      <c r="D43" s="11">
        <f t="shared" si="28"/>
        <v>0</v>
      </c>
      <c r="E43" s="11">
        <f t="shared" si="29"/>
        <v>0</v>
      </c>
      <c r="F43" s="11">
        <f t="shared" si="30"/>
        <v>0</v>
      </c>
      <c r="G43" s="12">
        <v>30</v>
      </c>
      <c r="H43" s="29">
        <f t="shared" si="31"/>
        <v>0.7092198581560284</v>
      </c>
      <c r="I43" s="12">
        <v>29</v>
      </c>
      <c r="J43" s="13">
        <f t="shared" si="32"/>
        <v>0.6855791962174941</v>
      </c>
      <c r="K43" s="12">
        <v>4171</v>
      </c>
      <c r="L43" s="14"/>
      <c r="M43" s="14"/>
      <c r="N43" s="33">
        <f t="shared" si="33"/>
        <v>98.60520094562648</v>
      </c>
      <c r="O43" s="45" t="s">
        <v>41</v>
      </c>
      <c r="P43" s="25">
        <v>0</v>
      </c>
      <c r="Q43" s="53">
        <v>0</v>
      </c>
      <c r="R43" s="12">
        <f>3054.3+1117.1</f>
        <v>4171.4</v>
      </c>
      <c r="S43" s="33">
        <f t="shared" si="34"/>
        <v>98.61465721040187</v>
      </c>
    </row>
    <row r="44" spans="1:19" ht="15.75">
      <c r="A44" s="7" t="s">
        <v>29</v>
      </c>
      <c r="B44" s="12"/>
      <c r="C44" s="11"/>
      <c r="D44" s="11"/>
      <c r="E44" s="11"/>
      <c r="F44" s="11"/>
      <c r="G44" s="12"/>
      <c r="H44" s="13"/>
      <c r="I44" s="12"/>
      <c r="J44" s="13"/>
      <c r="K44" s="12"/>
      <c r="L44" s="14"/>
      <c r="M44" s="14"/>
      <c r="N44" s="14"/>
      <c r="O44" s="64"/>
      <c r="P44" s="25"/>
      <c r="Q44" s="33"/>
      <c r="R44" s="12"/>
      <c r="S44" s="33"/>
    </row>
    <row r="45" spans="1:19" ht="15.75">
      <c r="A45" s="7" t="s">
        <v>2</v>
      </c>
      <c r="B45" s="12">
        <v>4114</v>
      </c>
      <c r="C45" s="11">
        <f aca="true" t="shared" si="35" ref="C45:C50">B45-(G45+I45+K45)</f>
        <v>0</v>
      </c>
      <c r="D45" s="11">
        <f aca="true" t="shared" si="36" ref="D45:D50">SUM(H45+J45+N45)-100</f>
        <v>0</v>
      </c>
      <c r="E45" s="11">
        <f aca="true" t="shared" si="37" ref="E45:E50">+G45+I45+K45-B45</f>
        <v>0</v>
      </c>
      <c r="F45" s="11">
        <f aca="true" t="shared" si="38" ref="F45:F50">+H45+J45+N45-100</f>
        <v>0</v>
      </c>
      <c r="G45" s="12">
        <v>353</v>
      </c>
      <c r="H45" s="45">
        <f aca="true" t="shared" si="39" ref="H45:H50">(G45/$B45)*100</f>
        <v>8.580456976178901</v>
      </c>
      <c r="I45" s="12">
        <v>10</v>
      </c>
      <c r="J45" s="45">
        <f aca="true" t="shared" si="40" ref="J45:J50">(I45/$B45)*100</f>
        <v>0.24307243558580457</v>
      </c>
      <c r="K45" s="12">
        <v>3751</v>
      </c>
      <c r="L45" s="36">
        <f>+P45+R45-K45</f>
        <v>-0.09999999999990905</v>
      </c>
      <c r="M45" s="36">
        <f>+Q45+S45-N45</f>
        <v>-0.0024307243558467917</v>
      </c>
      <c r="N45" s="33">
        <f aca="true" t="shared" si="41" ref="N45:N50">(K45/$B45)*100</f>
        <v>91.17647058823529</v>
      </c>
      <c r="O45" s="45" t="s">
        <v>42</v>
      </c>
      <c r="P45" s="25">
        <f>4.6+85</f>
        <v>89.6</v>
      </c>
      <c r="Q45" s="45">
        <f aca="true" t="shared" si="42" ref="Q45:Q50">(P45/$B45)*100</f>
        <v>2.177929022848809</v>
      </c>
      <c r="R45" s="12">
        <f>1684.2+1977.1</f>
        <v>3661.3</v>
      </c>
      <c r="S45" s="33">
        <f aca="true" t="shared" si="43" ref="S45:S50">(R45/$B45)*100</f>
        <v>88.99611084103063</v>
      </c>
    </row>
    <row r="46" spans="1:19" ht="15.75">
      <c r="A46" s="7" t="s">
        <v>3</v>
      </c>
      <c r="B46" s="12">
        <v>4160</v>
      </c>
      <c r="C46" s="11">
        <f t="shared" si="35"/>
        <v>0</v>
      </c>
      <c r="D46" s="11">
        <f t="shared" si="36"/>
        <v>0</v>
      </c>
      <c r="E46" s="11">
        <f t="shared" si="37"/>
        <v>0</v>
      </c>
      <c r="F46" s="11">
        <f t="shared" si="38"/>
        <v>0</v>
      </c>
      <c r="G46" s="12">
        <v>346</v>
      </c>
      <c r="H46" s="45">
        <f t="shared" si="39"/>
        <v>8.317307692307692</v>
      </c>
      <c r="I46" s="12">
        <v>10</v>
      </c>
      <c r="J46" s="45">
        <f t="shared" si="40"/>
        <v>0.2403846153846154</v>
      </c>
      <c r="K46" s="12">
        <v>3804</v>
      </c>
      <c r="L46" s="36">
        <f>+P46+R46-K46</f>
        <v>-0.0999999999994543</v>
      </c>
      <c r="M46" s="36">
        <f>+Q46+S46-N46</f>
        <v>-0.002403846153825384</v>
      </c>
      <c r="N46" s="33">
        <f t="shared" si="41"/>
        <v>91.4423076923077</v>
      </c>
      <c r="O46" s="45" t="s">
        <v>43</v>
      </c>
      <c r="P46" s="30">
        <f>4.8+83.5</f>
        <v>88.3</v>
      </c>
      <c r="Q46" s="45">
        <f t="shared" si="42"/>
        <v>2.1225961538461537</v>
      </c>
      <c r="R46" s="27">
        <f>1668.4+2047.2</f>
        <v>3715.6000000000004</v>
      </c>
      <c r="S46" s="33">
        <f t="shared" si="43"/>
        <v>89.31730769230771</v>
      </c>
    </row>
    <row r="47" spans="1:19" ht="15.75">
      <c r="A47" s="7" t="s">
        <v>4</v>
      </c>
      <c r="B47" s="12">
        <v>4118</v>
      </c>
      <c r="C47" s="11">
        <f t="shared" si="35"/>
        <v>0</v>
      </c>
      <c r="D47" s="11">
        <f t="shared" si="36"/>
        <v>0</v>
      </c>
      <c r="E47" s="11">
        <f t="shared" si="37"/>
        <v>0</v>
      </c>
      <c r="F47" s="11">
        <f t="shared" si="38"/>
        <v>0</v>
      </c>
      <c r="G47" s="12">
        <v>351</v>
      </c>
      <c r="H47" s="45">
        <f t="shared" si="39"/>
        <v>8.523555123846528</v>
      </c>
      <c r="I47" s="12">
        <v>8</v>
      </c>
      <c r="J47" s="45">
        <f t="shared" si="40"/>
        <v>0.19426906265177268</v>
      </c>
      <c r="K47" s="12">
        <v>3759</v>
      </c>
      <c r="L47" s="36">
        <f>+P47+R47-K47</f>
        <v>0.09999999999990905</v>
      </c>
      <c r="M47" s="36">
        <f>+Q47+S47-N47</f>
        <v>0.002428363283144108</v>
      </c>
      <c r="N47" s="33">
        <f t="shared" si="41"/>
        <v>91.2821758135017</v>
      </c>
      <c r="O47" s="45" t="s">
        <v>42</v>
      </c>
      <c r="P47" s="31">
        <f>4.6+86.4</f>
        <v>91</v>
      </c>
      <c r="Q47" s="45">
        <f t="shared" si="42"/>
        <v>2.2098105876639145</v>
      </c>
      <c r="R47" s="27">
        <f>1656.8+2011.3</f>
        <v>3668.1</v>
      </c>
      <c r="S47" s="33">
        <f t="shared" si="43"/>
        <v>89.07479358912093</v>
      </c>
    </row>
    <row r="48" spans="1:23" ht="15.75">
      <c r="A48" s="7" t="s">
        <v>5</v>
      </c>
      <c r="B48" s="12">
        <v>4284</v>
      </c>
      <c r="C48" s="11">
        <f t="shared" si="35"/>
        <v>0</v>
      </c>
      <c r="D48" s="11">
        <f t="shared" si="36"/>
        <v>0</v>
      </c>
      <c r="E48" s="11">
        <f t="shared" si="37"/>
        <v>0</v>
      </c>
      <c r="F48" s="11">
        <f t="shared" si="38"/>
        <v>0</v>
      </c>
      <c r="G48" s="12">
        <v>333</v>
      </c>
      <c r="H48" s="45">
        <f t="shared" si="39"/>
        <v>7.773109243697479</v>
      </c>
      <c r="I48" s="34">
        <v>8</v>
      </c>
      <c r="J48" s="45">
        <f t="shared" si="40"/>
        <v>0.18674136321195145</v>
      </c>
      <c r="K48" s="40">
        <v>3943</v>
      </c>
      <c r="L48" s="36">
        <f>+P48+R48-K48</f>
        <v>0</v>
      </c>
      <c r="M48" s="36">
        <f>+Q48+S48-N48</f>
        <v>0</v>
      </c>
      <c r="N48" s="33">
        <f t="shared" si="41"/>
        <v>92.04014939309056</v>
      </c>
      <c r="O48" s="45" t="s">
        <v>43</v>
      </c>
      <c r="P48" s="41">
        <f>2.5+99.4</f>
        <v>101.9</v>
      </c>
      <c r="Q48" s="45">
        <f t="shared" si="42"/>
        <v>2.378618113912232</v>
      </c>
      <c r="R48" s="40">
        <f>1712.9+2128.2</f>
        <v>3841.1</v>
      </c>
      <c r="S48" s="33">
        <f t="shared" si="43"/>
        <v>89.66153127917835</v>
      </c>
      <c r="T48" s="42"/>
      <c r="U48" s="42"/>
      <c r="V48" s="42"/>
      <c r="W48" s="42"/>
    </row>
    <row r="49" spans="1:19" ht="15.75">
      <c r="A49" s="7" t="s">
        <v>6</v>
      </c>
      <c r="B49" s="12">
        <v>4267</v>
      </c>
      <c r="C49" s="11">
        <f t="shared" si="35"/>
        <v>1</v>
      </c>
      <c r="D49" s="11">
        <f t="shared" si="36"/>
        <v>-0.023435669088357258</v>
      </c>
      <c r="E49" s="11">
        <f t="shared" si="37"/>
        <v>-1</v>
      </c>
      <c r="F49" s="11">
        <f t="shared" si="38"/>
        <v>-0.023435669088357258</v>
      </c>
      <c r="G49" s="12">
        <v>312</v>
      </c>
      <c r="H49" s="45">
        <f t="shared" si="39"/>
        <v>7.3119287555659715</v>
      </c>
      <c r="I49" s="12">
        <v>5</v>
      </c>
      <c r="J49" s="45">
        <f t="shared" si="40"/>
        <v>0.11717834544176235</v>
      </c>
      <c r="K49" s="12">
        <v>3949</v>
      </c>
      <c r="L49" s="36">
        <f>+P49+R49-K49</f>
        <v>0.1999999999998181</v>
      </c>
      <c r="M49" s="36">
        <f>+Q49+S49-N49</f>
        <v>0.0046871338176686095</v>
      </c>
      <c r="N49" s="33">
        <f t="shared" si="41"/>
        <v>92.54745722990391</v>
      </c>
      <c r="O49" s="45" t="s">
        <v>42</v>
      </c>
      <c r="P49" s="25">
        <f>2.6+109.4</f>
        <v>112</v>
      </c>
      <c r="Q49" s="45">
        <f t="shared" si="42"/>
        <v>2.624794937895477</v>
      </c>
      <c r="R49" s="12">
        <f>1674+2163.2</f>
        <v>3837.2</v>
      </c>
      <c r="S49" s="33">
        <f t="shared" si="43"/>
        <v>89.92734942582611</v>
      </c>
    </row>
    <row r="50" spans="1:19" ht="15.75">
      <c r="A50" s="65" t="s">
        <v>37</v>
      </c>
      <c r="B50" s="56">
        <v>4146</v>
      </c>
      <c r="C50" s="20">
        <f t="shared" si="35"/>
        <v>0</v>
      </c>
      <c r="D50" s="20">
        <f t="shared" si="36"/>
        <v>0</v>
      </c>
      <c r="E50" s="20">
        <f t="shared" si="37"/>
        <v>0</v>
      </c>
      <c r="F50" s="20">
        <f t="shared" si="38"/>
        <v>0</v>
      </c>
      <c r="G50" s="56">
        <v>331</v>
      </c>
      <c r="H50" s="57">
        <f t="shared" si="39"/>
        <v>7.98359864930053</v>
      </c>
      <c r="I50" s="58">
        <v>6</v>
      </c>
      <c r="J50" s="57">
        <f t="shared" si="40"/>
        <v>0.1447178002894356</v>
      </c>
      <c r="K50" s="55">
        <v>3809</v>
      </c>
      <c r="L50" s="39"/>
      <c r="M50" s="39"/>
      <c r="N50" s="60">
        <f t="shared" si="41"/>
        <v>91.87168355041003</v>
      </c>
      <c r="O50" s="61" t="s">
        <v>43</v>
      </c>
      <c r="P50" s="59">
        <f>2+123.8</f>
        <v>125.8</v>
      </c>
      <c r="Q50" s="61">
        <f t="shared" si="42"/>
        <v>3.034249879401833</v>
      </c>
      <c r="R50" s="55">
        <f>1583.3+2099.9</f>
        <v>3683.2</v>
      </c>
      <c r="S50" s="62">
        <f t="shared" si="43"/>
        <v>88.8374336710082</v>
      </c>
    </row>
    <row r="51" spans="1:19" ht="15.75">
      <c r="A51" s="47"/>
      <c r="B51" s="48"/>
      <c r="C51" s="48"/>
      <c r="D51" s="48"/>
      <c r="E51" s="48"/>
      <c r="F51" s="48"/>
      <c r="G51" s="48"/>
      <c r="H51" s="49"/>
      <c r="I51" s="50"/>
      <c r="J51" s="49"/>
      <c r="K51" s="51"/>
      <c r="L51" s="51"/>
      <c r="M51" s="51"/>
      <c r="N51" s="51"/>
      <c r="O51" s="51"/>
      <c r="P51" s="52"/>
      <c r="Q51" s="49"/>
      <c r="R51" s="51"/>
      <c r="S51" s="49"/>
    </row>
    <row r="52" spans="1:19" ht="15.75">
      <c r="A52" s="7" t="s">
        <v>35</v>
      </c>
      <c r="B52" s="8"/>
      <c r="C52" s="8"/>
      <c r="D52" s="8"/>
      <c r="E52" s="8"/>
      <c r="F52" s="8"/>
      <c r="G52" s="8"/>
      <c r="H52" s="13"/>
      <c r="I52" s="8"/>
      <c r="J52" s="13"/>
      <c r="K52" s="8"/>
      <c r="L52" s="8"/>
      <c r="M52" s="8"/>
      <c r="N52" s="13"/>
      <c r="O52" s="13"/>
      <c r="P52" s="8"/>
      <c r="Q52" s="13"/>
      <c r="R52" s="8"/>
      <c r="S52" s="13"/>
    </row>
    <row r="53" spans="1:19" ht="15.75">
      <c r="A53" s="7" t="s">
        <v>10</v>
      </c>
      <c r="B53" s="8"/>
      <c r="C53" s="8"/>
      <c r="D53" s="8"/>
      <c r="E53" s="8"/>
      <c r="F53" s="8"/>
      <c r="G53" s="8"/>
      <c r="H53" s="16"/>
      <c r="I53" s="8"/>
      <c r="J53" s="13"/>
      <c r="K53" s="8"/>
      <c r="L53" s="8"/>
      <c r="M53" s="8"/>
      <c r="N53" s="13"/>
      <c r="O53" s="13"/>
      <c r="P53" s="8"/>
      <c r="Q53" s="13"/>
      <c r="R53" s="8"/>
      <c r="S53" s="13"/>
    </row>
    <row r="54" spans="2:19" ht="15.75">
      <c r="B54" s="8"/>
      <c r="C54" s="8"/>
      <c r="D54" s="8"/>
      <c r="E54" s="8"/>
      <c r="F54" s="8"/>
      <c r="G54" s="8"/>
      <c r="H54" s="16"/>
      <c r="I54" s="8"/>
      <c r="J54" s="13"/>
      <c r="K54" s="8"/>
      <c r="L54" s="8"/>
      <c r="M54" s="8"/>
      <c r="N54" s="13"/>
      <c r="O54" s="13"/>
      <c r="P54" s="8"/>
      <c r="Q54" s="13"/>
      <c r="R54" s="8"/>
      <c r="S54" s="13"/>
    </row>
    <row r="55" spans="2:19" ht="15.75">
      <c r="B55" s="8"/>
      <c r="C55" s="8"/>
      <c r="D55" s="8"/>
      <c r="E55" s="8"/>
      <c r="F55" s="8"/>
      <c r="G55" s="8"/>
      <c r="H55" s="16"/>
      <c r="I55" s="8"/>
      <c r="J55" s="13"/>
      <c r="K55" s="8"/>
      <c r="L55" s="8"/>
      <c r="M55" s="8"/>
      <c r="N55" s="13"/>
      <c r="O55" s="13"/>
      <c r="P55" s="8"/>
      <c r="Q55" s="13"/>
      <c r="R55" s="8"/>
      <c r="S55" s="13"/>
    </row>
    <row r="56" spans="1:19" ht="15.75">
      <c r="A56" s="7"/>
      <c r="B56" s="8"/>
      <c r="C56" s="8"/>
      <c r="D56" s="8"/>
      <c r="E56" s="8"/>
      <c r="F56" s="8"/>
      <c r="G56" s="8"/>
      <c r="H56" s="16"/>
      <c r="I56" s="8"/>
      <c r="J56" s="13"/>
      <c r="K56" s="8"/>
      <c r="L56" s="8"/>
      <c r="M56" s="8"/>
      <c r="N56" s="13"/>
      <c r="O56" s="13"/>
      <c r="P56" s="8"/>
      <c r="Q56" s="13"/>
      <c r="R56" s="8"/>
      <c r="S56" s="13"/>
    </row>
    <row r="57" spans="1:19" ht="15.75">
      <c r="A57" s="66"/>
      <c r="J57" s="13"/>
      <c r="K57" s="8"/>
      <c r="L57" s="8"/>
      <c r="M57" s="8"/>
      <c r="N57" s="13"/>
      <c r="O57" s="13"/>
      <c r="Q57" s="13"/>
      <c r="R57" s="8"/>
      <c r="S57" s="13"/>
    </row>
    <row r="58" spans="10:19" ht="15.75">
      <c r="J58" s="13"/>
      <c r="K58" s="8"/>
      <c r="L58" s="8"/>
      <c r="M58" s="8"/>
      <c r="N58" s="13"/>
      <c r="O58" s="13"/>
      <c r="Q58" s="13"/>
      <c r="R58" s="8"/>
      <c r="S58" s="13"/>
    </row>
    <row r="59" spans="10:19" ht="15.75">
      <c r="J59" s="13"/>
      <c r="K59" s="8"/>
      <c r="L59" s="8"/>
      <c r="M59" s="8"/>
      <c r="N59" s="13"/>
      <c r="O59" s="13"/>
      <c r="Q59" s="13"/>
      <c r="R59" s="8"/>
      <c r="S59" s="13"/>
    </row>
    <row r="60" spans="10:19" ht="15.75">
      <c r="J60" s="13"/>
      <c r="K60" s="8"/>
      <c r="L60" s="8"/>
      <c r="M60" s="8"/>
      <c r="N60" s="13"/>
      <c r="O60" s="13"/>
      <c r="Q60" s="13"/>
      <c r="R60" s="8"/>
      <c r="S60" s="13"/>
    </row>
    <row r="61" spans="10:19" ht="15.75">
      <c r="J61" s="13"/>
      <c r="K61" s="8"/>
      <c r="L61" s="8"/>
      <c r="M61" s="8"/>
      <c r="N61" s="13"/>
      <c r="O61" s="13"/>
      <c r="Q61" s="13"/>
      <c r="R61" s="8"/>
      <c r="S61" s="13"/>
    </row>
    <row r="62" spans="10:19" ht="15.75">
      <c r="J62" s="13"/>
      <c r="K62" s="8"/>
      <c r="L62" s="8"/>
      <c r="M62" s="8"/>
      <c r="N62" s="13"/>
      <c r="O62" s="13"/>
      <c r="Q62" s="13"/>
      <c r="R62" s="8"/>
      <c r="S62" s="13"/>
    </row>
    <row r="63" spans="1:19" ht="15.75">
      <c r="A63" s="7"/>
      <c r="J63" s="13"/>
      <c r="K63" s="8"/>
      <c r="L63" s="8"/>
      <c r="M63" s="8"/>
      <c r="N63" s="13"/>
      <c r="O63" s="13"/>
      <c r="Q63" s="13"/>
      <c r="R63" s="8"/>
      <c r="S63" s="13"/>
    </row>
    <row r="64" spans="1:19" ht="15.75">
      <c r="A64" s="7"/>
      <c r="J64" s="13"/>
      <c r="K64" s="8"/>
      <c r="L64" s="8"/>
      <c r="M64" s="8"/>
      <c r="N64" s="13"/>
      <c r="O64" s="13"/>
      <c r="Q64" s="13"/>
      <c r="R64" s="8"/>
      <c r="S64" s="13"/>
    </row>
    <row r="65" spans="1:19" ht="15.75">
      <c r="A65" s="7"/>
      <c r="J65" s="13"/>
      <c r="K65" s="8"/>
      <c r="L65" s="8"/>
      <c r="M65" s="8"/>
      <c r="N65" s="13"/>
      <c r="O65" s="13"/>
      <c r="Q65" s="13"/>
      <c r="R65" s="8"/>
      <c r="S65" s="13"/>
    </row>
    <row r="66" spans="1:19" ht="15.75">
      <c r="A66" s="7"/>
      <c r="J66" s="13"/>
      <c r="K66" s="8"/>
      <c r="L66" s="8"/>
      <c r="M66" s="8"/>
      <c r="N66" s="13"/>
      <c r="O66" s="13"/>
      <c r="Q66" s="13"/>
      <c r="R66" s="8"/>
      <c r="S66" s="13"/>
    </row>
    <row r="67" spans="1:19" ht="15.75">
      <c r="A67" s="7"/>
      <c r="J67" s="13"/>
      <c r="K67" s="8"/>
      <c r="L67" s="8"/>
      <c r="M67" s="8"/>
      <c r="N67" s="13"/>
      <c r="O67" s="13"/>
      <c r="Q67" s="13"/>
      <c r="R67" s="8"/>
      <c r="S67" s="13"/>
    </row>
    <row r="68" spans="1:19" ht="15.75">
      <c r="A68" s="18"/>
      <c r="B68" s="8"/>
      <c r="C68" s="8"/>
      <c r="D68" s="8"/>
      <c r="E68" s="8"/>
      <c r="F68" s="8"/>
      <c r="G68" s="8"/>
      <c r="H68" s="16"/>
      <c r="I68" s="8"/>
      <c r="J68" s="13"/>
      <c r="K68" s="8"/>
      <c r="L68" s="8"/>
      <c r="M68" s="8"/>
      <c r="N68" s="13"/>
      <c r="O68" s="13"/>
      <c r="P68" s="8"/>
      <c r="Q68" s="13"/>
      <c r="R68" s="8"/>
      <c r="S68" s="13"/>
    </row>
    <row r="69" spans="2:19" ht="15.75">
      <c r="B69" s="8"/>
      <c r="C69" s="8"/>
      <c r="D69" s="8"/>
      <c r="E69" s="8"/>
      <c r="F69" s="8"/>
      <c r="G69" s="8"/>
      <c r="H69" s="16"/>
      <c r="I69" s="8"/>
      <c r="J69" s="13"/>
      <c r="K69" s="8"/>
      <c r="L69" s="8"/>
      <c r="M69" s="8"/>
      <c r="N69" s="13"/>
      <c r="O69" s="13"/>
      <c r="P69" s="8"/>
      <c r="Q69" s="13"/>
      <c r="R69" s="8"/>
      <c r="S69" s="13"/>
    </row>
    <row r="70" spans="2:19" ht="15.75">
      <c r="B70" s="8"/>
      <c r="C70" s="8"/>
      <c r="D70" s="8"/>
      <c r="E70" s="8"/>
      <c r="F70" s="8"/>
      <c r="G70" s="8"/>
      <c r="H70" s="16"/>
      <c r="I70" s="8"/>
      <c r="J70" s="13"/>
      <c r="K70" s="8"/>
      <c r="L70" s="8"/>
      <c r="M70" s="8"/>
      <c r="N70" s="13"/>
      <c r="O70" s="13"/>
      <c r="P70" s="8"/>
      <c r="Q70" s="13"/>
      <c r="R70" s="8"/>
      <c r="S70" s="13"/>
    </row>
    <row r="71" spans="2:19" ht="15.75">
      <c r="B71" s="8"/>
      <c r="C71" s="8"/>
      <c r="D71" s="8"/>
      <c r="E71" s="8"/>
      <c r="F71" s="8"/>
      <c r="G71" s="8"/>
      <c r="H71" s="16"/>
      <c r="I71" s="8"/>
      <c r="J71" s="13"/>
      <c r="K71" s="8"/>
      <c r="L71" s="8"/>
      <c r="M71" s="8"/>
      <c r="N71" s="13"/>
      <c r="O71" s="13"/>
      <c r="P71" s="8"/>
      <c r="Q71" s="13"/>
      <c r="R71" s="8"/>
      <c r="S71" s="13"/>
    </row>
    <row r="72" spans="10:19" ht="15.75">
      <c r="J72" s="13"/>
      <c r="K72" s="8"/>
      <c r="L72" s="8"/>
      <c r="M72" s="8"/>
      <c r="N72" s="13"/>
      <c r="O72" s="13"/>
      <c r="Q72" s="13"/>
      <c r="R72" s="8"/>
      <c r="S72" s="13"/>
    </row>
    <row r="73" spans="10:19" ht="15.75">
      <c r="J73" s="13"/>
      <c r="K73" s="8"/>
      <c r="L73" s="8"/>
      <c r="M73" s="8"/>
      <c r="N73" s="13"/>
      <c r="O73" s="13"/>
      <c r="Q73" s="13"/>
      <c r="R73" s="8"/>
      <c r="S73" s="13"/>
    </row>
    <row r="74" spans="10:19" ht="15.75">
      <c r="J74" s="13"/>
      <c r="K74" s="8"/>
      <c r="L74" s="8"/>
      <c r="M74" s="8"/>
      <c r="N74" s="13"/>
      <c r="O74" s="13"/>
      <c r="Q74" s="13"/>
      <c r="R74" s="8"/>
      <c r="S74" s="13"/>
    </row>
    <row r="75" spans="10:19" ht="15.75">
      <c r="J75" s="13"/>
      <c r="K75" s="8"/>
      <c r="L75" s="8"/>
      <c r="M75" s="8"/>
      <c r="N75" s="13"/>
      <c r="O75" s="13"/>
      <c r="Q75" s="13"/>
      <c r="R75" s="8"/>
      <c r="S75" s="13"/>
    </row>
    <row r="76" spans="10:19" ht="15.75">
      <c r="J76" s="13"/>
      <c r="K76" s="8"/>
      <c r="L76" s="8"/>
      <c r="M76" s="8"/>
      <c r="N76" s="13"/>
      <c r="O76" s="13"/>
      <c r="Q76" s="13"/>
      <c r="R76" s="8"/>
      <c r="S76" s="13"/>
    </row>
    <row r="77" spans="10:19" ht="15.75">
      <c r="J77" s="13"/>
      <c r="K77" s="8"/>
      <c r="L77" s="8"/>
      <c r="M77" s="8"/>
      <c r="N77" s="13"/>
      <c r="O77" s="13"/>
      <c r="Q77" s="13"/>
      <c r="R77" s="8"/>
      <c r="S77" s="13"/>
    </row>
    <row r="78" spans="10:19" ht="15.75">
      <c r="J78" s="13"/>
      <c r="K78" s="8"/>
      <c r="L78" s="8"/>
      <c r="M78" s="8"/>
      <c r="N78" s="13"/>
      <c r="O78" s="13"/>
      <c r="Q78" s="13"/>
      <c r="R78" s="8"/>
      <c r="S78" s="13"/>
    </row>
    <row r="79" spans="10:19" ht="15.75">
      <c r="J79" s="13"/>
      <c r="K79" s="8"/>
      <c r="L79" s="8"/>
      <c r="M79" s="8"/>
      <c r="N79" s="13"/>
      <c r="O79" s="13"/>
      <c r="Q79" s="13"/>
      <c r="R79" s="8"/>
      <c r="S79" s="13"/>
    </row>
    <row r="80" spans="10:19" ht="15.75">
      <c r="J80" s="13"/>
      <c r="K80" s="8"/>
      <c r="L80" s="8"/>
      <c r="M80" s="8"/>
      <c r="N80" s="13"/>
      <c r="O80" s="13"/>
      <c r="Q80" s="13"/>
      <c r="R80" s="8"/>
      <c r="S80" s="13"/>
    </row>
    <row r="81" spans="10:19" ht="15.75">
      <c r="J81" s="13"/>
      <c r="K81" s="8"/>
      <c r="L81" s="8"/>
      <c r="M81" s="8"/>
      <c r="N81" s="13"/>
      <c r="O81" s="13"/>
      <c r="Q81" s="13"/>
      <c r="R81" s="8"/>
      <c r="S81" s="13"/>
    </row>
    <row r="82" spans="10:19" ht="15.75">
      <c r="J82" s="13"/>
      <c r="K82" s="8"/>
      <c r="L82" s="8"/>
      <c r="M82" s="8"/>
      <c r="N82" s="13"/>
      <c r="O82" s="13"/>
      <c r="Q82" s="13"/>
      <c r="R82" s="8"/>
      <c r="S82" s="13"/>
    </row>
    <row r="83" spans="10:19" ht="15.75">
      <c r="J83" s="13"/>
      <c r="K83" s="8"/>
      <c r="L83" s="8"/>
      <c r="M83" s="8"/>
      <c r="N83" s="13"/>
      <c r="O83" s="13"/>
      <c r="Q83" s="13"/>
      <c r="R83" s="8"/>
      <c r="S83" s="13"/>
    </row>
    <row r="84" spans="10:19" ht="15.75">
      <c r="J84" s="13"/>
      <c r="K84" s="8"/>
      <c r="L84" s="8"/>
      <c r="M84" s="8"/>
      <c r="N84" s="13"/>
      <c r="O84" s="13"/>
      <c r="Q84" s="13"/>
      <c r="R84" s="8"/>
      <c r="S84" s="13"/>
    </row>
    <row r="85" spans="10:19" ht="15.75">
      <c r="J85" s="13"/>
      <c r="K85" s="8"/>
      <c r="L85" s="8"/>
      <c r="M85" s="8"/>
      <c r="N85" s="13"/>
      <c r="O85" s="13"/>
      <c r="Q85" s="13"/>
      <c r="R85" s="8"/>
      <c r="S85" s="13"/>
    </row>
    <row r="86" spans="10:19" ht="15.75">
      <c r="J86" s="13"/>
      <c r="K86" s="8"/>
      <c r="L86" s="8"/>
      <c r="M86" s="8"/>
      <c r="N86" s="13"/>
      <c r="O86" s="13"/>
      <c r="Q86" s="13"/>
      <c r="R86" s="8"/>
      <c r="S86" s="13"/>
    </row>
    <row r="87" spans="10:19" ht="15.75">
      <c r="J87" s="13"/>
      <c r="K87" s="8"/>
      <c r="L87" s="8"/>
      <c r="M87" s="8"/>
      <c r="N87" s="13"/>
      <c r="O87" s="13"/>
      <c r="Q87" s="13"/>
      <c r="R87" s="8"/>
      <c r="S87" s="13"/>
    </row>
    <row r="88" spans="10:19" ht="15.75">
      <c r="J88" s="13"/>
      <c r="K88" s="8"/>
      <c r="L88" s="8"/>
      <c r="M88" s="8"/>
      <c r="N88" s="13"/>
      <c r="O88" s="13"/>
      <c r="Q88" s="13"/>
      <c r="R88" s="8"/>
      <c r="S88" s="13"/>
    </row>
    <row r="89" spans="10:19" ht="15.75">
      <c r="J89" s="13"/>
      <c r="K89" s="8"/>
      <c r="L89" s="8"/>
      <c r="M89" s="8"/>
      <c r="N89" s="13"/>
      <c r="O89" s="13"/>
      <c r="Q89" s="13"/>
      <c r="R89" s="8"/>
      <c r="S89" s="13"/>
    </row>
    <row r="90" spans="10:19" ht="15.75">
      <c r="J90" s="13"/>
      <c r="K90" s="8"/>
      <c r="L90" s="8"/>
      <c r="M90" s="8"/>
      <c r="N90" s="13"/>
      <c r="O90" s="13"/>
      <c r="Q90" s="13"/>
      <c r="R90" s="8"/>
      <c r="S90" s="13"/>
    </row>
    <row r="91" spans="10:19" ht="15.75">
      <c r="J91" s="13"/>
      <c r="K91" s="8"/>
      <c r="L91" s="8"/>
      <c r="M91" s="8"/>
      <c r="N91" s="13"/>
      <c r="O91" s="13"/>
      <c r="Q91" s="13"/>
      <c r="R91" s="8"/>
      <c r="S91" s="13"/>
    </row>
    <row r="92" spans="14:17" ht="15.75">
      <c r="N92" s="13"/>
      <c r="O92" s="13"/>
      <c r="Q92" s="13"/>
    </row>
    <row r="93" spans="14:17" ht="15.75">
      <c r="N93" s="13"/>
      <c r="O93" s="13"/>
      <c r="Q93" s="13"/>
    </row>
    <row r="94" spans="14:17" ht="15.75">
      <c r="N94" s="13"/>
      <c r="O94" s="13"/>
      <c r="Q94" s="13"/>
    </row>
    <row r="95" spans="14:17" ht="15.75">
      <c r="N95" s="13"/>
      <c r="O95" s="13"/>
      <c r="Q95" s="13"/>
    </row>
    <row r="96" spans="14:17" ht="15.75">
      <c r="N96" s="13"/>
      <c r="O96" s="13"/>
      <c r="Q96" s="13"/>
    </row>
    <row r="97" spans="14:17" ht="15.75">
      <c r="N97" s="13"/>
      <c r="O97" s="13"/>
      <c r="Q97" s="13"/>
    </row>
    <row r="98" spans="14:17" ht="15.75">
      <c r="N98" s="13"/>
      <c r="O98" s="13"/>
      <c r="Q98" s="13"/>
    </row>
    <row r="99" spans="14:17" ht="15.75">
      <c r="N99" s="13"/>
      <c r="O99" s="13"/>
      <c r="Q99" s="13"/>
    </row>
    <row r="100" spans="14:17" ht="15.75">
      <c r="N100" s="13"/>
      <c r="O100" s="13"/>
      <c r="Q100" s="13"/>
    </row>
    <row r="101" spans="14:17" ht="15.75">
      <c r="N101" s="13"/>
      <c r="O101" s="13"/>
      <c r="Q101" s="13"/>
    </row>
    <row r="102" spans="14:17" ht="15.75">
      <c r="N102" s="13"/>
      <c r="O102" s="13"/>
      <c r="Q102" s="13"/>
    </row>
    <row r="103" spans="14:17" ht="15.75">
      <c r="N103" s="13"/>
      <c r="O103" s="13"/>
      <c r="Q103" s="13"/>
    </row>
    <row r="104" spans="14:17" ht="15.75">
      <c r="N104" s="13"/>
      <c r="O104" s="13"/>
      <c r="Q104" s="13"/>
    </row>
    <row r="105" spans="14:17" ht="15.75">
      <c r="N105" s="13"/>
      <c r="O105" s="13"/>
      <c r="Q105" s="13"/>
    </row>
    <row r="106" spans="14:17" ht="15.75">
      <c r="N106" s="13"/>
      <c r="O106" s="13"/>
      <c r="Q106" s="13"/>
    </row>
    <row r="107" spans="14:17" ht="15.75">
      <c r="N107" s="13"/>
      <c r="O107" s="13"/>
      <c r="Q107" s="13"/>
    </row>
    <row r="108" spans="14:17" ht="15.75">
      <c r="N108" s="13"/>
      <c r="O108" s="13"/>
      <c r="Q108" s="13"/>
    </row>
    <row r="109" spans="14:17" ht="15.75">
      <c r="N109" s="13"/>
      <c r="O109" s="13"/>
      <c r="Q109" s="13"/>
    </row>
    <row r="110" spans="14:17" ht="15.75">
      <c r="N110" s="13"/>
      <c r="O110" s="13"/>
      <c r="Q110" s="13"/>
    </row>
    <row r="111" spans="14:17" ht="15.75">
      <c r="N111" s="13"/>
      <c r="O111" s="13"/>
      <c r="Q111" s="13"/>
    </row>
    <row r="112" spans="14:17" ht="15.75">
      <c r="N112" s="13"/>
      <c r="O112" s="13"/>
      <c r="Q112" s="13"/>
    </row>
    <row r="113" spans="14:17" ht="15.75">
      <c r="N113" s="13"/>
      <c r="O113" s="13"/>
      <c r="Q113" s="13"/>
    </row>
    <row r="114" spans="14:17" ht="15.75">
      <c r="N114" s="13"/>
      <c r="O114" s="13"/>
      <c r="Q114" s="13"/>
    </row>
    <row r="115" spans="14:17" ht="15.75">
      <c r="N115" s="13"/>
      <c r="O115" s="13"/>
      <c r="Q115" s="13"/>
    </row>
    <row r="116" spans="14:17" ht="15.75">
      <c r="N116" s="13"/>
      <c r="O116" s="13"/>
      <c r="Q116" s="13"/>
    </row>
    <row r="117" spans="14:17" ht="15.75">
      <c r="N117" s="13"/>
      <c r="O117" s="13"/>
      <c r="Q117" s="13"/>
    </row>
    <row r="118" spans="14:17" ht="15.75">
      <c r="N118" s="13"/>
      <c r="O118" s="13"/>
      <c r="Q118" s="13"/>
    </row>
    <row r="119" spans="14:17" ht="15.75">
      <c r="N119" s="13"/>
      <c r="O119" s="13"/>
      <c r="Q119" s="13"/>
    </row>
    <row r="120" spans="14:17" ht="15.75">
      <c r="N120" s="13"/>
      <c r="O120" s="13"/>
      <c r="Q120" s="13"/>
    </row>
    <row r="121" spans="14:17" ht="15.75">
      <c r="N121" s="13"/>
      <c r="O121" s="13"/>
      <c r="Q121" s="13"/>
    </row>
    <row r="122" spans="14:17" ht="15.75">
      <c r="N122" s="13"/>
      <c r="O122" s="13"/>
      <c r="Q122" s="13"/>
    </row>
    <row r="123" spans="14:17" ht="15.75">
      <c r="N123" s="13"/>
      <c r="O123" s="13"/>
      <c r="Q123" s="13"/>
    </row>
    <row r="124" spans="14:17" ht="15.75">
      <c r="N124" s="13"/>
      <c r="O124" s="13"/>
      <c r="Q124" s="13"/>
    </row>
    <row r="125" spans="1:17" ht="15.75">
      <c r="A125" s="7"/>
      <c r="N125" s="13"/>
      <c r="O125" s="13"/>
      <c r="Q125" s="13"/>
    </row>
    <row r="126" spans="1:17" ht="15.75">
      <c r="A126" s="7"/>
      <c r="N126" s="13"/>
      <c r="O126" s="13"/>
      <c r="Q126" s="13"/>
    </row>
    <row r="127" spans="14:17" ht="15.75">
      <c r="N127" s="13"/>
      <c r="O127" s="13"/>
      <c r="Q127" s="13"/>
    </row>
    <row r="129" ht="15.75">
      <c r="A129" s="7"/>
    </row>
    <row r="132" ht="15.75">
      <c r="A132" s="7"/>
    </row>
    <row r="135" ht="15.75">
      <c r="A135" s="7"/>
    </row>
    <row r="139" ht="15.75">
      <c r="A139" s="7"/>
    </row>
    <row r="140" ht="15.75">
      <c r="A140" s="7"/>
    </row>
    <row r="141" ht="15.75">
      <c r="A141" s="7"/>
    </row>
  </sheetData>
  <mergeCells count="29">
    <mergeCell ref="I5:J6"/>
    <mergeCell ref="J13:J15"/>
    <mergeCell ref="N7:N12"/>
    <mergeCell ref="N13:N15"/>
    <mergeCell ref="K7:K12"/>
    <mergeCell ref="K13:K15"/>
    <mergeCell ref="K5:S6"/>
    <mergeCell ref="P7:Q8"/>
    <mergeCell ref="R7:S8"/>
    <mergeCell ref="I7:I12"/>
    <mergeCell ref="A5:A12"/>
    <mergeCell ref="H7:H12"/>
    <mergeCell ref="H13:H15"/>
    <mergeCell ref="B13:B15"/>
    <mergeCell ref="G7:G12"/>
    <mergeCell ref="G13:G15"/>
    <mergeCell ref="G5:H6"/>
    <mergeCell ref="A13:A15"/>
    <mergeCell ref="B5:B12"/>
    <mergeCell ref="J7:J12"/>
    <mergeCell ref="P9:P12"/>
    <mergeCell ref="S9:S12"/>
    <mergeCell ref="I13:I15"/>
    <mergeCell ref="S13:S15"/>
    <mergeCell ref="P13:P15"/>
    <mergeCell ref="Q9:Q12"/>
    <mergeCell ref="Q13:Q15"/>
    <mergeCell ref="R9:R12"/>
    <mergeCell ref="R13:R15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paperSize="17" scale="77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s="5" t="s">
        <v>48</v>
      </c>
    </row>
    <row r="2" ht="16.5">
      <c r="A2" s="1"/>
    </row>
    <row r="3" ht="16.5">
      <c r="A3" s="7" t="s">
        <v>49</v>
      </c>
    </row>
    <row r="4" ht="15.75">
      <c r="A4" s="7" t="s">
        <v>30</v>
      </c>
    </row>
    <row r="5" ht="15.75">
      <c r="A5" s="5"/>
    </row>
    <row r="6" ht="15.75">
      <c r="A6" s="66" t="s">
        <v>47</v>
      </c>
    </row>
    <row r="8" ht="15.75">
      <c r="A8" s="7" t="s">
        <v>36</v>
      </c>
    </row>
    <row r="9" ht="15.75">
      <c r="A9" s="7" t="s">
        <v>28</v>
      </c>
    </row>
    <row r="10" ht="15.75">
      <c r="A10" s="5"/>
    </row>
    <row r="11" ht="15.75">
      <c r="A11" s="7" t="s">
        <v>35</v>
      </c>
    </row>
    <row r="12" ht="15.75">
      <c r="A12" s="7" t="s">
        <v>10</v>
      </c>
    </row>
    <row r="13" ht="15.75">
      <c r="A13" s="5"/>
    </row>
    <row r="14" ht="15.75">
      <c r="A14" s="7" t="s">
        <v>15</v>
      </c>
    </row>
    <row r="15" ht="15.75">
      <c r="A15" s="66" t="s">
        <v>11</v>
      </c>
    </row>
  </sheetData>
  <hyperlinks>
    <hyperlink ref="A6" location="Data!A1" display="Back to data"/>
    <hyperlink ref="A15" r:id="rId1" display="http://www.fibersource.com/feb/feb1.htm"/>
  </hyperlinks>
  <printOptions/>
  <pageMargins left="0.75" right="0.75" top="1" bottom="1" header="0.5" footer="0.5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Cotton, Wool, and Manmade Fibers -- Consumption, by End-Use</dc:title>
  <dc:subject/>
  <dc:creator>US Census Bureau</dc:creator>
  <cp:keywords/>
  <dc:description/>
  <cp:lastModifiedBy>Bureau Of The Census</cp:lastModifiedBy>
  <cp:lastPrinted>2008-02-28T21:22:59Z</cp:lastPrinted>
  <dcterms:created xsi:type="dcterms:W3CDTF">2005-01-21T15:21:09Z</dcterms:created>
  <dcterms:modified xsi:type="dcterms:W3CDTF">2008-11-13T15:19:39Z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