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85" yWindow="825" windowWidth="19320" windowHeight="15480" tabRatio="848" activeTab="2"/>
  </bookViews>
  <sheets>
    <sheet name="Instructions" sheetId="1" r:id="rId1"/>
    <sheet name="EMWIN-LRIT" sheetId="2" r:id="rId2"/>
    <sheet name="GRB" sheetId="3" r:id="rId3"/>
    <sheet name="RAW" sheetId="4" r:id="rId4"/>
    <sheet name="SAR" sheetId="5" r:id="rId5"/>
    <sheet name="0.3kDCPR" sheetId="6" r:id="rId6"/>
    <sheet name="1.2kDCPR" sheetId="7" r:id="rId7"/>
    <sheet name=" DCPC" sheetId="8" r:id="rId8"/>
    <sheet name="CDA Telm" sheetId="9" r:id="rId9"/>
    <sheet name="CDA Command" sheetId="10" r:id="rId10"/>
    <sheet name="OR CMD" sheetId="11" r:id="rId11"/>
    <sheet name="OR TLM" sheetId="12" r:id="rId12"/>
  </sheets>
  <definedNames>
    <definedName name="_xlnm.Print_Area" localSheetId="9">'CDA Command'!$A$1:$K$37</definedName>
    <definedName name="_xlnm.Print_Area" localSheetId="10">'OR CMD'!$E$1:$G$39</definedName>
    <definedName name="_xlnm.Print_Area" localSheetId="4">'SAR'!$A$1:$G$43</definedName>
  </definedNames>
  <calcPr fullCalcOnLoad="1"/>
</workbook>
</file>

<file path=xl/comments10.xml><?xml version="1.0" encoding="utf-8"?>
<comments xmlns="http://schemas.openxmlformats.org/spreadsheetml/2006/main">
  <authors>
    <author>RAPETERS</author>
  </authors>
  <commentList>
    <comment ref="B24" authorId="0">
      <text>
        <r>
          <rPr>
            <b/>
            <sz val="8"/>
            <rFont val="Tahoma"/>
            <family val="0"/>
          </rPr>
          <t>increases system temperature and decreases gain.</t>
        </r>
        <r>
          <rPr>
            <sz val="8"/>
            <rFont val="Tahoma"/>
            <family val="0"/>
          </rPr>
          <t xml:space="preserve">
</t>
        </r>
      </text>
    </comment>
    <comment ref="B23" authorId="0">
      <text>
        <r>
          <rPr>
            <b/>
            <sz val="8"/>
            <rFont val="Tahoma"/>
            <family val="0"/>
          </rPr>
          <t>Decreases gain only</t>
        </r>
        <r>
          <rPr>
            <sz val="8"/>
            <rFont val="Tahoma"/>
            <family val="0"/>
          </rPr>
          <t xml:space="preserve">
</t>
        </r>
      </text>
    </comment>
  </commentList>
</comments>
</file>

<file path=xl/comments12.xml><?xml version="1.0" encoding="utf-8"?>
<comments xmlns="http://schemas.openxmlformats.org/spreadsheetml/2006/main">
  <authors>
    <author>epekelman</author>
  </authors>
  <commentList>
    <comment ref="F15" authorId="0">
      <text>
        <r>
          <rPr>
            <b/>
            <sz val="8"/>
            <rFont val="Tahoma"/>
            <family val="0"/>
          </rPr>
          <t>This must include the degradation of axial ratio when signal is received at large off axis angles.</t>
        </r>
        <r>
          <rPr>
            <sz val="8"/>
            <rFont val="Tahoma"/>
            <family val="0"/>
          </rPr>
          <t xml:space="preserve">
</t>
        </r>
      </text>
    </comment>
    <comment ref="J15" authorId="0">
      <text>
        <r>
          <rPr>
            <b/>
            <sz val="8"/>
            <rFont val="Tahoma"/>
            <family val="0"/>
          </rPr>
          <t>This must include the degradation of axial ratio when signal is received at large off axis angles.</t>
        </r>
        <r>
          <rPr>
            <sz val="8"/>
            <rFont val="Tahoma"/>
            <family val="0"/>
          </rPr>
          <t xml:space="preserve">
</t>
        </r>
      </text>
    </comment>
    <comment ref="B31" authorId="0">
      <text>
        <r>
          <rPr>
            <b/>
            <sz val="8"/>
            <rFont val="Tahoma"/>
            <family val="0"/>
          </rPr>
          <t>Values consistent with applicable documents referenced in 417-R-IRD0001 (Cl-C3S)</t>
        </r>
        <r>
          <rPr>
            <sz val="8"/>
            <rFont val="Tahoma"/>
            <family val="0"/>
          </rPr>
          <t xml:space="preserve">
</t>
        </r>
      </text>
    </comment>
    <comment ref="B40" authorId="0">
      <text>
        <r>
          <rPr>
            <b/>
            <sz val="8"/>
            <rFont val="Tahoma"/>
            <family val="0"/>
          </rPr>
          <t xml:space="preserve">with applicable documents referenced in 417-R-IRD0001 (Cl-C3S)
</t>
        </r>
      </text>
    </comment>
  </commentList>
</comments>
</file>

<file path=xl/comments3.xml><?xml version="1.0" encoding="utf-8"?>
<comments xmlns="http://schemas.openxmlformats.org/spreadsheetml/2006/main">
  <authors>
    <author>RAPETERS</author>
    <author>epekelman</author>
  </authors>
  <commentList>
    <comment ref="C35" authorId="0">
      <text>
        <r>
          <rPr>
            <b/>
            <sz val="8"/>
            <rFont val="Tahoma"/>
            <family val="0"/>
          </rPr>
          <t>Worst case antenna polarization is power added to environmental depolarization.</t>
        </r>
      </text>
    </comment>
    <comment ref="G25" authorId="0">
      <text>
        <r>
          <rPr>
            <b/>
            <sz val="8"/>
            <rFont val="Tahoma"/>
            <family val="0"/>
          </rPr>
          <t>Based on measurements of depolarization made through December 2007 at Wallops Is.</t>
        </r>
      </text>
    </comment>
    <comment ref="G34" authorId="0">
      <text>
        <r>
          <rPr>
            <b/>
            <sz val="8"/>
            <rFont val="Tahoma"/>
            <family val="0"/>
          </rPr>
          <t xml:space="preserve">Calculation assumes voltage addition of interfering polarization and atmospheric depolarization. </t>
        </r>
      </text>
    </comment>
    <comment ref="B35" authorId="1">
      <text>
        <r>
          <rPr>
            <b/>
            <sz val="8"/>
            <rFont val="Tahoma"/>
            <family val="0"/>
          </rPr>
          <t>I is the interferrence from uplink polarization over full bandwidth</t>
        </r>
        <r>
          <rPr>
            <sz val="8"/>
            <rFont val="Tahoma"/>
            <family val="0"/>
          </rPr>
          <t xml:space="preserve">
</t>
        </r>
      </text>
    </comment>
    <comment ref="F34" authorId="1">
      <text>
        <r>
          <rPr>
            <b/>
            <sz val="8"/>
            <rFont val="Tahoma"/>
            <family val="0"/>
          </rPr>
          <t>I is the interferrence in the downlink over the total bandwidth</t>
        </r>
        <r>
          <rPr>
            <sz val="8"/>
            <rFont val="Tahoma"/>
            <family val="0"/>
          </rPr>
          <t xml:space="preserve">
</t>
        </r>
      </text>
    </comment>
  </commentList>
</comments>
</file>

<file path=xl/comments5.xml><?xml version="1.0" encoding="utf-8"?>
<comments xmlns="http://schemas.openxmlformats.org/spreadsheetml/2006/main">
  <authors>
    <author>RAPETERS</author>
  </authors>
  <commentList>
    <comment ref="G30" authorId="0">
      <text>
        <r>
          <rPr>
            <b/>
            <sz val="8"/>
            <rFont val="Tahoma"/>
            <family val="0"/>
          </rPr>
          <t>No PFD requirement on SAR.  Assumes 1 carrier per 4 kHz.</t>
        </r>
        <r>
          <rPr>
            <sz val="8"/>
            <rFont val="Tahoma"/>
            <family val="0"/>
          </rPr>
          <t xml:space="preserve">
</t>
        </r>
      </text>
    </comment>
  </commentList>
</comments>
</file>

<file path=xl/comments6.xml><?xml version="1.0" encoding="utf-8"?>
<comments xmlns="http://schemas.openxmlformats.org/spreadsheetml/2006/main">
  <authors>
    <author>RAPETERS</author>
  </authors>
  <commentList>
    <comment ref="G30" authorId="0">
      <text>
        <r>
          <rPr>
            <b/>
            <sz val="8"/>
            <rFont val="Tahoma"/>
            <family val="0"/>
          </rPr>
          <t>3 carriers in 4 kHz, each 43 dBm</t>
        </r>
      </text>
    </comment>
  </commentList>
</comments>
</file>

<file path=xl/comments7.xml><?xml version="1.0" encoding="utf-8"?>
<comments xmlns="http://schemas.openxmlformats.org/spreadsheetml/2006/main">
  <authors>
    <author>RAPETERS</author>
  </authors>
  <commentList>
    <comment ref="G20" authorId="0">
      <text>
        <r>
          <rPr>
            <sz val="8"/>
            <rFont val="Tahoma"/>
            <family val="0"/>
          </rPr>
          <t>Uplink power assumed to be spread out over center to center spacing of 250 channels over400 kHz or 1600 Hz seperation.  To get "average" signal power over transponder bandwidth to use in NPR calculation devide by 1600Hz.  The average carrier is 43-41= 2  dB below that in cell  G18</t>
        </r>
      </text>
    </comment>
    <comment ref="G30" authorId="0">
      <text>
        <r>
          <rPr>
            <b/>
            <sz val="8"/>
            <rFont val="Tahoma"/>
            <family val="0"/>
          </rPr>
          <t>3 carriers in 4 kHz, each 43 dBm</t>
        </r>
      </text>
    </comment>
  </commentList>
</comments>
</file>

<file path=xl/comments9.xml><?xml version="1.0" encoding="utf-8"?>
<comments xmlns="http://schemas.openxmlformats.org/spreadsheetml/2006/main">
  <authors>
    <author>epekelman</author>
  </authors>
  <commentList>
    <comment ref="J16" authorId="0">
      <text>
        <r>
          <rPr>
            <b/>
            <sz val="8"/>
            <rFont val="Tahoma"/>
            <family val="0"/>
          </rPr>
          <t>This must include the degradation of axial ratio when signal is received at large off axis angles.</t>
        </r>
        <r>
          <rPr>
            <sz val="8"/>
            <rFont val="Tahoma"/>
            <family val="0"/>
          </rPr>
          <t xml:space="preserve">
</t>
        </r>
      </text>
    </comment>
  </commentList>
</comments>
</file>

<file path=xl/sharedStrings.xml><?xml version="1.0" encoding="utf-8"?>
<sst xmlns="http://schemas.openxmlformats.org/spreadsheetml/2006/main" count="932" uniqueCount="223">
  <si>
    <t>Data rate/polarization (kbps)</t>
  </si>
  <si>
    <t xml:space="preserve">Theoretical Eb/No (includes integration gain) (dB) </t>
  </si>
  <si>
    <t>Power sharing with other carriers</t>
  </si>
  <si>
    <t xml:space="preserve">EIRP/carrier (includes pol and pointing loss) (dBm) </t>
  </si>
  <si>
    <t>Carrier power robbing due to noise (dB)</t>
  </si>
  <si>
    <t>Power sharing 37 dBm to 249 other carriers (dB)</t>
  </si>
  <si>
    <t xml:space="preserve">Net EOC EIRP per carrier (dBm) </t>
  </si>
  <si>
    <t>Antenna to LNA non-ohmic losses (couplers)  (dB)</t>
  </si>
  <si>
    <t>Antenna to LNA non-ohmic losses (couplers) (dB)</t>
  </si>
  <si>
    <t>All ohmic and non-ohmic (coupler) losses (dB)</t>
  </si>
  <si>
    <t>Antenna to LNA non-ohmic losses (couplers)</t>
  </si>
  <si>
    <t>Margin (2 dB required)</t>
  </si>
  <si>
    <t>Margin (0.5 dB required)</t>
  </si>
  <si>
    <t>Margin (0.5 dB required) (dB)</t>
  </si>
  <si>
    <t xml:space="preserve">CDAS Transmit </t>
  </si>
  <si>
    <t>Ranging  Loss (dB)</t>
  </si>
  <si>
    <t>Telemetry for Simultaneous Telemetry and Ranging</t>
  </si>
  <si>
    <t>Ranging for Simultaneous Telemetry and Ranging</t>
  </si>
  <si>
    <t>Telemetry C/No (dB-Hz)</t>
  </si>
  <si>
    <t>Telemetry During Simultaneous Telemetry and Ranging</t>
  </si>
  <si>
    <t>Ranging During Simultaneous Telemetry and Ranging</t>
  </si>
  <si>
    <t>Downlink C/No Ranging Tone (dB-Hz)</t>
  </si>
  <si>
    <t>Telemetry only</t>
  </si>
  <si>
    <t>Ranging only</t>
  </si>
  <si>
    <t>Telemetry Modulation Loss (dB)</t>
  </si>
  <si>
    <t xml:space="preserve">  Antenna combing loss (dB)</t>
  </si>
  <si>
    <t>Margin (6 dB Required) (dB)</t>
  </si>
  <si>
    <t>Margin (3 dB Required)  (dB)</t>
  </si>
  <si>
    <t xml:space="preserve">  Antenna combing loss  (dB)</t>
  </si>
  <si>
    <t xml:space="preserve">  Pointing and polarization losses  (dB)</t>
  </si>
  <si>
    <t>Margin (2 dB Required) (dB)</t>
  </si>
  <si>
    <t>Modulation loss (dB)</t>
  </si>
  <si>
    <t>Margin (6 dB required) (dB)</t>
  </si>
  <si>
    <t>Antenna to LNA non-ohnic losses (couplers)  (dB)</t>
  </si>
  <si>
    <t>Command subcarrier (rad)</t>
  </si>
  <si>
    <t>Uplink Ranging tone (rad)</t>
  </si>
  <si>
    <t>± 0.05</t>
  </si>
  <si>
    <t>± 0.02</t>
  </si>
  <si>
    <t>Uplink Mod Index set accuracy (rad)</t>
  </si>
  <si>
    <t>Ranging and Command Modulation Loss (dB)</t>
  </si>
  <si>
    <t>Ranging and Telemetry Modulation Loss (dB)</t>
  </si>
  <si>
    <t>Uplink Ranging Tone C/No (dB-Hz)</t>
  </si>
  <si>
    <t>Uplink Ranging C/No (dB-Hz)</t>
  </si>
  <si>
    <t>Required Ranging C/No (dB-Hz)</t>
  </si>
  <si>
    <t>Margin (dB-Hz)</t>
  </si>
  <si>
    <t>Downlink Ranging Tone (dB-Hz)</t>
  </si>
  <si>
    <t>Power sharing 43 dBm to 249 other carriers (dB)</t>
  </si>
  <si>
    <t>C/N for 250 carriers in 400 kHz BW (dB/400kHz)</t>
  </si>
  <si>
    <t>C/N for single carrier in 100 kHz BW (dB-100kHz)</t>
  </si>
  <si>
    <t xml:space="preserve">I uplink polarization interference (dB) </t>
  </si>
  <si>
    <t>I downlink polarization interference (dB)</t>
  </si>
  <si>
    <t>Storage/Contingency Operations Down link 4 kbps</t>
  </si>
  <si>
    <t>Spacecraft Receive</t>
  </si>
  <si>
    <t>CDAS Receive</t>
  </si>
  <si>
    <t>C/No for 43 dBm carrier (dB-Hz)</t>
  </si>
  <si>
    <t>C/No for 37 dBm carrier (dB-Hz)</t>
  </si>
  <si>
    <t xml:space="preserve">EIRP (dBm) </t>
  </si>
  <si>
    <t xml:space="preserve">EIRP includes pol and pointing loss (dBm) </t>
  </si>
  <si>
    <t xml:space="preserve">Net EIRP (dBm) </t>
  </si>
  <si>
    <t xml:space="preserve">EIRP/carrier includes pointing and polarization loss (dBm) </t>
  </si>
  <si>
    <t xml:space="preserve">EOC EIRP (dBm) </t>
  </si>
  <si>
    <t>1.2 kbps DCPR @ 43 dBm as part of 250 carriers with an average power of 41 dBm</t>
  </si>
  <si>
    <t>Number simultaneous 41 dBm carriers</t>
  </si>
  <si>
    <t>Number of 43 dBm carriers</t>
  </si>
  <si>
    <t xml:space="preserve">EIRP/1.2kbps carrier (dBm) </t>
  </si>
  <si>
    <t>Total EIRP for 250 carriers@41dBm average (dBm)</t>
  </si>
  <si>
    <t xml:space="preserve">EOC EIRP all carriers (dBm) </t>
  </si>
  <si>
    <t>Net EOC EIRP for 43 dBm Carrier (dBm)</t>
  </si>
  <si>
    <t>0.3 kbps DCPR @ 37 dBm with 250 carriers at 41 dBm</t>
  </si>
  <si>
    <t>Number of 37 dBm carriers</t>
  </si>
  <si>
    <t xml:space="preserve">EIRP*/0.3kbps carrier (dBm) </t>
  </si>
  <si>
    <t>Net EOC EIRP for 37 dBm Carrier (dBm)</t>
  </si>
  <si>
    <t>Total EIRP (dBm)</t>
  </si>
  <si>
    <t xml:space="preserve">NET EOC EIRP/carrier (dBm) </t>
  </si>
  <si>
    <t xml:space="preserve">EIRP/polarization includes pol and pointing loss (dBm) </t>
  </si>
  <si>
    <t>CDAS Transmit (per polarization)</t>
  </si>
  <si>
    <t xml:space="preserve">EOC EIRP (per Polarization) (dBm) </t>
  </si>
  <si>
    <t>Saturated Tx HPA Power/polarization (W)</t>
  </si>
  <si>
    <t>Delivered HPA Power/polarization (dBW)</t>
  </si>
  <si>
    <t>GOES-RAW</t>
  </si>
  <si>
    <t>Command (0.5&lt;MI&lt;1.3 rad. Pk.) M.I.=</t>
  </si>
  <si>
    <t>Ranging tone M.I. (0.4&lt;MI&lt;0.8 rad. Pk.)</t>
  </si>
  <si>
    <t>Telemetry M.I. (0.7&lt;MI&lt;1.3) =</t>
  </si>
  <si>
    <t>Ranging tone M.I. (MI&gt;0.3 rad) =</t>
  </si>
  <si>
    <t>C/Io (dB-Hz)</t>
  </si>
  <si>
    <t>Values from or derived from the IRD</t>
  </si>
  <si>
    <t>Uplink C/N (dB-Hz)</t>
  </si>
  <si>
    <t>Space Craft Transmit (per polarization)</t>
  </si>
  <si>
    <t>Net antenna EOC gain</t>
  </si>
  <si>
    <t xml:space="preserve">  EOC losses (dB)</t>
  </si>
  <si>
    <t>Net antenna EOC gain (dBi)</t>
  </si>
  <si>
    <t xml:space="preserve">  Antenna EOC loss</t>
  </si>
  <si>
    <t>GOES-R EMWIN/LRIT</t>
  </si>
  <si>
    <t>Pointing loss to DSN (dB)</t>
  </si>
  <si>
    <t>Downlink C/No (dB-Hz) excluding NPR</t>
  </si>
  <si>
    <t>Payload Module Noise Temp (K)</t>
  </si>
  <si>
    <t>Payload NF including passive loss (dB)</t>
  </si>
  <si>
    <t>C/No 250 carriers (dB-Hz)</t>
  </si>
  <si>
    <t>Symbol Transmit Rate/polarization (ksps)</t>
  </si>
  <si>
    <t>S/C pointing loss to CDAS (dB)</t>
  </si>
  <si>
    <t>Antenna to LNA non-ohnic losses (couplers)</t>
  </si>
  <si>
    <t>IRD</t>
  </si>
  <si>
    <t>Allocated bandwidth (kHz)</t>
  </si>
  <si>
    <t>Output power back-off (dB)</t>
  </si>
  <si>
    <t>RF Power (dBm)</t>
  </si>
  <si>
    <t>Payload NF including ohmic loss (dB)</t>
  </si>
  <si>
    <t>Ant to LNA ohmic loss (dB)</t>
  </si>
  <si>
    <t>Ant to LNA ohmic Loss (dB)</t>
  </si>
  <si>
    <r>
      <t xml:space="preserve">Payload NF </t>
    </r>
    <r>
      <rPr>
        <b/>
        <sz val="10"/>
        <rFont val="Arial"/>
        <family val="2"/>
      </rPr>
      <t>including</t>
    </r>
    <r>
      <rPr>
        <sz val="10"/>
        <rFont val="Arial"/>
        <family val="0"/>
      </rPr>
      <t xml:space="preserve"> ohmic loss (dB)</t>
    </r>
  </si>
  <si>
    <t>System temp (deg-K)</t>
  </si>
  <si>
    <t>On Station Operational</t>
  </si>
  <si>
    <t>Output Power Back-off (dB)</t>
  </si>
  <si>
    <t>Ohmic and non-ohmic Loss (dB)</t>
  </si>
  <si>
    <t>Net Power (dBW)</t>
  </si>
  <si>
    <t>Commanding Only</t>
  </si>
  <si>
    <t>Ranging and Commanding</t>
  </si>
  <si>
    <t>Ranging and Command Modulation Loss</t>
  </si>
  <si>
    <t>Orbit Raising Telemetry and Ranging</t>
  </si>
  <si>
    <t>Orbit Raising Link Commanding and Ranging</t>
  </si>
  <si>
    <t>Uplink C/(No+Io)  (dB-Hz)</t>
  </si>
  <si>
    <t>Downlink C/(No+Io) (dB-Hz)</t>
  </si>
  <si>
    <t>Antenna Isolation (dB)</t>
  </si>
  <si>
    <t>Environmental Depolarization (dB)</t>
  </si>
  <si>
    <t>Antenna Polarization Isolation (dB)</t>
  </si>
  <si>
    <t>Uplink Margin (dB)</t>
  </si>
  <si>
    <t>Total data rate (kbps)</t>
  </si>
  <si>
    <t>Payload Module Noise Temperature (deg K)</t>
  </si>
  <si>
    <t>Antenna Polarization Isolation dB)</t>
  </si>
  <si>
    <t xml:space="preserve">  less pointing and polarization loss dB)</t>
  </si>
  <si>
    <t>Avail Eb/No (dB)</t>
  </si>
  <si>
    <t>Margin (2.5 dB required) (dB)</t>
  </si>
  <si>
    <t xml:space="preserve">  less pointing and polarization loss (dB)</t>
  </si>
  <si>
    <t>Margin (2.0 dB required) (dB)</t>
  </si>
  <si>
    <t xml:space="preserve">  Pointing and polarization losses (dB)</t>
  </si>
  <si>
    <t>Available Eb/No (dB)</t>
  </si>
  <si>
    <t>Margin (3 dB required) (dB)</t>
  </si>
  <si>
    <t>Polarization losses (dB)</t>
  </si>
  <si>
    <t>PFD w/noise correction  (dBW/m2/4kHz)</t>
  </si>
  <si>
    <t>S/C pointing loss (dB)</t>
  </si>
  <si>
    <t>Margin (2 dB required) (dB)</t>
  </si>
  <si>
    <t>Required Eb/No (including receive implementation) (dB)</t>
  </si>
  <si>
    <t>Passive Loss (dB)</t>
  </si>
  <si>
    <t xml:space="preserve"> </t>
  </si>
  <si>
    <t>Altitude (km)</t>
  </si>
  <si>
    <t>Ground elev. angle (deg)</t>
  </si>
  <si>
    <t>Range (km)</t>
  </si>
  <si>
    <t>Space loss (dB)</t>
  </si>
  <si>
    <t>Polarization loss (dB)</t>
  </si>
  <si>
    <t>Pointing loss (dB)</t>
  </si>
  <si>
    <t>Antenna efficiency (%)</t>
  </si>
  <si>
    <t>System G/T (dB/K)</t>
  </si>
  <si>
    <t>C/No (dB-Hz)</t>
  </si>
  <si>
    <t>Implementation loss (dB)</t>
  </si>
  <si>
    <t>SC Antenna beamwidth (deg)</t>
  </si>
  <si>
    <t>Transmit Antenna size (m)</t>
  </si>
  <si>
    <t>Output power backoff (dB)</t>
  </si>
  <si>
    <t>Antenna gain (dBi)</t>
  </si>
  <si>
    <t>Space Craft Transmit</t>
  </si>
  <si>
    <t>Downlink</t>
  </si>
  <si>
    <t>All Atmospheric Losses (dB)</t>
  </si>
  <si>
    <t>Avail Eb/No</t>
  </si>
  <si>
    <t>Receive antenna size (m)</t>
  </si>
  <si>
    <t>Antenna gain (dB)</t>
  </si>
  <si>
    <t>Antenna beamwidth (deg)</t>
  </si>
  <si>
    <t>Ant to LNA Passive Loss (dB)</t>
  </si>
  <si>
    <t>System temp (deg K)</t>
  </si>
  <si>
    <t>System temp (dB-K)</t>
  </si>
  <si>
    <t>Downlink C/No (dB-Hz)</t>
  </si>
  <si>
    <t>Uplink C/No (dB-Hz)</t>
  </si>
  <si>
    <t>Total Link C/No (dB-Hz)</t>
  </si>
  <si>
    <t>CDAS Transmit</t>
  </si>
  <si>
    <t>Uplink</t>
  </si>
  <si>
    <t>Ground  Receive</t>
  </si>
  <si>
    <t>Pointing loss CDAS, backup CDAS (dB)</t>
  </si>
  <si>
    <t>Freq. (MHz)</t>
  </si>
  <si>
    <t>UPLINK</t>
  </si>
  <si>
    <t>DOWNLINK</t>
  </si>
  <si>
    <t>Saturated Tx HPA Power (W)</t>
  </si>
  <si>
    <t>Delivered HPA Power (dBW)</t>
  </si>
  <si>
    <t>Symbol Transmit Rate(ksps)</t>
  </si>
  <si>
    <t>GOES-GRB</t>
  </si>
  <si>
    <t>GOES-SAR</t>
  </si>
  <si>
    <t>GOES-DCPC</t>
  </si>
  <si>
    <t>Number simultaneous carriers</t>
  </si>
  <si>
    <t>Data rate (kbps)</t>
  </si>
  <si>
    <t>Number Simultaneous carriers</t>
  </si>
  <si>
    <t>Chip Rate kHz</t>
  </si>
  <si>
    <t>Down link</t>
  </si>
  <si>
    <t>Spacecraft Transmit</t>
  </si>
  <si>
    <t xml:space="preserve">UPLINK </t>
  </si>
  <si>
    <t>Normal Operations Down link 4 kbps</t>
  </si>
  <si>
    <t>Normal Operations Down link 32 kbps</t>
  </si>
  <si>
    <t>Operational UPLINK 64 kbps</t>
  </si>
  <si>
    <t>Operational UPLINK 4 kbps</t>
  </si>
  <si>
    <t>Satellite Degradations (dB)</t>
  </si>
  <si>
    <t>Symbol Transmit Rate (ksps)</t>
  </si>
  <si>
    <t>Theoretical Eb/No (dB)</t>
  </si>
  <si>
    <t>PFD (dBW/m2/4kHz)</t>
  </si>
  <si>
    <t>Theoretical Eb/No</t>
  </si>
  <si>
    <t>C/No per carrier (dB-Hz)</t>
  </si>
  <si>
    <t>C/N per carrier (dB-44.45kHz)</t>
  </si>
  <si>
    <t>R-S(255,223)</t>
  </si>
  <si>
    <t>Downlink C/No (dB-Hz) including NPR</t>
  </si>
  <si>
    <t>NPR (dB)</t>
  </si>
  <si>
    <t>Ground implementation loss (dB)</t>
  </si>
  <si>
    <t>to be filled in by contractor</t>
  </si>
  <si>
    <t>filled in by spreadsheet</t>
  </si>
  <si>
    <t>Legend</t>
  </si>
  <si>
    <t>Coded Symbol Transmit Rate (ksps)</t>
  </si>
  <si>
    <t>Orbit Raising</t>
  </si>
  <si>
    <t>Saturated HPA Power (W)</t>
  </si>
  <si>
    <t xml:space="preserve">Freq. (MHz)  </t>
  </si>
  <si>
    <t>Antenna temp (K)</t>
  </si>
  <si>
    <t>Satellite degradations (dB)</t>
  </si>
  <si>
    <t>Ground interference</t>
  </si>
  <si>
    <t>PFD (dBW/m2/4kHz/Polarization)</t>
  </si>
  <si>
    <t>EOC losses (dB)</t>
  </si>
  <si>
    <t xml:space="preserve">On Station Storage/Contingency </t>
  </si>
  <si>
    <t xml:space="preserve"> Storage/Contingency UPLINK 1 kbps</t>
  </si>
  <si>
    <t>CDA Telemetry</t>
  </si>
  <si>
    <t>Modulation Loss (dB)</t>
  </si>
  <si>
    <t>Implementation (dB)</t>
  </si>
  <si>
    <t>Modulation Loss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</si>
</sst>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000E+00"/>
    <numFmt numFmtId="171" formatCode="0.000E+00"/>
    <numFmt numFmtId="172" formatCode="0.00000000"/>
    <numFmt numFmtId="173" formatCode="&quot;Yes&quot;;&quot;Yes&quot;;&quot;No&quot;"/>
    <numFmt numFmtId="174" formatCode="&quot;True&quot;;&quot;True&quot;;&quot;False&quot;"/>
    <numFmt numFmtId="175" formatCode="&quot;On&quot;;&quot;On&quot;;&quot;Off&quot;"/>
    <numFmt numFmtId="176" formatCode="[$€-2]\ #,##0.00_);[Red]\([$€-2]\ #,##0.00\)"/>
    <numFmt numFmtId="177" formatCode="#,##0.0"/>
  </numFmts>
  <fonts count="13">
    <font>
      <sz val="10"/>
      <name val="Arial"/>
      <family val="0"/>
    </font>
    <font>
      <b/>
      <sz val="10"/>
      <name val="Geneva"/>
      <family val="0"/>
    </font>
    <font>
      <sz val="10"/>
      <color indexed="10"/>
      <name val="Arial"/>
      <family val="2"/>
    </font>
    <font>
      <u val="single"/>
      <sz val="10"/>
      <color indexed="20"/>
      <name val="Arial"/>
      <family val="0"/>
    </font>
    <font>
      <u val="single"/>
      <sz val="10"/>
      <color indexed="12"/>
      <name val="Arial"/>
      <family val="0"/>
    </font>
    <font>
      <b/>
      <sz val="10"/>
      <name val="Arial"/>
      <family val="2"/>
    </font>
    <font>
      <b/>
      <sz val="10"/>
      <color indexed="10"/>
      <name val="Arial"/>
      <family val="2"/>
    </font>
    <font>
      <sz val="8"/>
      <name val="Arial"/>
      <family val="0"/>
    </font>
    <font>
      <sz val="10"/>
      <color indexed="8"/>
      <name val="Arial"/>
      <family val="0"/>
    </font>
    <font>
      <sz val="16"/>
      <name val="Arial"/>
      <family val="2"/>
    </font>
    <font>
      <sz val="8"/>
      <name val="Tahoma"/>
      <family val="0"/>
    </font>
    <font>
      <b/>
      <sz val="8"/>
      <name val="Tahoma"/>
      <family val="0"/>
    </font>
    <font>
      <b/>
      <sz val="8"/>
      <name val="Arial"/>
      <family val="2"/>
    </font>
  </fonts>
  <fills count="4">
    <fill>
      <patternFill/>
    </fill>
    <fill>
      <patternFill patternType="gray125"/>
    </fill>
    <fill>
      <patternFill patternType="solid">
        <fgColor indexed="47"/>
        <bgColor indexed="64"/>
      </patternFill>
    </fill>
    <fill>
      <patternFill patternType="solid">
        <fgColor indexed="42"/>
        <bgColor indexed="64"/>
      </patternFill>
    </fill>
  </fills>
  <borders count="12">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0" fillId="0" borderId="0" xfId="0" applyFill="1" applyAlignment="1">
      <alignment horizontal="left" readingOrder="1"/>
    </xf>
    <xf numFmtId="0" fontId="0" fillId="0" borderId="0" xfId="0" applyFill="1" applyAlignment="1">
      <alignment readingOrder="1"/>
    </xf>
    <xf numFmtId="0" fontId="2" fillId="0" borderId="0" xfId="0" applyFont="1" applyFill="1" applyAlignment="1">
      <alignment readingOrder="1"/>
    </xf>
    <xf numFmtId="0" fontId="0" fillId="0" borderId="0" xfId="0" applyFill="1" applyAlignment="1">
      <alignment horizontal="right" readingOrder="1"/>
    </xf>
    <xf numFmtId="0" fontId="0" fillId="0" borderId="0" xfId="0" applyFill="1" applyAlignment="1">
      <alignment horizontal="center" readingOrder="1"/>
    </xf>
    <xf numFmtId="2" fontId="0" fillId="0" borderId="0" xfId="0" applyNumberFormat="1" applyFill="1" applyAlignment="1">
      <alignment readingOrder="1"/>
    </xf>
    <xf numFmtId="0" fontId="0" fillId="0" borderId="0" xfId="0" applyFill="1" applyAlignment="1" quotePrefix="1">
      <alignment readingOrder="1"/>
    </xf>
    <xf numFmtId="0" fontId="2" fillId="0" borderId="0" xfId="0" applyFont="1" applyFill="1" applyAlignment="1">
      <alignment horizontal="center" readingOrder="1"/>
    </xf>
    <xf numFmtId="0" fontId="5" fillId="0" borderId="0" xfId="0" applyFont="1" applyFill="1" applyAlignment="1">
      <alignment readingOrder="1"/>
    </xf>
    <xf numFmtId="2" fontId="0" fillId="0" borderId="0" xfId="0" applyNumberFormat="1" applyFill="1" applyAlignment="1">
      <alignment horizontal="right" readingOrder="1"/>
    </xf>
    <xf numFmtId="1" fontId="0" fillId="0" borderId="0" xfId="0" applyNumberFormat="1" applyFill="1" applyAlignment="1">
      <alignment readingOrder="1"/>
    </xf>
    <xf numFmtId="2" fontId="0" fillId="0" borderId="0" xfId="0" applyNumberFormat="1" applyFill="1" applyAlignment="1">
      <alignment horizontal="left" readingOrder="1"/>
    </xf>
    <xf numFmtId="2" fontId="0" fillId="0" borderId="0" xfId="0" applyNumberFormat="1" applyFont="1" applyFill="1" applyAlignment="1">
      <alignment horizontal="right" readingOrder="1"/>
    </xf>
    <xf numFmtId="2" fontId="2" fillId="0" borderId="0" xfId="0" applyNumberFormat="1" applyFont="1" applyFill="1" applyAlignment="1">
      <alignment readingOrder="1"/>
    </xf>
    <xf numFmtId="2" fontId="5" fillId="0" borderId="0" xfId="0" applyNumberFormat="1" applyFont="1" applyFill="1" applyAlignment="1">
      <alignment readingOrder="1"/>
    </xf>
    <xf numFmtId="11" fontId="0" fillId="0" borderId="0" xfId="0" applyNumberFormat="1" applyFill="1" applyAlignment="1">
      <alignment horizontal="left" readingOrder="1"/>
    </xf>
    <xf numFmtId="0" fontId="6" fillId="0" borderId="0" xfId="0" applyFont="1" applyFill="1" applyAlignment="1">
      <alignment horizontal="left" readingOrder="1"/>
    </xf>
    <xf numFmtId="0" fontId="0" fillId="0" borderId="0" xfId="0" applyFont="1" applyFill="1" applyAlignment="1">
      <alignment readingOrder="1"/>
    </xf>
    <xf numFmtId="164" fontId="0" fillId="0" borderId="0" xfId="0" applyNumberFormat="1" applyFill="1" applyAlignment="1">
      <alignment readingOrder="1"/>
    </xf>
    <xf numFmtId="2" fontId="0" fillId="0" borderId="0" xfId="0" applyNumberFormat="1" applyFont="1" applyFill="1" applyAlignment="1">
      <alignment readingOrder="1"/>
    </xf>
    <xf numFmtId="2" fontId="0" fillId="0" borderId="0" xfId="0" applyNumberFormat="1" applyAlignment="1">
      <alignment/>
    </xf>
    <xf numFmtId="0" fontId="0" fillId="0" borderId="0" xfId="0" applyFill="1" applyAlignment="1">
      <alignment/>
    </xf>
    <xf numFmtId="0" fontId="0" fillId="0" borderId="0" xfId="0" applyFont="1" applyFill="1" applyAlignment="1">
      <alignment readingOrder="1"/>
    </xf>
    <xf numFmtId="0" fontId="0" fillId="0" borderId="0" xfId="0" applyFont="1" applyAlignment="1">
      <alignment/>
    </xf>
    <xf numFmtId="2" fontId="0" fillId="0" borderId="0" xfId="0" applyNumberFormat="1" applyFont="1" applyFill="1" applyAlignment="1">
      <alignment readingOrder="1"/>
    </xf>
    <xf numFmtId="0" fontId="0" fillId="0" borderId="0" xfId="0" applyFont="1" applyFill="1" applyAlignment="1" quotePrefix="1">
      <alignment readingOrder="1"/>
    </xf>
    <xf numFmtId="0" fontId="0" fillId="0" borderId="0" xfId="0" applyFont="1" applyFill="1" applyAlignment="1">
      <alignment horizontal="left" readingOrder="1"/>
    </xf>
    <xf numFmtId="0" fontId="0" fillId="0" borderId="0" xfId="0" applyFont="1" applyFill="1" applyAlignment="1">
      <alignment horizontal="center" readingOrder="1"/>
    </xf>
    <xf numFmtId="11" fontId="0" fillId="0" borderId="0" xfId="0" applyNumberFormat="1" applyFont="1" applyFill="1" applyAlignment="1">
      <alignment horizontal="left" readingOrder="1"/>
    </xf>
    <xf numFmtId="0" fontId="1" fillId="0" borderId="1" xfId="0" applyFont="1" applyFill="1" applyBorder="1" applyAlignment="1">
      <alignment readingOrder="1"/>
    </xf>
    <xf numFmtId="0" fontId="0" fillId="0" borderId="1" xfId="0" applyFill="1" applyBorder="1" applyAlignment="1">
      <alignment readingOrder="1"/>
    </xf>
    <xf numFmtId="0" fontId="5" fillId="0" borderId="1" xfId="0" applyFont="1" applyFill="1" applyBorder="1" applyAlignment="1">
      <alignment horizontal="center" readingOrder="1"/>
    </xf>
    <xf numFmtId="0" fontId="5" fillId="0" borderId="1" xfId="0" applyFont="1" applyFill="1" applyBorder="1" applyAlignment="1">
      <alignment horizontal="left" readingOrder="1"/>
    </xf>
    <xf numFmtId="0" fontId="5" fillId="0" borderId="1" xfId="0" applyFont="1" applyFill="1" applyBorder="1" applyAlignment="1">
      <alignment readingOrder="1"/>
    </xf>
    <xf numFmtId="0" fontId="0" fillId="0" borderId="1" xfId="0" applyFill="1" applyBorder="1" applyAlignment="1">
      <alignment horizontal="center" readingOrder="1"/>
    </xf>
    <xf numFmtId="0" fontId="0" fillId="2" borderId="1" xfId="0" applyFill="1" applyBorder="1" applyAlignment="1">
      <alignment readingOrder="1"/>
    </xf>
    <xf numFmtId="1" fontId="0" fillId="0" borderId="1" xfId="0" applyNumberFormat="1" applyFill="1" applyBorder="1" applyAlignment="1">
      <alignment readingOrder="1"/>
    </xf>
    <xf numFmtId="164" fontId="0" fillId="2" borderId="1" xfId="0" applyNumberFormat="1" applyFill="1" applyBorder="1" applyAlignment="1">
      <alignment readingOrder="1"/>
    </xf>
    <xf numFmtId="2" fontId="0" fillId="0" borderId="1" xfId="0" applyNumberFormat="1" applyFill="1" applyBorder="1" applyAlignment="1">
      <alignment readingOrder="1"/>
    </xf>
    <xf numFmtId="2" fontId="0" fillId="2" borderId="1" xfId="0" applyNumberFormat="1" applyFill="1" applyBorder="1" applyAlignment="1">
      <alignment readingOrder="1"/>
    </xf>
    <xf numFmtId="0" fontId="0" fillId="0" borderId="1" xfId="0" applyFill="1" applyBorder="1" applyAlignment="1" quotePrefix="1">
      <alignment readingOrder="1"/>
    </xf>
    <xf numFmtId="2" fontId="0" fillId="0" borderId="1" xfId="0" applyNumberFormat="1" applyFill="1" applyBorder="1" applyAlignment="1">
      <alignment horizontal="right" readingOrder="1"/>
    </xf>
    <xf numFmtId="0" fontId="0" fillId="0" borderId="1" xfId="0" applyFill="1" applyBorder="1" applyAlignment="1">
      <alignment horizontal="left" readingOrder="1"/>
    </xf>
    <xf numFmtId="0" fontId="6" fillId="0" borderId="1" xfId="0" applyFont="1" applyFill="1" applyBorder="1" applyAlignment="1">
      <alignment horizontal="left" readingOrder="1"/>
    </xf>
    <xf numFmtId="2" fontId="1" fillId="0" borderId="1" xfId="0" applyNumberFormat="1" applyFont="1" applyFill="1" applyBorder="1" applyAlignment="1">
      <alignment readingOrder="1"/>
    </xf>
    <xf numFmtId="2" fontId="0" fillId="0" borderId="1" xfId="0" applyNumberFormat="1" applyFill="1" applyBorder="1" applyAlignment="1">
      <alignment horizontal="left" readingOrder="1"/>
    </xf>
    <xf numFmtId="0" fontId="0" fillId="0" borderId="1" xfId="0" applyFill="1" applyBorder="1" applyAlignment="1">
      <alignment horizontal="right" readingOrder="1"/>
    </xf>
    <xf numFmtId="2" fontId="0" fillId="2" borderId="1" xfId="0" applyNumberFormat="1" applyFill="1" applyBorder="1" applyAlignment="1">
      <alignment horizontal="right" readingOrder="1"/>
    </xf>
    <xf numFmtId="2" fontId="0" fillId="0" borderId="1" xfId="0" applyNumberFormat="1" applyFont="1" applyFill="1" applyBorder="1" applyAlignment="1">
      <alignment horizontal="right" readingOrder="1"/>
    </xf>
    <xf numFmtId="0" fontId="2" fillId="0" borderId="1" xfId="0" applyFont="1" applyFill="1" applyBorder="1" applyAlignment="1">
      <alignment horizontal="center" readingOrder="1"/>
    </xf>
    <xf numFmtId="0" fontId="0" fillId="0" borderId="1" xfId="0" applyFont="1" applyFill="1" applyBorder="1" applyAlignment="1">
      <alignment readingOrder="1"/>
    </xf>
    <xf numFmtId="2" fontId="2" fillId="0" borderId="1" xfId="0" applyNumberFormat="1" applyFont="1" applyFill="1" applyBorder="1" applyAlignment="1">
      <alignment readingOrder="1"/>
    </xf>
    <xf numFmtId="2" fontId="0" fillId="2" borderId="1" xfId="0" applyNumberFormat="1" applyFont="1" applyFill="1" applyBorder="1" applyAlignment="1">
      <alignment readingOrder="1"/>
    </xf>
    <xf numFmtId="0" fontId="0" fillId="2" borderId="1" xfId="0" applyFont="1" applyFill="1" applyBorder="1" applyAlignment="1">
      <alignment readingOrder="1"/>
    </xf>
    <xf numFmtId="11" fontId="0" fillId="0" borderId="1" xfId="0" applyNumberFormat="1" applyFill="1" applyBorder="1" applyAlignment="1">
      <alignment horizontal="left" readingOrder="1"/>
    </xf>
    <xf numFmtId="0" fontId="0" fillId="0" borderId="1" xfId="0" applyBorder="1" applyAlignment="1">
      <alignment/>
    </xf>
    <xf numFmtId="0" fontId="8" fillId="0" borderId="1" xfId="0" applyFont="1" applyFill="1" applyBorder="1" applyAlignment="1">
      <alignment readingOrder="1"/>
    </xf>
    <xf numFmtId="0" fontId="0" fillId="2" borderId="1" xfId="0" applyFill="1" applyBorder="1" applyAlignment="1">
      <alignment horizontal="left" readingOrder="1"/>
    </xf>
    <xf numFmtId="0" fontId="0" fillId="3" borderId="1" xfId="0" applyFill="1" applyBorder="1" applyAlignment="1">
      <alignment readingOrder="1"/>
    </xf>
    <xf numFmtId="2" fontId="0" fillId="3" borderId="1" xfId="0" applyNumberFormat="1" applyFill="1" applyBorder="1" applyAlignment="1">
      <alignment readingOrder="1"/>
    </xf>
    <xf numFmtId="0" fontId="5" fillId="3" borderId="1" xfId="0" applyFont="1" applyFill="1" applyBorder="1" applyAlignment="1">
      <alignment readingOrder="1"/>
    </xf>
    <xf numFmtId="2" fontId="0" fillId="3" borderId="1" xfId="0" applyNumberFormat="1" applyFill="1" applyBorder="1" applyAlignment="1">
      <alignment horizontal="right" readingOrder="1"/>
    </xf>
    <xf numFmtId="2" fontId="5" fillId="3" borderId="1" xfId="0" applyNumberFormat="1" applyFont="1" applyFill="1" applyBorder="1" applyAlignment="1">
      <alignment readingOrder="1"/>
    </xf>
    <xf numFmtId="0" fontId="0" fillId="3" borderId="1" xfId="0" applyFill="1" applyBorder="1" applyAlignment="1">
      <alignment/>
    </xf>
    <xf numFmtId="2" fontId="0" fillId="0" borderId="1" xfId="0" applyNumberFormat="1" applyFont="1" applyFill="1" applyBorder="1" applyAlignment="1">
      <alignment readingOrder="1"/>
    </xf>
    <xf numFmtId="3" fontId="0" fillId="0" borderId="1" xfId="0" applyNumberFormat="1" applyFill="1" applyBorder="1" applyAlignment="1">
      <alignment readingOrder="1"/>
    </xf>
    <xf numFmtId="2" fontId="5" fillId="3" borderId="1" xfId="0" applyNumberFormat="1" applyFont="1" applyFill="1" applyBorder="1" applyAlignment="1">
      <alignment/>
    </xf>
    <xf numFmtId="0" fontId="0" fillId="0" borderId="1" xfId="0" applyFill="1" applyBorder="1" applyAlignment="1">
      <alignment/>
    </xf>
    <xf numFmtId="169" fontId="0" fillId="0" borderId="1" xfId="0" applyNumberFormat="1" applyFill="1" applyBorder="1" applyAlignment="1">
      <alignment readingOrder="1"/>
    </xf>
    <xf numFmtId="164" fontId="0" fillId="0" borderId="1" xfId="0" applyNumberFormat="1" applyFill="1" applyBorder="1" applyAlignment="1">
      <alignment readingOrder="1"/>
    </xf>
    <xf numFmtId="2" fontId="0" fillId="3" borderId="1" xfId="0" applyNumberFormat="1" applyFill="1" applyBorder="1" applyAlignment="1">
      <alignment/>
    </xf>
    <xf numFmtId="2" fontId="0" fillId="3" borderId="1" xfId="0" applyNumberFormat="1" applyFont="1" applyFill="1" applyBorder="1" applyAlignment="1">
      <alignment readingOrder="1"/>
    </xf>
    <xf numFmtId="0" fontId="0" fillId="3" borderId="1" xfId="0" applyFont="1" applyFill="1" applyBorder="1" applyAlignment="1">
      <alignment readingOrder="1"/>
    </xf>
    <xf numFmtId="0" fontId="5" fillId="0" borderId="1" xfId="0" applyFont="1" applyBorder="1" applyAlignment="1">
      <alignment/>
    </xf>
    <xf numFmtId="0" fontId="0" fillId="0" borderId="1" xfId="0" applyFont="1" applyBorder="1" applyAlignment="1">
      <alignment/>
    </xf>
    <xf numFmtId="0" fontId="0" fillId="0" borderId="1" xfId="0" applyFont="1" applyFill="1" applyBorder="1" applyAlignment="1">
      <alignment readingOrder="1"/>
    </xf>
    <xf numFmtId="0" fontId="0" fillId="0" borderId="1" xfId="0" applyFont="1" applyFill="1" applyBorder="1" applyAlignment="1">
      <alignment horizontal="center" readingOrder="1"/>
    </xf>
    <xf numFmtId="2" fontId="0" fillId="0" borderId="1" xfId="0" applyNumberFormat="1" applyFont="1" applyFill="1" applyBorder="1" applyAlignment="1">
      <alignment readingOrder="1"/>
    </xf>
    <xf numFmtId="0" fontId="0" fillId="0" borderId="1" xfId="0" applyFont="1" applyFill="1" applyBorder="1" applyAlignment="1">
      <alignment horizontal="right" readingOrder="1"/>
    </xf>
    <xf numFmtId="0" fontId="0" fillId="0" borderId="1" xfId="0" applyFont="1" applyFill="1" applyBorder="1" applyAlignment="1" quotePrefix="1">
      <alignment readingOrder="1"/>
    </xf>
    <xf numFmtId="0" fontId="0" fillId="0" borderId="1" xfId="0" applyFont="1" applyFill="1" applyBorder="1" applyAlignment="1">
      <alignment horizontal="left" readingOrder="1"/>
    </xf>
    <xf numFmtId="0" fontId="0" fillId="0" borderId="1" xfId="0" applyFont="1" applyFill="1" applyBorder="1" applyAlignment="1">
      <alignment horizontal="center" readingOrder="1"/>
    </xf>
    <xf numFmtId="0" fontId="0" fillId="2" borderId="1" xfId="0" applyFont="1" applyFill="1" applyBorder="1" applyAlignment="1">
      <alignment readingOrder="1"/>
    </xf>
    <xf numFmtId="11" fontId="0" fillId="0" borderId="1" xfId="0" applyNumberFormat="1" applyFont="1" applyFill="1" applyBorder="1" applyAlignment="1">
      <alignment horizontal="left" readingOrder="1"/>
    </xf>
    <xf numFmtId="0" fontId="5" fillId="0" borderId="1" xfId="0" applyFont="1" applyFill="1" applyBorder="1" applyAlignment="1">
      <alignment wrapText="1" readingOrder="1"/>
    </xf>
    <xf numFmtId="0" fontId="5" fillId="0" borderId="0" xfId="0" applyFont="1" applyAlignment="1">
      <alignment/>
    </xf>
    <xf numFmtId="0" fontId="2" fillId="0" borderId="1" xfId="0" applyFont="1" applyFill="1" applyBorder="1" applyAlignment="1">
      <alignment readingOrder="1"/>
    </xf>
    <xf numFmtId="0" fontId="0" fillId="0" borderId="1" xfId="0" applyFont="1" applyBorder="1" applyAlignment="1">
      <alignment/>
    </xf>
    <xf numFmtId="0" fontId="0" fillId="2" borderId="1" xfId="0" applyFont="1" applyFill="1" applyBorder="1" applyAlignment="1">
      <alignment/>
    </xf>
    <xf numFmtId="0" fontId="0" fillId="3" borderId="1" xfId="0" applyFont="1" applyFill="1" applyBorder="1" applyAlignment="1">
      <alignment/>
    </xf>
    <xf numFmtId="0" fontId="0" fillId="2" borderId="1" xfId="0" applyFont="1" applyFill="1" applyBorder="1" applyAlignment="1">
      <alignment/>
    </xf>
    <xf numFmtId="0" fontId="8" fillId="2" borderId="1" xfId="0" applyFont="1" applyFill="1" applyBorder="1" applyAlignment="1">
      <alignment readingOrder="1"/>
    </xf>
    <xf numFmtId="0" fontId="0" fillId="0" borderId="1" xfId="0" applyFill="1" applyBorder="1" applyAlignment="1">
      <alignment wrapText="1" readingOrder="1"/>
    </xf>
    <xf numFmtId="169" fontId="0" fillId="3" borderId="1" xfId="0" applyNumberFormat="1" applyFill="1" applyBorder="1" applyAlignment="1">
      <alignment horizontal="right" readingOrder="1"/>
    </xf>
    <xf numFmtId="0" fontId="0" fillId="0" borderId="2" xfId="0" applyFill="1" applyBorder="1" applyAlignment="1">
      <alignment readingOrder="1"/>
    </xf>
    <xf numFmtId="0" fontId="0" fillId="0" borderId="0" xfId="0" applyBorder="1" applyAlignment="1">
      <alignment/>
    </xf>
    <xf numFmtId="0" fontId="0" fillId="0" borderId="0" xfId="0" applyFill="1" applyBorder="1" applyAlignment="1">
      <alignment readingOrder="1"/>
    </xf>
    <xf numFmtId="0" fontId="0" fillId="0" borderId="0" xfId="0" applyFill="1" applyBorder="1" applyAlignment="1">
      <alignment horizontal="center" readingOrder="1"/>
    </xf>
    <xf numFmtId="0" fontId="0" fillId="0" borderId="0" xfId="0" applyFill="1" applyBorder="1" applyAlignment="1">
      <alignment/>
    </xf>
    <xf numFmtId="0" fontId="0" fillId="0" borderId="1" xfId="0" applyFont="1" applyFill="1" applyBorder="1" applyAlignment="1">
      <alignment/>
    </xf>
    <xf numFmtId="0" fontId="0" fillId="0" borderId="3" xfId="0" applyBorder="1" applyAlignment="1">
      <alignment/>
    </xf>
    <xf numFmtId="0" fontId="0" fillId="0" borderId="1" xfId="0" applyBorder="1" applyAlignment="1">
      <alignment wrapText="1"/>
    </xf>
    <xf numFmtId="0" fontId="5" fillId="0" borderId="1" xfId="0" applyFont="1" applyFill="1" applyBorder="1" applyAlignment="1">
      <alignment horizontal="center" wrapText="1"/>
    </xf>
    <xf numFmtId="0" fontId="0" fillId="0" borderId="1" xfId="0" applyFill="1" applyBorder="1" applyAlignment="1">
      <alignment wrapText="1"/>
    </xf>
    <xf numFmtId="0" fontId="5" fillId="0" borderId="1" xfId="0" applyFont="1" applyFill="1" applyBorder="1" applyAlignment="1">
      <alignment wrapText="1"/>
    </xf>
    <xf numFmtId="2" fontId="1" fillId="0" borderId="1" xfId="0" applyNumberFormat="1" applyFont="1" applyFill="1" applyBorder="1" applyAlignment="1">
      <alignment wrapText="1"/>
    </xf>
    <xf numFmtId="0" fontId="0" fillId="0" borderId="0" xfId="0" applyBorder="1" applyAlignment="1">
      <alignment wrapText="1"/>
    </xf>
    <xf numFmtId="0" fontId="0" fillId="0" borderId="0" xfId="0" applyAlignment="1">
      <alignment wrapText="1"/>
    </xf>
    <xf numFmtId="0" fontId="0" fillId="0" borderId="4" xfId="0" applyFill="1" applyBorder="1" applyAlignment="1">
      <alignment readingOrder="1"/>
    </xf>
    <xf numFmtId="0" fontId="0" fillId="0" borderId="1" xfId="0" applyFont="1" applyFill="1" applyBorder="1" applyAlignment="1">
      <alignment wrapText="1"/>
    </xf>
    <xf numFmtId="0" fontId="0" fillId="0" borderId="0" xfId="0" applyFill="1" applyBorder="1" applyAlignment="1">
      <alignment wrapText="1"/>
    </xf>
    <xf numFmtId="0" fontId="5" fillId="0" borderId="4" xfId="0" applyFont="1" applyFill="1" applyBorder="1" applyAlignment="1">
      <alignment readingOrder="1"/>
    </xf>
    <xf numFmtId="2" fontId="0" fillId="0" borderId="4" xfId="0" applyNumberFormat="1" applyFill="1" applyBorder="1" applyAlignment="1">
      <alignment readingOrder="1"/>
    </xf>
    <xf numFmtId="0" fontId="0" fillId="0" borderId="4" xfId="0" applyFill="1" applyBorder="1" applyAlignment="1" quotePrefix="1">
      <alignment readingOrder="1"/>
    </xf>
    <xf numFmtId="0" fontId="0" fillId="0" borderId="4" xfId="0" applyFill="1" applyBorder="1" applyAlignment="1">
      <alignment horizontal="left" readingOrder="1"/>
    </xf>
    <xf numFmtId="0" fontId="6" fillId="0" borderId="4" xfId="0" applyFont="1" applyFill="1" applyBorder="1" applyAlignment="1">
      <alignment horizontal="left" readingOrder="1"/>
    </xf>
    <xf numFmtId="0" fontId="0" fillId="0" borderId="4" xfId="0" applyFill="1" applyBorder="1" applyAlignment="1">
      <alignment horizontal="right" readingOrder="1"/>
    </xf>
    <xf numFmtId="2" fontId="0" fillId="0" borderId="4" xfId="0" applyNumberFormat="1" applyFont="1" applyFill="1" applyBorder="1" applyAlignment="1">
      <alignment horizontal="right" readingOrder="1"/>
    </xf>
    <xf numFmtId="0" fontId="2" fillId="0" borderId="4" xfId="0" applyFont="1" applyFill="1" applyBorder="1" applyAlignment="1">
      <alignment horizontal="center" readingOrder="1"/>
    </xf>
    <xf numFmtId="2" fontId="2" fillId="0" borderId="4" xfId="0" applyNumberFormat="1" applyFont="1" applyFill="1" applyBorder="1" applyAlignment="1">
      <alignment readingOrder="1"/>
    </xf>
    <xf numFmtId="0" fontId="0" fillId="0" borderId="4" xfId="0" applyFill="1" applyBorder="1" applyAlignment="1">
      <alignment horizontal="center" readingOrder="1"/>
    </xf>
    <xf numFmtId="11" fontId="0" fillId="0" borderId="4" xfId="0" applyNumberFormat="1" applyFill="1" applyBorder="1" applyAlignment="1">
      <alignment horizontal="left" readingOrder="1"/>
    </xf>
    <xf numFmtId="0" fontId="0" fillId="0" borderId="5" xfId="0" applyFill="1" applyBorder="1" applyAlignment="1">
      <alignment readingOrder="1"/>
    </xf>
    <xf numFmtId="0" fontId="5" fillId="0" borderId="0" xfId="0" applyFont="1" applyFill="1" applyBorder="1" applyAlignment="1">
      <alignment readingOrder="1"/>
    </xf>
    <xf numFmtId="0" fontId="0" fillId="0" borderId="0" xfId="0" applyFill="1" applyBorder="1" applyAlignment="1">
      <alignment horizontal="left" readingOrder="1"/>
    </xf>
    <xf numFmtId="0" fontId="0" fillId="2" borderId="1" xfId="0" applyFill="1" applyBorder="1" applyAlignment="1">
      <alignment/>
    </xf>
    <xf numFmtId="164" fontId="0" fillId="0" borderId="1" xfId="0" applyNumberFormat="1" applyFont="1" applyFill="1" applyBorder="1" applyAlignment="1">
      <alignment readingOrder="1"/>
    </xf>
    <xf numFmtId="2" fontId="8" fillId="0" borderId="1" xfId="0" applyNumberFormat="1" applyFont="1" applyFill="1" applyBorder="1" applyAlignment="1">
      <alignment readingOrder="1"/>
    </xf>
    <xf numFmtId="2" fontId="0" fillId="0" borderId="1" xfId="0" applyNumberFormat="1" applyFont="1" applyFill="1" applyBorder="1" applyAlignment="1">
      <alignment horizontal="right" readingOrder="1"/>
    </xf>
    <xf numFmtId="11" fontId="0" fillId="0" borderId="6" xfId="0" applyNumberFormat="1" applyFill="1" applyBorder="1" applyAlignment="1">
      <alignment horizontal="left" readingOrder="1"/>
    </xf>
    <xf numFmtId="0" fontId="0" fillId="0" borderId="5" xfId="0" applyFill="1" applyBorder="1" applyAlignment="1">
      <alignment horizontal="left" readingOrder="1"/>
    </xf>
    <xf numFmtId="0" fontId="0" fillId="0" borderId="3" xfId="0" applyFill="1" applyBorder="1" applyAlignment="1">
      <alignment/>
    </xf>
    <xf numFmtId="2" fontId="0" fillId="0" borderId="0" xfId="0" applyNumberFormat="1" applyFill="1" applyBorder="1" applyAlignment="1">
      <alignment/>
    </xf>
    <xf numFmtId="0" fontId="0" fillId="0" borderId="0" xfId="0" applyFont="1" applyFill="1" applyAlignment="1">
      <alignment/>
    </xf>
    <xf numFmtId="0" fontId="0" fillId="0" borderId="7" xfId="0" applyFont="1" applyFill="1" applyBorder="1" applyAlignment="1">
      <alignment readingOrder="1"/>
    </xf>
    <xf numFmtId="0" fontId="0" fillId="0" borderId="7" xfId="0" applyFont="1" applyBorder="1" applyAlignment="1">
      <alignment/>
    </xf>
    <xf numFmtId="0" fontId="0" fillId="0" borderId="8" xfId="0" applyFont="1" applyFill="1" applyBorder="1" applyAlignment="1">
      <alignment readingOrder="1"/>
    </xf>
    <xf numFmtId="0" fontId="0" fillId="0" borderId="8" xfId="0" applyFont="1" applyBorder="1" applyAlignment="1">
      <alignment/>
    </xf>
    <xf numFmtId="0" fontId="0" fillId="0" borderId="0" xfId="0" applyFont="1" applyFill="1" applyBorder="1" applyAlignment="1">
      <alignment horizontal="center" readingOrder="1"/>
    </xf>
    <xf numFmtId="0" fontId="0" fillId="0" borderId="0" xfId="0" applyFont="1" applyFill="1" applyBorder="1" applyAlignment="1">
      <alignment readingOrder="1"/>
    </xf>
    <xf numFmtId="0" fontId="0" fillId="0" borderId="0" xfId="0" applyFont="1" applyFill="1" applyBorder="1" applyAlignment="1">
      <alignment/>
    </xf>
    <xf numFmtId="0" fontId="0" fillId="0" borderId="3" xfId="0" applyFont="1" applyFill="1" applyBorder="1" applyAlignment="1">
      <alignment/>
    </xf>
    <xf numFmtId="0" fontId="0" fillId="0" borderId="3" xfId="0" applyFont="1" applyFill="1" applyBorder="1" applyAlignment="1">
      <alignment readingOrder="1"/>
    </xf>
    <xf numFmtId="0" fontId="0" fillId="0" borderId="3" xfId="0" applyFont="1" applyBorder="1" applyAlignment="1">
      <alignment/>
    </xf>
    <xf numFmtId="0" fontId="0" fillId="0" borderId="0" xfId="0" applyFont="1" applyBorder="1" applyAlignment="1">
      <alignment/>
    </xf>
    <xf numFmtId="0" fontId="0" fillId="0" borderId="3" xfId="0" applyFill="1" applyBorder="1" applyAlignment="1">
      <alignment readingOrder="1"/>
    </xf>
    <xf numFmtId="2" fontId="0" fillId="0" borderId="3" xfId="0" applyNumberFormat="1" applyFill="1" applyBorder="1" applyAlignment="1">
      <alignment readingOrder="1"/>
    </xf>
    <xf numFmtId="0" fontId="0" fillId="0" borderId="3" xfId="0" applyFill="1" applyBorder="1" applyAlignment="1">
      <alignment horizontal="left" readingOrder="1"/>
    </xf>
    <xf numFmtId="0" fontId="0" fillId="0" borderId="6" xfId="0" applyFill="1" applyBorder="1" applyAlignment="1">
      <alignment horizontal="center" readingOrder="1"/>
    </xf>
    <xf numFmtId="0" fontId="0" fillId="0" borderId="5" xfId="0" applyFill="1" applyBorder="1" applyAlignment="1">
      <alignment horizontal="center" readingOrder="1"/>
    </xf>
    <xf numFmtId="11" fontId="0" fillId="0" borderId="0" xfId="0" applyNumberFormat="1" applyFill="1" applyBorder="1" applyAlignment="1">
      <alignment horizontal="left" readingOrder="1"/>
    </xf>
    <xf numFmtId="2" fontId="0" fillId="0" borderId="3" xfId="0" applyNumberFormat="1" applyBorder="1" applyAlignment="1">
      <alignment/>
    </xf>
    <xf numFmtId="0" fontId="9" fillId="0" borderId="0" xfId="0" applyFont="1" applyBorder="1" applyAlignment="1">
      <alignment/>
    </xf>
    <xf numFmtId="171" fontId="0" fillId="0" borderId="0" xfId="0" applyNumberFormat="1" applyBorder="1" applyAlignment="1">
      <alignment/>
    </xf>
    <xf numFmtId="164" fontId="0" fillId="0" borderId="0" xfId="0" applyNumberFormat="1" applyBorder="1" applyAlignment="1">
      <alignment/>
    </xf>
    <xf numFmtId="0" fontId="2" fillId="0" borderId="3" xfId="0" applyFont="1" applyFill="1" applyBorder="1" applyAlignment="1">
      <alignment/>
    </xf>
    <xf numFmtId="0" fontId="2" fillId="0" borderId="3" xfId="0" applyFont="1" applyFill="1" applyBorder="1" applyAlignment="1">
      <alignment readingOrder="1"/>
    </xf>
    <xf numFmtId="0" fontId="2" fillId="0" borderId="0" xfId="0" applyFont="1" applyFill="1" applyBorder="1" applyAlignment="1">
      <alignment/>
    </xf>
    <xf numFmtId="0" fontId="0" fillId="0" borderId="3" xfId="0" applyFill="1" applyBorder="1" applyAlignment="1">
      <alignment horizontal="center" readingOrder="1"/>
    </xf>
    <xf numFmtId="2" fontId="0" fillId="0" borderId="1" xfId="0" applyNumberFormat="1" applyFont="1" applyBorder="1" applyAlignment="1">
      <alignment/>
    </xf>
    <xf numFmtId="2" fontId="0" fillId="3" borderId="1" xfId="0" applyNumberFormat="1" applyFont="1" applyFill="1" applyBorder="1" applyAlignment="1">
      <alignment/>
    </xf>
    <xf numFmtId="0" fontId="0" fillId="0" borderId="6" xfId="0" applyFill="1" applyBorder="1" applyAlignment="1">
      <alignment horizontal="left" readingOrder="1"/>
    </xf>
    <xf numFmtId="0" fontId="0" fillId="0" borderId="1" xfId="0" applyFont="1" applyFill="1" applyBorder="1" applyAlignment="1">
      <alignment wrapText="1" readingOrder="1"/>
    </xf>
    <xf numFmtId="0" fontId="5" fillId="3" borderId="4" xfId="0" applyFont="1" applyFill="1" applyBorder="1" applyAlignment="1">
      <alignment readingOrder="1"/>
    </xf>
    <xf numFmtId="2" fontId="5" fillId="3" borderId="1" xfId="0" applyNumberFormat="1" applyFont="1" applyFill="1" applyBorder="1" applyAlignment="1">
      <alignment horizontal="right" readingOrder="1"/>
    </xf>
    <xf numFmtId="0" fontId="0" fillId="3" borderId="1" xfId="0" applyFont="1" applyFill="1" applyBorder="1" applyAlignment="1">
      <alignment/>
    </xf>
    <xf numFmtId="0" fontId="0" fillId="0" borderId="1" xfId="0" applyFill="1" applyBorder="1" applyAlignment="1">
      <alignment horizontal="right"/>
    </xf>
    <xf numFmtId="0" fontId="5" fillId="0" borderId="1" xfId="0" applyFont="1" applyFill="1" applyBorder="1" applyAlignment="1">
      <alignment horizontal="right"/>
    </xf>
    <xf numFmtId="2" fontId="0" fillId="2" borderId="1" xfId="0" applyNumberFormat="1" applyFill="1" applyBorder="1" applyAlignment="1">
      <alignment horizontal="right"/>
    </xf>
    <xf numFmtId="164" fontId="0" fillId="2" borderId="1" xfId="0" applyNumberFormat="1" applyFill="1" applyBorder="1" applyAlignment="1">
      <alignment horizontal="right"/>
    </xf>
    <xf numFmtId="164" fontId="0" fillId="3" borderId="1" xfId="0" applyNumberFormat="1" applyFill="1" applyBorder="1" applyAlignment="1">
      <alignment horizontal="right"/>
    </xf>
    <xf numFmtId="2" fontId="0" fillId="0" borderId="1" xfId="0" applyNumberFormat="1" applyFill="1" applyBorder="1" applyAlignment="1">
      <alignment horizontal="right"/>
    </xf>
    <xf numFmtId="0" fontId="0" fillId="2" borderId="1" xfId="0" applyFill="1" applyBorder="1" applyAlignment="1">
      <alignment horizontal="right"/>
    </xf>
    <xf numFmtId="2" fontId="0" fillId="3" borderId="1" xfId="0" applyNumberFormat="1" applyFill="1" applyBorder="1" applyAlignment="1">
      <alignment horizontal="right"/>
    </xf>
    <xf numFmtId="1" fontId="0" fillId="0" borderId="1" xfId="0" applyNumberFormat="1" applyFill="1" applyBorder="1" applyAlignment="1">
      <alignment horizontal="right"/>
    </xf>
    <xf numFmtId="0" fontId="0" fillId="0" borderId="0" xfId="0" applyAlignment="1">
      <alignment horizontal="right"/>
    </xf>
    <xf numFmtId="2" fontId="5" fillId="3" borderId="1" xfId="0" applyNumberFormat="1" applyFont="1" applyFill="1" applyBorder="1" applyAlignment="1">
      <alignment horizontal="right"/>
    </xf>
    <xf numFmtId="0" fontId="0" fillId="0" borderId="1" xfId="0" applyFont="1" applyBorder="1" applyAlignment="1">
      <alignment horizontal="right"/>
    </xf>
    <xf numFmtId="0" fontId="0" fillId="2" borderId="1" xfId="0" applyFont="1" applyFill="1" applyBorder="1" applyAlignment="1">
      <alignment horizontal="right"/>
    </xf>
    <xf numFmtId="2" fontId="0" fillId="3" borderId="1" xfId="0" applyNumberFormat="1" applyFont="1" applyFill="1" applyBorder="1" applyAlignment="1">
      <alignment horizontal="right"/>
    </xf>
    <xf numFmtId="2" fontId="0" fillId="0" borderId="1" xfId="0" applyNumberFormat="1" applyFont="1" applyBorder="1" applyAlignment="1">
      <alignment horizontal="right"/>
    </xf>
    <xf numFmtId="2" fontId="0" fillId="2" borderId="1" xfId="0" applyNumberFormat="1" applyFont="1" applyFill="1" applyBorder="1" applyAlignment="1">
      <alignment horizontal="right"/>
    </xf>
    <xf numFmtId="2" fontId="0" fillId="0" borderId="0" xfId="0" applyNumberFormat="1" applyAlignment="1">
      <alignment horizontal="right"/>
    </xf>
    <xf numFmtId="0" fontId="0" fillId="0" borderId="1" xfId="0" applyFont="1" applyFill="1" applyBorder="1" applyAlignment="1">
      <alignment horizontal="right"/>
    </xf>
    <xf numFmtId="1" fontId="0" fillId="0" borderId="1" xfId="0" applyNumberFormat="1" applyFont="1" applyFill="1" applyBorder="1" applyAlignment="1">
      <alignment horizontal="right"/>
    </xf>
    <xf numFmtId="2" fontId="0" fillId="2" borderId="1" xfId="0" applyNumberFormat="1" applyFont="1" applyFill="1" applyBorder="1" applyAlignment="1">
      <alignment horizontal="right"/>
    </xf>
    <xf numFmtId="0" fontId="0" fillId="2" borderId="1" xfId="0" applyFont="1" applyFill="1" applyBorder="1" applyAlignment="1">
      <alignment horizontal="right"/>
    </xf>
    <xf numFmtId="2" fontId="0" fillId="3" borderId="1" xfId="0" applyNumberFormat="1" applyFont="1" applyFill="1" applyBorder="1" applyAlignment="1">
      <alignment horizontal="right"/>
    </xf>
    <xf numFmtId="0" fontId="0" fillId="0" borderId="0" xfId="0" applyFill="1" applyAlignment="1">
      <alignment horizontal="right"/>
    </xf>
    <xf numFmtId="0" fontId="2" fillId="0" borderId="0" xfId="0" applyFont="1" applyFill="1" applyBorder="1" applyAlignment="1">
      <alignment horizontal="right"/>
    </xf>
    <xf numFmtId="2" fontId="0" fillId="0" borderId="1" xfId="0" applyNumberFormat="1" applyFont="1" applyFill="1" applyBorder="1" applyAlignment="1">
      <alignment horizontal="right"/>
    </xf>
    <xf numFmtId="2" fontId="0" fillId="0" borderId="1" xfId="0" applyNumberFormat="1" applyFont="1" applyFill="1" applyBorder="1" applyAlignment="1">
      <alignment horizontal="right"/>
    </xf>
    <xf numFmtId="2" fontId="0" fillId="2" borderId="1" xfId="0" applyNumberFormat="1" applyFont="1" applyFill="1" applyBorder="1" applyAlignment="1">
      <alignment horizontal="right"/>
    </xf>
    <xf numFmtId="0" fontId="2" fillId="0" borderId="3" xfId="0" applyFont="1" applyFill="1" applyBorder="1" applyAlignment="1">
      <alignment horizontal="right"/>
    </xf>
    <xf numFmtId="3" fontId="0" fillId="0" borderId="1" xfId="0" applyNumberFormat="1" applyFont="1" applyFill="1" applyBorder="1" applyAlignment="1">
      <alignment horizontal="right"/>
    </xf>
    <xf numFmtId="0" fontId="0" fillId="0" borderId="3" xfId="0" applyFill="1" applyBorder="1" applyAlignment="1">
      <alignment horizontal="right"/>
    </xf>
    <xf numFmtId="0" fontId="0" fillId="0" borderId="1" xfId="0" applyFont="1" applyBorder="1" applyAlignment="1">
      <alignment horizontal="right"/>
    </xf>
    <xf numFmtId="164" fontId="0" fillId="0" borderId="1" xfId="0" applyNumberFormat="1" applyFont="1" applyFill="1" applyBorder="1" applyAlignment="1">
      <alignment horizontal="right"/>
    </xf>
    <xf numFmtId="0" fontId="0" fillId="0" borderId="0" xfId="0" applyFont="1" applyFill="1" applyBorder="1" applyAlignment="1">
      <alignment horizontal="right"/>
    </xf>
    <xf numFmtId="0" fontId="0" fillId="0" borderId="0" xfId="0" applyFont="1" applyFill="1" applyBorder="1" applyAlignment="1">
      <alignment horizontal="right"/>
    </xf>
    <xf numFmtId="2" fontId="5" fillId="0" borderId="0" xfId="0" applyNumberFormat="1" applyFont="1" applyFill="1" applyBorder="1" applyAlignment="1">
      <alignment horizontal="right"/>
    </xf>
    <xf numFmtId="0" fontId="0" fillId="0" borderId="0" xfId="0" applyFont="1" applyAlignment="1">
      <alignment horizontal="right"/>
    </xf>
    <xf numFmtId="0" fontId="0" fillId="0" borderId="3" xfId="0" applyFont="1" applyFill="1" applyBorder="1" applyAlignment="1">
      <alignment horizontal="right"/>
    </xf>
    <xf numFmtId="0" fontId="0" fillId="0" borderId="3" xfId="0" applyFont="1" applyFill="1" applyBorder="1" applyAlignment="1">
      <alignment horizontal="right"/>
    </xf>
    <xf numFmtId="0" fontId="0" fillId="0" borderId="0" xfId="0" applyFont="1" applyFill="1" applyAlignment="1">
      <alignment horizontal="right"/>
    </xf>
    <xf numFmtId="0" fontId="0" fillId="0" borderId="1" xfId="0" applyBorder="1" applyAlignment="1">
      <alignment horizontal="right"/>
    </xf>
    <xf numFmtId="4" fontId="0" fillId="0" borderId="1" xfId="0" applyNumberFormat="1" applyFill="1" applyBorder="1" applyAlignment="1">
      <alignment horizontal="right"/>
    </xf>
    <xf numFmtId="3" fontId="0" fillId="0" borderId="1" xfId="0" applyNumberFormat="1" applyFill="1" applyBorder="1" applyAlignment="1">
      <alignment horizontal="right"/>
    </xf>
    <xf numFmtId="177" fontId="0" fillId="0" borderId="1" xfId="0" applyNumberFormat="1" applyFill="1" applyBorder="1" applyAlignment="1">
      <alignment horizontal="right"/>
    </xf>
    <xf numFmtId="0" fontId="0" fillId="3" borderId="2" xfId="0" applyFill="1" applyBorder="1" applyAlignment="1">
      <alignment horizontal="left" wrapText="1"/>
    </xf>
    <xf numFmtId="0" fontId="0" fillId="3" borderId="9" xfId="0" applyFill="1" applyBorder="1" applyAlignment="1">
      <alignment horizontal="left" wrapText="1"/>
    </xf>
    <xf numFmtId="2" fontId="0" fillId="3" borderId="2" xfId="0" applyNumberFormat="1" applyFill="1" applyBorder="1" applyAlignment="1">
      <alignment horizontal="center"/>
    </xf>
    <xf numFmtId="2" fontId="0" fillId="3" borderId="9" xfId="0" applyNumberFormat="1" applyFill="1" applyBorder="1" applyAlignment="1">
      <alignment horizontal="center"/>
    </xf>
    <xf numFmtId="2" fontId="0" fillId="3" borderId="2" xfId="0" applyNumberFormat="1" applyFill="1" applyBorder="1" applyAlignment="1">
      <alignment horizontal="right"/>
    </xf>
    <xf numFmtId="2" fontId="0" fillId="3" borderId="9" xfId="0" applyNumberFormat="1" applyFill="1" applyBorder="1" applyAlignment="1">
      <alignment horizontal="right"/>
    </xf>
    <xf numFmtId="0" fontId="5" fillId="0" borderId="10" xfId="0" applyFont="1" applyFill="1" applyBorder="1" applyAlignment="1">
      <alignment horizontal="center"/>
    </xf>
    <xf numFmtId="0" fontId="5" fillId="0" borderId="0" xfId="0" applyFont="1" applyFill="1" applyBorder="1" applyAlignment="1">
      <alignment horizontal="center"/>
    </xf>
    <xf numFmtId="0" fontId="5" fillId="0" borderId="5" xfId="0" applyFont="1" applyFill="1" applyBorder="1" applyAlignment="1">
      <alignment horizontal="center"/>
    </xf>
    <xf numFmtId="0" fontId="5" fillId="0" borderId="7" xfId="0" applyFont="1" applyBorder="1" applyAlignment="1">
      <alignment horizontal="center"/>
    </xf>
    <xf numFmtId="0" fontId="5" fillId="0" borderId="11" xfId="0" applyFont="1" applyBorder="1" applyAlignment="1">
      <alignment horizontal="center"/>
    </xf>
    <xf numFmtId="0" fontId="5" fillId="0" borderId="8"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DD0806"/>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534025" cy="3552825"/>
    <xdr:sp>
      <xdr:nvSpPr>
        <xdr:cNvPr id="1" name="TextBox 1"/>
        <xdr:cNvSpPr txBox="1">
          <a:spLocks noChangeArrowheads="1"/>
        </xdr:cNvSpPr>
      </xdr:nvSpPr>
      <xdr:spPr>
        <a:xfrm>
          <a:off x="0" y="0"/>
          <a:ext cx="5534025" cy="3552825"/>
        </a:xfrm>
        <a:prstGeom prst="rect">
          <a:avLst/>
        </a:prstGeom>
        <a:solidFill>
          <a:srgbClr val="FFFFFF"/>
        </a:solidFill>
        <a:ln w="3175" cmpd="sng">
          <a:solidFill>
            <a:srgbClr val="000000"/>
          </a:solidFill>
          <a:headEnd type="none"/>
          <a:tailEnd type="none"/>
        </a:ln>
      </xdr:spPr>
      <xdr:txBody>
        <a:bodyPr vertOverflow="clip" wrap="square" lIns="182880" tIns="45720" rIns="91440" bIns="45720"/>
        <a:p>
          <a:pPr algn="l">
            <a:defRPr/>
          </a:pPr>
          <a:r>
            <a:rPr lang="en-US" cap="none" sz="1000" b="0" i="0" u="none" baseline="0">
              <a:latin typeface="Arial"/>
              <a:ea typeface="Arial"/>
              <a:cs typeface="Arial"/>
            </a:rPr>
            <a:t>GOES-R Communication Link Budgets
The communication link budgets presented in this spreadsheet provide the major parameters needed to determine the margin for all the GOES-R spacecraft-ground  links. Only the values fixed in the spacecraft - ground Interface  Requirements Documents (IRD) are entered in the spreadsheet. The values due to the spacecraft equipment and the related calculations are to be filled in by the spacecraft contractors based on their  proposed designs. Some cells contain comments to help explain formulas and requirements.
The contractors are encouraged to expand on the link budget by adding additional cells where appropriate (with necessary changes to the formula).  This is especially true for "Satellite Degradations" which should be expanded to include adjacent channel interference contributions and filter (multiplexer) contributions.
Corrections, improvements, or addations to the worksheetscam  be made provided  they are explained in a comment box. In the event of a conflict between the values in the IRD and this link budget, the IRD values shall govern.
In some cases the contractor can select the satellite receive and transmit polarization.  If this is different than the ground polarization, the additional polarization loss shall be incorporated into the satellite receive and transmit cells with appropriate correction for the PFD calculation.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tabColor indexed="41"/>
  </sheetPr>
  <dimension ref="A25:B28"/>
  <sheetViews>
    <sheetView workbookViewId="0" topLeftCell="A1">
      <selection activeCell="B32" sqref="B32"/>
    </sheetView>
  </sheetViews>
  <sheetFormatPr defaultColWidth="9.140625" defaultRowHeight="12.75"/>
  <cols>
    <col min="1" max="16384" width="8.8515625" style="0" customWidth="1"/>
  </cols>
  <sheetData>
    <row r="25" ht="12.75">
      <c r="A25" s="86" t="s">
        <v>207</v>
      </c>
    </row>
    <row r="26" spans="1:2" ht="12.75">
      <c r="A26" s="56"/>
      <c r="B26" t="s">
        <v>85</v>
      </c>
    </row>
    <row r="27" spans="1:2" ht="12.75">
      <c r="A27" s="126"/>
      <c r="B27" t="s">
        <v>205</v>
      </c>
    </row>
    <row r="28" spans="1:2" ht="12.75">
      <c r="A28" s="64"/>
      <c r="B28" t="s">
        <v>206</v>
      </c>
    </row>
  </sheetData>
  <printOptions/>
  <pageMargins left="0.75" right="0.75" top="1" bottom="1" header="0.5" footer="0.5"/>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sheetPr>
    <tabColor indexed="47"/>
    <pageSetUpPr fitToPage="1"/>
  </sheetPr>
  <dimension ref="A1:L43"/>
  <sheetViews>
    <sheetView workbookViewId="0" topLeftCell="A1">
      <selection activeCell="K8" sqref="K8"/>
    </sheetView>
  </sheetViews>
  <sheetFormatPr defaultColWidth="9.140625" defaultRowHeight="12.75"/>
  <cols>
    <col min="1" max="1" width="4.28125" style="24" customWidth="1"/>
    <col min="2" max="2" width="38.421875" style="24" customWidth="1"/>
    <col min="3" max="3" width="11.140625" style="202" customWidth="1"/>
    <col min="4" max="4" width="3.140625" style="24" customWidth="1"/>
    <col min="5" max="5" width="6.140625" style="24" customWidth="1"/>
    <col min="6" max="6" width="42.00390625" style="24" customWidth="1"/>
    <col min="7" max="7" width="11.140625" style="202" customWidth="1"/>
    <col min="8" max="8" width="3.28125" style="24" customWidth="1"/>
    <col min="9" max="9" width="4.28125" style="24" customWidth="1"/>
    <col min="10" max="10" width="41.140625" style="24" customWidth="1"/>
    <col min="11" max="11" width="11.140625" style="202" customWidth="1"/>
    <col min="12" max="12" width="4.7109375" style="24" customWidth="1"/>
    <col min="13" max="16384" width="9.140625" style="24" customWidth="1"/>
  </cols>
  <sheetData>
    <row r="1" spans="1:11" ht="12.75">
      <c r="A1" s="75"/>
      <c r="B1" s="75"/>
      <c r="C1" s="197"/>
      <c r="D1" s="75"/>
      <c r="E1" s="75"/>
      <c r="F1" s="75"/>
      <c r="G1" s="197"/>
      <c r="H1" s="75"/>
      <c r="I1" s="75"/>
      <c r="J1" s="75"/>
      <c r="K1" s="197"/>
    </row>
    <row r="2" spans="1:12" ht="12.75">
      <c r="A2" s="30"/>
      <c r="B2" s="32" t="s">
        <v>193</v>
      </c>
      <c r="C2" s="184"/>
      <c r="D2" s="76"/>
      <c r="E2" s="30"/>
      <c r="F2" s="32" t="s">
        <v>192</v>
      </c>
      <c r="G2" s="184"/>
      <c r="H2" s="76"/>
      <c r="I2" s="30"/>
      <c r="J2" s="32" t="s">
        <v>218</v>
      </c>
      <c r="K2" s="184"/>
      <c r="L2" s="23"/>
    </row>
    <row r="3" spans="1:12" ht="10.5" customHeight="1">
      <c r="A3" s="33" t="s">
        <v>170</v>
      </c>
      <c r="B3" s="76"/>
      <c r="C3" s="168"/>
      <c r="D3" s="34"/>
      <c r="E3" s="33" t="s">
        <v>170</v>
      </c>
      <c r="F3" s="76"/>
      <c r="G3" s="168"/>
      <c r="H3" s="34"/>
      <c r="I3" s="33" t="s">
        <v>170</v>
      </c>
      <c r="J3" s="76"/>
      <c r="K3" s="168"/>
      <c r="L3" s="9"/>
    </row>
    <row r="4" spans="1:12" ht="12.75">
      <c r="A4" s="77"/>
      <c r="B4" s="76" t="s">
        <v>211</v>
      </c>
      <c r="C4" s="184">
        <v>2034.2</v>
      </c>
      <c r="D4" s="78"/>
      <c r="E4" s="77"/>
      <c r="F4" s="76" t="s">
        <v>211</v>
      </c>
      <c r="G4" s="184">
        <v>2034.2</v>
      </c>
      <c r="H4" s="79"/>
      <c r="I4" s="77"/>
      <c r="J4" s="76" t="s">
        <v>211</v>
      </c>
      <c r="K4" s="184">
        <v>2034.2</v>
      </c>
      <c r="L4" s="25"/>
    </row>
    <row r="5" spans="1:12" ht="12.75">
      <c r="A5" s="77"/>
      <c r="B5" s="76" t="s">
        <v>184</v>
      </c>
      <c r="C5" s="192">
        <v>3.5</v>
      </c>
      <c r="D5" s="80"/>
      <c r="E5" s="77"/>
      <c r="F5" s="76" t="s">
        <v>184</v>
      </c>
      <c r="G5" s="185">
        <v>64</v>
      </c>
      <c r="H5" s="79"/>
      <c r="I5" s="77"/>
      <c r="J5" s="76" t="s">
        <v>184</v>
      </c>
      <c r="K5" s="192">
        <v>0.85</v>
      </c>
      <c r="L5" s="26"/>
    </row>
    <row r="6" spans="1:12" ht="12.75">
      <c r="A6" s="77"/>
      <c r="B6" s="76" t="s">
        <v>208</v>
      </c>
      <c r="C6" s="192">
        <f>C5*8/7</f>
        <v>4</v>
      </c>
      <c r="D6" s="81" t="s">
        <v>142</v>
      </c>
      <c r="E6" s="77"/>
      <c r="F6" s="76" t="s">
        <v>208</v>
      </c>
      <c r="G6" s="198">
        <f>G5*8/7</f>
        <v>73.14285714285714</v>
      </c>
      <c r="H6" s="76"/>
      <c r="I6" s="77"/>
      <c r="J6" s="76" t="s">
        <v>208</v>
      </c>
      <c r="K6" s="198">
        <f>K5*8/7</f>
        <v>0.9714285714285714</v>
      </c>
      <c r="L6" s="27" t="s">
        <v>142</v>
      </c>
    </row>
    <row r="7" spans="1:12" ht="12.75">
      <c r="A7" s="34"/>
      <c r="B7" s="34" t="s">
        <v>57</v>
      </c>
      <c r="C7" s="192">
        <v>87.25</v>
      </c>
      <c r="D7" s="81"/>
      <c r="E7" s="34"/>
      <c r="F7" s="34" t="s">
        <v>57</v>
      </c>
      <c r="G7" s="192">
        <v>94.25</v>
      </c>
      <c r="H7" s="79"/>
      <c r="I7" s="34"/>
      <c r="J7" s="34" t="s">
        <v>57</v>
      </c>
      <c r="K7" s="192">
        <v>104.25</v>
      </c>
      <c r="L7" s="27"/>
    </row>
    <row r="8" spans="1:12" ht="12.75">
      <c r="A8" s="77"/>
      <c r="B8" s="76"/>
      <c r="C8" s="192"/>
      <c r="D8" s="76"/>
      <c r="E8" s="77"/>
      <c r="F8" s="76"/>
      <c r="G8" s="192"/>
      <c r="H8" s="81"/>
      <c r="I8" s="77"/>
      <c r="J8" s="76"/>
      <c r="K8" s="192"/>
      <c r="L8" s="23"/>
    </row>
    <row r="9" spans="1:12" ht="12.75">
      <c r="A9" s="33" t="s">
        <v>171</v>
      </c>
      <c r="B9" s="45"/>
      <c r="C9" s="192"/>
      <c r="D9" s="81"/>
      <c r="E9" s="33" t="s">
        <v>171</v>
      </c>
      <c r="F9" s="33" t="s">
        <v>171</v>
      </c>
      <c r="G9" s="192"/>
      <c r="H9" s="76"/>
      <c r="I9" s="33" t="s">
        <v>171</v>
      </c>
      <c r="J9" s="45"/>
      <c r="K9" s="192"/>
      <c r="L9" s="27"/>
    </row>
    <row r="10" spans="1:12" ht="12.75">
      <c r="A10" s="77"/>
      <c r="B10" s="76" t="s">
        <v>143</v>
      </c>
      <c r="C10" s="184">
        <v>35784</v>
      </c>
      <c r="D10" s="81"/>
      <c r="E10" s="77"/>
      <c r="F10" s="76" t="s">
        <v>143</v>
      </c>
      <c r="G10" s="184">
        <v>35784</v>
      </c>
      <c r="H10" s="76"/>
      <c r="I10" s="77"/>
      <c r="J10" s="76" t="s">
        <v>143</v>
      </c>
      <c r="K10" s="184">
        <v>35784</v>
      </c>
      <c r="L10" s="27"/>
    </row>
    <row r="11" spans="1:12" ht="12.75">
      <c r="A11" s="77"/>
      <c r="B11" s="76" t="s">
        <v>144</v>
      </c>
      <c r="C11" s="184">
        <v>13.8</v>
      </c>
      <c r="D11" s="81"/>
      <c r="E11" s="77"/>
      <c r="F11" s="76" t="s">
        <v>144</v>
      </c>
      <c r="G11" s="184">
        <v>13.8</v>
      </c>
      <c r="H11" s="76"/>
      <c r="I11" s="77"/>
      <c r="J11" s="76" t="s">
        <v>144</v>
      </c>
      <c r="K11" s="184">
        <v>13.8</v>
      </c>
      <c r="L11" s="27"/>
    </row>
    <row r="12" spans="1:12" ht="12.75">
      <c r="A12" s="77"/>
      <c r="B12" s="76" t="s">
        <v>145</v>
      </c>
      <c r="C12" s="185">
        <f>SQRT((6378+C10)^2-(6378*COS(PI()/180*C11))^2)-6378*SIN(PI()/180*C11)</f>
        <v>40183.18870290123</v>
      </c>
      <c r="D12" s="49"/>
      <c r="E12" s="77"/>
      <c r="F12" s="76" t="s">
        <v>145</v>
      </c>
      <c r="G12" s="185">
        <f>SQRT((6378+G10)^2-(6378*COS(PI()/180*G11))^2)-6378*SIN(PI()/180*G11)</f>
        <v>40183.18870290123</v>
      </c>
      <c r="H12" s="76"/>
      <c r="I12" s="77"/>
      <c r="J12" s="76" t="s">
        <v>145</v>
      </c>
      <c r="K12" s="185">
        <f>SQRT((6378+K10)^2-(6378*COS(PI()/180*K11))^2)-6378*SIN(PI()/180*K11)</f>
        <v>40183.18870290123</v>
      </c>
      <c r="L12" s="13"/>
    </row>
    <row r="13" spans="1:12" ht="12.75">
      <c r="A13" s="77"/>
      <c r="B13" s="76" t="s">
        <v>146</v>
      </c>
      <c r="C13" s="192">
        <f>-(20*LOG(299.792458/(C4*4*3.141592654))-20*LOG(C12*1000))</f>
        <v>190.69654415955125</v>
      </c>
      <c r="D13" s="82"/>
      <c r="E13" s="77"/>
      <c r="F13" s="76" t="s">
        <v>146</v>
      </c>
      <c r="G13" s="192">
        <f>-(20*LOG(299.792458/(G4*4*3.141592654))-20*LOG(G12*1000))</f>
        <v>190.69654415955125</v>
      </c>
      <c r="H13" s="79"/>
      <c r="I13" s="77"/>
      <c r="J13" s="76" t="s">
        <v>146</v>
      </c>
      <c r="K13" s="192">
        <f>-(20*LOG(299.792458/(K4*4*3.141592654))-20*LOG(K12*1000))</f>
        <v>190.69654415955125</v>
      </c>
      <c r="L13" s="28"/>
    </row>
    <row r="14" spans="1:12" ht="12.75">
      <c r="A14" s="77"/>
      <c r="B14" s="76" t="s">
        <v>159</v>
      </c>
      <c r="C14" s="192">
        <v>1</v>
      </c>
      <c r="D14" s="82"/>
      <c r="E14" s="77"/>
      <c r="F14" s="76" t="s">
        <v>159</v>
      </c>
      <c r="G14" s="192">
        <v>1</v>
      </c>
      <c r="H14" s="76"/>
      <c r="I14" s="77"/>
      <c r="J14" s="76" t="s">
        <v>159</v>
      </c>
      <c r="K14" s="192">
        <v>1</v>
      </c>
      <c r="L14" s="28"/>
    </row>
    <row r="15" spans="1:12" ht="12.75">
      <c r="A15" s="77"/>
      <c r="B15" s="76"/>
      <c r="C15" s="192"/>
      <c r="D15" s="65"/>
      <c r="E15" s="77"/>
      <c r="F15" s="76"/>
      <c r="G15" s="192"/>
      <c r="H15" s="76"/>
      <c r="I15" s="77"/>
      <c r="J15" s="76"/>
      <c r="K15" s="192"/>
      <c r="L15" s="20"/>
    </row>
    <row r="16" spans="1:12" ht="12.75">
      <c r="A16" s="33" t="s">
        <v>52</v>
      </c>
      <c r="B16" s="76"/>
      <c r="C16" s="192"/>
      <c r="D16" s="81"/>
      <c r="E16" s="33" t="s">
        <v>52</v>
      </c>
      <c r="F16" s="76"/>
      <c r="G16" s="192"/>
      <c r="H16" s="76"/>
      <c r="I16" s="33" t="s">
        <v>52</v>
      </c>
      <c r="J16" s="76"/>
      <c r="K16" s="192"/>
      <c r="L16" s="27"/>
    </row>
    <row r="17" spans="1:12" ht="12.75">
      <c r="A17" s="35"/>
      <c r="B17" s="58" t="s">
        <v>147</v>
      </c>
      <c r="C17" s="173"/>
      <c r="D17" s="81"/>
      <c r="E17" s="35"/>
      <c r="F17" s="58" t="s">
        <v>147</v>
      </c>
      <c r="G17" s="173"/>
      <c r="H17" s="51"/>
      <c r="I17" s="35"/>
      <c r="J17" s="58" t="s">
        <v>147</v>
      </c>
      <c r="K17" s="173"/>
      <c r="L17" s="27"/>
    </row>
    <row r="18" spans="1:12" ht="12.75">
      <c r="A18" s="35"/>
      <c r="B18" s="36" t="s">
        <v>99</v>
      </c>
      <c r="C18" s="173"/>
      <c r="D18" s="76"/>
      <c r="E18" s="35"/>
      <c r="F18" s="36" t="s">
        <v>99</v>
      </c>
      <c r="G18" s="173"/>
      <c r="H18" s="51"/>
      <c r="I18" s="35"/>
      <c r="J18" s="36" t="s">
        <v>99</v>
      </c>
      <c r="K18" s="173"/>
      <c r="L18" s="23"/>
    </row>
    <row r="19" spans="1:12" ht="12.75">
      <c r="A19" s="35"/>
      <c r="B19" s="54" t="s">
        <v>161</v>
      </c>
      <c r="C19" s="173"/>
      <c r="D19" s="76"/>
      <c r="E19" s="35"/>
      <c r="F19" s="54" t="s">
        <v>161</v>
      </c>
      <c r="G19" s="173"/>
      <c r="H19" s="51"/>
      <c r="I19" s="35"/>
      <c r="J19" s="54" t="s">
        <v>161</v>
      </c>
      <c r="K19" s="173"/>
      <c r="L19" s="23"/>
    </row>
    <row r="20" spans="1:12" ht="12.75">
      <c r="A20" s="35"/>
      <c r="B20" s="36" t="s">
        <v>149</v>
      </c>
      <c r="C20" s="173"/>
      <c r="D20" s="81"/>
      <c r="E20" s="35"/>
      <c r="F20" s="36" t="s">
        <v>149</v>
      </c>
      <c r="G20" s="173"/>
      <c r="H20" s="51"/>
      <c r="I20" s="35"/>
      <c r="J20" s="36" t="s">
        <v>149</v>
      </c>
      <c r="K20" s="173"/>
      <c r="L20" s="27"/>
    </row>
    <row r="21" spans="1:12" ht="12.75">
      <c r="A21" s="35"/>
      <c r="B21" s="36" t="s">
        <v>162</v>
      </c>
      <c r="C21" s="169"/>
      <c r="D21" s="81"/>
      <c r="E21" s="35"/>
      <c r="F21" s="36" t="s">
        <v>162</v>
      </c>
      <c r="G21" s="169"/>
      <c r="H21" s="51"/>
      <c r="I21" s="35"/>
      <c r="J21" s="36" t="s">
        <v>162</v>
      </c>
      <c r="K21" s="169"/>
      <c r="L21" s="27"/>
    </row>
    <row r="22" spans="1:12" ht="12.75">
      <c r="A22" s="35"/>
      <c r="B22" s="36" t="s">
        <v>163</v>
      </c>
      <c r="C22" s="169"/>
      <c r="D22" s="81"/>
      <c r="E22" s="35"/>
      <c r="F22" s="36" t="s">
        <v>163</v>
      </c>
      <c r="G22" s="169"/>
      <c r="H22" s="76"/>
      <c r="I22" s="35"/>
      <c r="J22" s="36" t="s">
        <v>163</v>
      </c>
      <c r="K22" s="169"/>
      <c r="L22" s="27"/>
    </row>
    <row r="23" spans="1:12" ht="12.75">
      <c r="A23" s="35"/>
      <c r="B23" s="36" t="s">
        <v>10</v>
      </c>
      <c r="C23" s="169"/>
      <c r="D23" s="81"/>
      <c r="E23" s="35"/>
      <c r="F23" s="36" t="s">
        <v>7</v>
      </c>
      <c r="G23" s="169"/>
      <c r="H23" s="76"/>
      <c r="I23" s="35"/>
      <c r="J23" s="36" t="s">
        <v>8</v>
      </c>
      <c r="K23" s="169"/>
      <c r="L23" s="27"/>
    </row>
    <row r="24" spans="1:12" ht="12.75">
      <c r="A24" s="35"/>
      <c r="B24" s="36" t="s">
        <v>106</v>
      </c>
      <c r="C24" s="186"/>
      <c r="D24" s="81"/>
      <c r="E24" s="35"/>
      <c r="F24" s="36" t="s">
        <v>106</v>
      </c>
      <c r="G24" s="186"/>
      <c r="H24" s="76"/>
      <c r="I24" s="35"/>
      <c r="J24" s="36" t="s">
        <v>106</v>
      </c>
      <c r="K24" s="186"/>
      <c r="L24" s="27"/>
    </row>
    <row r="25" spans="1:12" ht="12.75">
      <c r="A25" s="35"/>
      <c r="B25" s="36" t="s">
        <v>105</v>
      </c>
      <c r="C25" s="187"/>
      <c r="D25" s="81"/>
      <c r="E25" s="35"/>
      <c r="F25" s="36" t="s">
        <v>105</v>
      </c>
      <c r="G25" s="187"/>
      <c r="H25" s="76"/>
      <c r="I25" s="35"/>
      <c r="J25" s="36" t="s">
        <v>105</v>
      </c>
      <c r="K25" s="187"/>
      <c r="L25" s="27"/>
    </row>
    <row r="26" spans="1:12" ht="12.75">
      <c r="A26" s="35"/>
      <c r="B26" s="36" t="s">
        <v>212</v>
      </c>
      <c r="C26" s="187"/>
      <c r="D26" s="84"/>
      <c r="E26" s="35"/>
      <c r="F26" s="36" t="s">
        <v>212</v>
      </c>
      <c r="G26" s="187"/>
      <c r="H26" s="76"/>
      <c r="I26" s="35"/>
      <c r="J26" s="36" t="s">
        <v>212</v>
      </c>
      <c r="K26" s="187"/>
      <c r="L26" s="29"/>
    </row>
    <row r="27" spans="1:12" ht="12.75">
      <c r="A27" s="35"/>
      <c r="B27" s="59" t="s">
        <v>95</v>
      </c>
      <c r="C27" s="188">
        <f>290*(10^((C25)*0.1)-1)</f>
        <v>0</v>
      </c>
      <c r="D27" s="81"/>
      <c r="E27" s="35"/>
      <c r="F27" s="59" t="s">
        <v>95</v>
      </c>
      <c r="G27" s="188">
        <f>290*(10^((G25)*0.1)-1)</f>
        <v>0</v>
      </c>
      <c r="H27" s="76"/>
      <c r="I27" s="35"/>
      <c r="J27" s="59" t="s">
        <v>95</v>
      </c>
      <c r="K27" s="188">
        <f>290*(10^((K25)*0.1)-1)</f>
        <v>0</v>
      </c>
      <c r="L27" s="27"/>
    </row>
    <row r="28" spans="1:12" ht="12.75">
      <c r="A28" s="35"/>
      <c r="B28" s="59" t="s">
        <v>166</v>
      </c>
      <c r="C28" s="174" t="e">
        <f>10*LOG(C26+C27)</f>
        <v>#NUM!</v>
      </c>
      <c r="D28" s="76"/>
      <c r="E28" s="35"/>
      <c r="F28" s="59" t="s">
        <v>166</v>
      </c>
      <c r="G28" s="174" t="e">
        <f>10*LOG(G26+G27)</f>
        <v>#NUM!</v>
      </c>
      <c r="H28" s="76"/>
      <c r="I28" s="35"/>
      <c r="J28" s="59" t="s">
        <v>166</v>
      </c>
      <c r="K28" s="174" t="e">
        <f>10*LOG(K26+K27)</f>
        <v>#NUM!</v>
      </c>
      <c r="L28" s="23"/>
    </row>
    <row r="29" spans="1:12" ht="12.75">
      <c r="A29" s="35"/>
      <c r="B29" s="61" t="s">
        <v>150</v>
      </c>
      <c r="C29" s="174" t="e">
        <f>C21-C23-C24-C28</f>
        <v>#NUM!</v>
      </c>
      <c r="D29" s="76"/>
      <c r="E29" s="35"/>
      <c r="F29" s="61" t="s">
        <v>150</v>
      </c>
      <c r="G29" s="174" t="e">
        <f>G21-G23-G24-G28</f>
        <v>#NUM!</v>
      </c>
      <c r="H29" s="76"/>
      <c r="I29" s="35"/>
      <c r="J29" s="61" t="s">
        <v>150</v>
      </c>
      <c r="K29" s="174" t="e">
        <f>K21-K23-K24-K28</f>
        <v>#NUM!</v>
      </c>
      <c r="L29" s="23"/>
    </row>
    <row r="30" spans="1:12" ht="12.75">
      <c r="A30" s="35"/>
      <c r="B30" s="59" t="s">
        <v>199</v>
      </c>
      <c r="C30" s="174" t="e">
        <f>C7-SUM(C13:C18)+C29+228.6-30</f>
        <v>#NUM!</v>
      </c>
      <c r="D30" s="76"/>
      <c r="E30" s="35"/>
      <c r="F30" s="59" t="s">
        <v>199</v>
      </c>
      <c r="G30" s="174" t="e">
        <f>G7-SUM(G13:G18)+G29+228.6-30</f>
        <v>#NUM!</v>
      </c>
      <c r="H30" s="76"/>
      <c r="I30" s="35"/>
      <c r="J30" s="59" t="s">
        <v>199</v>
      </c>
      <c r="K30" s="174" t="e">
        <f>K7-SUM(K13:K18)+K29+228.6-30</f>
        <v>#NUM!</v>
      </c>
      <c r="L30" s="23"/>
    </row>
    <row r="31" spans="1:12" ht="12.75">
      <c r="A31" s="35"/>
      <c r="B31" s="83" t="s">
        <v>194</v>
      </c>
      <c r="C31" s="193"/>
      <c r="D31" s="135"/>
      <c r="E31" s="132"/>
      <c r="F31" s="83" t="s">
        <v>194</v>
      </c>
      <c r="G31" s="193"/>
      <c r="H31" s="137"/>
      <c r="I31" s="35"/>
      <c r="J31" s="83" t="s">
        <v>194</v>
      </c>
      <c r="K31" s="193"/>
      <c r="L31" s="23"/>
    </row>
    <row r="32" spans="1:12" ht="12.75">
      <c r="A32" s="159"/>
      <c r="B32" s="36" t="s">
        <v>80</v>
      </c>
      <c r="C32" s="193"/>
      <c r="D32" s="135"/>
      <c r="E32" s="139"/>
      <c r="F32" s="61" t="s">
        <v>129</v>
      </c>
      <c r="G32" s="177" t="e">
        <f>G30-10*LOG(G5*1000)-G31</f>
        <v>#NUM!</v>
      </c>
      <c r="H32" s="137"/>
      <c r="I32" s="132"/>
      <c r="J32" s="36" t="s">
        <v>80</v>
      </c>
      <c r="K32" s="193"/>
      <c r="L32" s="23"/>
    </row>
    <row r="33" spans="1:12" ht="12.75">
      <c r="A33" s="132"/>
      <c r="B33" s="54" t="s">
        <v>31</v>
      </c>
      <c r="C33" s="169"/>
      <c r="D33" s="135"/>
      <c r="E33" s="139"/>
      <c r="F33" s="76" t="s">
        <v>196</v>
      </c>
      <c r="G33" s="184">
        <v>4.6</v>
      </c>
      <c r="H33" s="137"/>
      <c r="I33" s="99"/>
      <c r="J33" s="54" t="s">
        <v>31</v>
      </c>
      <c r="K33" s="193"/>
      <c r="L33" s="23"/>
    </row>
    <row r="34" spans="1:12" ht="12.75">
      <c r="A34" s="99"/>
      <c r="B34" s="61" t="s">
        <v>129</v>
      </c>
      <c r="C34" s="177" t="e">
        <f>C30-10*LOG(C5*1000)-C31-C33</f>
        <v>#NUM!</v>
      </c>
      <c r="D34" s="135"/>
      <c r="E34" s="139"/>
      <c r="F34" s="83" t="s">
        <v>152</v>
      </c>
      <c r="G34" s="187"/>
      <c r="H34" s="137"/>
      <c r="I34" s="139"/>
      <c r="J34" s="61" t="s">
        <v>129</v>
      </c>
      <c r="K34" s="177" t="e">
        <f>K30-10*LOG(K5*1000)-K31-K33</f>
        <v>#NUM!</v>
      </c>
      <c r="L34" s="23"/>
    </row>
    <row r="35" spans="1:12" ht="12.75">
      <c r="A35" s="139"/>
      <c r="B35" s="76" t="s">
        <v>196</v>
      </c>
      <c r="C35" s="184">
        <v>4.6</v>
      </c>
      <c r="D35" s="135"/>
      <c r="E35" s="141"/>
      <c r="F35" s="61" t="s">
        <v>139</v>
      </c>
      <c r="G35" s="177" t="e">
        <f>G32-G33-G34</f>
        <v>#NUM!</v>
      </c>
      <c r="H35" s="137"/>
      <c r="I35" s="139"/>
      <c r="J35" s="76" t="s">
        <v>196</v>
      </c>
      <c r="K35" s="184">
        <v>4.6</v>
      </c>
      <c r="L35" s="23"/>
    </row>
    <row r="36" spans="1:12" ht="12.75">
      <c r="A36" s="139"/>
      <c r="B36" s="83" t="s">
        <v>152</v>
      </c>
      <c r="C36" s="187"/>
      <c r="D36" s="135"/>
      <c r="E36" s="141"/>
      <c r="F36" s="140"/>
      <c r="G36" s="199"/>
      <c r="H36" s="137"/>
      <c r="I36" s="139"/>
      <c r="J36" s="83" t="s">
        <v>152</v>
      </c>
      <c r="K36" s="187"/>
      <c r="L36" s="23"/>
    </row>
    <row r="37" spans="1:11" ht="12.75">
      <c r="A37" s="139"/>
      <c r="B37" s="61" t="s">
        <v>32</v>
      </c>
      <c r="C37" s="177" t="e">
        <f>C34-C35-C36</f>
        <v>#NUM!</v>
      </c>
      <c r="D37" s="136"/>
      <c r="E37" s="141"/>
      <c r="F37" s="140"/>
      <c r="G37" s="200"/>
      <c r="H37" s="138"/>
      <c r="I37" s="141"/>
      <c r="J37" s="61" t="s">
        <v>139</v>
      </c>
      <c r="K37" s="177" t="e">
        <f>K34-K35-K36</f>
        <v>#NUM!</v>
      </c>
    </row>
    <row r="38" spans="1:11" ht="12.75">
      <c r="A38" s="141"/>
      <c r="B38" s="143"/>
      <c r="C38" s="204"/>
      <c r="D38" s="144"/>
      <c r="E38" s="141"/>
      <c r="F38" s="124"/>
      <c r="G38" s="201"/>
      <c r="H38" s="138"/>
      <c r="I38" s="136"/>
      <c r="J38" s="143"/>
      <c r="K38" s="203"/>
    </row>
    <row r="39" spans="1:11" ht="12.75">
      <c r="A39" s="142"/>
      <c r="B39" s="140"/>
      <c r="C39" s="200"/>
      <c r="D39" s="145"/>
      <c r="E39" s="141"/>
      <c r="F39" s="141"/>
      <c r="G39" s="199"/>
      <c r="H39" s="138"/>
      <c r="I39" s="136"/>
      <c r="J39" s="124"/>
      <c r="K39" s="201"/>
    </row>
    <row r="40" spans="1:11" ht="12.75">
      <c r="A40" s="141"/>
      <c r="B40" s="124"/>
      <c r="C40" s="201"/>
      <c r="D40" s="145"/>
      <c r="J40" s="141"/>
      <c r="K40" s="199"/>
    </row>
    <row r="41" spans="1:3" ht="12.75">
      <c r="A41" s="141"/>
      <c r="B41" s="134"/>
      <c r="C41" s="205"/>
    </row>
    <row r="42" spans="1:3" ht="12.75">
      <c r="A42" s="134"/>
      <c r="B42" s="134"/>
      <c r="C42" s="205"/>
    </row>
    <row r="43" ht="12.75">
      <c r="A43" s="134"/>
    </row>
  </sheetData>
  <printOptions gridLines="1"/>
  <pageMargins left="0.56" right="0.55" top="0.55" bottom="0.5" header="0.33" footer="0.5"/>
  <pageSetup fitToHeight="1" fitToWidth="1" horizontalDpi="600" verticalDpi="600" orientation="landscape" scale="73"/>
  <headerFooter alignWithMargins="0">
    <oddHeader>&amp;L&amp;F     Printed &amp;D &amp;T&amp;C &amp;A&amp;R&amp;P/&amp;N</oddHeader>
  </headerFooter>
  <legacyDrawing r:id="rId2"/>
</worksheet>
</file>

<file path=xl/worksheets/sheet11.xml><?xml version="1.0" encoding="utf-8"?>
<worksheet xmlns="http://schemas.openxmlformats.org/spreadsheetml/2006/main" xmlns:r="http://schemas.openxmlformats.org/officeDocument/2006/relationships">
  <sheetPr>
    <tabColor indexed="47"/>
    <pageSetUpPr fitToPage="1"/>
  </sheetPr>
  <dimension ref="A1:L52"/>
  <sheetViews>
    <sheetView workbookViewId="0" topLeftCell="A1">
      <selection activeCell="G32" sqref="G32"/>
    </sheetView>
  </sheetViews>
  <sheetFormatPr defaultColWidth="9.140625" defaultRowHeight="12.75"/>
  <cols>
    <col min="1" max="1" width="6.140625" style="22" customWidth="1"/>
    <col min="2" max="2" width="42.8515625" style="22" customWidth="1"/>
    <col min="3" max="3" width="12.140625" style="189" customWidth="1"/>
    <col min="4" max="4" width="2.7109375" style="22" customWidth="1"/>
    <col min="5" max="5" width="4.28125" style="22" customWidth="1"/>
    <col min="6" max="6" width="37.28125" style="22" customWidth="1"/>
    <col min="7" max="7" width="11.7109375" style="189" customWidth="1"/>
    <col min="8" max="8" width="3.140625" style="22" customWidth="1"/>
    <col min="9" max="9" width="6.140625" style="22" customWidth="1"/>
    <col min="10" max="10" width="37.421875" style="22" customWidth="1"/>
    <col min="11" max="11" width="10.00390625" style="189" customWidth="1"/>
    <col min="12" max="12" width="5.28125" style="22" customWidth="1"/>
    <col min="13" max="13" width="6.140625" style="22" customWidth="1"/>
    <col min="14" max="14" width="36.8515625" style="22" customWidth="1"/>
    <col min="15" max="15" width="19.421875" style="22" customWidth="1"/>
    <col min="16" max="16" width="9.140625" style="22" customWidth="1"/>
    <col min="17" max="17" width="6.140625" style="22" customWidth="1"/>
    <col min="18" max="18" width="37.421875" style="22" customWidth="1"/>
    <col min="19" max="19" width="19.421875" style="22" customWidth="1"/>
    <col min="20" max="16384" width="9.140625" style="22" customWidth="1"/>
  </cols>
  <sheetData>
    <row r="1" spans="1:11" ht="12.75">
      <c r="A1" s="216" t="s">
        <v>118</v>
      </c>
      <c r="B1" s="217"/>
      <c r="C1" s="217"/>
      <c r="D1" s="217"/>
      <c r="E1" s="217"/>
      <c r="F1" s="217"/>
      <c r="G1" s="217"/>
      <c r="H1" s="217"/>
      <c r="I1" s="217"/>
      <c r="J1" s="218"/>
      <c r="K1" s="167"/>
    </row>
    <row r="2" spans="1:12" ht="12.75">
      <c r="A2" s="30"/>
      <c r="B2" s="32" t="s">
        <v>110</v>
      </c>
      <c r="C2" s="167"/>
      <c r="E2" s="30"/>
      <c r="F2" s="32" t="s">
        <v>217</v>
      </c>
      <c r="G2" s="167"/>
      <c r="H2" s="2"/>
      <c r="I2" s="30"/>
      <c r="J2" s="32" t="s">
        <v>209</v>
      </c>
      <c r="K2" s="167"/>
      <c r="L2" s="2"/>
    </row>
    <row r="3" spans="1:12" ht="12.75">
      <c r="A3" s="33" t="s">
        <v>75</v>
      </c>
      <c r="B3" s="31" t="s">
        <v>142</v>
      </c>
      <c r="C3" s="168"/>
      <c r="E3" s="33" t="s">
        <v>170</v>
      </c>
      <c r="F3" s="31"/>
      <c r="G3" s="168"/>
      <c r="H3" s="9"/>
      <c r="I3" s="33" t="s">
        <v>170</v>
      </c>
      <c r="J3" s="31"/>
      <c r="K3" s="168"/>
      <c r="L3" s="9"/>
    </row>
    <row r="4" spans="1:12" ht="12.75">
      <c r="A4" s="35"/>
      <c r="B4" s="31" t="s">
        <v>211</v>
      </c>
      <c r="C4" s="167">
        <v>2036</v>
      </c>
      <c r="E4" s="35"/>
      <c r="F4" s="31" t="s">
        <v>211</v>
      </c>
      <c r="G4" s="167">
        <v>2036</v>
      </c>
      <c r="H4" s="2"/>
      <c r="I4" s="35"/>
      <c r="J4" s="31" t="s">
        <v>211</v>
      </c>
      <c r="K4" s="167">
        <v>2036</v>
      </c>
      <c r="L4" s="4"/>
    </row>
    <row r="5" spans="1:12" ht="12.75">
      <c r="A5" s="35"/>
      <c r="B5" s="31" t="s">
        <v>184</v>
      </c>
      <c r="C5" s="172">
        <v>3.5</v>
      </c>
      <c r="E5" s="35"/>
      <c r="F5" s="31" t="s">
        <v>184</v>
      </c>
      <c r="G5" s="172">
        <v>3.5</v>
      </c>
      <c r="H5" s="2"/>
      <c r="I5" s="35"/>
      <c r="J5" s="31" t="s">
        <v>184</v>
      </c>
      <c r="K5" s="172">
        <v>0.87</v>
      </c>
      <c r="L5" s="4"/>
    </row>
    <row r="6" spans="1:12" ht="12.75">
      <c r="A6" s="35"/>
      <c r="B6" s="31" t="s">
        <v>195</v>
      </c>
      <c r="C6" s="172">
        <f>C5*8/7</f>
        <v>4</v>
      </c>
      <c r="E6" s="35"/>
      <c r="F6" s="31" t="s">
        <v>195</v>
      </c>
      <c r="G6" s="172">
        <f>G5*8/7</f>
        <v>4</v>
      </c>
      <c r="H6" s="6"/>
      <c r="I6" s="35"/>
      <c r="J6" s="31" t="s">
        <v>195</v>
      </c>
      <c r="K6" s="172">
        <f>K5*8/7</f>
        <v>0.9942857142857143</v>
      </c>
      <c r="L6" s="4"/>
    </row>
    <row r="7" spans="1:12" ht="12.75">
      <c r="A7" s="34"/>
      <c r="B7" s="34" t="s">
        <v>57</v>
      </c>
      <c r="C7" s="172">
        <v>101.25</v>
      </c>
      <c r="E7" s="34"/>
      <c r="F7" s="34" t="s">
        <v>57</v>
      </c>
      <c r="G7" s="172">
        <v>113.25</v>
      </c>
      <c r="H7" s="7"/>
      <c r="I7" s="34"/>
      <c r="J7" s="34" t="s">
        <v>57</v>
      </c>
      <c r="K7" s="172">
        <v>117.25</v>
      </c>
      <c r="L7" s="4"/>
    </row>
    <row r="8" spans="1:12" ht="12.75">
      <c r="A8" s="35"/>
      <c r="B8" s="31"/>
      <c r="C8" s="172"/>
      <c r="E8" s="35"/>
      <c r="F8" s="31"/>
      <c r="G8" s="172"/>
      <c r="H8" s="1"/>
      <c r="I8" s="35"/>
      <c r="J8" s="31"/>
      <c r="K8" s="172"/>
      <c r="L8" s="2"/>
    </row>
    <row r="9" spans="1:12" ht="12.75">
      <c r="A9" s="33" t="s">
        <v>171</v>
      </c>
      <c r="B9" s="45"/>
      <c r="C9" s="172"/>
      <c r="E9" s="33" t="s">
        <v>171</v>
      </c>
      <c r="F9" s="45"/>
      <c r="G9" s="172"/>
      <c r="H9" s="17"/>
      <c r="I9" s="33" t="s">
        <v>171</v>
      </c>
      <c r="J9" s="45"/>
      <c r="K9" s="172"/>
      <c r="L9" s="2"/>
    </row>
    <row r="10" spans="1:12" ht="12.75">
      <c r="A10" s="35"/>
      <c r="B10" s="76" t="s">
        <v>143</v>
      </c>
      <c r="C10" s="184">
        <v>35784</v>
      </c>
      <c r="E10" s="77"/>
      <c r="F10" s="76" t="s">
        <v>143</v>
      </c>
      <c r="G10" s="184">
        <v>35784</v>
      </c>
      <c r="H10" s="1"/>
      <c r="I10" s="35"/>
      <c r="J10" s="76" t="s">
        <v>143</v>
      </c>
      <c r="K10" s="195">
        <v>100000</v>
      </c>
      <c r="L10" s="2"/>
    </row>
    <row r="11" spans="1:12" ht="12.75">
      <c r="A11" s="35"/>
      <c r="B11" s="76" t="s">
        <v>144</v>
      </c>
      <c r="C11" s="184">
        <v>13.8</v>
      </c>
      <c r="E11" s="77"/>
      <c r="F11" s="76" t="s">
        <v>144</v>
      </c>
      <c r="G11" s="184">
        <v>13.8</v>
      </c>
      <c r="H11" s="1"/>
      <c r="I11" s="35"/>
      <c r="J11" s="76" t="s">
        <v>144</v>
      </c>
      <c r="K11" s="184">
        <v>5</v>
      </c>
      <c r="L11" s="2"/>
    </row>
    <row r="12" spans="1:12" ht="12.75">
      <c r="A12" s="35"/>
      <c r="B12" s="76" t="s">
        <v>145</v>
      </c>
      <c r="C12" s="185">
        <f>SQRT((6378+C10)^2-(6378*COS(PI()/180*C11))^2)-6378*SIN(PI()/180*C11)</f>
        <v>40183.18870290123</v>
      </c>
      <c r="E12" s="77"/>
      <c r="F12" s="76" t="s">
        <v>145</v>
      </c>
      <c r="G12" s="185">
        <f>SQRT((6378+G10)^2-(6378*COS(PI()/180*G11))^2)-6378*SIN(PI()/180*G11)</f>
        <v>40183.18870290123</v>
      </c>
      <c r="H12" s="1"/>
      <c r="I12" s="35"/>
      <c r="J12" s="76" t="s">
        <v>145</v>
      </c>
      <c r="K12" s="185">
        <f>SQRT((6378+K10)^2-(6378*COS(PI()/180*K11))^2)-6378*SIN(PI()/180*K11)</f>
        <v>105632.20381689387</v>
      </c>
      <c r="L12" s="2"/>
    </row>
    <row r="13" spans="1:12" ht="12.75">
      <c r="A13" s="35"/>
      <c r="B13" s="31" t="s">
        <v>146</v>
      </c>
      <c r="C13" s="172">
        <f>-(20*LOG(299.792458/(C4*4*3.141592654))-20*LOG(C12*1000))</f>
        <v>190.7042266333205</v>
      </c>
      <c r="E13" s="77"/>
      <c r="F13" s="76" t="s">
        <v>146</v>
      </c>
      <c r="G13" s="192">
        <f>-(20*LOG(299.792458/(G4*4*3.141592654))-20*LOG(G12*1000))</f>
        <v>190.7042266333205</v>
      </c>
      <c r="H13" s="4"/>
      <c r="I13" s="35"/>
      <c r="J13" s="31" t="s">
        <v>146</v>
      </c>
      <c r="K13" s="172">
        <f>-(20*LOG(299.792458/(K4*4*3.141592654))-20*LOG(K12*1000))</f>
        <v>199.09926550872007</v>
      </c>
      <c r="L13" s="4"/>
    </row>
    <row r="14" spans="1:12" ht="12.75">
      <c r="A14" s="35"/>
      <c r="B14" s="31" t="s">
        <v>159</v>
      </c>
      <c r="C14" s="172">
        <v>1</v>
      </c>
      <c r="E14" s="35"/>
      <c r="F14" s="31" t="s">
        <v>159</v>
      </c>
      <c r="G14" s="172">
        <v>1</v>
      </c>
      <c r="H14" s="4"/>
      <c r="I14" s="35"/>
      <c r="J14" s="31" t="s">
        <v>159</v>
      </c>
      <c r="K14" s="172">
        <v>2.5</v>
      </c>
      <c r="L14" s="4"/>
    </row>
    <row r="15" spans="1:12" ht="12.75">
      <c r="A15" s="35"/>
      <c r="B15" s="31"/>
      <c r="C15" s="172"/>
      <c r="E15" s="35"/>
      <c r="F15" s="31"/>
      <c r="G15" s="172"/>
      <c r="H15" s="4"/>
      <c r="I15" s="35"/>
      <c r="J15" s="31"/>
      <c r="K15" s="172"/>
      <c r="L15" s="4"/>
    </row>
    <row r="16" spans="1:12" ht="12.75">
      <c r="A16" s="33" t="s">
        <v>52</v>
      </c>
      <c r="B16" s="31"/>
      <c r="C16" s="172"/>
      <c r="E16" s="33" t="s">
        <v>52</v>
      </c>
      <c r="F16" s="31"/>
      <c r="G16" s="172"/>
      <c r="H16" s="1"/>
      <c r="I16" s="33" t="s">
        <v>52</v>
      </c>
      <c r="J16" s="31"/>
      <c r="K16" s="172"/>
      <c r="L16" s="4"/>
    </row>
    <row r="17" spans="1:12" ht="12.75">
      <c r="A17" s="35"/>
      <c r="B17" s="58" t="s">
        <v>147</v>
      </c>
      <c r="C17" s="173"/>
      <c r="E17" s="35"/>
      <c r="F17" s="58" t="s">
        <v>147</v>
      </c>
      <c r="G17" s="173"/>
      <c r="H17" s="2"/>
      <c r="I17" s="35"/>
      <c r="J17" s="58" t="s">
        <v>147</v>
      </c>
      <c r="K17" s="173"/>
      <c r="L17" s="1"/>
    </row>
    <row r="18" spans="1:12" ht="12.75">
      <c r="A18" s="35"/>
      <c r="B18" s="36" t="s">
        <v>99</v>
      </c>
      <c r="C18" s="173"/>
      <c r="E18" s="35"/>
      <c r="F18" s="36" t="s">
        <v>99</v>
      </c>
      <c r="G18" s="173"/>
      <c r="H18" s="1"/>
      <c r="I18" s="35"/>
      <c r="J18" s="36" t="s">
        <v>99</v>
      </c>
      <c r="K18" s="173"/>
      <c r="L18" s="2"/>
    </row>
    <row r="19" spans="1:12" ht="12.75">
      <c r="A19" s="35"/>
      <c r="B19" s="54" t="s">
        <v>161</v>
      </c>
      <c r="C19" s="173"/>
      <c r="E19" s="35"/>
      <c r="F19" s="54" t="s">
        <v>161</v>
      </c>
      <c r="G19" s="173"/>
      <c r="H19" s="13"/>
      <c r="I19" s="35"/>
      <c r="J19" s="54" t="s">
        <v>161</v>
      </c>
      <c r="K19" s="173"/>
      <c r="L19" s="2"/>
    </row>
    <row r="20" spans="1:12" ht="12.75">
      <c r="A20" s="35"/>
      <c r="B20" s="36" t="s">
        <v>149</v>
      </c>
      <c r="C20" s="173"/>
      <c r="E20" s="35"/>
      <c r="F20" s="36" t="s">
        <v>149</v>
      </c>
      <c r="G20" s="173"/>
      <c r="H20" s="8"/>
      <c r="I20" s="35"/>
      <c r="J20" s="36" t="s">
        <v>149</v>
      </c>
      <c r="K20" s="173"/>
      <c r="L20" s="4"/>
    </row>
    <row r="21" spans="1:12" ht="12.75">
      <c r="A21" s="35"/>
      <c r="B21" s="36" t="s">
        <v>162</v>
      </c>
      <c r="C21" s="169"/>
      <c r="E21" s="35"/>
      <c r="F21" s="36" t="s">
        <v>162</v>
      </c>
      <c r="G21" s="169"/>
      <c r="H21" s="8"/>
      <c r="I21" s="35"/>
      <c r="J21" s="36" t="s">
        <v>162</v>
      </c>
      <c r="K21" s="169"/>
      <c r="L21" s="2"/>
    </row>
    <row r="22" spans="1:12" ht="12.75">
      <c r="A22" s="35"/>
      <c r="B22" s="36" t="s">
        <v>163</v>
      </c>
      <c r="C22" s="169"/>
      <c r="E22" s="35"/>
      <c r="F22" s="36" t="s">
        <v>163</v>
      </c>
      <c r="G22" s="169"/>
      <c r="H22" s="14"/>
      <c r="I22" s="35"/>
      <c r="J22" s="36" t="s">
        <v>163</v>
      </c>
      <c r="K22" s="169"/>
      <c r="L22" s="2"/>
    </row>
    <row r="23" spans="1:12" ht="12.75">
      <c r="A23" s="35"/>
      <c r="B23" s="36" t="s">
        <v>33</v>
      </c>
      <c r="C23" s="169"/>
      <c r="E23" s="35"/>
      <c r="F23" s="36" t="s">
        <v>100</v>
      </c>
      <c r="G23" s="169"/>
      <c r="H23" s="1"/>
      <c r="I23" s="35"/>
      <c r="J23" s="36" t="s">
        <v>100</v>
      </c>
      <c r="K23" s="169"/>
      <c r="L23" s="2"/>
    </row>
    <row r="24" spans="1:12" ht="12.75">
      <c r="A24" s="35"/>
      <c r="B24" s="36" t="s">
        <v>107</v>
      </c>
      <c r="C24" s="186"/>
      <c r="E24" s="35"/>
      <c r="F24" s="36" t="s">
        <v>106</v>
      </c>
      <c r="G24" s="186"/>
      <c r="H24" s="2"/>
      <c r="I24" s="35"/>
      <c r="J24" s="36" t="s">
        <v>106</v>
      </c>
      <c r="K24" s="186"/>
      <c r="L24" s="3"/>
    </row>
    <row r="25" spans="1:12" ht="12.75">
      <c r="A25" s="35"/>
      <c r="B25" s="36" t="s">
        <v>108</v>
      </c>
      <c r="C25" s="187"/>
      <c r="E25" s="35"/>
      <c r="F25" s="36" t="s">
        <v>108</v>
      </c>
      <c r="G25" s="187"/>
      <c r="H25" s="5"/>
      <c r="I25" s="35"/>
      <c r="J25" s="36" t="s">
        <v>108</v>
      </c>
      <c r="K25" s="187"/>
      <c r="L25" s="14"/>
    </row>
    <row r="26" spans="1:12" ht="12.75">
      <c r="A26" s="35"/>
      <c r="B26" s="36" t="s">
        <v>212</v>
      </c>
      <c r="C26" s="187"/>
      <c r="E26" s="35"/>
      <c r="F26" s="36" t="s">
        <v>212</v>
      </c>
      <c r="G26" s="187"/>
      <c r="H26" s="1"/>
      <c r="I26" s="35"/>
      <c r="J26" s="36" t="s">
        <v>212</v>
      </c>
      <c r="K26" s="187"/>
      <c r="L26" s="3"/>
    </row>
    <row r="27" spans="1:12" ht="12.75">
      <c r="A27" s="35"/>
      <c r="B27" s="59" t="s">
        <v>95</v>
      </c>
      <c r="C27" s="188">
        <f>290*(10^((C25)*0.1)-1)</f>
        <v>0</v>
      </c>
      <c r="E27" s="35"/>
      <c r="F27" s="59" t="s">
        <v>95</v>
      </c>
      <c r="G27" s="188">
        <f>290*(10^((G25)*0.1)-1)</f>
        <v>0</v>
      </c>
      <c r="H27" s="1"/>
      <c r="I27" s="35"/>
      <c r="J27" s="59" t="s">
        <v>95</v>
      </c>
      <c r="K27" s="188">
        <f>290*(10^((K25)*0.1)-1)</f>
        <v>0</v>
      </c>
      <c r="L27" s="2"/>
    </row>
    <row r="28" spans="1:12" ht="12.75">
      <c r="A28" s="35"/>
      <c r="B28" s="59" t="s">
        <v>109</v>
      </c>
      <c r="C28" s="174" t="e">
        <f>10*LOG(C26+C27)</f>
        <v>#NUM!</v>
      </c>
      <c r="E28" s="35"/>
      <c r="F28" s="59" t="s">
        <v>166</v>
      </c>
      <c r="G28" s="174" t="e">
        <f>10*LOG(G26+G27)</f>
        <v>#NUM!</v>
      </c>
      <c r="H28" s="1"/>
      <c r="I28" s="35"/>
      <c r="J28" s="59" t="s">
        <v>166</v>
      </c>
      <c r="K28" s="174" t="e">
        <f>10*LOG(K26+K27)</f>
        <v>#NUM!</v>
      </c>
      <c r="L28" s="2"/>
    </row>
    <row r="29" spans="1:12" ht="12.75">
      <c r="A29" s="35"/>
      <c r="B29" s="61" t="s">
        <v>150</v>
      </c>
      <c r="C29" s="174" t="e">
        <f>C21-C23-C24-C28</f>
        <v>#NUM!</v>
      </c>
      <c r="E29" s="35"/>
      <c r="F29" s="61" t="s">
        <v>150</v>
      </c>
      <c r="G29" s="174" t="e">
        <f>G21-G23-G24-G28</f>
        <v>#NUM!</v>
      </c>
      <c r="H29" s="1"/>
      <c r="I29" s="35"/>
      <c r="J29" s="61" t="s">
        <v>150</v>
      </c>
      <c r="K29" s="174" t="e">
        <f>K21-K23-K24-K28</f>
        <v>#NUM!</v>
      </c>
      <c r="L29" s="2"/>
    </row>
    <row r="30" spans="1:12" ht="12.75">
      <c r="A30" s="35"/>
      <c r="B30" s="59" t="s">
        <v>151</v>
      </c>
      <c r="C30" s="174" t="e">
        <f>C7-SUM(C13:C18)+C29+228.6-30</f>
        <v>#NUM!</v>
      </c>
      <c r="E30" s="35"/>
      <c r="F30" s="59" t="s">
        <v>199</v>
      </c>
      <c r="G30" s="174" t="e">
        <f>G7-SUM(G13:G18)+G29+228.6-30</f>
        <v>#NUM!</v>
      </c>
      <c r="H30" s="1"/>
      <c r="I30" s="35"/>
      <c r="J30" s="59" t="s">
        <v>199</v>
      </c>
      <c r="K30" s="174" t="e">
        <f>K7-SUM(K13:K18)+K29+228.6-30</f>
        <v>#NUM!</v>
      </c>
      <c r="L30" s="2"/>
    </row>
    <row r="31" spans="1:12" ht="12.75">
      <c r="A31" s="35"/>
      <c r="B31" s="31"/>
      <c r="C31" s="172"/>
      <c r="E31" s="159"/>
      <c r="F31" s="31"/>
      <c r="G31" s="172"/>
      <c r="H31" s="1"/>
      <c r="I31" s="35"/>
      <c r="J31" s="31"/>
      <c r="K31" s="172"/>
      <c r="L31" s="2"/>
    </row>
    <row r="32" spans="1:12" ht="12.75">
      <c r="A32" s="35"/>
      <c r="B32" s="34" t="s">
        <v>114</v>
      </c>
      <c r="C32" s="172"/>
      <c r="E32" s="159"/>
      <c r="F32" s="34" t="s">
        <v>114</v>
      </c>
      <c r="G32" s="172"/>
      <c r="H32" s="1"/>
      <c r="I32" s="35"/>
      <c r="J32" s="34" t="s">
        <v>114</v>
      </c>
      <c r="K32" s="172"/>
      <c r="L32" s="2"/>
    </row>
    <row r="33" spans="1:12" ht="12.75">
      <c r="A33" s="56"/>
      <c r="B33" s="36" t="s">
        <v>80</v>
      </c>
      <c r="C33" s="169"/>
      <c r="E33" s="159"/>
      <c r="F33" s="36" t="s">
        <v>80</v>
      </c>
      <c r="G33" s="169"/>
      <c r="H33" s="1"/>
      <c r="I33" s="35"/>
      <c r="J33" s="36" t="s">
        <v>80</v>
      </c>
      <c r="K33" s="169"/>
      <c r="L33" s="2"/>
    </row>
    <row r="34" spans="1:12" ht="12.75">
      <c r="A34" s="68"/>
      <c r="B34" s="36" t="s">
        <v>220</v>
      </c>
      <c r="C34" s="169"/>
      <c r="E34" s="159"/>
      <c r="F34" s="36" t="s">
        <v>222</v>
      </c>
      <c r="G34" s="169"/>
      <c r="H34" s="1"/>
      <c r="I34" s="35"/>
      <c r="J34" s="36" t="s">
        <v>222</v>
      </c>
      <c r="K34" s="169"/>
      <c r="L34" s="2"/>
    </row>
    <row r="35" spans="1:12" ht="12.75">
      <c r="A35" s="68"/>
      <c r="B35" s="36" t="s">
        <v>194</v>
      </c>
      <c r="C35" s="169"/>
      <c r="E35" s="132"/>
      <c r="F35" s="83" t="s">
        <v>194</v>
      </c>
      <c r="G35" s="193"/>
      <c r="H35" s="16"/>
      <c r="I35" s="35"/>
      <c r="J35" s="83" t="s">
        <v>194</v>
      </c>
      <c r="K35" s="193"/>
      <c r="L35" s="2"/>
    </row>
    <row r="36" spans="1:12" ht="12.75">
      <c r="A36" s="56"/>
      <c r="B36" s="61" t="s">
        <v>129</v>
      </c>
      <c r="C36" s="177" t="e">
        <f>C30-10*LOG(C5*1000)-C35-C34</f>
        <v>#NUM!</v>
      </c>
      <c r="E36" s="139"/>
      <c r="F36" s="61" t="s">
        <v>160</v>
      </c>
      <c r="G36" s="177" t="e">
        <f>G30-10*LOG(G5*1000)-G35-G34</f>
        <v>#NUM!</v>
      </c>
      <c r="H36" s="1"/>
      <c r="I36" s="56"/>
      <c r="J36" s="61" t="s">
        <v>160</v>
      </c>
      <c r="K36" s="177" t="e">
        <f>K30-10*LOG(K5*1000)-K34-K35</f>
        <v>#NUM!</v>
      </c>
      <c r="L36" s="2"/>
    </row>
    <row r="37" spans="1:12" ht="12.75">
      <c r="A37" s="56"/>
      <c r="B37" s="31" t="s">
        <v>196</v>
      </c>
      <c r="C37" s="167">
        <v>4.6</v>
      </c>
      <c r="E37" s="139"/>
      <c r="F37" s="76" t="s">
        <v>196</v>
      </c>
      <c r="G37" s="184">
        <v>4.6</v>
      </c>
      <c r="H37" s="1"/>
      <c r="I37" s="56"/>
      <c r="J37" s="76" t="s">
        <v>196</v>
      </c>
      <c r="K37" s="184">
        <v>4.6</v>
      </c>
      <c r="L37" s="2"/>
    </row>
    <row r="38" spans="1:12" ht="12.75">
      <c r="A38" s="56"/>
      <c r="B38" s="36" t="s">
        <v>152</v>
      </c>
      <c r="C38" s="187"/>
      <c r="E38" s="139"/>
      <c r="F38" s="83" t="s">
        <v>152</v>
      </c>
      <c r="G38" s="187"/>
      <c r="H38" s="1"/>
      <c r="I38" s="68"/>
      <c r="J38" s="83" t="s">
        <v>152</v>
      </c>
      <c r="K38" s="187"/>
      <c r="L38" s="2"/>
    </row>
    <row r="39" spans="1:12" ht="12.75">
      <c r="A39" s="56"/>
      <c r="B39" s="61" t="s">
        <v>32</v>
      </c>
      <c r="C39" s="177" t="e">
        <f>C36-C37-C38</f>
        <v>#NUM!</v>
      </c>
      <c r="E39" s="141"/>
      <c r="F39" s="61" t="s">
        <v>11</v>
      </c>
      <c r="G39" s="177" t="e">
        <f>G36-G37-G38</f>
        <v>#NUM!</v>
      </c>
      <c r="H39" s="2"/>
      <c r="I39" s="56"/>
      <c r="J39" s="61" t="s">
        <v>12</v>
      </c>
      <c r="K39" s="177" t="e">
        <f>K36-K37-K38</f>
        <v>#NUM!</v>
      </c>
      <c r="L39" s="2"/>
    </row>
    <row r="40" spans="5:12" ht="12.75">
      <c r="E40" s="156"/>
      <c r="F40" s="157"/>
      <c r="G40" s="194"/>
      <c r="H40" s="97"/>
      <c r="I40" s="132"/>
      <c r="J40" s="146"/>
      <c r="K40" s="196"/>
      <c r="L40" s="97"/>
    </row>
    <row r="41" spans="2:12" ht="12.75">
      <c r="B41" s="124" t="s">
        <v>115</v>
      </c>
      <c r="C41" s="190"/>
      <c r="E41" s="158"/>
      <c r="F41" s="124" t="s">
        <v>115</v>
      </c>
      <c r="G41" s="190"/>
      <c r="H41" s="97"/>
      <c r="I41" s="99"/>
      <c r="J41" s="124" t="s">
        <v>115</v>
      </c>
      <c r="K41" s="190"/>
      <c r="L41" s="97"/>
    </row>
    <row r="42" spans="2:12" ht="12.75">
      <c r="B42" s="89" t="s">
        <v>81</v>
      </c>
      <c r="C42" s="182"/>
      <c r="E42" s="158"/>
      <c r="F42" s="89" t="s">
        <v>81</v>
      </c>
      <c r="G42" s="182"/>
      <c r="H42" s="97"/>
      <c r="I42" s="99"/>
      <c r="J42" s="89" t="s">
        <v>81</v>
      </c>
      <c r="K42" s="182"/>
      <c r="L42" s="97"/>
    </row>
    <row r="43" spans="2:12" ht="12.75">
      <c r="B43" s="89" t="s">
        <v>39</v>
      </c>
      <c r="C43" s="182"/>
      <c r="E43" s="158"/>
      <c r="F43" s="89" t="s">
        <v>116</v>
      </c>
      <c r="G43" s="182"/>
      <c r="H43" s="97"/>
      <c r="I43" s="97"/>
      <c r="J43" s="89" t="s">
        <v>116</v>
      </c>
      <c r="K43" s="182"/>
      <c r="L43" s="97"/>
    </row>
    <row r="44" spans="2:11" ht="12.75">
      <c r="B44" s="91" t="s">
        <v>38</v>
      </c>
      <c r="C44" s="182"/>
      <c r="F44" s="91" t="s">
        <v>38</v>
      </c>
      <c r="G44" s="182"/>
      <c r="J44" s="91" t="s">
        <v>38</v>
      </c>
      <c r="K44" s="182"/>
    </row>
    <row r="45" spans="2:12" ht="12.75">
      <c r="B45" s="166" t="s">
        <v>42</v>
      </c>
      <c r="C45" s="180" t="e">
        <f>C30-C43</f>
        <v>#NUM!</v>
      </c>
      <c r="F45" s="166" t="s">
        <v>42</v>
      </c>
      <c r="G45" s="180" t="e">
        <f>G30-G43</f>
        <v>#NUM!</v>
      </c>
      <c r="H45" s="2"/>
      <c r="I45" s="2"/>
      <c r="J45" s="166" t="s">
        <v>42</v>
      </c>
      <c r="K45" s="180" t="e">
        <f>K30-K43</f>
        <v>#NUM!</v>
      </c>
      <c r="L45" s="2"/>
    </row>
    <row r="47" spans="2:11" ht="12.75">
      <c r="B47" s="100" t="s">
        <v>34</v>
      </c>
      <c r="C47" s="191" t="s">
        <v>36</v>
      </c>
      <c r="F47" s="100" t="s">
        <v>34</v>
      </c>
      <c r="G47" s="191" t="s">
        <v>36</v>
      </c>
      <c r="J47" s="100" t="s">
        <v>34</v>
      </c>
      <c r="K47" s="191" t="s">
        <v>36</v>
      </c>
    </row>
    <row r="48" spans="2:11" ht="12.75">
      <c r="B48" s="100" t="s">
        <v>35</v>
      </c>
      <c r="C48" s="191" t="s">
        <v>37</v>
      </c>
      <c r="F48" s="100" t="s">
        <v>35</v>
      </c>
      <c r="G48" s="191" t="s">
        <v>37</v>
      </c>
      <c r="J48" s="100" t="s">
        <v>35</v>
      </c>
      <c r="K48" s="191" t="s">
        <v>37</v>
      </c>
    </row>
    <row r="49" spans="2:11" ht="12.75">
      <c r="B49" s="61" t="s">
        <v>129</v>
      </c>
      <c r="C49" s="177" t="e">
        <f>C36+C34+-C43</f>
        <v>#NUM!</v>
      </c>
      <c r="F49" s="61" t="s">
        <v>129</v>
      </c>
      <c r="G49" s="177" t="e">
        <f>G36+G34+-G43</f>
        <v>#NUM!</v>
      </c>
      <c r="J49" s="61" t="s">
        <v>129</v>
      </c>
      <c r="K49" s="177" t="e">
        <f>K36+K34+-K43</f>
        <v>#NUM!</v>
      </c>
    </row>
    <row r="50" spans="2:11" ht="12.75">
      <c r="B50" s="31" t="s">
        <v>196</v>
      </c>
      <c r="C50" s="167">
        <v>4.6</v>
      </c>
      <c r="F50" s="31" t="s">
        <v>196</v>
      </c>
      <c r="G50" s="167">
        <v>4.6</v>
      </c>
      <c r="J50" s="31" t="s">
        <v>196</v>
      </c>
      <c r="K50" s="167">
        <v>4.6</v>
      </c>
    </row>
    <row r="51" spans="2:11" ht="12.75">
      <c r="B51" s="36" t="s">
        <v>152</v>
      </c>
      <c r="C51" s="187"/>
      <c r="F51" s="36" t="s">
        <v>152</v>
      </c>
      <c r="G51" s="187"/>
      <c r="J51" s="36" t="s">
        <v>152</v>
      </c>
      <c r="K51" s="187"/>
    </row>
    <row r="52" spans="2:11" ht="12.75">
      <c r="B52" s="61" t="s">
        <v>32</v>
      </c>
      <c r="C52" s="177" t="e">
        <f>C49-C50-C51</f>
        <v>#NUM!</v>
      </c>
      <c r="F52" s="61" t="s">
        <v>32</v>
      </c>
      <c r="G52" s="177" t="e">
        <f>G49-G50-G51</f>
        <v>#NUM!</v>
      </c>
      <c r="J52" s="61" t="s">
        <v>32</v>
      </c>
      <c r="K52" s="177" t="e">
        <f>K49-K50-K51</f>
        <v>#NUM!</v>
      </c>
    </row>
  </sheetData>
  <mergeCells count="1">
    <mergeCell ref="A1:J1"/>
  </mergeCells>
  <printOptions gridLines="1"/>
  <pageMargins left="0.56" right="0.55" top="0.55" bottom="0.5" header="0.33" footer="0.5"/>
  <pageSetup fitToHeight="1" fitToWidth="1" horizontalDpi="600" verticalDpi="600" orientation="portrait"/>
  <headerFooter alignWithMargins="0">
    <oddHeader>&amp;L&amp;F     Printed &amp;D &amp;T&amp;C &amp;A&amp;R&amp;P/&amp;N</oddHeader>
  </headerFooter>
</worksheet>
</file>

<file path=xl/worksheets/sheet12.xml><?xml version="1.0" encoding="utf-8"?>
<worksheet xmlns="http://schemas.openxmlformats.org/spreadsheetml/2006/main" xmlns:r="http://schemas.openxmlformats.org/officeDocument/2006/relationships">
  <sheetPr>
    <tabColor indexed="47"/>
    <pageSetUpPr fitToPage="1"/>
  </sheetPr>
  <dimension ref="A1:L46"/>
  <sheetViews>
    <sheetView workbookViewId="0" topLeftCell="A1">
      <selection activeCell="K24" sqref="K24"/>
    </sheetView>
  </sheetViews>
  <sheetFormatPr defaultColWidth="9.140625" defaultRowHeight="12.75"/>
  <cols>
    <col min="1" max="1" width="4.28125" style="0" customWidth="1"/>
    <col min="2" max="2" width="37.7109375" style="0" customWidth="1"/>
    <col min="3" max="3" width="10.28125" style="176" customWidth="1"/>
    <col min="4" max="4" width="4.7109375" style="0" customWidth="1"/>
    <col min="5" max="5" width="6.140625" style="0" customWidth="1"/>
    <col min="6" max="6" width="39.00390625" style="0" customWidth="1"/>
    <col min="7" max="7" width="14.140625" style="176" customWidth="1"/>
    <col min="8" max="8" width="4.140625" style="0" customWidth="1"/>
    <col min="9" max="9" width="4.28125" style="0" customWidth="1"/>
    <col min="10" max="10" width="39.7109375" style="0" customWidth="1"/>
    <col min="11" max="11" width="10.140625" style="176" customWidth="1"/>
    <col min="12" max="16384" width="8.8515625" style="0" customWidth="1"/>
  </cols>
  <sheetData>
    <row r="1" spans="1:11" ht="12.75">
      <c r="A1" s="219" t="s">
        <v>117</v>
      </c>
      <c r="B1" s="220"/>
      <c r="C1" s="220"/>
      <c r="D1" s="220"/>
      <c r="E1" s="220"/>
      <c r="F1" s="220"/>
      <c r="G1" s="220"/>
      <c r="H1" s="220"/>
      <c r="I1" s="220"/>
      <c r="J1" s="220"/>
      <c r="K1" s="221"/>
    </row>
    <row r="2" spans="1:12" s="22" customFormat="1" ht="12.75">
      <c r="A2" s="30"/>
      <c r="B2" s="32" t="s">
        <v>110</v>
      </c>
      <c r="C2" s="167"/>
      <c r="E2" s="30"/>
      <c r="F2" s="32" t="s">
        <v>217</v>
      </c>
      <c r="G2" s="167"/>
      <c r="H2" s="2"/>
      <c r="I2" s="30"/>
      <c r="J2" s="32" t="s">
        <v>209</v>
      </c>
      <c r="K2" s="167"/>
      <c r="L2" s="2"/>
    </row>
    <row r="3" spans="1:11" ht="12.75">
      <c r="A3" s="33" t="s">
        <v>14</v>
      </c>
      <c r="B3" s="31"/>
      <c r="C3" s="168"/>
      <c r="D3" s="34"/>
      <c r="E3" s="33" t="s">
        <v>188</v>
      </c>
      <c r="F3" s="31"/>
      <c r="G3" s="168"/>
      <c r="H3" s="34"/>
      <c r="I3" s="33" t="s">
        <v>188</v>
      </c>
      <c r="J3" s="31"/>
      <c r="K3" s="168"/>
    </row>
    <row r="4" spans="1:11" ht="12.75">
      <c r="A4" s="35"/>
      <c r="B4" s="36" t="s">
        <v>210</v>
      </c>
      <c r="C4" s="169"/>
      <c r="D4" s="31"/>
      <c r="E4" s="35"/>
      <c r="F4" s="36" t="s">
        <v>210</v>
      </c>
      <c r="G4" s="169"/>
      <c r="H4" s="47"/>
      <c r="I4" s="35"/>
      <c r="J4" s="36" t="s">
        <v>210</v>
      </c>
      <c r="K4" s="169"/>
    </row>
    <row r="5" spans="1:11" ht="12.75">
      <c r="A5" s="35"/>
      <c r="B5" s="36" t="s">
        <v>111</v>
      </c>
      <c r="C5" s="169"/>
      <c r="D5" s="31"/>
      <c r="E5" s="35"/>
      <c r="F5" s="36" t="s">
        <v>111</v>
      </c>
      <c r="G5" s="169"/>
      <c r="H5" s="47"/>
      <c r="I5" s="35"/>
      <c r="J5" s="36" t="s">
        <v>111</v>
      </c>
      <c r="K5" s="169"/>
    </row>
    <row r="6" spans="1:11" ht="12.75">
      <c r="A6" s="35"/>
      <c r="B6" s="36" t="s">
        <v>112</v>
      </c>
      <c r="C6" s="170"/>
      <c r="D6" s="31"/>
      <c r="E6" s="35"/>
      <c r="F6" s="36" t="s">
        <v>112</v>
      </c>
      <c r="G6" s="170"/>
      <c r="H6" s="47"/>
      <c r="I6" s="35"/>
      <c r="J6" s="36" t="s">
        <v>112</v>
      </c>
      <c r="K6" s="170"/>
    </row>
    <row r="7" spans="1:11" ht="12.75">
      <c r="A7" s="35"/>
      <c r="B7" s="59" t="s">
        <v>113</v>
      </c>
      <c r="C7" s="171" t="e">
        <f>10*LOG(C4)-C5-C6</f>
        <v>#NUM!</v>
      </c>
      <c r="D7" s="31"/>
      <c r="E7" s="35"/>
      <c r="F7" s="59" t="s">
        <v>113</v>
      </c>
      <c r="G7" s="171" t="e">
        <f>10*LOG(G4)-G5-G6</f>
        <v>#NUM!</v>
      </c>
      <c r="H7" s="47"/>
      <c r="I7" s="35"/>
      <c r="J7" s="59" t="s">
        <v>113</v>
      </c>
      <c r="K7" s="171" t="e">
        <f>10*LOG(K4)-K5-K6</f>
        <v>#NUM!</v>
      </c>
    </row>
    <row r="8" spans="1:11" ht="12.75">
      <c r="A8" s="35"/>
      <c r="B8" s="31" t="s">
        <v>211</v>
      </c>
      <c r="C8" s="167">
        <v>2211.04</v>
      </c>
      <c r="D8" s="39"/>
      <c r="E8" s="35"/>
      <c r="F8" s="31" t="s">
        <v>211</v>
      </c>
      <c r="G8" s="167">
        <v>2211.04</v>
      </c>
      <c r="H8" s="47"/>
      <c r="I8" s="35"/>
      <c r="J8" s="31" t="s">
        <v>211</v>
      </c>
      <c r="K8" s="167">
        <v>2211.04</v>
      </c>
    </row>
    <row r="9" spans="1:11" ht="12.75">
      <c r="A9" s="35"/>
      <c r="B9" s="31" t="s">
        <v>184</v>
      </c>
      <c r="C9" s="172">
        <v>3.5</v>
      </c>
      <c r="D9" s="41"/>
      <c r="E9" s="35"/>
      <c r="F9" s="31" t="s">
        <v>184</v>
      </c>
      <c r="G9" s="172">
        <v>3.5</v>
      </c>
      <c r="H9" s="47"/>
      <c r="I9" s="35"/>
      <c r="J9" s="31" t="s">
        <v>184</v>
      </c>
      <c r="K9" s="172">
        <v>0.85</v>
      </c>
    </row>
    <row r="10" spans="1:11" ht="12.75">
      <c r="A10" s="35"/>
      <c r="B10" s="31" t="s">
        <v>195</v>
      </c>
      <c r="C10" s="172">
        <f>C9*8/7</f>
        <v>4</v>
      </c>
      <c r="D10" s="43"/>
      <c r="E10" s="35"/>
      <c r="F10" s="31" t="s">
        <v>195</v>
      </c>
      <c r="G10" s="172">
        <f>G9*8/7</f>
        <v>4</v>
      </c>
      <c r="H10" s="31"/>
      <c r="I10" s="35"/>
      <c r="J10" s="31" t="s">
        <v>195</v>
      </c>
      <c r="K10" s="172">
        <f>K9*8/7</f>
        <v>0.9714285714285714</v>
      </c>
    </row>
    <row r="11" spans="1:11" ht="12.75">
      <c r="A11" s="35"/>
      <c r="B11" s="36" t="s">
        <v>154</v>
      </c>
      <c r="C11" s="173"/>
      <c r="D11" s="44"/>
      <c r="E11" s="35"/>
      <c r="F11" s="36" t="s">
        <v>154</v>
      </c>
      <c r="G11" s="173"/>
      <c r="H11" s="31"/>
      <c r="I11" s="35"/>
      <c r="J11" s="36" t="s">
        <v>154</v>
      </c>
      <c r="K11" s="173"/>
    </row>
    <row r="12" spans="1:11" ht="12.75">
      <c r="A12" s="35"/>
      <c r="B12" s="36" t="s">
        <v>153</v>
      </c>
      <c r="C12" s="169"/>
      <c r="D12" s="47"/>
      <c r="E12" s="35"/>
      <c r="F12" s="36" t="s">
        <v>153</v>
      </c>
      <c r="G12" s="169"/>
      <c r="H12" s="47"/>
      <c r="I12" s="35"/>
      <c r="J12" s="36" t="s">
        <v>153</v>
      </c>
      <c r="K12" s="169"/>
    </row>
    <row r="13" spans="1:11" ht="12.75">
      <c r="A13" s="35"/>
      <c r="B13" s="36" t="s">
        <v>149</v>
      </c>
      <c r="C13" s="173"/>
      <c r="D13" s="43"/>
      <c r="E13" s="35"/>
      <c r="F13" s="36" t="s">
        <v>149</v>
      </c>
      <c r="G13" s="173"/>
      <c r="H13" s="31"/>
      <c r="I13" s="35"/>
      <c r="J13" s="36" t="s">
        <v>149</v>
      </c>
      <c r="K13" s="173"/>
    </row>
    <row r="14" spans="1:11" ht="12.75">
      <c r="A14" s="35"/>
      <c r="B14" s="36" t="s">
        <v>156</v>
      </c>
      <c r="C14" s="169"/>
      <c r="D14" s="47"/>
      <c r="E14" s="35"/>
      <c r="F14" s="36" t="s">
        <v>156</v>
      </c>
      <c r="G14" s="169"/>
      <c r="H14" s="47"/>
      <c r="I14" s="35"/>
      <c r="J14" s="36" t="s">
        <v>156</v>
      </c>
      <c r="K14" s="169"/>
    </row>
    <row r="15" spans="1:11" ht="12.75">
      <c r="A15" s="35"/>
      <c r="B15" s="36" t="s">
        <v>133</v>
      </c>
      <c r="C15" s="169"/>
      <c r="D15" s="47"/>
      <c r="E15" s="35"/>
      <c r="F15" s="36" t="s">
        <v>133</v>
      </c>
      <c r="G15" s="169"/>
      <c r="H15" s="47"/>
      <c r="I15" s="35"/>
      <c r="J15" s="36" t="s">
        <v>133</v>
      </c>
      <c r="K15" s="169"/>
    </row>
    <row r="16" spans="1:11" ht="12.75">
      <c r="A16" s="34"/>
      <c r="B16" s="61" t="s">
        <v>56</v>
      </c>
      <c r="C16" s="174" t="e">
        <f>C7+C14-C15+30</f>
        <v>#NUM!</v>
      </c>
      <c r="D16" s="43"/>
      <c r="E16" s="34"/>
      <c r="F16" s="61" t="s">
        <v>56</v>
      </c>
      <c r="G16" s="174" t="e">
        <f>G7+G14-G15+30</f>
        <v>#NUM!</v>
      </c>
      <c r="H16" s="47"/>
      <c r="I16" s="34"/>
      <c r="J16" s="61" t="s">
        <v>56</v>
      </c>
      <c r="K16" s="174" t="e">
        <f>K7+K14-K15+30</f>
        <v>#NUM!</v>
      </c>
    </row>
    <row r="17" spans="1:11" ht="12.75">
      <c r="A17" s="35"/>
      <c r="B17" s="31"/>
      <c r="C17" s="172"/>
      <c r="D17" s="31"/>
      <c r="E17" s="35"/>
      <c r="F17" s="31"/>
      <c r="G17" s="172"/>
      <c r="H17" s="43"/>
      <c r="I17" s="35"/>
      <c r="J17" s="31"/>
      <c r="K17" s="172"/>
    </row>
    <row r="18" spans="1:11" ht="12.75">
      <c r="A18" s="33" t="s">
        <v>158</v>
      </c>
      <c r="B18" s="45"/>
      <c r="C18" s="172"/>
      <c r="D18" s="43"/>
      <c r="E18" s="33" t="s">
        <v>158</v>
      </c>
      <c r="F18" s="45"/>
      <c r="G18" s="172"/>
      <c r="H18" s="31"/>
      <c r="I18" s="33" t="s">
        <v>158</v>
      </c>
      <c r="J18" s="45"/>
      <c r="K18" s="172"/>
    </row>
    <row r="19" spans="1:11" ht="12.75">
      <c r="A19" s="35"/>
      <c r="B19" s="31" t="s">
        <v>143</v>
      </c>
      <c r="C19" s="167">
        <v>35784</v>
      </c>
      <c r="D19" s="43"/>
      <c r="E19" s="35"/>
      <c r="F19" s="31" t="s">
        <v>143</v>
      </c>
      <c r="G19" s="167">
        <v>35784</v>
      </c>
      <c r="H19" s="31"/>
      <c r="I19" s="35"/>
      <c r="J19" s="31" t="s">
        <v>143</v>
      </c>
      <c r="K19" s="167">
        <v>100000</v>
      </c>
    </row>
    <row r="20" spans="1:11" ht="12.75">
      <c r="A20" s="35"/>
      <c r="B20" s="31" t="s">
        <v>144</v>
      </c>
      <c r="C20" s="167">
        <v>13.8</v>
      </c>
      <c r="D20" s="43"/>
      <c r="E20" s="35"/>
      <c r="F20" s="31" t="s">
        <v>144</v>
      </c>
      <c r="G20" s="167">
        <v>13.8</v>
      </c>
      <c r="H20" s="31"/>
      <c r="I20" s="35"/>
      <c r="J20" s="31" t="s">
        <v>144</v>
      </c>
      <c r="K20" s="167">
        <v>5</v>
      </c>
    </row>
    <row r="21" spans="1:11" ht="12.75">
      <c r="A21" s="35"/>
      <c r="B21" s="31" t="s">
        <v>145</v>
      </c>
      <c r="C21" s="175">
        <f>SQRT((6378+C19)^2-(6378*COS(PI()/180*C20))^2)-6378*SIN(PI()/180*C20)</f>
        <v>40183.18870290123</v>
      </c>
      <c r="D21" s="49"/>
      <c r="E21" s="35"/>
      <c r="F21" s="31" t="s">
        <v>145</v>
      </c>
      <c r="G21" s="175">
        <f>SQRT((6378+G19)^2-(6378*COS(PI()/180*G20))^2)-6378*SIN(PI()/180*G20)</f>
        <v>40183.18870290123</v>
      </c>
      <c r="H21" s="31"/>
      <c r="I21" s="35"/>
      <c r="J21" s="31" t="s">
        <v>145</v>
      </c>
      <c r="K21" s="175">
        <f>SQRT((6378+K19)^2-(6378*COS(PI()/180*K20))^2)-6378*SIN(PI()/180*K20)</f>
        <v>105632.20381689387</v>
      </c>
    </row>
    <row r="22" spans="1:11" ht="12.75">
      <c r="A22" s="35"/>
      <c r="B22" s="31" t="s">
        <v>146</v>
      </c>
      <c r="C22" s="172">
        <f>-(20*LOG(299.792458/(C8*4*3.141592654))-20*LOG(C21*1000))</f>
        <v>191.42060314974725</v>
      </c>
      <c r="D22" s="50"/>
      <c r="E22" s="35"/>
      <c r="F22" s="31" t="s">
        <v>146</v>
      </c>
      <c r="G22" s="172">
        <f>-(20*LOG(299.792458/(G8*4*3.141592654))-20*LOG(G21*1000))</f>
        <v>191.42060314974725</v>
      </c>
      <c r="H22" s="47"/>
      <c r="I22" s="35"/>
      <c r="J22" s="31" t="s">
        <v>146</v>
      </c>
      <c r="K22" s="172">
        <f>-(20*LOG(299.792458/(K8*4*3.141592654))-20*LOG(K21*1000))</f>
        <v>199.81564202514681</v>
      </c>
    </row>
    <row r="23" spans="1:11" ht="12.75">
      <c r="A23" s="35"/>
      <c r="B23" s="31" t="s">
        <v>159</v>
      </c>
      <c r="C23" s="172">
        <v>1</v>
      </c>
      <c r="D23" s="50"/>
      <c r="E23" s="35"/>
      <c r="F23" s="31" t="s">
        <v>159</v>
      </c>
      <c r="G23" s="172">
        <v>1</v>
      </c>
      <c r="H23" s="31"/>
      <c r="I23" s="35"/>
      <c r="J23" s="31" t="s">
        <v>159</v>
      </c>
      <c r="K23" s="172">
        <v>1.5</v>
      </c>
    </row>
    <row r="24" spans="1:11" ht="12.75">
      <c r="A24" s="35"/>
      <c r="B24" s="43" t="s">
        <v>147</v>
      </c>
      <c r="C24" s="167">
        <v>0.25</v>
      </c>
      <c r="D24" s="43"/>
      <c r="E24" s="35"/>
      <c r="F24" s="43" t="s">
        <v>147</v>
      </c>
      <c r="G24" s="167">
        <v>0.25</v>
      </c>
      <c r="H24" s="87"/>
      <c r="I24" s="35"/>
      <c r="J24" s="43" t="s">
        <v>147</v>
      </c>
      <c r="K24" s="167">
        <v>0.25</v>
      </c>
    </row>
    <row r="25" spans="1:11" ht="12.75">
      <c r="A25" s="35"/>
      <c r="B25" s="31" t="s">
        <v>173</v>
      </c>
      <c r="C25" s="167">
        <v>0.5</v>
      </c>
      <c r="D25" s="31"/>
      <c r="E25" s="35"/>
      <c r="F25" s="31" t="s">
        <v>173</v>
      </c>
      <c r="G25" s="167">
        <v>0.5</v>
      </c>
      <c r="H25" s="87"/>
      <c r="I25" s="35"/>
      <c r="J25" s="31" t="s">
        <v>93</v>
      </c>
      <c r="K25" s="167">
        <v>0.5</v>
      </c>
    </row>
    <row r="26" spans="1:11" ht="12.75">
      <c r="A26" s="35"/>
      <c r="B26" s="34" t="s">
        <v>150</v>
      </c>
      <c r="C26" s="172">
        <v>26</v>
      </c>
      <c r="D26" s="31"/>
      <c r="E26" s="35"/>
      <c r="F26" s="34" t="s">
        <v>150</v>
      </c>
      <c r="G26" s="172">
        <v>26</v>
      </c>
      <c r="H26" s="31"/>
      <c r="I26" s="35"/>
      <c r="J26" s="34" t="s">
        <v>150</v>
      </c>
      <c r="K26" s="172">
        <v>26</v>
      </c>
    </row>
    <row r="27" spans="1:11" ht="12.75">
      <c r="A27" s="35"/>
      <c r="B27" s="59" t="s">
        <v>151</v>
      </c>
      <c r="C27" s="174" t="e">
        <f>C16-SUM(C22:C25)+C26+228.6-30</f>
        <v>#NUM!</v>
      </c>
      <c r="D27" s="31"/>
      <c r="E27" s="35"/>
      <c r="F27" s="59" t="s">
        <v>151</v>
      </c>
      <c r="G27" s="174" t="e">
        <f>G16-SUM(G22:G25)+G26+228.6-30</f>
        <v>#NUM!</v>
      </c>
      <c r="H27" s="31"/>
      <c r="I27" s="35"/>
      <c r="J27" s="59" t="s">
        <v>151</v>
      </c>
      <c r="K27" s="174" t="e">
        <f>K16-SUM(K22:K25)+K26+228.6-30</f>
        <v>#NUM!</v>
      </c>
    </row>
    <row r="28" spans="1:11" ht="12.75">
      <c r="A28" s="56"/>
      <c r="B28" s="59" t="s">
        <v>197</v>
      </c>
      <c r="C28" s="174" t="e">
        <f>C16-C22+10*LOG(4*3.141592654)+20*LOG(C8/299.792458)+10*LOG(4/C10)-30+C15</f>
        <v>#NUM!</v>
      </c>
      <c r="D28" s="31"/>
      <c r="E28" s="56"/>
      <c r="F28" s="59" t="s">
        <v>197</v>
      </c>
      <c r="G28" s="174" t="e">
        <f>G16-G22+10*LOG(4*3.141592654)+20*LOG(G8/299.792458)+10*LOG(4/G10)-30+G15</f>
        <v>#NUM!</v>
      </c>
      <c r="H28" s="31"/>
      <c r="I28" s="56"/>
      <c r="J28" s="59" t="s">
        <v>197</v>
      </c>
      <c r="K28" s="174" t="e">
        <f>K16-K22+10*LOG(4*3.141592654)+20*LOG(K8/299.792458)+10*LOG(4/K10)-30+K15</f>
        <v>#NUM!</v>
      </c>
    </row>
    <row r="29" spans="1:11" s="22" customFormat="1" ht="12.75">
      <c r="A29" s="68"/>
      <c r="B29" s="31"/>
      <c r="C29" s="172"/>
      <c r="D29" s="31"/>
      <c r="E29" s="68"/>
      <c r="F29" s="31"/>
      <c r="G29" s="172"/>
      <c r="H29" s="31"/>
      <c r="I29" s="68"/>
      <c r="J29" s="31"/>
      <c r="K29" s="172"/>
    </row>
    <row r="30" spans="1:11" ht="12.75">
      <c r="A30" s="33" t="s">
        <v>19</v>
      </c>
      <c r="B30" s="31"/>
      <c r="C30" s="172"/>
      <c r="D30" s="43"/>
      <c r="E30" s="33" t="s">
        <v>16</v>
      </c>
      <c r="F30" s="31"/>
      <c r="G30" s="172"/>
      <c r="H30" s="31"/>
      <c r="I30" s="33" t="s">
        <v>22</v>
      </c>
      <c r="J30" s="31"/>
      <c r="K30" s="172"/>
    </row>
    <row r="31" spans="1:11" ht="12.75">
      <c r="A31" s="56"/>
      <c r="B31" s="36" t="s">
        <v>82</v>
      </c>
      <c r="C31" s="169"/>
      <c r="D31" s="31"/>
      <c r="E31" s="56"/>
      <c r="F31" s="36" t="s">
        <v>82</v>
      </c>
      <c r="G31" s="169"/>
      <c r="H31" s="31"/>
      <c r="I31" s="56"/>
      <c r="J31" s="36" t="s">
        <v>82</v>
      </c>
      <c r="K31" s="169"/>
    </row>
    <row r="32" spans="1:11" ht="12.75">
      <c r="A32" s="56"/>
      <c r="B32" s="36" t="s">
        <v>24</v>
      </c>
      <c r="C32" s="182"/>
      <c r="D32" s="31"/>
      <c r="E32" s="56"/>
      <c r="F32" s="36" t="s">
        <v>220</v>
      </c>
      <c r="G32" s="169"/>
      <c r="H32" s="31"/>
      <c r="I32" s="56"/>
      <c r="J32" s="36" t="s">
        <v>220</v>
      </c>
      <c r="K32" s="169"/>
    </row>
    <row r="33" spans="2:3" ht="12.75">
      <c r="B33" t="s">
        <v>18</v>
      </c>
      <c r="C33" s="183" t="e">
        <f>C27-C32</f>
        <v>#NUM!</v>
      </c>
    </row>
    <row r="34" spans="1:11" ht="12.75">
      <c r="A34" s="56"/>
      <c r="B34" s="61" t="s">
        <v>134</v>
      </c>
      <c r="C34" s="177" t="e">
        <f>C33-10*LOG(C9*1000)</f>
        <v>#NUM!</v>
      </c>
      <c r="D34" s="68"/>
      <c r="E34" s="56"/>
      <c r="F34" s="61" t="s">
        <v>134</v>
      </c>
      <c r="G34" s="177" t="e">
        <f>G27-10*LOG(G9*1000)-G32</f>
        <v>#NUM!</v>
      </c>
      <c r="H34" s="68"/>
      <c r="I34" s="56"/>
      <c r="J34" s="61" t="s">
        <v>134</v>
      </c>
      <c r="K34" s="177" t="e">
        <f>K27-10*LOG(K9*1000)-K32</f>
        <v>#NUM!</v>
      </c>
    </row>
    <row r="35" spans="1:11" s="22" customFormat="1" ht="12.75">
      <c r="A35" s="56"/>
      <c r="B35" s="31" t="s">
        <v>196</v>
      </c>
      <c r="C35" s="167">
        <v>4</v>
      </c>
      <c r="D35" s="68"/>
      <c r="E35" s="56"/>
      <c r="F35" s="31" t="s">
        <v>196</v>
      </c>
      <c r="G35" s="167">
        <v>4</v>
      </c>
      <c r="H35" s="68"/>
      <c r="I35" s="56"/>
      <c r="J35" s="31" t="s">
        <v>196</v>
      </c>
      <c r="K35" s="167">
        <v>4</v>
      </c>
    </row>
    <row r="36" spans="1:11" ht="12.75">
      <c r="A36" s="56"/>
      <c r="B36" s="31" t="s">
        <v>204</v>
      </c>
      <c r="C36" s="167">
        <v>4.2</v>
      </c>
      <c r="D36" s="68"/>
      <c r="E36" s="56"/>
      <c r="F36" s="31" t="s">
        <v>204</v>
      </c>
      <c r="G36" s="167">
        <v>4.2</v>
      </c>
      <c r="H36" s="68"/>
      <c r="I36" s="56"/>
      <c r="J36" s="31" t="s">
        <v>204</v>
      </c>
      <c r="K36" s="167">
        <v>4.2</v>
      </c>
    </row>
    <row r="37" spans="1:11" ht="12.75">
      <c r="A37" s="68"/>
      <c r="B37" s="61" t="s">
        <v>32</v>
      </c>
      <c r="C37" s="177" t="e">
        <f>C34-C35-C36</f>
        <v>#NUM!</v>
      </c>
      <c r="D37" s="68"/>
      <c r="E37" s="68"/>
      <c r="F37" s="61" t="s">
        <v>139</v>
      </c>
      <c r="G37" s="177" t="e">
        <f>G34-G35-G36</f>
        <v>#NUM!</v>
      </c>
      <c r="H37" s="68"/>
      <c r="I37" s="68"/>
      <c r="J37" s="61" t="s">
        <v>13</v>
      </c>
      <c r="K37" s="177" t="e">
        <f>K34-K35-K36</f>
        <v>#NUM!</v>
      </c>
    </row>
    <row r="38" ht="12.75"/>
    <row r="39" spans="1:11" ht="12.75">
      <c r="A39" s="33" t="s">
        <v>20</v>
      </c>
      <c r="B39" s="88"/>
      <c r="C39" s="178"/>
      <c r="E39" s="33" t="s">
        <v>17</v>
      </c>
      <c r="F39" s="88"/>
      <c r="G39" s="178"/>
      <c r="I39" s="33" t="s">
        <v>23</v>
      </c>
      <c r="J39" s="88"/>
      <c r="K39" s="178"/>
    </row>
    <row r="40" spans="1:11" ht="12.75">
      <c r="A40" s="88"/>
      <c r="B40" s="91" t="s">
        <v>83</v>
      </c>
      <c r="C40" s="179"/>
      <c r="E40" s="88"/>
      <c r="F40" s="91" t="s">
        <v>83</v>
      </c>
      <c r="G40" s="179"/>
      <c r="I40" s="88"/>
      <c r="J40" s="91" t="s">
        <v>83</v>
      </c>
      <c r="K40" s="179"/>
    </row>
    <row r="41" spans="1:11" ht="12.75">
      <c r="A41" s="88"/>
      <c r="B41" s="91" t="s">
        <v>15</v>
      </c>
      <c r="C41" s="179"/>
      <c r="E41" s="88"/>
      <c r="F41" s="91" t="s">
        <v>15</v>
      </c>
      <c r="G41" s="179"/>
      <c r="I41" s="88"/>
      <c r="J41" s="91" t="s">
        <v>40</v>
      </c>
      <c r="K41" s="179"/>
    </row>
    <row r="42" spans="1:11" ht="12.75">
      <c r="A42" s="88"/>
      <c r="B42" s="90" t="s">
        <v>21</v>
      </c>
      <c r="C42" s="180" t="e">
        <f>C27-C41</f>
        <v>#NUM!</v>
      </c>
      <c r="E42" s="88"/>
      <c r="F42" s="90" t="s">
        <v>21</v>
      </c>
      <c r="G42" s="180" t="e">
        <f>G27-G41</f>
        <v>#NUM!</v>
      </c>
      <c r="I42" s="88"/>
      <c r="J42" s="90" t="s">
        <v>45</v>
      </c>
      <c r="K42" s="180" t="e">
        <f>K27-K41</f>
        <v>#NUM!</v>
      </c>
    </row>
    <row r="43" spans="1:11" ht="12.75">
      <c r="A43" s="88"/>
      <c r="B43" s="90" t="s">
        <v>41</v>
      </c>
      <c r="C43" s="180" t="e">
        <f>'OR CMD'!C45</f>
        <v>#NUM!</v>
      </c>
      <c r="E43" s="88"/>
      <c r="F43" s="90" t="s">
        <v>41</v>
      </c>
      <c r="G43" s="180" t="e">
        <f>'OR CMD'!G45</f>
        <v>#NUM!</v>
      </c>
      <c r="I43" s="88"/>
      <c r="J43" s="90" t="s">
        <v>41</v>
      </c>
      <c r="K43" s="180" t="e">
        <f>'OR CMD'!K45</f>
        <v>#NUM!</v>
      </c>
    </row>
    <row r="44" spans="1:11" s="21" customFormat="1" ht="12.75">
      <c r="A44" s="160"/>
      <c r="B44" s="161" t="s">
        <v>169</v>
      </c>
      <c r="C44" s="180" t="e">
        <f>-10*LOG(10^(-C42/10)+10^(-C43/10))</f>
        <v>#NUM!</v>
      </c>
      <c r="E44" s="160"/>
      <c r="F44" s="161" t="s">
        <v>169</v>
      </c>
      <c r="G44" s="180" t="e">
        <f>-10*LOG(10^(-G42/10)+10^(-G43/10))</f>
        <v>#NUM!</v>
      </c>
      <c r="I44" s="160"/>
      <c r="J44" s="161" t="s">
        <v>169</v>
      </c>
      <c r="K44" s="180" t="e">
        <f>-10*LOG(10^(-K42/10)+10^(-K43/10))</f>
        <v>#NUM!</v>
      </c>
    </row>
    <row r="45" spans="1:11" s="21" customFormat="1" ht="12.75">
      <c r="A45" s="160"/>
      <c r="B45" s="160" t="s">
        <v>43</v>
      </c>
      <c r="C45" s="181">
        <v>30</v>
      </c>
      <c r="E45" s="160"/>
      <c r="F45" s="160" t="s">
        <v>43</v>
      </c>
      <c r="G45" s="181">
        <v>30</v>
      </c>
      <c r="I45" s="160"/>
      <c r="J45" s="160" t="s">
        <v>43</v>
      </c>
      <c r="K45" s="181">
        <v>30</v>
      </c>
    </row>
    <row r="46" spans="1:11" s="21" customFormat="1" ht="12.75">
      <c r="A46" s="160"/>
      <c r="B46" s="67" t="s">
        <v>44</v>
      </c>
      <c r="C46" s="177" t="e">
        <f>C42-C45</f>
        <v>#NUM!</v>
      </c>
      <c r="E46" s="160"/>
      <c r="F46" s="67" t="s">
        <v>44</v>
      </c>
      <c r="G46" s="177" t="e">
        <f>G42-G45</f>
        <v>#NUM!</v>
      </c>
      <c r="I46" s="160"/>
      <c r="J46" s="67" t="s">
        <v>44</v>
      </c>
      <c r="K46" s="177" t="e">
        <f>K42-K45</f>
        <v>#NUM!</v>
      </c>
    </row>
  </sheetData>
  <mergeCells count="1">
    <mergeCell ref="A1:K1"/>
  </mergeCells>
  <conditionalFormatting sqref="C28:C29 K28:K29 G28:G29">
    <cfRule type="cellIs" priority="1" dxfId="0" operator="greaterThan" stopIfTrue="1">
      <formula>-154</formula>
    </cfRule>
  </conditionalFormatting>
  <printOptions gridLines="1"/>
  <pageMargins left="0.56" right="0.55" top="0.55" bottom="0.5" header="0.33" footer="0.5"/>
  <pageSetup fitToHeight="1" fitToWidth="1" horizontalDpi="600" verticalDpi="600" orientation="landscape" scale="73"/>
  <headerFooter alignWithMargins="0">
    <oddHeader>&amp;L&amp;F     Printed &amp;D &amp;T&amp;C &amp;A&amp;R&amp;P/&amp;N</oddHeader>
  </headerFooter>
  <legacyDrawing r:id="rId2"/>
</worksheet>
</file>

<file path=xl/worksheets/sheet2.xml><?xml version="1.0" encoding="utf-8"?>
<worksheet xmlns="http://schemas.openxmlformats.org/spreadsheetml/2006/main" xmlns:r="http://schemas.openxmlformats.org/officeDocument/2006/relationships">
  <sheetPr>
    <tabColor indexed="47"/>
    <pageSetUpPr fitToPage="1"/>
  </sheetPr>
  <dimension ref="A1:G41"/>
  <sheetViews>
    <sheetView workbookViewId="0" topLeftCell="A1">
      <selection activeCell="G32" sqref="G32"/>
    </sheetView>
  </sheetViews>
  <sheetFormatPr defaultColWidth="9.140625" defaultRowHeight="12.75"/>
  <cols>
    <col min="1" max="1" width="4.28125" style="0" customWidth="1"/>
    <col min="2" max="2" width="37.8515625" style="0" customWidth="1"/>
    <col min="3" max="3" width="13.8515625" style="0" customWidth="1"/>
    <col min="4" max="4" width="4.7109375" style="0" customWidth="1"/>
    <col min="5" max="5" width="6.140625" style="0" customWidth="1"/>
    <col min="6" max="6" width="34.28125" style="0" customWidth="1"/>
    <col min="7" max="7" width="19.421875" style="0" customWidth="1"/>
    <col min="8" max="16384" width="8.8515625" style="0" customWidth="1"/>
  </cols>
  <sheetData>
    <row r="1" spans="1:7" ht="12.75">
      <c r="A1" s="30" t="s">
        <v>92</v>
      </c>
      <c r="B1" s="31"/>
      <c r="C1" s="31"/>
      <c r="D1" s="31"/>
      <c r="E1" s="31"/>
      <c r="F1" s="31"/>
      <c r="G1" s="31"/>
    </row>
    <row r="2" spans="1:7" ht="12.75">
      <c r="A2" s="30"/>
      <c r="B2" s="32" t="s">
        <v>175</v>
      </c>
      <c r="C2" s="31"/>
      <c r="D2" s="31"/>
      <c r="E2" s="31"/>
      <c r="F2" s="32" t="s">
        <v>176</v>
      </c>
      <c r="G2" s="31"/>
    </row>
    <row r="3" spans="1:7" ht="12.75">
      <c r="A3" s="33" t="s">
        <v>75</v>
      </c>
      <c r="B3" s="31"/>
      <c r="C3" s="31"/>
      <c r="D3" s="34"/>
      <c r="E3" s="33" t="s">
        <v>157</v>
      </c>
      <c r="F3" s="31"/>
      <c r="G3" s="31"/>
    </row>
    <row r="4" spans="1:7" ht="12.75">
      <c r="A4" s="35"/>
      <c r="B4" s="31" t="s">
        <v>211</v>
      </c>
      <c r="C4" s="31">
        <v>2027.4</v>
      </c>
      <c r="D4" s="31"/>
      <c r="E4" s="35"/>
      <c r="F4" s="36" t="s">
        <v>77</v>
      </c>
      <c r="G4" s="36"/>
    </row>
    <row r="5" spans="1:7" ht="12.75">
      <c r="A5" s="35"/>
      <c r="B5" s="31" t="s">
        <v>184</v>
      </c>
      <c r="C5" s="37">
        <v>400</v>
      </c>
      <c r="D5" s="31"/>
      <c r="E5" s="35"/>
      <c r="F5" s="36" t="s">
        <v>155</v>
      </c>
      <c r="G5" s="36"/>
    </row>
    <row r="6" spans="1:7" ht="12.75">
      <c r="A6" s="35"/>
      <c r="B6" s="31" t="s">
        <v>195</v>
      </c>
      <c r="C6" s="70">
        <f>C5*2*1024/884</f>
        <v>926.6968325791855</v>
      </c>
      <c r="D6" s="39"/>
      <c r="E6" s="35"/>
      <c r="F6" s="59" t="s">
        <v>78</v>
      </c>
      <c r="G6" s="60" t="e">
        <f>10*LOG10(G4)-G5</f>
        <v>#NUM!</v>
      </c>
    </row>
    <row r="7" spans="1:7" ht="12.75">
      <c r="A7" s="34"/>
      <c r="B7" s="34" t="s">
        <v>57</v>
      </c>
      <c r="C7" s="42">
        <v>89.25</v>
      </c>
      <c r="D7" s="41"/>
      <c r="E7" s="35"/>
      <c r="F7" s="36" t="s">
        <v>141</v>
      </c>
      <c r="G7" s="38"/>
    </row>
    <row r="8" spans="1:7" ht="12.75">
      <c r="A8" s="35"/>
      <c r="B8" s="31"/>
      <c r="C8" s="39"/>
      <c r="D8" s="43" t="s">
        <v>142</v>
      </c>
      <c r="E8" s="35"/>
      <c r="F8" s="31" t="s">
        <v>174</v>
      </c>
      <c r="G8" s="31">
        <v>1697.4</v>
      </c>
    </row>
    <row r="9" spans="1:7" ht="12.75">
      <c r="A9" s="33" t="s">
        <v>171</v>
      </c>
      <c r="B9" s="45"/>
      <c r="C9" s="46"/>
      <c r="D9" s="44"/>
      <c r="E9" s="35"/>
      <c r="F9" s="36" t="s">
        <v>154</v>
      </c>
      <c r="G9" s="36"/>
    </row>
    <row r="10" spans="1:7" ht="12.75">
      <c r="A10" s="35"/>
      <c r="B10" s="31" t="s">
        <v>143</v>
      </c>
      <c r="C10" s="31">
        <v>35784</v>
      </c>
      <c r="D10" s="43"/>
      <c r="E10" s="35"/>
      <c r="F10" s="36" t="s">
        <v>149</v>
      </c>
      <c r="G10" s="36"/>
    </row>
    <row r="11" spans="1:7" ht="12.75">
      <c r="A11" s="35"/>
      <c r="B11" s="31" t="s">
        <v>144</v>
      </c>
      <c r="C11" s="31">
        <v>13.8</v>
      </c>
      <c r="D11" s="47"/>
      <c r="E11" s="35"/>
      <c r="F11" s="36" t="s">
        <v>156</v>
      </c>
      <c r="G11" s="40"/>
    </row>
    <row r="12" spans="1:7" ht="12.75">
      <c r="A12" s="35"/>
      <c r="B12" s="31" t="s">
        <v>145</v>
      </c>
      <c r="C12" s="37">
        <f>SQRT((6378+C10)^2-(6378*COS(PI()/180*C11))^2)-6378*SIN(PI()/180*C11)</f>
        <v>40183.18870290123</v>
      </c>
      <c r="D12" s="47"/>
      <c r="E12" s="35"/>
      <c r="F12" s="36" t="s">
        <v>131</v>
      </c>
      <c r="G12" s="40"/>
    </row>
    <row r="13" spans="1:7" ht="12.75">
      <c r="A13" s="35"/>
      <c r="B13" s="31" t="s">
        <v>146</v>
      </c>
      <c r="C13" s="39">
        <f>-(20*LOG(299.792458/(C4*4*3.141592654))-20*LOG(C12*1000))</f>
        <v>190.66746000319688</v>
      </c>
      <c r="D13" s="47"/>
      <c r="E13" s="35"/>
      <c r="F13" s="36" t="s">
        <v>216</v>
      </c>
      <c r="G13" s="40"/>
    </row>
    <row r="14" spans="1:7" ht="12.75">
      <c r="A14" s="35"/>
      <c r="B14" s="31" t="s">
        <v>159</v>
      </c>
      <c r="C14" s="39">
        <v>1</v>
      </c>
      <c r="D14" s="43"/>
      <c r="E14" s="35"/>
      <c r="F14" s="59" t="s">
        <v>90</v>
      </c>
      <c r="G14" s="60">
        <f>G11-G13-G12</f>
        <v>0</v>
      </c>
    </row>
    <row r="15" spans="1:7" ht="12.75">
      <c r="A15" s="35"/>
      <c r="B15" s="31"/>
      <c r="C15" s="39"/>
      <c r="D15" s="31"/>
      <c r="E15" s="35"/>
      <c r="F15" s="61" t="s">
        <v>60</v>
      </c>
      <c r="G15" s="62" t="e">
        <f>+G6-G7+G14+30</f>
        <v>#NUM!</v>
      </c>
    </row>
    <row r="16" spans="1:7" ht="12.75">
      <c r="A16" s="33" t="s">
        <v>52</v>
      </c>
      <c r="B16" s="31"/>
      <c r="C16" s="31"/>
      <c r="D16" s="43"/>
      <c r="E16" s="33" t="s">
        <v>158</v>
      </c>
      <c r="F16" s="34"/>
      <c r="G16" s="42"/>
    </row>
    <row r="17" spans="1:7" ht="12.75">
      <c r="A17" s="35"/>
      <c r="B17" s="58" t="s">
        <v>147</v>
      </c>
      <c r="C17" s="36"/>
      <c r="D17" s="43"/>
      <c r="F17" s="45" t="s">
        <v>76</v>
      </c>
      <c r="G17" s="46"/>
    </row>
    <row r="18" spans="1:7" ht="12.75">
      <c r="A18" s="35"/>
      <c r="B18" s="36" t="s">
        <v>99</v>
      </c>
      <c r="C18" s="36"/>
      <c r="D18" s="43"/>
      <c r="E18" s="33"/>
      <c r="F18" s="31" t="s">
        <v>143</v>
      </c>
      <c r="G18" s="31">
        <v>35784</v>
      </c>
    </row>
    <row r="19" spans="1:7" ht="12.75">
      <c r="A19" s="35"/>
      <c r="B19" s="54" t="s">
        <v>161</v>
      </c>
      <c r="C19" s="36"/>
      <c r="D19" s="49"/>
      <c r="E19" s="35"/>
      <c r="F19" s="31" t="s">
        <v>144</v>
      </c>
      <c r="G19" s="31">
        <v>5</v>
      </c>
    </row>
    <row r="20" spans="1:7" ht="12.75">
      <c r="A20" s="35"/>
      <c r="B20" s="36" t="s">
        <v>149</v>
      </c>
      <c r="C20" s="36"/>
      <c r="D20" s="50"/>
      <c r="E20" s="35"/>
      <c r="F20" s="31" t="s">
        <v>145</v>
      </c>
      <c r="G20" s="37">
        <f>SQRT((6378+G18)^2-(6378*COS(PI()/180*G19))^2)-6378*SIN(PI()/180*G19)</f>
        <v>41124.62405055137</v>
      </c>
    </row>
    <row r="21" spans="1:7" ht="12.75">
      <c r="A21" s="35"/>
      <c r="B21" s="36" t="s">
        <v>162</v>
      </c>
      <c r="C21" s="40"/>
      <c r="D21" s="50"/>
      <c r="E21" s="35"/>
      <c r="F21" s="31" t="s">
        <v>146</v>
      </c>
      <c r="G21" s="39">
        <f>-(20*LOG(299.792458/(G8*4*3.141592654))-20*LOG(G20*1000))</f>
        <v>189.32550599545658</v>
      </c>
    </row>
    <row r="22" spans="1:7" ht="12.75">
      <c r="A22" s="35"/>
      <c r="B22" s="36" t="s">
        <v>163</v>
      </c>
      <c r="C22" s="40"/>
      <c r="D22" s="52"/>
      <c r="E22" s="35"/>
      <c r="F22" s="31" t="s">
        <v>159</v>
      </c>
      <c r="G22" s="39">
        <v>2.5</v>
      </c>
    </row>
    <row r="23" spans="1:7" ht="12.75">
      <c r="A23" s="35"/>
      <c r="B23" s="36" t="s">
        <v>164</v>
      </c>
      <c r="C23" s="53"/>
      <c r="D23" s="43"/>
      <c r="E23" s="35"/>
      <c r="F23" s="31"/>
      <c r="G23" s="39"/>
    </row>
    <row r="24" spans="1:7" ht="12.75">
      <c r="A24" s="35"/>
      <c r="B24" s="36" t="s">
        <v>96</v>
      </c>
      <c r="C24" s="54"/>
      <c r="D24" s="43"/>
      <c r="E24" s="33" t="s">
        <v>172</v>
      </c>
      <c r="F24" s="31"/>
      <c r="G24" s="39"/>
    </row>
    <row r="25" spans="1:7" ht="12.75">
      <c r="A25" s="35"/>
      <c r="B25" s="36" t="s">
        <v>212</v>
      </c>
      <c r="C25" s="54"/>
      <c r="D25" s="31"/>
      <c r="E25" s="33"/>
      <c r="F25" s="43" t="s">
        <v>147</v>
      </c>
      <c r="G25" s="31">
        <v>0.25</v>
      </c>
    </row>
    <row r="26" spans="1:7" ht="12.75">
      <c r="A26" s="35"/>
      <c r="B26" s="59" t="s">
        <v>95</v>
      </c>
      <c r="C26" s="72">
        <f>290*(10^((C24)*0.1)-1)</f>
        <v>0</v>
      </c>
      <c r="D26" s="35"/>
      <c r="E26" s="35"/>
      <c r="F26" s="31" t="s">
        <v>148</v>
      </c>
      <c r="G26" s="31">
        <v>0.5</v>
      </c>
    </row>
    <row r="27" spans="1:7" ht="12.75">
      <c r="A27" s="35"/>
      <c r="B27" s="59" t="s">
        <v>165</v>
      </c>
      <c r="C27" s="60" t="e">
        <f>10*LOG(C25+C26)</f>
        <v>#NUM!</v>
      </c>
      <c r="D27" s="43"/>
      <c r="E27" s="35"/>
      <c r="F27" s="59" t="s">
        <v>197</v>
      </c>
      <c r="G27" s="62" t="e">
        <f>G15-G21+10*LOG(4*3.141592654)+20*LOG(G8/299.792458)+10*LOG(4/C6)-30+G12+G13</f>
        <v>#NUM!</v>
      </c>
    </row>
    <row r="28" spans="1:7" ht="12.75">
      <c r="A28" s="35"/>
      <c r="B28" s="61" t="s">
        <v>150</v>
      </c>
      <c r="C28" s="60" t="e">
        <f>C21-C23-C27</f>
        <v>#NUM!</v>
      </c>
      <c r="D28" s="43"/>
      <c r="E28" s="35"/>
      <c r="F28" s="34" t="s">
        <v>150</v>
      </c>
      <c r="G28" s="39">
        <v>-0.3</v>
      </c>
    </row>
    <row r="29" spans="1:7" ht="12.75">
      <c r="A29" s="35"/>
      <c r="B29" s="59" t="s">
        <v>199</v>
      </c>
      <c r="C29" s="60" t="e">
        <f>C7-SUM(C13:C18)+C28+228.6-30</f>
        <v>#NUM!</v>
      </c>
      <c r="D29" s="43"/>
      <c r="E29" s="35"/>
      <c r="F29" s="59" t="s">
        <v>167</v>
      </c>
      <c r="G29" s="60" t="e">
        <f>G15-SUM(G21:G26)+G28+228.6-30</f>
        <v>#NUM!</v>
      </c>
    </row>
    <row r="30" spans="1:7" ht="12.75">
      <c r="A30" s="101"/>
      <c r="B30" s="146"/>
      <c r="C30" s="147"/>
      <c r="D30" s="148"/>
      <c r="E30" s="149"/>
      <c r="F30" s="59" t="s">
        <v>168</v>
      </c>
      <c r="G30" s="60" t="e">
        <f>C29</f>
        <v>#NUM!</v>
      </c>
    </row>
    <row r="31" spans="1:7" ht="12.75">
      <c r="A31" s="99"/>
      <c r="B31" s="97"/>
      <c r="C31" s="133"/>
      <c r="D31" s="125"/>
      <c r="E31" s="150"/>
      <c r="F31" s="59" t="s">
        <v>169</v>
      </c>
      <c r="G31" s="60" t="e">
        <f>10*LOG(1/(1/(10^(G29/10))+1/(10^(G30/10))))</f>
        <v>#NUM!</v>
      </c>
    </row>
    <row r="32" spans="1:7" ht="12.75">
      <c r="A32" s="96"/>
      <c r="B32" s="96"/>
      <c r="C32" s="96"/>
      <c r="D32" s="125"/>
      <c r="E32" s="150"/>
      <c r="F32" s="36" t="s">
        <v>194</v>
      </c>
      <c r="G32" s="40"/>
    </row>
    <row r="33" spans="1:7" ht="12.75">
      <c r="A33" s="96"/>
      <c r="B33" s="96"/>
      <c r="C33" s="96"/>
      <c r="D33" s="125"/>
      <c r="E33" s="150"/>
      <c r="F33" s="61" t="s">
        <v>129</v>
      </c>
      <c r="G33" s="63" t="e">
        <f>G31-10*LOG(C5*1000)-G32</f>
        <v>#NUM!</v>
      </c>
    </row>
    <row r="34" spans="1:7" ht="12.75">
      <c r="A34" s="96"/>
      <c r="B34" s="96"/>
      <c r="C34" s="96"/>
      <c r="D34" s="151"/>
      <c r="E34" s="150"/>
      <c r="F34" s="31" t="s">
        <v>196</v>
      </c>
      <c r="G34" s="31">
        <v>2.6</v>
      </c>
    </row>
    <row r="35" spans="1:7" ht="12.75">
      <c r="A35" s="96"/>
      <c r="B35" s="96"/>
      <c r="C35" s="96"/>
      <c r="D35" s="125"/>
      <c r="E35" s="150"/>
      <c r="F35" s="31" t="s">
        <v>152</v>
      </c>
      <c r="G35" s="65">
        <v>2</v>
      </c>
    </row>
    <row r="36" spans="1:7" ht="12.75">
      <c r="A36" s="96"/>
      <c r="B36" s="96"/>
      <c r="C36" s="96"/>
      <c r="D36" s="97"/>
      <c r="E36" s="150"/>
      <c r="F36" s="61" t="s">
        <v>132</v>
      </c>
      <c r="G36" s="63" t="e">
        <f>G33-G34-G35</f>
        <v>#NUM!</v>
      </c>
    </row>
    <row r="37" spans="4:7" ht="12.75">
      <c r="D37" s="2"/>
      <c r="E37" s="2"/>
      <c r="F37" s="2"/>
      <c r="G37" s="2"/>
    </row>
    <row r="38" spans="4:7" ht="12.75">
      <c r="D38" s="2"/>
      <c r="E38" s="2"/>
      <c r="F38" s="2"/>
      <c r="G38" s="2"/>
    </row>
    <row r="39" spans="4:7" ht="12.75">
      <c r="D39" s="2"/>
      <c r="E39" s="2"/>
      <c r="F39" s="2"/>
      <c r="G39" s="2"/>
    </row>
    <row r="40" spans="4:7" ht="12.75">
      <c r="D40" s="2"/>
      <c r="E40" s="2"/>
      <c r="F40" s="2"/>
      <c r="G40" s="2"/>
    </row>
    <row r="41" ht="12.75">
      <c r="D41" s="2"/>
    </row>
  </sheetData>
  <conditionalFormatting sqref="G27">
    <cfRule type="cellIs" priority="1" dxfId="0" operator="greaterThan" stopIfTrue="1">
      <formula>-154</formula>
    </cfRule>
  </conditionalFormatting>
  <printOptions gridLines="1"/>
  <pageMargins left="0.56" right="0.55" top="0.55" bottom="0.5" header="0.33" footer="0.5"/>
  <pageSetup fitToHeight="1" fitToWidth="1" horizontalDpi="600" verticalDpi="600" orientation="landscape"/>
  <headerFooter alignWithMargins="0">
    <oddHeader>&amp;L&amp;F     Printed &amp;D &amp;T&amp;C &amp;A&amp;R&amp;P/&amp;N</oddHeader>
  </headerFooter>
</worksheet>
</file>

<file path=xl/worksheets/sheet3.xml><?xml version="1.0" encoding="utf-8"?>
<worksheet xmlns="http://schemas.openxmlformats.org/spreadsheetml/2006/main" xmlns:r="http://schemas.openxmlformats.org/officeDocument/2006/relationships">
  <sheetPr>
    <tabColor indexed="47"/>
    <pageSetUpPr fitToPage="1"/>
  </sheetPr>
  <dimension ref="A1:G46"/>
  <sheetViews>
    <sheetView tabSelected="1" workbookViewId="0" topLeftCell="A1">
      <selection activeCell="C48" sqref="C48"/>
    </sheetView>
  </sheetViews>
  <sheetFormatPr defaultColWidth="9.140625" defaultRowHeight="12.75"/>
  <cols>
    <col min="1" max="1" width="4.28125" style="0" customWidth="1"/>
    <col min="2" max="2" width="37.421875" style="0" customWidth="1"/>
    <col min="3" max="3" width="12.28125" style="0" customWidth="1"/>
    <col min="4" max="4" width="4.7109375" style="96" customWidth="1"/>
    <col min="5" max="5" width="6.140625" style="0" customWidth="1"/>
    <col min="6" max="6" width="36.421875" style="0" customWidth="1"/>
    <col min="7" max="7" width="16.00390625" style="21" customWidth="1"/>
    <col min="8" max="16384" width="8.8515625" style="0" customWidth="1"/>
  </cols>
  <sheetData>
    <row r="1" spans="1:7" ht="12.75">
      <c r="A1" s="30" t="s">
        <v>180</v>
      </c>
      <c r="B1" s="31"/>
      <c r="C1" s="31"/>
      <c r="D1" s="95"/>
      <c r="E1" s="31"/>
      <c r="F1" s="31"/>
      <c r="G1" s="39"/>
    </row>
    <row r="2" spans="1:7" ht="12.75">
      <c r="A2" s="30"/>
      <c r="B2" s="32" t="s">
        <v>175</v>
      </c>
      <c r="C2" s="31"/>
      <c r="D2" s="109"/>
      <c r="E2" s="31"/>
      <c r="F2" s="32" t="s">
        <v>176</v>
      </c>
      <c r="G2" s="39"/>
    </row>
    <row r="3" spans="1:7" ht="12.75">
      <c r="A3" s="33" t="s">
        <v>75</v>
      </c>
      <c r="B3" s="31"/>
      <c r="C3" s="31"/>
      <c r="D3" s="112"/>
      <c r="E3" s="33" t="s">
        <v>87</v>
      </c>
      <c r="F3" s="31"/>
      <c r="G3" s="31"/>
    </row>
    <row r="4" spans="1:7" ht="12.75">
      <c r="A4" s="35"/>
      <c r="B4" s="31" t="s">
        <v>211</v>
      </c>
      <c r="C4" s="31">
        <v>7219</v>
      </c>
      <c r="D4" s="109"/>
      <c r="E4" s="35"/>
      <c r="F4" s="36" t="s">
        <v>77</v>
      </c>
      <c r="G4" s="40"/>
    </row>
    <row r="5" spans="1:7" ht="12.75">
      <c r="A5" s="35"/>
      <c r="B5" s="31" t="s">
        <v>125</v>
      </c>
      <c r="C5" s="31">
        <v>31000</v>
      </c>
      <c r="D5" s="109"/>
      <c r="E5" s="35"/>
      <c r="F5" s="36" t="s">
        <v>155</v>
      </c>
      <c r="G5" s="40"/>
    </row>
    <row r="6" spans="1:7" ht="12.75">
      <c r="A6" s="35"/>
      <c r="B6" s="31" t="s">
        <v>0</v>
      </c>
      <c r="C6" s="37">
        <f>C5/2</f>
        <v>15500</v>
      </c>
      <c r="D6" s="113"/>
      <c r="E6" s="35"/>
      <c r="F6" s="59" t="s">
        <v>78</v>
      </c>
      <c r="G6" s="60" t="e">
        <f>10*LOG10(G4)-G5</f>
        <v>#NUM!</v>
      </c>
    </row>
    <row r="7" spans="1:7" ht="12.75">
      <c r="A7" s="35"/>
      <c r="B7" s="36" t="s">
        <v>98</v>
      </c>
      <c r="C7" s="38"/>
      <c r="D7" s="114"/>
      <c r="E7" s="35"/>
      <c r="F7" s="36" t="s">
        <v>141</v>
      </c>
      <c r="G7" s="40"/>
    </row>
    <row r="8" spans="1:7" ht="12.75">
      <c r="A8" s="35"/>
      <c r="B8" s="31" t="s">
        <v>121</v>
      </c>
      <c r="C8" s="39">
        <v>30</v>
      </c>
      <c r="D8" s="115" t="s">
        <v>142</v>
      </c>
      <c r="E8" s="35"/>
      <c r="F8" s="31" t="s">
        <v>174</v>
      </c>
      <c r="G8" s="39">
        <v>1690</v>
      </c>
    </row>
    <row r="9" spans="1:7" ht="12.75">
      <c r="A9" s="34"/>
      <c r="B9" s="34" t="s">
        <v>57</v>
      </c>
      <c r="C9" s="42">
        <v>109.25</v>
      </c>
      <c r="D9" s="116"/>
      <c r="E9" s="35"/>
      <c r="F9" s="31" t="s">
        <v>127</v>
      </c>
      <c r="G9" s="39">
        <v>30</v>
      </c>
    </row>
    <row r="10" spans="1:7" ht="12.75">
      <c r="A10" s="35"/>
      <c r="B10" s="31"/>
      <c r="C10" s="39"/>
      <c r="D10" s="115"/>
      <c r="E10" s="35"/>
      <c r="F10" s="36" t="s">
        <v>154</v>
      </c>
      <c r="G10" s="40"/>
    </row>
    <row r="11" spans="1:7" ht="12.75">
      <c r="A11" s="33" t="s">
        <v>171</v>
      </c>
      <c r="B11" s="45"/>
      <c r="C11" s="46"/>
      <c r="D11" s="117"/>
      <c r="E11" s="35"/>
      <c r="F11" s="36" t="s">
        <v>163</v>
      </c>
      <c r="G11" s="40"/>
    </row>
    <row r="12" spans="1:7" ht="12.75">
      <c r="A12" s="35"/>
      <c r="B12" s="31" t="s">
        <v>143</v>
      </c>
      <c r="C12" s="31">
        <v>35784</v>
      </c>
      <c r="D12" s="117"/>
      <c r="E12" s="35"/>
      <c r="F12" s="36" t="s">
        <v>149</v>
      </c>
      <c r="G12" s="40"/>
    </row>
    <row r="13" spans="1:7" ht="12.75">
      <c r="A13" s="35"/>
      <c r="B13" s="31" t="s">
        <v>144</v>
      </c>
      <c r="C13" s="31">
        <v>13.8</v>
      </c>
      <c r="D13" s="117"/>
      <c r="E13" s="35"/>
      <c r="F13" s="36" t="s">
        <v>156</v>
      </c>
      <c r="G13" s="40"/>
    </row>
    <row r="14" spans="1:7" ht="12.75">
      <c r="A14" s="35"/>
      <c r="B14" s="31" t="s">
        <v>145</v>
      </c>
      <c r="C14" s="37">
        <f>SQRT((6378+C12)^2-(6378*COS(PI()/180*C13))^2)-6378*SIN(PI()/180*C13)</f>
        <v>40183.18870290123</v>
      </c>
      <c r="D14" s="115"/>
      <c r="E14" s="35"/>
      <c r="F14" s="36" t="s">
        <v>128</v>
      </c>
      <c r="G14" s="40"/>
    </row>
    <row r="15" spans="1:7" ht="12.75">
      <c r="A15" s="35"/>
      <c r="B15" s="31" t="s">
        <v>146</v>
      </c>
      <c r="C15" s="39">
        <f>-(20*LOG(299.792458/(C4*4*3.141592654))-20*LOG(C14*1000))</f>
        <v>201.69821199629288</v>
      </c>
      <c r="D15" s="109"/>
      <c r="E15" s="35"/>
      <c r="F15" s="36" t="s">
        <v>216</v>
      </c>
      <c r="G15" s="40"/>
    </row>
    <row r="16" spans="1:7" ht="12.75">
      <c r="A16" s="35"/>
      <c r="B16" s="31" t="s">
        <v>159</v>
      </c>
      <c r="C16" s="39">
        <v>4.2</v>
      </c>
      <c r="D16" s="115"/>
      <c r="E16" s="35"/>
      <c r="F16" s="59" t="s">
        <v>90</v>
      </c>
      <c r="G16" s="60">
        <f>G13-G14-G15</f>
        <v>0</v>
      </c>
    </row>
    <row r="17" spans="1:7" ht="12.75">
      <c r="A17" s="35"/>
      <c r="B17" s="31" t="s">
        <v>124</v>
      </c>
      <c r="C17" s="39">
        <v>2</v>
      </c>
      <c r="D17" s="115"/>
      <c r="E17" s="35"/>
      <c r="F17" s="61" t="s">
        <v>76</v>
      </c>
      <c r="G17" s="62" t="e">
        <f>+G6-G7+G16+30</f>
        <v>#NUM!</v>
      </c>
    </row>
    <row r="18" spans="1:7" ht="12.75">
      <c r="A18" s="35"/>
      <c r="B18" s="31"/>
      <c r="C18" s="39"/>
      <c r="D18" s="115"/>
      <c r="E18" s="35"/>
      <c r="F18" s="34"/>
      <c r="G18" s="42"/>
    </row>
    <row r="19" spans="1:7" ht="12.75">
      <c r="A19" s="33" t="s">
        <v>52</v>
      </c>
      <c r="B19" s="31"/>
      <c r="C19" s="39"/>
      <c r="D19" s="118"/>
      <c r="E19" s="33" t="s">
        <v>158</v>
      </c>
      <c r="F19" s="45"/>
      <c r="G19" s="46"/>
    </row>
    <row r="20" spans="1:7" ht="12.75">
      <c r="A20" s="35"/>
      <c r="B20" s="58" t="s">
        <v>147</v>
      </c>
      <c r="C20" s="36"/>
      <c r="D20" s="119"/>
      <c r="E20" s="33"/>
      <c r="F20" s="31" t="s">
        <v>143</v>
      </c>
      <c r="G20" s="39">
        <v>35784</v>
      </c>
    </row>
    <row r="21" spans="1:7" ht="12.75">
      <c r="A21" s="35"/>
      <c r="B21" s="36" t="s">
        <v>99</v>
      </c>
      <c r="C21" s="36"/>
      <c r="D21" s="119"/>
      <c r="E21" s="35"/>
      <c r="F21" s="31" t="s">
        <v>144</v>
      </c>
      <c r="G21" s="39">
        <v>5</v>
      </c>
    </row>
    <row r="22" spans="1:7" ht="12.75">
      <c r="A22" s="35"/>
      <c r="B22" s="54" t="s">
        <v>161</v>
      </c>
      <c r="C22" s="36"/>
      <c r="D22" s="120"/>
      <c r="E22" s="35"/>
      <c r="F22" s="31" t="s">
        <v>145</v>
      </c>
      <c r="G22" s="39">
        <f>SQRT((6378+G20)^2-(6378*COS(PI()/180*G21))^2)-6378*SIN(PI()/180*G21)</f>
        <v>41124.62405055137</v>
      </c>
    </row>
    <row r="23" spans="1:7" ht="12.75">
      <c r="A23" s="35"/>
      <c r="B23" s="36" t="s">
        <v>123</v>
      </c>
      <c r="C23" s="36"/>
      <c r="D23" s="115"/>
      <c r="E23" s="35"/>
      <c r="F23" s="31" t="s">
        <v>146</v>
      </c>
      <c r="G23" s="39">
        <f>-(20*LOG(299.792458/(G8*4*3.141592654))-20*LOG(G22*1000))</f>
        <v>189.28755613091738</v>
      </c>
    </row>
    <row r="24" spans="1:7" ht="12.75">
      <c r="A24" s="35"/>
      <c r="B24" s="36" t="s">
        <v>149</v>
      </c>
      <c r="C24" s="126"/>
      <c r="D24" s="115"/>
      <c r="E24" s="35"/>
      <c r="F24" s="31" t="s">
        <v>159</v>
      </c>
      <c r="G24" s="39">
        <v>2.5</v>
      </c>
    </row>
    <row r="25" spans="1:7" ht="12.75">
      <c r="A25" s="35"/>
      <c r="B25" s="36" t="s">
        <v>162</v>
      </c>
      <c r="C25" s="40"/>
      <c r="D25" s="109"/>
      <c r="E25" s="35"/>
      <c r="F25" s="31" t="s">
        <v>122</v>
      </c>
      <c r="G25" s="39">
        <v>22</v>
      </c>
    </row>
    <row r="26" spans="1:7" ht="12.75">
      <c r="A26" s="35"/>
      <c r="B26" s="36" t="s">
        <v>163</v>
      </c>
      <c r="C26" s="40"/>
      <c r="D26" s="121"/>
      <c r="E26" s="35"/>
      <c r="F26" s="31"/>
      <c r="G26" s="39"/>
    </row>
    <row r="27" spans="1:7" ht="12.75">
      <c r="A27" s="35"/>
      <c r="B27" s="36" t="s">
        <v>164</v>
      </c>
      <c r="C27" s="53"/>
      <c r="D27" s="115"/>
      <c r="E27" s="33" t="s">
        <v>172</v>
      </c>
      <c r="F27" s="31"/>
      <c r="G27" s="39"/>
    </row>
    <row r="28" spans="1:7" ht="12.75">
      <c r="A28" s="35"/>
      <c r="B28" s="36" t="s">
        <v>96</v>
      </c>
      <c r="C28" s="54"/>
      <c r="D28" s="115"/>
      <c r="E28" s="33"/>
      <c r="F28" s="43" t="s">
        <v>147</v>
      </c>
      <c r="G28" s="39">
        <v>0.75</v>
      </c>
    </row>
    <row r="29" spans="1:7" ht="12.75">
      <c r="A29" s="35"/>
      <c r="B29" s="36" t="s">
        <v>212</v>
      </c>
      <c r="C29" s="54"/>
      <c r="D29" s="115"/>
      <c r="E29" s="35"/>
      <c r="F29" s="31" t="s">
        <v>148</v>
      </c>
      <c r="G29" s="39">
        <v>0.5</v>
      </c>
    </row>
    <row r="30" spans="1:7" ht="12.75">
      <c r="A30" s="35"/>
      <c r="B30" s="59" t="s">
        <v>126</v>
      </c>
      <c r="C30" s="72">
        <f>290*(10^(C28/10)-1)</f>
        <v>0</v>
      </c>
      <c r="D30" s="115"/>
      <c r="E30" s="35"/>
      <c r="F30" s="31" t="s">
        <v>121</v>
      </c>
      <c r="G30" s="39">
        <v>27</v>
      </c>
    </row>
    <row r="31" spans="1:7" ht="12.75">
      <c r="A31" s="35"/>
      <c r="B31" s="59" t="s">
        <v>165</v>
      </c>
      <c r="C31" s="60">
        <f>C29+C30</f>
        <v>0</v>
      </c>
      <c r="D31" s="115"/>
      <c r="E31" s="35"/>
      <c r="F31" s="59" t="s">
        <v>215</v>
      </c>
      <c r="G31" s="62" t="e">
        <f>G17-G23+10*LOG(4*3.141592654)+20*LOG(G8/299.792458)+10*LOG(4/C7)-30+G14</f>
        <v>#NUM!</v>
      </c>
    </row>
    <row r="32" spans="1:7" ht="12.75">
      <c r="A32" s="35"/>
      <c r="B32" s="59" t="s">
        <v>166</v>
      </c>
      <c r="C32" s="60" t="e">
        <f>10*LOG(C31)</f>
        <v>#NUM!</v>
      </c>
      <c r="D32" s="115"/>
      <c r="E32" s="35"/>
      <c r="F32" s="34" t="s">
        <v>150</v>
      </c>
      <c r="G32" s="39">
        <v>15.2</v>
      </c>
    </row>
    <row r="33" spans="1:7" ht="12.75">
      <c r="A33" s="35"/>
      <c r="B33" s="61" t="s">
        <v>150</v>
      </c>
      <c r="C33" s="60" t="e">
        <f>C25-C28-C32</f>
        <v>#NUM!</v>
      </c>
      <c r="D33" s="115"/>
      <c r="E33" s="35"/>
      <c r="F33" s="59" t="s">
        <v>167</v>
      </c>
      <c r="G33" s="60" t="e">
        <f>G17-G23-G24-G28-G29+G32+228.6-30</f>
        <v>#NUM!</v>
      </c>
    </row>
    <row r="34" spans="1:7" ht="12.75">
      <c r="A34" s="35"/>
      <c r="B34" s="59" t="s">
        <v>151</v>
      </c>
      <c r="C34" s="60" t="e">
        <f>C9-C15-C16-C17-C20-C21+C33+228.6-30</f>
        <v>#NUM!</v>
      </c>
      <c r="D34" s="122"/>
      <c r="E34" s="35"/>
      <c r="F34" s="59" t="s">
        <v>50</v>
      </c>
      <c r="G34" s="60">
        <f>-20*LOG(10^(-G9/20)+10^(-G30/20)+10^(-G25/20))</f>
        <v>16.15289125710525</v>
      </c>
    </row>
    <row r="35" spans="1:7" ht="12.75">
      <c r="A35" s="35"/>
      <c r="B35" s="59" t="s">
        <v>49</v>
      </c>
      <c r="C35" s="60">
        <v>25</v>
      </c>
      <c r="D35" s="115"/>
      <c r="E35" s="35"/>
      <c r="F35" s="59" t="s">
        <v>120</v>
      </c>
      <c r="G35" s="60" t="e">
        <f>-10*LOG(10^(-G33/10)+(10^(-G34/10))/(C6*1000))</f>
        <v>#NUM!</v>
      </c>
    </row>
    <row r="36" spans="1:7" ht="12.75">
      <c r="A36" s="56"/>
      <c r="B36" s="59" t="s">
        <v>119</v>
      </c>
      <c r="C36" s="71" t="e">
        <f>10*LOG((((10^(-C35/10))/(C6*1000))+(10^(-C34/10)))^-1)</f>
        <v>#NUM!</v>
      </c>
      <c r="D36" s="109"/>
      <c r="E36" s="35"/>
      <c r="F36" s="59" t="s">
        <v>86</v>
      </c>
      <c r="G36" s="60" t="e">
        <f>C36</f>
        <v>#NUM!</v>
      </c>
    </row>
    <row r="37" spans="1:7" ht="12.75">
      <c r="A37" s="101"/>
      <c r="B37" s="101"/>
      <c r="C37" s="152"/>
      <c r="D37" s="109"/>
      <c r="E37" s="35"/>
      <c r="F37" s="59" t="s">
        <v>169</v>
      </c>
      <c r="G37" s="60" t="e">
        <f>10*LOG(1/((10^(-G35/10))+10^(-G36/10)))</f>
        <v>#NUM!</v>
      </c>
    </row>
    <row r="38" spans="1:7" ht="20.25">
      <c r="A38" s="96"/>
      <c r="B38" s="153"/>
      <c r="C38" s="96"/>
      <c r="D38" s="97"/>
      <c r="E38" s="149"/>
      <c r="F38" s="36" t="s">
        <v>194</v>
      </c>
      <c r="G38" s="40"/>
    </row>
    <row r="39" spans="1:7" ht="20.25">
      <c r="A39" s="96"/>
      <c r="B39" s="153"/>
      <c r="C39" s="96"/>
      <c r="D39" s="97"/>
      <c r="E39" s="150"/>
      <c r="F39" s="61" t="s">
        <v>129</v>
      </c>
      <c r="G39" s="63" t="e">
        <f>G37-10*LOG(C6*1000)-G38</f>
        <v>#NUM!</v>
      </c>
    </row>
    <row r="40" spans="1:7" ht="20.25">
      <c r="A40" s="96"/>
      <c r="B40" s="153"/>
      <c r="C40" s="96"/>
      <c r="D40" s="97"/>
      <c r="E40" s="150"/>
      <c r="F40" s="92" t="s">
        <v>196</v>
      </c>
      <c r="G40" s="53"/>
    </row>
    <row r="41" spans="1:7" ht="12.75">
      <c r="A41" s="96"/>
      <c r="B41" s="154"/>
      <c r="C41" s="96"/>
      <c r="D41" s="97"/>
      <c r="E41" s="150"/>
      <c r="F41" s="57" t="s">
        <v>152</v>
      </c>
      <c r="G41" s="128">
        <v>2.3</v>
      </c>
    </row>
    <row r="42" spans="1:7" ht="12.75">
      <c r="A42" s="96"/>
      <c r="B42" s="155"/>
      <c r="C42" s="96"/>
      <c r="D42" s="99"/>
      <c r="E42" s="150"/>
      <c r="F42" s="61" t="s">
        <v>130</v>
      </c>
      <c r="G42" s="63" t="e">
        <f>G39-G41-G40</f>
        <v>#NUM!</v>
      </c>
    </row>
    <row r="43" spans="5:7" ht="12.75">
      <c r="E43" s="123"/>
      <c r="F43" s="31"/>
      <c r="G43" s="6"/>
    </row>
    <row r="44" spans="5:7" ht="12.75">
      <c r="E44" s="2"/>
      <c r="F44" s="2"/>
      <c r="G44" s="6"/>
    </row>
    <row r="45" spans="5:7" ht="12.75">
      <c r="E45" s="2"/>
      <c r="F45" s="2"/>
      <c r="G45" s="6"/>
    </row>
    <row r="46" spans="5:7" ht="12.75">
      <c r="E46" s="2"/>
      <c r="F46" s="2"/>
      <c r="G46" s="6"/>
    </row>
  </sheetData>
  <conditionalFormatting sqref="G31">
    <cfRule type="cellIs" priority="1" dxfId="0" operator="greaterThan" stopIfTrue="1">
      <formula>-154</formula>
    </cfRule>
  </conditionalFormatting>
  <printOptions gridLines="1"/>
  <pageMargins left="0.56" right="0.55" top="0.55" bottom="0.5" header="0.33" footer="0.5"/>
  <pageSetup fitToHeight="1" fitToWidth="1" horizontalDpi="600" verticalDpi="600" orientation="landscape" scale="96"/>
  <headerFooter alignWithMargins="0">
    <oddHeader>&amp;L&amp;F     Printed &amp;D &amp;T&amp;C &amp;A&amp;R&amp;P/&amp;N</oddHeader>
  </headerFooter>
  <legacyDrawing r:id="rId2"/>
</worksheet>
</file>

<file path=xl/worksheets/sheet4.xml><?xml version="1.0" encoding="utf-8"?>
<worksheet xmlns="http://schemas.openxmlformats.org/spreadsheetml/2006/main" xmlns:r="http://schemas.openxmlformats.org/officeDocument/2006/relationships">
  <sheetPr>
    <tabColor indexed="47"/>
    <pageSetUpPr fitToPage="1"/>
  </sheetPr>
  <dimension ref="A1:H45"/>
  <sheetViews>
    <sheetView workbookViewId="0" topLeftCell="A10">
      <selection activeCell="G32" sqref="G32"/>
    </sheetView>
  </sheetViews>
  <sheetFormatPr defaultColWidth="9.140625" defaultRowHeight="12.75"/>
  <cols>
    <col min="1" max="1" width="4.28125" style="0" customWidth="1"/>
    <col min="2" max="2" width="46.421875" style="0" customWidth="1"/>
    <col min="3" max="3" width="13.8515625" style="0" customWidth="1"/>
    <col min="4" max="4" width="19.421875" style="0" customWidth="1"/>
    <col min="5" max="5" width="5.421875" style="0" customWidth="1"/>
    <col min="6" max="16384" width="8.8515625" style="0" customWidth="1"/>
  </cols>
  <sheetData>
    <row r="1" spans="1:5" ht="12.75">
      <c r="A1" s="30" t="s">
        <v>79</v>
      </c>
      <c r="B1" s="31"/>
      <c r="C1" s="31"/>
      <c r="D1" s="2"/>
      <c r="E1" s="2"/>
    </row>
    <row r="2" spans="1:8" ht="12.75">
      <c r="A2" s="30"/>
      <c r="B2" s="32" t="s">
        <v>187</v>
      </c>
      <c r="C2" s="31"/>
      <c r="D2" s="2"/>
      <c r="E2" s="2"/>
      <c r="F2" s="22"/>
      <c r="G2" s="22"/>
      <c r="H2" s="22"/>
    </row>
    <row r="3" spans="1:8" ht="12.75">
      <c r="A3" s="33" t="s">
        <v>170</v>
      </c>
      <c r="B3" s="31"/>
      <c r="C3" s="31" t="s">
        <v>101</v>
      </c>
      <c r="D3" s="9"/>
      <c r="E3" s="9"/>
      <c r="F3" s="22"/>
      <c r="G3" s="22"/>
      <c r="H3" s="22"/>
    </row>
    <row r="4" spans="1:8" ht="12.75">
      <c r="A4" s="35"/>
      <c r="B4" s="36" t="s">
        <v>177</v>
      </c>
      <c r="C4" s="36"/>
      <c r="D4" s="9"/>
      <c r="E4" s="9"/>
      <c r="F4" s="22"/>
      <c r="G4" s="22"/>
      <c r="H4" s="22"/>
    </row>
    <row r="5" spans="1:8" ht="12.75">
      <c r="A5" s="35"/>
      <c r="B5" s="36" t="s">
        <v>155</v>
      </c>
      <c r="C5" s="36"/>
      <c r="D5" s="2"/>
      <c r="E5" s="4"/>
      <c r="F5" s="22"/>
      <c r="G5" s="22"/>
      <c r="H5" s="22"/>
    </row>
    <row r="6" spans="1:8" ht="12.75">
      <c r="A6" s="35"/>
      <c r="B6" s="59" t="s">
        <v>178</v>
      </c>
      <c r="C6" s="60" t="e">
        <f>10*LOG(C4)-C5</f>
        <v>#NUM!</v>
      </c>
      <c r="D6" s="2"/>
      <c r="E6" s="4"/>
      <c r="F6" s="22"/>
      <c r="G6" s="22"/>
      <c r="H6" s="22"/>
    </row>
    <row r="7" spans="1:8" ht="12.75">
      <c r="A7" s="35"/>
      <c r="B7" s="36" t="s">
        <v>141</v>
      </c>
      <c r="C7" s="38"/>
      <c r="D7" s="2"/>
      <c r="E7" s="4"/>
      <c r="F7" s="22"/>
      <c r="G7" s="22"/>
      <c r="H7" s="22"/>
    </row>
    <row r="8" spans="1:8" ht="12.75">
      <c r="A8" s="35"/>
      <c r="B8" s="31" t="s">
        <v>211</v>
      </c>
      <c r="C8" s="31">
        <v>8220</v>
      </c>
      <c r="D8" s="6"/>
      <c r="E8" s="4"/>
      <c r="F8" s="22"/>
      <c r="G8" s="22"/>
      <c r="H8" s="22"/>
    </row>
    <row r="9" spans="1:8" ht="12.75">
      <c r="A9" s="35"/>
      <c r="B9" s="31" t="s">
        <v>184</v>
      </c>
      <c r="C9" s="66">
        <v>100000</v>
      </c>
      <c r="D9" s="19"/>
      <c r="E9" s="4"/>
      <c r="F9" s="22"/>
      <c r="G9" s="22"/>
      <c r="H9" s="22"/>
    </row>
    <row r="10" spans="1:8" ht="12.75">
      <c r="A10" s="35"/>
      <c r="B10" s="31" t="s">
        <v>195</v>
      </c>
      <c r="C10" s="66">
        <f>C9*8/7</f>
        <v>114285.71428571429</v>
      </c>
      <c r="D10" s="2"/>
      <c r="E10" s="2"/>
      <c r="F10" s="22"/>
      <c r="G10" s="22"/>
      <c r="H10" s="22"/>
    </row>
    <row r="11" spans="1:8" ht="12.75">
      <c r="A11" s="35"/>
      <c r="B11" s="36" t="s">
        <v>154</v>
      </c>
      <c r="C11" s="36"/>
      <c r="D11" s="2"/>
      <c r="E11" s="2"/>
      <c r="F11" s="22"/>
      <c r="G11" s="22"/>
      <c r="H11" s="22"/>
    </row>
    <row r="12" spans="1:8" ht="12.75">
      <c r="A12" s="35"/>
      <c r="B12" s="36" t="s">
        <v>153</v>
      </c>
      <c r="C12" s="36"/>
      <c r="D12" s="2"/>
      <c r="E12" s="2"/>
      <c r="F12" s="22"/>
      <c r="G12" s="22"/>
      <c r="H12" s="22"/>
    </row>
    <row r="13" spans="1:8" ht="12.75">
      <c r="A13" s="35"/>
      <c r="B13" s="36" t="s">
        <v>149</v>
      </c>
      <c r="C13" s="36"/>
      <c r="D13" s="2"/>
      <c r="E13" s="2"/>
      <c r="F13" s="22"/>
      <c r="G13" s="22"/>
      <c r="H13" s="22"/>
    </row>
    <row r="14" spans="1:8" ht="12.75">
      <c r="A14" s="35"/>
      <c r="B14" s="36" t="s">
        <v>156</v>
      </c>
      <c r="C14" s="40"/>
      <c r="D14" s="6"/>
      <c r="E14" s="4"/>
      <c r="F14" s="22"/>
      <c r="G14" s="22"/>
      <c r="H14" s="22"/>
    </row>
    <row r="15" spans="1:8" ht="12.75">
      <c r="A15" s="35"/>
      <c r="B15" s="36" t="s">
        <v>133</v>
      </c>
      <c r="C15" s="40"/>
      <c r="D15" s="6"/>
      <c r="E15" s="4"/>
      <c r="F15" s="22"/>
      <c r="G15" s="22"/>
      <c r="H15" s="22"/>
    </row>
    <row r="16" spans="1:8" ht="12.75">
      <c r="A16" s="35"/>
      <c r="B16" s="36" t="s">
        <v>91</v>
      </c>
      <c r="C16" s="40"/>
      <c r="D16" s="6"/>
      <c r="E16" s="4"/>
      <c r="F16" s="22"/>
      <c r="G16" s="22"/>
      <c r="H16" s="22"/>
    </row>
    <row r="17" spans="1:8" ht="12.75">
      <c r="A17" s="35"/>
      <c r="B17" s="59" t="s">
        <v>88</v>
      </c>
      <c r="C17" s="60">
        <f>C14-C15-C16</f>
        <v>0</v>
      </c>
      <c r="D17" s="6"/>
      <c r="E17" s="4"/>
      <c r="F17" s="22"/>
      <c r="G17" s="22"/>
      <c r="H17" s="22"/>
    </row>
    <row r="18" spans="1:8" ht="12.75">
      <c r="A18" s="34"/>
      <c r="B18" s="73" t="s">
        <v>74</v>
      </c>
      <c r="C18" s="62" t="e">
        <f>+C6-C7+C17+30</f>
        <v>#NUM!</v>
      </c>
      <c r="D18" s="6"/>
      <c r="E18" s="4"/>
      <c r="F18" s="22"/>
      <c r="G18" s="22"/>
      <c r="H18" s="22"/>
    </row>
    <row r="19" spans="1:8" ht="12.75">
      <c r="A19" s="35"/>
      <c r="B19" s="31"/>
      <c r="C19" s="39"/>
      <c r="D19" s="10"/>
      <c r="E19" s="1"/>
      <c r="F19" s="22"/>
      <c r="G19" s="22"/>
      <c r="H19" s="22"/>
    </row>
    <row r="20" spans="1:8" ht="12.75">
      <c r="A20" s="33" t="s">
        <v>158</v>
      </c>
      <c r="B20" s="45"/>
      <c r="C20" s="46"/>
      <c r="D20" s="10"/>
      <c r="E20" s="2"/>
      <c r="F20" s="22"/>
      <c r="G20" s="22"/>
      <c r="H20" s="22"/>
    </row>
    <row r="21" spans="1:8" ht="12.75">
      <c r="A21" s="35"/>
      <c r="B21" s="31" t="s">
        <v>143</v>
      </c>
      <c r="C21" s="31">
        <v>35784</v>
      </c>
      <c r="D21" s="12"/>
      <c r="E21" s="2"/>
      <c r="F21" s="22"/>
      <c r="G21" s="22"/>
      <c r="H21" s="22"/>
    </row>
    <row r="22" spans="1:8" ht="12.75">
      <c r="A22" s="35"/>
      <c r="B22" s="31" t="s">
        <v>144</v>
      </c>
      <c r="C22" s="31">
        <v>13.8</v>
      </c>
      <c r="D22" s="2"/>
      <c r="E22" s="2"/>
      <c r="F22" s="22"/>
      <c r="G22" s="22"/>
      <c r="H22" s="22"/>
    </row>
    <row r="23" spans="1:8" ht="12.75">
      <c r="A23" s="35"/>
      <c r="B23" s="31" t="s">
        <v>145</v>
      </c>
      <c r="C23" s="37">
        <f>SQRT((6378+C21)^2-(6378*COS(PI()/180*C22))^2)-6378*SIN(PI()/180*C22)</f>
        <v>40183.18870290123</v>
      </c>
      <c r="D23" s="2"/>
      <c r="E23" s="2"/>
      <c r="F23" s="22"/>
      <c r="G23" s="22"/>
      <c r="H23" s="22"/>
    </row>
    <row r="24" spans="1:8" ht="12.75">
      <c r="A24" s="35"/>
      <c r="B24" s="31" t="s">
        <v>146</v>
      </c>
      <c r="C24" s="39">
        <f>-(20*LOG(299.792458/(C8*4*3.141592654))-20*LOG(C23*1000))</f>
        <v>202.8261075108271</v>
      </c>
      <c r="D24" s="11"/>
      <c r="E24" s="4"/>
      <c r="F24" s="22"/>
      <c r="G24" s="22"/>
      <c r="H24" s="22"/>
    </row>
    <row r="25" spans="1:8" ht="12.75">
      <c r="A25" s="35"/>
      <c r="B25" s="31" t="s">
        <v>159</v>
      </c>
      <c r="C25" s="39">
        <v>4.5</v>
      </c>
      <c r="D25" s="6"/>
      <c r="E25" s="2"/>
      <c r="F25" s="22"/>
      <c r="G25" s="22"/>
      <c r="H25" s="22"/>
    </row>
    <row r="26" spans="1:8" ht="12.75">
      <c r="A26" s="35"/>
      <c r="B26" s="31"/>
      <c r="C26" s="39"/>
      <c r="D26" s="6"/>
      <c r="E26" s="2"/>
      <c r="F26" s="22"/>
      <c r="G26" s="22"/>
      <c r="H26" s="22"/>
    </row>
    <row r="27" spans="1:8" ht="12.75">
      <c r="A27" s="33" t="s">
        <v>53</v>
      </c>
      <c r="B27" s="31"/>
      <c r="C27" s="39"/>
      <c r="D27" s="6"/>
      <c r="E27" s="2"/>
      <c r="F27" s="22"/>
      <c r="G27" s="22"/>
      <c r="H27" s="22"/>
    </row>
    <row r="28" spans="1:8" ht="12.75">
      <c r="A28" s="35"/>
      <c r="B28" s="43" t="s">
        <v>147</v>
      </c>
      <c r="C28" s="31">
        <v>0.25</v>
      </c>
      <c r="D28" s="6"/>
      <c r="E28" s="3"/>
      <c r="F28" s="22"/>
      <c r="G28" s="22"/>
      <c r="H28" s="22"/>
    </row>
    <row r="29" spans="1:8" ht="12.75">
      <c r="A29" s="35"/>
      <c r="B29" s="31" t="s">
        <v>173</v>
      </c>
      <c r="C29" s="31">
        <v>1</v>
      </c>
      <c r="D29" s="2"/>
      <c r="E29" s="3"/>
      <c r="F29" s="22"/>
      <c r="G29" s="22"/>
      <c r="H29" s="22"/>
    </row>
    <row r="30" spans="1:8" ht="12.75">
      <c r="A30" s="35"/>
      <c r="B30" s="34" t="s">
        <v>150</v>
      </c>
      <c r="C30" s="39">
        <v>35</v>
      </c>
      <c r="D30" s="10"/>
      <c r="E30" s="3"/>
      <c r="F30" s="22"/>
      <c r="G30" s="22"/>
      <c r="H30" s="22"/>
    </row>
    <row r="31" spans="1:8" ht="12.75">
      <c r="A31" s="35"/>
      <c r="B31" s="59" t="s">
        <v>151</v>
      </c>
      <c r="C31" s="60" t="e">
        <f>C18-SUM(C24:C29)+C30+228.6-30</f>
        <v>#NUM!</v>
      </c>
      <c r="D31" s="6"/>
      <c r="E31" s="2"/>
      <c r="F31" s="22"/>
      <c r="G31" s="22"/>
      <c r="H31" s="22"/>
    </row>
    <row r="32" spans="1:8" ht="12.75">
      <c r="A32" s="56"/>
      <c r="B32" s="59" t="s">
        <v>197</v>
      </c>
      <c r="C32" s="62" t="e">
        <f>C18-C24+10*LOG(4*3.141592654)+20*LOG(C8/299.792458)+10*LOG(4/C10)-30+C15+C16</f>
        <v>#NUM!</v>
      </c>
      <c r="D32" s="6"/>
      <c r="E32" s="2"/>
      <c r="F32" s="22"/>
      <c r="G32" s="22"/>
      <c r="H32" s="22"/>
    </row>
    <row r="33" spans="1:8" ht="12.75">
      <c r="A33" s="56"/>
      <c r="B33" s="51" t="s">
        <v>214</v>
      </c>
      <c r="C33" s="42">
        <v>3</v>
      </c>
      <c r="D33" s="6"/>
      <c r="E33" s="2"/>
      <c r="F33" s="22"/>
      <c r="G33" s="22"/>
      <c r="H33" s="22"/>
    </row>
    <row r="34" spans="1:8" ht="12.75">
      <c r="A34" s="56"/>
      <c r="B34" s="54" t="s">
        <v>213</v>
      </c>
      <c r="C34" s="48"/>
      <c r="D34" s="6"/>
      <c r="E34" s="2"/>
      <c r="F34" s="22"/>
      <c r="G34" s="22"/>
      <c r="H34" s="22"/>
    </row>
    <row r="35" spans="1:8" ht="12.75">
      <c r="A35" s="56"/>
      <c r="B35" s="61" t="s">
        <v>134</v>
      </c>
      <c r="C35" s="67" t="e">
        <f>C31-10*LOG(C9*1000)-C33-C34</f>
        <v>#NUM!</v>
      </c>
      <c r="D35" s="6"/>
      <c r="E35" s="2"/>
      <c r="F35" s="22"/>
      <c r="G35" s="22"/>
      <c r="H35" s="22"/>
    </row>
    <row r="36" spans="1:8" ht="12.75">
      <c r="A36" s="56"/>
      <c r="B36" s="31" t="s">
        <v>196</v>
      </c>
      <c r="C36" s="68">
        <v>4.4</v>
      </c>
      <c r="D36" s="6"/>
      <c r="E36" s="2"/>
      <c r="F36" s="22"/>
      <c r="G36" s="22"/>
      <c r="H36" s="22"/>
    </row>
    <row r="37" spans="1:8" ht="12.75">
      <c r="A37" s="56"/>
      <c r="B37" s="57" t="s">
        <v>152</v>
      </c>
      <c r="C37" s="56">
        <v>2.3</v>
      </c>
      <c r="D37" s="15"/>
      <c r="E37" s="2"/>
      <c r="F37" s="22"/>
      <c r="G37" s="22"/>
      <c r="H37" s="22"/>
    </row>
    <row r="38" spans="1:8" ht="12.75">
      <c r="A38" s="56"/>
      <c r="B38" s="61" t="s">
        <v>135</v>
      </c>
      <c r="C38" s="67" t="e">
        <f>C35-C36-C37</f>
        <v>#NUM!</v>
      </c>
      <c r="D38" s="2"/>
      <c r="E38" s="2"/>
      <c r="F38" s="22"/>
      <c r="G38" s="22"/>
      <c r="H38" s="22"/>
    </row>
    <row r="39" spans="4:8" ht="12.75">
      <c r="D39" s="18"/>
      <c r="E39" s="2"/>
      <c r="F39" s="22"/>
      <c r="G39" s="22"/>
      <c r="H39" s="22"/>
    </row>
    <row r="40" spans="4:8" ht="12.75">
      <c r="D40" s="15"/>
      <c r="E40" s="2"/>
      <c r="F40" s="22"/>
      <c r="G40" s="22"/>
      <c r="H40" s="22"/>
    </row>
    <row r="41" spans="4:8" ht="12.75">
      <c r="D41" s="2"/>
      <c r="E41" s="2"/>
      <c r="F41" s="22"/>
      <c r="G41" s="22"/>
      <c r="H41" s="22"/>
    </row>
    <row r="42" spans="4:8" ht="12.75">
      <c r="D42" s="2"/>
      <c r="E42" s="2"/>
      <c r="F42" s="22"/>
      <c r="G42" s="22"/>
      <c r="H42" s="22"/>
    </row>
    <row r="43" spans="4:5" ht="12.75">
      <c r="D43" s="2"/>
      <c r="E43" s="2"/>
    </row>
    <row r="44" spans="4:5" ht="12.75">
      <c r="D44" s="2"/>
      <c r="E44" s="2"/>
    </row>
    <row r="45" spans="4:5" ht="12.75">
      <c r="D45" s="2"/>
      <c r="E45" s="2"/>
    </row>
  </sheetData>
  <conditionalFormatting sqref="D30 C32">
    <cfRule type="cellIs" priority="1" dxfId="0" operator="greaterThan" stopIfTrue="1">
      <formula>-154</formula>
    </cfRule>
  </conditionalFormatting>
  <printOptions gridLines="1"/>
  <pageMargins left="0.56" right="0.55" top="0.55" bottom="0.5" header="0.33" footer="0.5"/>
  <pageSetup fitToHeight="1" fitToWidth="1" horizontalDpi="600" verticalDpi="600" orientation="landscape"/>
  <headerFooter alignWithMargins="0">
    <oddHeader>&amp;L&amp;F     Printed &amp;D &amp;T&amp;C &amp;A&amp;R&amp;P/&amp;N</oddHeader>
  </headerFooter>
</worksheet>
</file>

<file path=xl/worksheets/sheet5.xml><?xml version="1.0" encoding="utf-8"?>
<worksheet xmlns="http://schemas.openxmlformats.org/spreadsheetml/2006/main" xmlns:r="http://schemas.openxmlformats.org/officeDocument/2006/relationships">
  <sheetPr>
    <tabColor indexed="47"/>
    <pageSetUpPr fitToPage="1"/>
  </sheetPr>
  <dimension ref="A1:G45"/>
  <sheetViews>
    <sheetView workbookViewId="0" topLeftCell="A10">
      <selection activeCell="G32" sqref="G32"/>
    </sheetView>
  </sheetViews>
  <sheetFormatPr defaultColWidth="9.140625" defaultRowHeight="12.75"/>
  <cols>
    <col min="1" max="1" width="4.28125" style="0" customWidth="1"/>
    <col min="2" max="2" width="42.00390625" style="0" customWidth="1"/>
    <col min="3" max="3" width="8.8515625" style="0" customWidth="1"/>
    <col min="4" max="4" width="4.7109375" style="0" customWidth="1"/>
    <col min="5" max="5" width="6.140625" style="0" customWidth="1"/>
    <col min="6" max="6" width="34.421875" style="0" customWidth="1"/>
    <col min="7" max="7" width="9.421875" style="0" customWidth="1"/>
    <col min="8" max="16384" width="8.8515625" style="0" customWidth="1"/>
  </cols>
  <sheetData>
    <row r="1" spans="1:7" ht="12.75">
      <c r="A1" s="30" t="s">
        <v>181</v>
      </c>
      <c r="B1" s="31"/>
      <c r="C1" s="31"/>
      <c r="D1" s="31"/>
      <c r="E1" s="31"/>
      <c r="F1" s="31"/>
      <c r="G1" s="31"/>
    </row>
    <row r="2" spans="1:7" ht="12.75">
      <c r="A2" s="30"/>
      <c r="B2" s="32" t="s">
        <v>175</v>
      </c>
      <c r="C2" s="31"/>
      <c r="D2" s="31"/>
      <c r="E2" s="31"/>
      <c r="F2" s="32" t="s">
        <v>176</v>
      </c>
      <c r="G2" s="31"/>
    </row>
    <row r="3" spans="1:7" ht="12.75">
      <c r="A3" s="33" t="s">
        <v>75</v>
      </c>
      <c r="B3" s="31"/>
      <c r="C3" s="34"/>
      <c r="D3" s="34"/>
      <c r="E3" s="33" t="s">
        <v>188</v>
      </c>
      <c r="F3" s="31"/>
      <c r="G3" s="31"/>
    </row>
    <row r="4" spans="1:7" ht="12.75">
      <c r="A4" s="35"/>
      <c r="B4" s="31" t="s">
        <v>211</v>
      </c>
      <c r="C4" s="31">
        <v>406.05</v>
      </c>
      <c r="D4" s="31"/>
      <c r="E4" s="35"/>
      <c r="F4" s="36" t="s">
        <v>77</v>
      </c>
      <c r="G4" s="36"/>
    </row>
    <row r="5" spans="1:7" ht="12.75">
      <c r="A5" s="35"/>
      <c r="B5" s="31" t="s">
        <v>184</v>
      </c>
      <c r="C5" s="39">
        <v>0.4</v>
      </c>
      <c r="D5" s="31"/>
      <c r="E5" s="35"/>
      <c r="F5" s="36" t="s">
        <v>155</v>
      </c>
      <c r="G5" s="36"/>
    </row>
    <row r="6" spans="1:7" ht="12.75">
      <c r="A6" s="35"/>
      <c r="B6" s="31" t="s">
        <v>195</v>
      </c>
      <c r="C6" s="70">
        <f>1*C5</f>
        <v>0.4</v>
      </c>
      <c r="D6" s="39"/>
      <c r="E6" s="35"/>
      <c r="F6" s="59" t="s">
        <v>178</v>
      </c>
      <c r="G6" s="60" t="e">
        <f>10*LOG10(G4)-G5</f>
        <v>#NUM!</v>
      </c>
    </row>
    <row r="7" spans="1:7" ht="12.75">
      <c r="A7" s="35"/>
      <c r="B7" s="31" t="s">
        <v>185</v>
      </c>
      <c r="C7" s="31">
        <v>10</v>
      </c>
      <c r="D7" s="41"/>
      <c r="E7" s="35"/>
      <c r="F7" s="36" t="s">
        <v>141</v>
      </c>
      <c r="G7" s="38">
        <v>1.7</v>
      </c>
    </row>
    <row r="8" spans="1:7" ht="12.75">
      <c r="A8" s="34"/>
      <c r="B8" s="51" t="s">
        <v>3</v>
      </c>
      <c r="C8" s="129">
        <v>32</v>
      </c>
      <c r="D8" s="43" t="s">
        <v>142</v>
      </c>
      <c r="E8" s="35"/>
      <c r="F8" s="31" t="s">
        <v>174</v>
      </c>
      <c r="G8" s="31">
        <v>1544.5</v>
      </c>
    </row>
    <row r="9" spans="1:7" ht="12.75">
      <c r="A9" s="34"/>
      <c r="B9" s="51" t="s">
        <v>136</v>
      </c>
      <c r="C9" s="42">
        <v>4.1</v>
      </c>
      <c r="D9" s="44"/>
      <c r="E9" s="35"/>
      <c r="F9" s="36" t="s">
        <v>154</v>
      </c>
      <c r="G9" s="36"/>
    </row>
    <row r="10" spans="1:7" ht="12.75">
      <c r="A10" s="35"/>
      <c r="B10" s="31"/>
      <c r="C10" s="39"/>
      <c r="D10" s="43"/>
      <c r="E10" s="35"/>
      <c r="F10" s="36" t="s">
        <v>149</v>
      </c>
      <c r="G10" s="36"/>
    </row>
    <row r="11" spans="1:7" ht="12.75">
      <c r="A11" s="33" t="s">
        <v>171</v>
      </c>
      <c r="B11" s="45"/>
      <c r="C11" s="46"/>
      <c r="D11" s="47"/>
      <c r="E11" s="35"/>
      <c r="F11" s="36" t="s">
        <v>156</v>
      </c>
      <c r="G11" s="40"/>
    </row>
    <row r="12" spans="1:7" ht="12.75">
      <c r="A12" s="35"/>
      <c r="B12" s="31" t="s">
        <v>143</v>
      </c>
      <c r="C12" s="31">
        <v>35784</v>
      </c>
      <c r="D12" s="47"/>
      <c r="E12" s="35"/>
      <c r="F12" s="36" t="s">
        <v>131</v>
      </c>
      <c r="G12" s="40"/>
    </row>
    <row r="13" spans="1:7" ht="12.75">
      <c r="A13" s="35"/>
      <c r="B13" s="31" t="s">
        <v>144</v>
      </c>
      <c r="C13" s="31">
        <v>5</v>
      </c>
      <c r="D13" s="47"/>
      <c r="E13" s="35"/>
      <c r="F13" s="36" t="s">
        <v>89</v>
      </c>
      <c r="G13" s="40"/>
    </row>
    <row r="14" spans="1:7" ht="12.75">
      <c r="A14" s="35"/>
      <c r="B14" s="31" t="s">
        <v>145</v>
      </c>
      <c r="C14" s="37">
        <f>SQRT((6378+C12)^2-(6378*COS(PI()/180*C13))^2)-6378*SIN(PI()/180*C13)</f>
        <v>41124.62405055137</v>
      </c>
      <c r="D14" s="43"/>
      <c r="E14" s="35"/>
      <c r="F14" s="59" t="s">
        <v>90</v>
      </c>
      <c r="G14" s="60">
        <f>G11-G12-G13</f>
        <v>0</v>
      </c>
    </row>
    <row r="15" spans="1:7" ht="12.75">
      <c r="A15" s="35"/>
      <c r="B15" s="31" t="s">
        <v>146</v>
      </c>
      <c r="C15" s="39">
        <f>-(20*LOG(299.792458/(C4*4*3.141592654))-20*LOG(C14*1000))</f>
        <v>176.90141233516766</v>
      </c>
      <c r="D15" s="31"/>
      <c r="E15" s="35"/>
      <c r="F15" s="59" t="s">
        <v>72</v>
      </c>
      <c r="G15" s="60" t="e">
        <f>G6-G7+G14+30</f>
        <v>#NUM!</v>
      </c>
    </row>
    <row r="16" spans="1:7" ht="12.75">
      <c r="A16" s="35"/>
      <c r="B16" s="31" t="s">
        <v>159</v>
      </c>
      <c r="C16" s="39">
        <v>0.7</v>
      </c>
      <c r="D16" s="43"/>
      <c r="E16" s="35"/>
      <c r="F16" s="59" t="s">
        <v>4</v>
      </c>
      <c r="G16" s="60" t="e">
        <f>10*LOG(1-1/(1+(10^(C32/10)*C7)))</f>
        <v>#NUM!</v>
      </c>
    </row>
    <row r="17" spans="1:7" ht="12.75">
      <c r="A17" s="35"/>
      <c r="B17" s="31"/>
      <c r="C17" s="39"/>
      <c r="D17" s="43"/>
      <c r="E17" s="35"/>
      <c r="F17" s="59" t="s">
        <v>2</v>
      </c>
      <c r="G17" s="60">
        <f>-10*LOG(C7)</f>
        <v>-10</v>
      </c>
    </row>
    <row r="18" spans="1:7" ht="12.75">
      <c r="A18" s="33" t="s">
        <v>52</v>
      </c>
      <c r="B18" s="31"/>
      <c r="C18" s="39"/>
      <c r="D18" s="43"/>
      <c r="E18" s="35"/>
      <c r="F18" s="61" t="s">
        <v>73</v>
      </c>
      <c r="G18" s="62" t="e">
        <f>G15+G16+G17</f>
        <v>#NUM!</v>
      </c>
    </row>
    <row r="19" spans="1:7" ht="12.75">
      <c r="A19" s="35"/>
      <c r="B19" s="58" t="s">
        <v>147</v>
      </c>
      <c r="C19" s="36"/>
      <c r="D19" s="49"/>
      <c r="E19" s="35"/>
      <c r="F19" s="34"/>
      <c r="G19" s="42"/>
    </row>
    <row r="20" spans="1:7" ht="12.75">
      <c r="A20" s="35"/>
      <c r="B20" s="36" t="s">
        <v>99</v>
      </c>
      <c r="C20" s="36"/>
      <c r="D20" s="50"/>
      <c r="E20" s="33" t="s">
        <v>158</v>
      </c>
      <c r="F20" s="45"/>
      <c r="G20" s="46"/>
    </row>
    <row r="21" spans="1:7" ht="12.75">
      <c r="A21" s="35"/>
      <c r="B21" s="54" t="s">
        <v>161</v>
      </c>
      <c r="C21" s="36"/>
      <c r="D21" s="50"/>
      <c r="E21" s="33"/>
      <c r="F21" s="31" t="s">
        <v>143</v>
      </c>
      <c r="G21" s="31">
        <v>35784</v>
      </c>
    </row>
    <row r="22" spans="1:7" ht="12.75">
      <c r="A22" s="35"/>
      <c r="B22" s="36" t="s">
        <v>149</v>
      </c>
      <c r="C22" s="36"/>
      <c r="D22" s="52"/>
      <c r="E22" s="35"/>
      <c r="F22" s="31" t="s">
        <v>144</v>
      </c>
      <c r="G22" s="31">
        <v>5</v>
      </c>
    </row>
    <row r="23" spans="1:7" ht="12.75">
      <c r="A23" s="35"/>
      <c r="B23" s="36" t="s">
        <v>162</v>
      </c>
      <c r="C23" s="40"/>
      <c r="D23" s="43"/>
      <c r="E23" s="35"/>
      <c r="F23" s="31" t="s">
        <v>145</v>
      </c>
      <c r="G23" s="37">
        <f>SQRT((6378+G21)^2-(6378*COS(PI()/180*G22))^2)-6378*SIN(PI()/180*G22)</f>
        <v>41124.62405055137</v>
      </c>
    </row>
    <row r="24" spans="1:7" ht="12.75">
      <c r="A24" s="35"/>
      <c r="B24" s="36" t="s">
        <v>163</v>
      </c>
      <c r="C24" s="40"/>
      <c r="D24" s="43"/>
      <c r="E24" s="35"/>
      <c r="F24" s="31" t="s">
        <v>146</v>
      </c>
      <c r="G24" s="39">
        <f>-(20*LOG(299.792458/(G8*4*3.141592654))-20*LOG(G23*1000))</f>
        <v>188.5055802913933</v>
      </c>
    </row>
    <row r="25" spans="1:7" ht="12.75">
      <c r="A25" s="35"/>
      <c r="B25" s="36" t="s">
        <v>164</v>
      </c>
      <c r="C25" s="53"/>
      <c r="D25" s="31"/>
      <c r="E25" s="35"/>
      <c r="F25" s="31" t="s">
        <v>159</v>
      </c>
      <c r="G25" s="39">
        <v>2</v>
      </c>
    </row>
    <row r="26" spans="1:7" ht="12.75">
      <c r="A26" s="35"/>
      <c r="B26" s="36" t="s">
        <v>96</v>
      </c>
      <c r="C26" s="54"/>
      <c r="D26" s="35"/>
      <c r="E26" s="35"/>
      <c r="F26" s="31"/>
      <c r="G26" s="39"/>
    </row>
    <row r="27" spans="1:7" ht="12.75">
      <c r="A27" s="35"/>
      <c r="B27" s="36" t="s">
        <v>212</v>
      </c>
      <c r="C27" s="54"/>
      <c r="D27" s="43"/>
      <c r="E27" s="33" t="s">
        <v>172</v>
      </c>
      <c r="F27" s="31"/>
      <c r="G27" s="39"/>
    </row>
    <row r="28" spans="1:7" ht="12.75">
      <c r="A28" s="35"/>
      <c r="B28" s="59" t="s">
        <v>95</v>
      </c>
      <c r="C28" s="72">
        <f>290*(10^((C26)*0.1)-1)</f>
        <v>0</v>
      </c>
      <c r="D28" s="43"/>
      <c r="E28" s="33"/>
      <c r="F28" s="43" t="s">
        <v>147</v>
      </c>
      <c r="G28" s="31">
        <v>0.3</v>
      </c>
    </row>
    <row r="29" spans="1:7" ht="12.75">
      <c r="A29" s="35"/>
      <c r="B29" s="59" t="s">
        <v>165</v>
      </c>
      <c r="C29" s="60" t="e">
        <f>10*LOG(C27+C28)</f>
        <v>#NUM!</v>
      </c>
      <c r="D29" s="43"/>
      <c r="E29" s="35"/>
      <c r="F29" s="31" t="s">
        <v>148</v>
      </c>
      <c r="G29" s="31">
        <v>0.5</v>
      </c>
    </row>
    <row r="30" spans="1:7" ht="12.75">
      <c r="A30" s="35"/>
      <c r="B30" s="61" t="s">
        <v>150</v>
      </c>
      <c r="C30" s="60" t="e">
        <f>C23-C25-C29</f>
        <v>#NUM!</v>
      </c>
      <c r="D30" s="43"/>
      <c r="E30" s="35"/>
      <c r="F30" s="59" t="s">
        <v>197</v>
      </c>
      <c r="G30" s="94" t="e">
        <f>G18-G24+10*LOG(4*3.141592654)+20*LOG(G8/299.792458)+G12-30</f>
        <v>#NUM!</v>
      </c>
    </row>
    <row r="31" spans="1:7" ht="12.75">
      <c r="A31" s="35"/>
      <c r="B31" s="59" t="s">
        <v>199</v>
      </c>
      <c r="C31" s="60" t="e">
        <f>C8-C9-SUM(C15:C20)+C30+228.6-30</f>
        <v>#NUM!</v>
      </c>
      <c r="D31" s="43"/>
      <c r="E31" s="35"/>
      <c r="F31" s="59" t="s">
        <v>137</v>
      </c>
      <c r="G31" s="94" t="e">
        <f>G30+10*LOG(1+(4/100)*10^(-G16/10))</f>
        <v>#NUM!</v>
      </c>
    </row>
    <row r="32" spans="1:7" ht="12.75">
      <c r="A32" s="56"/>
      <c r="B32" s="210" t="s">
        <v>48</v>
      </c>
      <c r="C32" s="212" t="e">
        <f>C31-10*LOG(100000)</f>
        <v>#NUM!</v>
      </c>
      <c r="D32" s="43"/>
      <c r="E32" s="35"/>
      <c r="F32" s="34" t="s">
        <v>150</v>
      </c>
      <c r="G32" s="39">
        <v>6</v>
      </c>
    </row>
    <row r="33" spans="1:7" ht="12.75">
      <c r="A33" s="56"/>
      <c r="B33" s="211"/>
      <c r="C33" s="213"/>
      <c r="D33" s="43"/>
      <c r="E33" s="35"/>
      <c r="F33" s="59" t="s">
        <v>167</v>
      </c>
      <c r="G33" s="60" t="e">
        <f>G18-SUM(G24:G29)+G32+228.6-30</f>
        <v>#NUM!</v>
      </c>
    </row>
    <row r="34" spans="1:7" ht="12.75">
      <c r="A34" s="101"/>
      <c r="B34" s="101"/>
      <c r="C34" s="101"/>
      <c r="D34" s="55"/>
      <c r="E34" s="35"/>
      <c r="F34" s="59" t="s">
        <v>168</v>
      </c>
      <c r="G34" s="60" t="e">
        <f>C31</f>
        <v>#NUM!</v>
      </c>
    </row>
    <row r="35" spans="1:7" ht="12.75">
      <c r="A35" s="96"/>
      <c r="B35" s="96"/>
      <c r="C35" s="96"/>
      <c r="D35" s="162"/>
      <c r="E35" s="35"/>
      <c r="F35" s="59" t="s">
        <v>169</v>
      </c>
      <c r="G35" s="60" t="e">
        <f>10*LOG(1/(1/(10^(G33/10))+1/(10^(G34/10))))</f>
        <v>#NUM!</v>
      </c>
    </row>
    <row r="36" spans="1:7" ht="12.75">
      <c r="A36" s="96"/>
      <c r="B36" s="96"/>
      <c r="C36" s="96"/>
      <c r="D36" s="123"/>
      <c r="E36" s="35"/>
      <c r="F36" s="36" t="s">
        <v>194</v>
      </c>
      <c r="G36" s="40"/>
    </row>
    <row r="37" spans="4:7" ht="12.75">
      <c r="D37" s="123"/>
      <c r="E37" s="35"/>
      <c r="F37" s="61" t="s">
        <v>134</v>
      </c>
      <c r="G37" s="63" t="e">
        <f>G35-G36-10*LOG(C5*1000)</f>
        <v>#NUM!</v>
      </c>
    </row>
    <row r="38" spans="4:7" ht="25.5">
      <c r="D38" s="123"/>
      <c r="E38" s="35"/>
      <c r="F38" s="163" t="s">
        <v>1</v>
      </c>
      <c r="G38" s="65">
        <v>2.6</v>
      </c>
    </row>
    <row r="39" spans="4:7" ht="12.75">
      <c r="D39" s="123"/>
      <c r="E39" s="35"/>
      <c r="F39" s="31" t="s">
        <v>221</v>
      </c>
      <c r="G39" s="31">
        <v>2</v>
      </c>
    </row>
    <row r="40" spans="4:7" ht="12.75">
      <c r="D40" s="123"/>
      <c r="E40" s="35"/>
      <c r="F40" s="61" t="s">
        <v>132</v>
      </c>
      <c r="G40" s="63" t="e">
        <f>G37-G38-G39</f>
        <v>#NUM!</v>
      </c>
    </row>
    <row r="41" spans="4:7" ht="12.75">
      <c r="D41" s="2"/>
      <c r="E41" s="5"/>
      <c r="F41" s="9"/>
      <c r="G41" s="15"/>
    </row>
    <row r="42" spans="5:7" ht="12.75">
      <c r="E42" s="2"/>
      <c r="F42" s="2"/>
      <c r="G42" s="2"/>
    </row>
    <row r="43" spans="5:7" ht="12.75">
      <c r="E43" s="2"/>
      <c r="F43" s="2"/>
      <c r="G43" s="2"/>
    </row>
    <row r="44" spans="5:7" ht="12.75">
      <c r="E44" s="2"/>
      <c r="F44" s="2"/>
      <c r="G44" s="2"/>
    </row>
    <row r="45" spans="5:7" ht="12.75">
      <c r="E45" s="2"/>
      <c r="F45" s="2"/>
      <c r="G45" s="2"/>
    </row>
  </sheetData>
  <mergeCells count="2">
    <mergeCell ref="B32:B33"/>
    <mergeCell ref="C32:C33"/>
  </mergeCells>
  <conditionalFormatting sqref="G30:G31">
    <cfRule type="cellIs" priority="1" dxfId="0" operator="greaterThan" stopIfTrue="1">
      <formula>-154</formula>
    </cfRule>
  </conditionalFormatting>
  <printOptions gridLines="1"/>
  <pageMargins left="0.56" right="0.55" top="0.55" bottom="0.5" header="0.33" footer="0.5"/>
  <pageSetup fitToHeight="1" fitToWidth="1" horizontalDpi="600" verticalDpi="600" orientation="landscape" scale="98"/>
  <headerFooter alignWithMargins="0">
    <oddHeader>&amp;L&amp;F     Printed &amp;D &amp;T&amp;C &amp;A&amp;R&amp;P/&amp;N</oddHeader>
  </headerFooter>
  <legacyDrawing r:id="rId2"/>
</worksheet>
</file>

<file path=xl/worksheets/sheet6.xml><?xml version="1.0" encoding="utf-8"?>
<worksheet xmlns="http://schemas.openxmlformats.org/spreadsheetml/2006/main" xmlns:r="http://schemas.openxmlformats.org/officeDocument/2006/relationships">
  <sheetPr>
    <tabColor indexed="47"/>
    <pageSetUpPr fitToPage="1"/>
  </sheetPr>
  <dimension ref="A1:H46"/>
  <sheetViews>
    <sheetView workbookViewId="0" topLeftCell="A7">
      <selection activeCell="G32" sqref="G32"/>
    </sheetView>
  </sheetViews>
  <sheetFormatPr defaultColWidth="9.140625" defaultRowHeight="12.75"/>
  <cols>
    <col min="1" max="1" width="4.28125" style="0" customWidth="1"/>
    <col min="2" max="2" width="38.140625" style="108" customWidth="1"/>
    <col min="3" max="3" width="13.8515625" style="0" customWidth="1"/>
    <col min="4" max="4" width="4.7109375" style="0" customWidth="1"/>
    <col min="5" max="5" width="6.140625" style="0" customWidth="1"/>
    <col min="6" max="6" width="42.421875" style="0" customWidth="1"/>
    <col min="7" max="7" width="17.00390625" style="0" customWidth="1"/>
    <col min="8" max="8" width="22.00390625" style="0" customWidth="1"/>
    <col min="9" max="16384" width="8.8515625" style="0" customWidth="1"/>
  </cols>
  <sheetData>
    <row r="1" spans="1:7" ht="12.75">
      <c r="A1" s="74" t="s">
        <v>68</v>
      </c>
      <c r="B1" s="74"/>
      <c r="C1" s="56"/>
      <c r="D1" s="56"/>
      <c r="E1" s="56"/>
      <c r="F1" s="56"/>
      <c r="G1" s="56"/>
    </row>
    <row r="2" spans="1:8" ht="12.75">
      <c r="A2" s="30"/>
      <c r="B2" s="103" t="s">
        <v>175</v>
      </c>
      <c r="C2" s="31"/>
      <c r="D2" s="95"/>
      <c r="E2" s="31"/>
      <c r="F2" s="32" t="s">
        <v>176</v>
      </c>
      <c r="G2" s="31"/>
      <c r="H2" s="96"/>
    </row>
    <row r="3" spans="1:8" ht="12.75">
      <c r="A3" s="33" t="s">
        <v>170</v>
      </c>
      <c r="B3" s="104"/>
      <c r="C3" s="34"/>
      <c r="D3" s="112"/>
      <c r="E3" s="33" t="s">
        <v>188</v>
      </c>
      <c r="F3" s="31"/>
      <c r="G3" s="31"/>
      <c r="H3" s="96"/>
    </row>
    <row r="4" spans="1:8" ht="12.75">
      <c r="A4" s="35"/>
      <c r="B4" s="104" t="s">
        <v>211</v>
      </c>
      <c r="C4" s="31">
        <v>401.9</v>
      </c>
      <c r="D4" s="109"/>
      <c r="E4" s="35"/>
      <c r="F4" s="36" t="s">
        <v>177</v>
      </c>
      <c r="G4" s="36"/>
      <c r="H4" s="96"/>
    </row>
    <row r="5" spans="1:8" ht="12.75">
      <c r="A5" s="35"/>
      <c r="B5" s="104" t="s">
        <v>184</v>
      </c>
      <c r="C5" s="69">
        <v>0.3</v>
      </c>
      <c r="D5" s="109"/>
      <c r="E5" s="35"/>
      <c r="F5" s="36" t="s">
        <v>155</v>
      </c>
      <c r="G5" s="36"/>
      <c r="H5" s="96"/>
    </row>
    <row r="6" spans="1:7" ht="12.75">
      <c r="A6" s="35"/>
      <c r="B6" s="104" t="s">
        <v>179</v>
      </c>
      <c r="C6" s="69">
        <v>0.15</v>
      </c>
      <c r="D6" s="113"/>
      <c r="E6" s="35"/>
      <c r="F6" s="59" t="s">
        <v>178</v>
      </c>
      <c r="G6" s="60" t="e">
        <f>10*LOG(G4)-G5</f>
        <v>#NUM!</v>
      </c>
    </row>
    <row r="7" spans="1:7" ht="12.75">
      <c r="A7" s="35"/>
      <c r="B7" s="104" t="s">
        <v>62</v>
      </c>
      <c r="C7" s="37">
        <f>250-C8</f>
        <v>249</v>
      </c>
      <c r="D7" s="114"/>
      <c r="E7" s="35"/>
      <c r="F7" s="36" t="s">
        <v>141</v>
      </c>
      <c r="G7" s="38"/>
    </row>
    <row r="8" spans="1:7" ht="12.75">
      <c r="A8" s="35"/>
      <c r="B8" s="104" t="s">
        <v>69</v>
      </c>
      <c r="C8" s="37">
        <v>1</v>
      </c>
      <c r="D8" s="115" t="s">
        <v>142</v>
      </c>
      <c r="E8" s="35"/>
      <c r="F8" s="31" t="s">
        <v>174</v>
      </c>
      <c r="G8" s="31">
        <v>1683.3</v>
      </c>
    </row>
    <row r="9" spans="1:7" ht="12.75">
      <c r="A9" s="34"/>
      <c r="B9" s="105" t="s">
        <v>70</v>
      </c>
      <c r="C9" s="42">
        <v>37</v>
      </c>
      <c r="D9" s="116"/>
      <c r="E9" s="35"/>
      <c r="F9" s="36" t="s">
        <v>154</v>
      </c>
      <c r="G9" s="36"/>
    </row>
    <row r="10" spans="1:7" ht="25.5">
      <c r="A10" s="35"/>
      <c r="B10" s="104" t="s">
        <v>65</v>
      </c>
      <c r="C10" s="39">
        <f>10*LOG(250)+41</f>
        <v>64.97940008672037</v>
      </c>
      <c r="D10" s="115"/>
      <c r="E10" s="35"/>
      <c r="F10" s="36" t="s">
        <v>149</v>
      </c>
      <c r="G10" s="36"/>
    </row>
    <row r="11" spans="1:7" ht="12.75">
      <c r="A11" s="35"/>
      <c r="B11" s="104"/>
      <c r="C11" s="39"/>
      <c r="D11" s="117"/>
      <c r="E11" s="35"/>
      <c r="F11" s="36" t="s">
        <v>156</v>
      </c>
      <c r="G11" s="40"/>
    </row>
    <row r="12" spans="1:7" ht="12.75">
      <c r="A12" s="33" t="s">
        <v>171</v>
      </c>
      <c r="B12" s="106"/>
      <c r="C12" s="46"/>
      <c r="D12" s="117"/>
      <c r="E12" s="35"/>
      <c r="F12" s="36" t="s">
        <v>131</v>
      </c>
      <c r="G12" s="40"/>
    </row>
    <row r="13" spans="1:7" ht="12.75">
      <c r="A13" s="35"/>
      <c r="B13" s="104" t="s">
        <v>143</v>
      </c>
      <c r="C13" s="31">
        <v>35784</v>
      </c>
      <c r="D13" s="117"/>
      <c r="E13" s="35"/>
      <c r="F13" s="36" t="s">
        <v>216</v>
      </c>
      <c r="G13" s="40"/>
    </row>
    <row r="14" spans="1:7" ht="12.75">
      <c r="A14" s="35"/>
      <c r="B14" s="104" t="s">
        <v>144</v>
      </c>
      <c r="C14" s="31">
        <v>5</v>
      </c>
      <c r="D14" s="115"/>
      <c r="E14" s="35"/>
      <c r="F14" s="59" t="s">
        <v>90</v>
      </c>
      <c r="G14" s="60">
        <f>G11-G13-G12</f>
        <v>0</v>
      </c>
    </row>
    <row r="15" spans="1:7" ht="12.75">
      <c r="A15" s="35"/>
      <c r="B15" s="104" t="s">
        <v>145</v>
      </c>
      <c r="C15" s="37">
        <f>SQRT((6378+C13)^2-(6378*COS(PI()/180*C14))^2)-6378*SIN(PI()/180*C14)</f>
        <v>41124.62405055137</v>
      </c>
      <c r="D15" s="109"/>
      <c r="E15" s="35"/>
      <c r="F15" s="73" t="s">
        <v>66</v>
      </c>
      <c r="G15" s="62" t="e">
        <f>G6-G7+G14+30</f>
        <v>#NUM!</v>
      </c>
    </row>
    <row r="16" spans="1:7" ht="12.75">
      <c r="A16" s="35"/>
      <c r="B16" s="104" t="s">
        <v>146</v>
      </c>
      <c r="C16" s="39">
        <f>-(20*LOG(299.792458/(C4*4*3.141592654))-20*LOG(C15*1000))</f>
        <v>176.8121821624846</v>
      </c>
      <c r="D16" s="115"/>
      <c r="E16" s="35"/>
      <c r="F16" s="59" t="s">
        <v>5</v>
      </c>
      <c r="G16" s="60">
        <f>-(C10-C9)</f>
        <v>-27.979400086720375</v>
      </c>
    </row>
    <row r="17" spans="1:7" ht="12.75">
      <c r="A17" s="35"/>
      <c r="B17" s="104" t="s">
        <v>159</v>
      </c>
      <c r="C17" s="39">
        <v>0.7</v>
      </c>
      <c r="D17" s="115"/>
      <c r="E17" s="35"/>
      <c r="F17" s="59" t="s">
        <v>4</v>
      </c>
      <c r="G17" s="60" t="e">
        <f>10*LOG(1-1/(1+(10^(C34/10))))</f>
        <v>#NUM!</v>
      </c>
    </row>
    <row r="18" spans="1:7" ht="12.75">
      <c r="A18" s="35"/>
      <c r="B18" s="104"/>
      <c r="C18" s="39"/>
      <c r="D18" s="115"/>
      <c r="E18" s="35"/>
      <c r="F18" s="164" t="s">
        <v>71</v>
      </c>
      <c r="G18" s="67" t="e">
        <f>G15+G16+G17</f>
        <v>#NUM!</v>
      </c>
    </row>
    <row r="19" spans="1:7" ht="12.75">
      <c r="A19" s="33" t="s">
        <v>52</v>
      </c>
      <c r="B19" s="104"/>
      <c r="C19" s="39"/>
      <c r="D19" s="118"/>
      <c r="E19" s="35"/>
      <c r="F19" s="54" t="s">
        <v>203</v>
      </c>
      <c r="G19" s="48"/>
    </row>
    <row r="20" spans="1:7" ht="12.75">
      <c r="A20" s="35"/>
      <c r="B20" s="58" t="s">
        <v>147</v>
      </c>
      <c r="C20" s="36"/>
      <c r="D20" s="119"/>
      <c r="E20" s="35"/>
      <c r="F20" s="73" t="s">
        <v>84</v>
      </c>
      <c r="G20" s="62">
        <f>G19-4+10*LOG(1600)</f>
        <v>28.041199826559243</v>
      </c>
    </row>
    <row r="21" spans="1:8" ht="12.75">
      <c r="A21" s="35"/>
      <c r="B21" s="36" t="s">
        <v>138</v>
      </c>
      <c r="C21" s="36"/>
      <c r="D21" s="119"/>
      <c r="E21" s="35"/>
      <c r="F21" s="51"/>
      <c r="G21" s="42"/>
      <c r="H21" s="21"/>
    </row>
    <row r="22" spans="1:7" ht="12.75">
      <c r="A22" s="35"/>
      <c r="B22" s="54" t="s">
        <v>161</v>
      </c>
      <c r="C22" s="36"/>
      <c r="D22" s="120"/>
      <c r="E22" s="33" t="s">
        <v>158</v>
      </c>
      <c r="F22" s="45"/>
      <c r="G22" s="46"/>
    </row>
    <row r="23" spans="1:7" ht="12.75">
      <c r="A23" s="35"/>
      <c r="B23" s="36" t="s">
        <v>149</v>
      </c>
      <c r="C23" s="36"/>
      <c r="D23" s="115"/>
      <c r="E23" s="33"/>
      <c r="F23" s="31" t="s">
        <v>143</v>
      </c>
      <c r="G23" s="31">
        <v>35784</v>
      </c>
    </row>
    <row r="24" spans="1:7" ht="12.75">
      <c r="A24" s="35"/>
      <c r="B24" s="36" t="s">
        <v>162</v>
      </c>
      <c r="C24" s="40"/>
      <c r="D24" s="115"/>
      <c r="E24" s="35"/>
      <c r="F24" s="31" t="s">
        <v>144</v>
      </c>
      <c r="G24" s="31">
        <v>5</v>
      </c>
    </row>
    <row r="25" spans="1:7" ht="12.75">
      <c r="A25" s="35"/>
      <c r="B25" s="36" t="s">
        <v>163</v>
      </c>
      <c r="C25" s="40"/>
      <c r="D25" s="109"/>
      <c r="E25" s="35"/>
      <c r="F25" s="31" t="s">
        <v>145</v>
      </c>
      <c r="G25" s="37">
        <f>SQRT((6378+G23)^2-(6378*COS(PI()/180*G24))^2)-6378*SIN(PI()/180*G24)</f>
        <v>41124.62405055137</v>
      </c>
    </row>
    <row r="26" spans="1:7" ht="12.75">
      <c r="A26" s="35"/>
      <c r="B26" s="36" t="s">
        <v>164</v>
      </c>
      <c r="C26" s="53"/>
      <c r="D26" s="121"/>
      <c r="E26" s="35"/>
      <c r="F26" s="31" t="s">
        <v>146</v>
      </c>
      <c r="G26" s="39">
        <f>-(20*LOG(299.792458/(G8*4*3.141592654))-20*LOG(G25*1000))</f>
        <v>189.2530525071063</v>
      </c>
    </row>
    <row r="27" spans="1:7" ht="12.75">
      <c r="A27" s="35"/>
      <c r="B27" s="36" t="s">
        <v>96</v>
      </c>
      <c r="C27" s="54"/>
      <c r="D27" s="115"/>
      <c r="E27" s="35"/>
      <c r="F27" s="31" t="s">
        <v>159</v>
      </c>
      <c r="G27" s="39">
        <v>2.5</v>
      </c>
    </row>
    <row r="28" spans="1:7" ht="12.75">
      <c r="A28" s="35"/>
      <c r="B28" s="36" t="s">
        <v>212</v>
      </c>
      <c r="C28" s="54"/>
      <c r="D28" s="115"/>
      <c r="E28" s="35"/>
      <c r="F28" s="31"/>
      <c r="G28" s="39"/>
    </row>
    <row r="29" spans="1:7" ht="12.75">
      <c r="A29" s="35"/>
      <c r="B29" s="59" t="s">
        <v>95</v>
      </c>
      <c r="C29" s="72">
        <f>290*(10^((C27)*0.1)-1)</f>
        <v>0</v>
      </c>
      <c r="D29" s="115"/>
      <c r="E29" s="33" t="s">
        <v>172</v>
      </c>
      <c r="F29" s="31"/>
      <c r="G29" s="39"/>
    </row>
    <row r="30" spans="1:7" ht="12.75">
      <c r="A30" s="35"/>
      <c r="B30" s="59" t="s">
        <v>165</v>
      </c>
      <c r="C30" s="60" t="e">
        <f>10*LOG(C28+C29)</f>
        <v>#NUM!</v>
      </c>
      <c r="D30" s="115"/>
      <c r="E30" s="33"/>
      <c r="F30" s="59" t="s">
        <v>197</v>
      </c>
      <c r="G30" s="60" t="e">
        <f>G18+G12-G26+10*LOG(4*3.141592654)+20*LOG(G8/299.792458)+10*LOG(3)-30</f>
        <v>#NUM!</v>
      </c>
    </row>
    <row r="31" spans="1:7" ht="12.75">
      <c r="A31" s="35"/>
      <c r="B31" s="61" t="s">
        <v>150</v>
      </c>
      <c r="C31" s="60" t="e">
        <f>C24-C26-C30</f>
        <v>#NUM!</v>
      </c>
      <c r="D31" s="115"/>
      <c r="E31" s="33"/>
      <c r="F31" s="43" t="s">
        <v>147</v>
      </c>
      <c r="G31" s="31">
        <v>1</v>
      </c>
    </row>
    <row r="32" spans="1:7" ht="12.75">
      <c r="A32" s="35"/>
      <c r="B32" s="59" t="s">
        <v>97</v>
      </c>
      <c r="C32" s="60" t="e">
        <f>C10-SUM(C16:C21)+C31+228.6-30</f>
        <v>#NUM!</v>
      </c>
      <c r="D32" s="115"/>
      <c r="E32" s="35"/>
      <c r="F32" s="31" t="s">
        <v>148</v>
      </c>
      <c r="G32" s="31">
        <v>0.5</v>
      </c>
    </row>
    <row r="33" spans="1:7" ht="12.75">
      <c r="A33" s="98"/>
      <c r="B33" s="59" t="s">
        <v>55</v>
      </c>
      <c r="C33" s="60" t="e">
        <f>C32-4-10*LOG(C7+C8)</f>
        <v>#NUM!</v>
      </c>
      <c r="D33" s="115"/>
      <c r="E33" s="35"/>
      <c r="F33" s="34" t="s">
        <v>150</v>
      </c>
      <c r="G33" s="39">
        <v>15</v>
      </c>
    </row>
    <row r="34" spans="1:7" ht="12.75" customHeight="1">
      <c r="A34" s="96"/>
      <c r="B34" s="210" t="s">
        <v>47</v>
      </c>
      <c r="C34" s="214" t="e">
        <f>C32-10*LOG(400000)</f>
        <v>#NUM!</v>
      </c>
      <c r="D34" s="122"/>
      <c r="E34" s="35"/>
      <c r="F34" s="59" t="s">
        <v>94</v>
      </c>
      <c r="G34" s="60" t="e">
        <f>10*LOG(1/(1/(10^((G18-(G26+G27+G31+G32)+G33+228.6-30)/10))))</f>
        <v>#NUM!</v>
      </c>
    </row>
    <row r="35" spans="1:7" ht="12.75">
      <c r="A35" s="96"/>
      <c r="B35" s="211"/>
      <c r="C35" s="215"/>
      <c r="D35" s="115"/>
      <c r="E35" s="35"/>
      <c r="F35" s="59" t="s">
        <v>202</v>
      </c>
      <c r="G35" s="60" t="e">
        <f>10*LOG(1/(1/(10^(G34/10))+1/10^(G20/10)))</f>
        <v>#NUM!</v>
      </c>
    </row>
    <row r="36" spans="1:7" ht="12.75">
      <c r="A36" s="96"/>
      <c r="B36" s="107"/>
      <c r="C36" s="101"/>
      <c r="D36" s="123"/>
      <c r="E36" s="35"/>
      <c r="F36" s="59" t="s">
        <v>86</v>
      </c>
      <c r="G36" s="60" t="e">
        <f>C33</f>
        <v>#NUM!</v>
      </c>
    </row>
    <row r="37" spans="1:7" ht="12.75">
      <c r="A37" s="96"/>
      <c r="B37" s="107"/>
      <c r="C37" s="96"/>
      <c r="D37" s="123"/>
      <c r="E37" s="35"/>
      <c r="F37" s="59" t="s">
        <v>169</v>
      </c>
      <c r="G37" s="60" t="e">
        <f>10*LOG(1/(1/(10^(G35/10))+1/(10^(G36/10))))</f>
        <v>#NUM!</v>
      </c>
    </row>
    <row r="38" spans="2:7" ht="12.75">
      <c r="B38" s="107"/>
      <c r="C38" s="96"/>
      <c r="D38" s="123"/>
      <c r="E38" s="35"/>
      <c r="F38" s="36" t="s">
        <v>194</v>
      </c>
      <c r="G38" s="40"/>
    </row>
    <row r="39" spans="4:7" ht="12.75">
      <c r="D39" s="123"/>
      <c r="E39" s="35"/>
      <c r="F39" s="61" t="s">
        <v>129</v>
      </c>
      <c r="G39" s="63" t="e">
        <f>G37-10*LOG(C5*1000)-G38</f>
        <v>#NUM!</v>
      </c>
    </row>
    <row r="40" spans="4:7" ht="25.5">
      <c r="D40" s="97"/>
      <c r="E40" s="35"/>
      <c r="F40" s="93" t="s">
        <v>140</v>
      </c>
      <c r="G40" s="127">
        <v>11</v>
      </c>
    </row>
    <row r="41" spans="4:7" ht="12.75">
      <c r="D41" s="99"/>
      <c r="E41" s="35"/>
      <c r="F41" s="61" t="s">
        <v>139</v>
      </c>
      <c r="G41" s="63" t="e">
        <f>G39-G40</f>
        <v>#NUM!</v>
      </c>
    </row>
    <row r="42" spans="4:7" ht="12.75">
      <c r="D42" s="99"/>
      <c r="E42" s="98"/>
      <c r="F42" s="2"/>
      <c r="G42" s="2"/>
    </row>
    <row r="43" spans="4:7" ht="12.75">
      <c r="D43" s="22"/>
      <c r="E43" s="97"/>
      <c r="F43" s="2"/>
      <c r="G43" s="2"/>
    </row>
    <row r="44" spans="4:7" ht="12.75">
      <c r="D44" s="22"/>
      <c r="E44" s="2"/>
      <c r="F44" s="2"/>
      <c r="G44" s="2"/>
    </row>
    <row r="45" spans="4:5" ht="12.75">
      <c r="D45" s="22"/>
      <c r="E45" s="2"/>
    </row>
    <row r="46" ht="12.75">
      <c r="E46" s="2"/>
    </row>
  </sheetData>
  <mergeCells count="2">
    <mergeCell ref="B34:B35"/>
    <mergeCell ref="C34:C35"/>
  </mergeCells>
  <conditionalFormatting sqref="G30">
    <cfRule type="cellIs" priority="1" dxfId="0" operator="greaterThan" stopIfTrue="1">
      <formula>-154</formula>
    </cfRule>
  </conditionalFormatting>
  <printOptions headings="1"/>
  <pageMargins left="0.75" right="0.75" top="1" bottom="1" header="0.5" footer="0.5"/>
  <pageSetup fitToWidth="2" fitToHeight="1" horizontalDpi="600" verticalDpi="600" orientation="landscape" scale="85"/>
  <headerFooter alignWithMargins="0">
    <oddHeader>&amp;L&amp;F&amp;C&amp;A&amp;R&amp;P</oddHeader>
  </headerFooter>
  <legacyDrawing r:id="rId2"/>
</worksheet>
</file>

<file path=xl/worksheets/sheet7.xml><?xml version="1.0" encoding="utf-8"?>
<worksheet xmlns="http://schemas.openxmlformats.org/spreadsheetml/2006/main" xmlns:r="http://schemas.openxmlformats.org/officeDocument/2006/relationships">
  <sheetPr>
    <tabColor indexed="47"/>
    <pageSetUpPr fitToPage="1"/>
  </sheetPr>
  <dimension ref="A1:G45"/>
  <sheetViews>
    <sheetView workbookViewId="0" topLeftCell="A7">
      <selection activeCell="G32" sqref="G32"/>
    </sheetView>
  </sheetViews>
  <sheetFormatPr defaultColWidth="9.140625" defaultRowHeight="12.75"/>
  <cols>
    <col min="1" max="1" width="4.28125" style="22" customWidth="1"/>
    <col min="2" max="2" width="37.140625" style="22" customWidth="1"/>
    <col min="3" max="3" width="13.8515625" style="22" customWidth="1"/>
    <col min="4" max="4" width="4.7109375" style="22" customWidth="1"/>
    <col min="5" max="5" width="6.140625" style="22" customWidth="1"/>
    <col min="6" max="6" width="41.8515625" style="22" customWidth="1"/>
    <col min="7" max="7" width="9.421875" style="22" customWidth="1"/>
    <col min="8" max="16384" width="9.140625" style="22" customWidth="1"/>
  </cols>
  <sheetData>
    <row r="1" spans="1:7" ht="12.75">
      <c r="A1" s="74" t="s">
        <v>61</v>
      </c>
      <c r="B1" s="102"/>
      <c r="C1" s="56"/>
      <c r="D1" s="56"/>
      <c r="E1" s="56"/>
      <c r="F1" s="56"/>
      <c r="G1" s="56"/>
    </row>
    <row r="2" spans="1:7" ht="12.75">
      <c r="A2" s="30"/>
      <c r="B2" s="103" t="s">
        <v>175</v>
      </c>
      <c r="C2" s="31"/>
      <c r="D2" s="95"/>
      <c r="E2" s="31"/>
      <c r="F2" s="32" t="s">
        <v>176</v>
      </c>
      <c r="G2" s="31"/>
    </row>
    <row r="3" spans="1:7" ht="12.75">
      <c r="A3" s="33" t="s">
        <v>170</v>
      </c>
      <c r="B3" s="104"/>
      <c r="C3" s="34"/>
      <c r="D3" s="112"/>
      <c r="E3" s="33" t="s">
        <v>188</v>
      </c>
      <c r="F3" s="31"/>
      <c r="G3" s="31"/>
    </row>
    <row r="4" spans="1:7" ht="12.75">
      <c r="A4" s="35"/>
      <c r="B4" s="104" t="s">
        <v>211</v>
      </c>
      <c r="C4" s="31">
        <v>401.9</v>
      </c>
      <c r="D4" s="109"/>
      <c r="E4" s="35"/>
      <c r="F4" s="36" t="s">
        <v>177</v>
      </c>
      <c r="G4" s="36"/>
    </row>
    <row r="5" spans="1:7" ht="12.75">
      <c r="A5" s="35"/>
      <c r="B5" s="104" t="s">
        <v>184</v>
      </c>
      <c r="C5" s="69">
        <v>1.2</v>
      </c>
      <c r="D5" s="109"/>
      <c r="E5" s="35"/>
      <c r="F5" s="36" t="s">
        <v>155</v>
      </c>
      <c r="G5" s="36"/>
    </row>
    <row r="6" spans="1:7" ht="12.75">
      <c r="A6" s="35"/>
      <c r="B6" s="104" t="s">
        <v>179</v>
      </c>
      <c r="C6" s="69">
        <v>0.6</v>
      </c>
      <c r="D6" s="113"/>
      <c r="E6" s="35"/>
      <c r="F6" s="59" t="s">
        <v>178</v>
      </c>
      <c r="G6" s="60" t="e">
        <f>10*LOG(G4)-G5</f>
        <v>#NUM!</v>
      </c>
    </row>
    <row r="7" spans="1:7" ht="25.5">
      <c r="A7" s="35"/>
      <c r="B7" s="104" t="s">
        <v>62</v>
      </c>
      <c r="C7" s="37">
        <v>249</v>
      </c>
      <c r="D7" s="114"/>
      <c r="E7" s="35"/>
      <c r="F7" s="36" t="s">
        <v>141</v>
      </c>
      <c r="G7" s="38"/>
    </row>
    <row r="8" spans="1:7" ht="12.75">
      <c r="A8" s="35"/>
      <c r="B8" s="104" t="s">
        <v>63</v>
      </c>
      <c r="C8" s="37">
        <v>1</v>
      </c>
      <c r="D8" s="115" t="s">
        <v>142</v>
      </c>
      <c r="E8" s="35"/>
      <c r="F8" s="31" t="s">
        <v>174</v>
      </c>
      <c r="G8" s="31">
        <v>1683.3</v>
      </c>
    </row>
    <row r="9" spans="1:7" ht="12.75">
      <c r="A9" s="34"/>
      <c r="B9" s="110" t="s">
        <v>64</v>
      </c>
      <c r="C9" s="42">
        <v>43</v>
      </c>
      <c r="D9" s="116"/>
      <c r="E9" s="35"/>
      <c r="F9" s="36" t="s">
        <v>154</v>
      </c>
      <c r="G9" s="36"/>
    </row>
    <row r="10" spans="1:7" ht="25.5">
      <c r="A10" s="35"/>
      <c r="B10" s="104" t="s">
        <v>65</v>
      </c>
      <c r="C10" s="39">
        <f>10*LOG(250)+41</f>
        <v>64.97940008672037</v>
      </c>
      <c r="D10" s="115"/>
      <c r="E10" s="35"/>
      <c r="F10" s="36" t="s">
        <v>149</v>
      </c>
      <c r="G10" s="36"/>
    </row>
    <row r="11" spans="1:7" ht="12.75">
      <c r="A11" s="35"/>
      <c r="B11" s="104"/>
      <c r="C11" s="39"/>
      <c r="D11" s="117"/>
      <c r="E11" s="35"/>
      <c r="F11" s="36" t="s">
        <v>156</v>
      </c>
      <c r="G11" s="40"/>
    </row>
    <row r="12" spans="1:7" ht="12.75">
      <c r="A12" s="33" t="s">
        <v>171</v>
      </c>
      <c r="B12" s="106"/>
      <c r="C12" s="46"/>
      <c r="D12" s="117"/>
      <c r="E12" s="35"/>
      <c r="F12" s="36" t="s">
        <v>131</v>
      </c>
      <c r="G12" s="40"/>
    </row>
    <row r="13" spans="1:7" ht="12.75">
      <c r="A13" s="35"/>
      <c r="B13" s="104" t="s">
        <v>143</v>
      </c>
      <c r="C13" s="31">
        <v>35784</v>
      </c>
      <c r="D13" s="117"/>
      <c r="E13" s="35"/>
      <c r="F13" s="36" t="s">
        <v>216</v>
      </c>
      <c r="G13" s="40"/>
    </row>
    <row r="14" spans="1:7" ht="12.75">
      <c r="A14" s="35"/>
      <c r="B14" s="104" t="s">
        <v>144</v>
      </c>
      <c r="C14" s="31">
        <v>5</v>
      </c>
      <c r="D14" s="115"/>
      <c r="E14" s="35"/>
      <c r="F14" s="59" t="s">
        <v>90</v>
      </c>
      <c r="G14" s="60">
        <f>G11-G13-G12</f>
        <v>0</v>
      </c>
    </row>
    <row r="15" spans="1:7" ht="12.75">
      <c r="A15" s="35"/>
      <c r="B15" s="104" t="s">
        <v>145</v>
      </c>
      <c r="C15" s="37">
        <f>SQRT((6378+C13)^2-(6378*COS(PI()/180*C14))^2)-6378*SIN(PI()/180*C14)</f>
        <v>41124.62405055137</v>
      </c>
      <c r="D15" s="109"/>
      <c r="E15" s="35"/>
      <c r="F15" s="73" t="s">
        <v>66</v>
      </c>
      <c r="G15" s="62" t="e">
        <f>G6-G7+G14+30</f>
        <v>#NUM!</v>
      </c>
    </row>
    <row r="16" spans="1:7" ht="12.75">
      <c r="A16" s="35"/>
      <c r="B16" s="104" t="s">
        <v>146</v>
      </c>
      <c r="C16" s="39">
        <f>-(20*LOG(299.792458/(C4*4*3.141592654))-20*LOG(C15*1000))</f>
        <v>176.8121821624846</v>
      </c>
      <c r="D16" s="115"/>
      <c r="E16" s="35"/>
      <c r="F16" s="59" t="s">
        <v>46</v>
      </c>
      <c r="G16" s="60">
        <f>-(C10-C9)</f>
        <v>-21.979400086720375</v>
      </c>
    </row>
    <row r="17" spans="1:7" ht="12.75">
      <c r="A17" s="35"/>
      <c r="B17" s="104" t="s">
        <v>159</v>
      </c>
      <c r="C17" s="39">
        <v>0.7</v>
      </c>
      <c r="D17" s="115"/>
      <c r="E17" s="35"/>
      <c r="F17" s="59" t="s">
        <v>4</v>
      </c>
      <c r="G17" s="60" t="e">
        <f>10*LOG(1-1/(1+(10^(C34/10))))</f>
        <v>#NUM!</v>
      </c>
    </row>
    <row r="18" spans="1:7" ht="12.75">
      <c r="A18" s="35"/>
      <c r="B18" s="104"/>
      <c r="C18" s="39"/>
      <c r="D18" s="115"/>
      <c r="E18" s="35"/>
      <c r="F18" s="164" t="s">
        <v>67</v>
      </c>
      <c r="G18" s="67" t="e">
        <f>G15+G16+G17</f>
        <v>#NUM!</v>
      </c>
    </row>
    <row r="19" spans="1:7" ht="12.75">
      <c r="A19" s="33" t="s">
        <v>52</v>
      </c>
      <c r="B19" s="104"/>
      <c r="C19" s="39"/>
      <c r="D19" s="118"/>
      <c r="E19" s="35"/>
      <c r="F19" s="54" t="s">
        <v>203</v>
      </c>
      <c r="G19" s="48"/>
    </row>
    <row r="20" spans="1:7" ht="12.75">
      <c r="A20" s="35"/>
      <c r="B20" s="58" t="s">
        <v>147</v>
      </c>
      <c r="C20" s="36"/>
      <c r="D20" s="119"/>
      <c r="E20" s="35"/>
      <c r="F20" s="73" t="s">
        <v>84</v>
      </c>
      <c r="G20" s="62">
        <f>G19+2+10*LOG(1600)</f>
        <v>34.04119982655924</v>
      </c>
    </row>
    <row r="21" spans="1:7" ht="12.75">
      <c r="A21" s="35"/>
      <c r="B21" s="36" t="s">
        <v>138</v>
      </c>
      <c r="C21" s="36"/>
      <c r="D21" s="119"/>
      <c r="E21" s="35"/>
      <c r="F21" s="51"/>
      <c r="G21" s="42"/>
    </row>
    <row r="22" spans="1:7" ht="12.75">
      <c r="A22" s="35"/>
      <c r="B22" s="54" t="s">
        <v>161</v>
      </c>
      <c r="C22" s="36"/>
      <c r="D22" s="120"/>
      <c r="E22" s="33" t="s">
        <v>158</v>
      </c>
      <c r="F22" s="45"/>
      <c r="G22" s="46"/>
    </row>
    <row r="23" spans="1:7" ht="12.75">
      <c r="A23" s="35"/>
      <c r="B23" s="36" t="s">
        <v>149</v>
      </c>
      <c r="C23" s="36"/>
      <c r="D23" s="115"/>
      <c r="E23" s="33"/>
      <c r="F23" s="31" t="s">
        <v>143</v>
      </c>
      <c r="G23" s="31">
        <v>35784</v>
      </c>
    </row>
    <row r="24" spans="1:7" ht="12.75">
      <c r="A24" s="35"/>
      <c r="B24" s="36" t="s">
        <v>162</v>
      </c>
      <c r="C24" s="40"/>
      <c r="D24" s="115"/>
      <c r="E24" s="35"/>
      <c r="F24" s="31" t="s">
        <v>144</v>
      </c>
      <c r="G24" s="31">
        <v>5</v>
      </c>
    </row>
    <row r="25" spans="1:7" ht="12.75">
      <c r="A25" s="35"/>
      <c r="B25" s="36" t="s">
        <v>163</v>
      </c>
      <c r="C25" s="40"/>
      <c r="D25" s="109"/>
      <c r="E25" s="35"/>
      <c r="F25" s="31" t="s">
        <v>145</v>
      </c>
      <c r="G25" s="37">
        <f>SQRT((6378+G23)^2-(6378*COS(PI()/180*G24))^2)-6378*SIN(PI()/180*G24)</f>
        <v>41124.62405055137</v>
      </c>
    </row>
    <row r="26" spans="1:7" ht="12.75">
      <c r="A26" s="35"/>
      <c r="B26" s="36" t="s">
        <v>164</v>
      </c>
      <c r="C26" s="53"/>
      <c r="D26" s="121"/>
      <c r="E26" s="35"/>
      <c r="F26" s="31" t="s">
        <v>146</v>
      </c>
      <c r="G26" s="39">
        <f>-(20*LOG(299.792458/(G8*4*3.141592654))-20*LOG(G25*1000))</f>
        <v>189.2530525071063</v>
      </c>
    </row>
    <row r="27" spans="1:7" ht="12.75">
      <c r="A27" s="35"/>
      <c r="B27" s="36" t="s">
        <v>96</v>
      </c>
      <c r="C27" s="54"/>
      <c r="D27" s="115"/>
      <c r="E27" s="35"/>
      <c r="F27" s="31" t="s">
        <v>159</v>
      </c>
      <c r="G27" s="39">
        <v>2.5</v>
      </c>
    </row>
    <row r="28" spans="1:7" ht="12.75">
      <c r="A28" s="35"/>
      <c r="B28" s="36" t="s">
        <v>212</v>
      </c>
      <c r="C28" s="54"/>
      <c r="D28" s="115"/>
      <c r="E28" s="35"/>
      <c r="F28" s="31"/>
      <c r="G28" s="39"/>
    </row>
    <row r="29" spans="1:7" ht="12.75">
      <c r="A29" s="35"/>
      <c r="B29" s="59" t="s">
        <v>95</v>
      </c>
      <c r="C29" s="72">
        <f>290*(10^((C27)*0.1)-1)</f>
        <v>0</v>
      </c>
      <c r="D29" s="115"/>
      <c r="E29" s="33" t="s">
        <v>172</v>
      </c>
      <c r="F29" s="31"/>
      <c r="G29" s="39"/>
    </row>
    <row r="30" spans="1:7" ht="12.75">
      <c r="A30" s="35"/>
      <c r="B30" s="59" t="s">
        <v>165</v>
      </c>
      <c r="C30" s="60" t="e">
        <f>10*LOG(C28+C29)</f>
        <v>#NUM!</v>
      </c>
      <c r="D30" s="115"/>
      <c r="E30" s="33"/>
      <c r="F30" s="59" t="s">
        <v>197</v>
      </c>
      <c r="G30" s="60" t="e">
        <f>G18+G12-G26+10*LOG(4*3.141592654)+20*LOG(G8/299.792458)+10*LOG(3)-30</f>
        <v>#NUM!</v>
      </c>
    </row>
    <row r="31" spans="1:7" ht="12.75">
      <c r="A31" s="35"/>
      <c r="B31" s="61" t="s">
        <v>150</v>
      </c>
      <c r="C31" s="60" t="e">
        <f>C24-C26-C30</f>
        <v>#NUM!</v>
      </c>
      <c r="D31" s="115"/>
      <c r="E31" s="33"/>
      <c r="F31" s="43" t="s">
        <v>147</v>
      </c>
      <c r="G31" s="31">
        <v>1</v>
      </c>
    </row>
    <row r="32" spans="1:7" ht="12.75">
      <c r="A32" s="35"/>
      <c r="B32" s="59" t="s">
        <v>97</v>
      </c>
      <c r="C32" s="60" t="e">
        <f>C10-SUM(C16:C21)+C31+228.6-30</f>
        <v>#NUM!</v>
      </c>
      <c r="D32" s="115"/>
      <c r="E32" s="35"/>
      <c r="F32" s="31" t="s">
        <v>148</v>
      </c>
      <c r="G32" s="31">
        <v>0.5</v>
      </c>
    </row>
    <row r="33" spans="1:7" ht="12.75">
      <c r="A33" s="96"/>
      <c r="B33" s="59" t="s">
        <v>54</v>
      </c>
      <c r="C33" s="60" t="e">
        <f>C32+2-10*LOG(C7+C8)</f>
        <v>#NUM!</v>
      </c>
      <c r="D33" s="115"/>
      <c r="E33" s="35"/>
      <c r="F33" s="34" t="s">
        <v>150</v>
      </c>
      <c r="G33" s="39">
        <v>15</v>
      </c>
    </row>
    <row r="34" spans="1:7" ht="15" customHeight="1">
      <c r="A34" s="132"/>
      <c r="B34" s="210" t="s">
        <v>47</v>
      </c>
      <c r="C34" s="214" t="e">
        <f>C32-10*LOG(400000)</f>
        <v>#NUM!</v>
      </c>
      <c r="D34" s="122"/>
      <c r="E34" s="35"/>
      <c r="F34" s="59" t="s">
        <v>94</v>
      </c>
      <c r="G34" s="60" t="e">
        <f>10*LOG(1/(1/(10^((G18-(G26+G27+G31+G32)+G33+228.6-30)/10))))</f>
        <v>#NUM!</v>
      </c>
    </row>
    <row r="35" spans="1:7" ht="12.75">
      <c r="A35" s="99"/>
      <c r="B35" s="211"/>
      <c r="C35" s="215"/>
      <c r="D35" s="131"/>
      <c r="E35" s="35"/>
      <c r="F35" s="59" t="s">
        <v>202</v>
      </c>
      <c r="G35" s="60" t="e">
        <f>10*LOG(1/(1/(10^(G34/10))+1/10^(G20/10)))</f>
        <v>#NUM!</v>
      </c>
    </row>
    <row r="36" spans="1:7" ht="12.75">
      <c r="A36" s="99"/>
      <c r="B36" s="111"/>
      <c r="C36" s="133"/>
      <c r="D36" s="123"/>
      <c r="E36" s="35"/>
      <c r="F36" s="59" t="s">
        <v>86</v>
      </c>
      <c r="G36" s="60" t="e">
        <f>C33</f>
        <v>#NUM!</v>
      </c>
    </row>
    <row r="37" spans="1:7" ht="12.75">
      <c r="A37" s="99"/>
      <c r="B37" s="111"/>
      <c r="C37" s="133"/>
      <c r="D37" s="123"/>
      <c r="E37" s="35"/>
      <c r="F37" s="59" t="s">
        <v>169</v>
      </c>
      <c r="G37" s="60" t="e">
        <f>10*LOG(1/(1/(10^(G35/10))+1/(10^(G36/10))))</f>
        <v>#NUM!</v>
      </c>
    </row>
    <row r="38" spans="1:7" ht="12.75">
      <c r="A38" s="99"/>
      <c r="B38" s="111"/>
      <c r="C38" s="99"/>
      <c r="D38" s="123"/>
      <c r="E38" s="35"/>
      <c r="F38" s="36" t="s">
        <v>194</v>
      </c>
      <c r="G38" s="40"/>
    </row>
    <row r="39" spans="1:7" ht="12.75">
      <c r="A39" s="96"/>
      <c r="B39" s="107"/>
      <c r="C39" s="96"/>
      <c r="D39" s="123"/>
      <c r="E39" s="35"/>
      <c r="F39" s="61" t="s">
        <v>129</v>
      </c>
      <c r="G39" s="63" t="e">
        <f>G37-10*LOG(C5*1000)-G38</f>
        <v>#NUM!</v>
      </c>
    </row>
    <row r="40" spans="1:7" ht="25.5">
      <c r="A40" s="99"/>
      <c r="B40" s="99"/>
      <c r="C40" s="99"/>
      <c r="D40" s="97"/>
      <c r="E40" s="35"/>
      <c r="F40" s="93" t="s">
        <v>140</v>
      </c>
      <c r="G40" s="127">
        <v>11</v>
      </c>
    </row>
    <row r="41" spans="1:7" ht="12.75">
      <c r="A41" s="99"/>
      <c r="B41" s="99"/>
      <c r="C41" s="99"/>
      <c r="D41" s="99"/>
      <c r="E41" s="35"/>
      <c r="F41" s="61" t="s">
        <v>139</v>
      </c>
      <c r="G41" s="63" t="e">
        <f>G39-G40</f>
        <v>#NUM!</v>
      </c>
    </row>
    <row r="42" spans="4:7" ht="12.75">
      <c r="D42" s="99"/>
      <c r="E42" s="97"/>
      <c r="F42" s="97"/>
      <c r="G42" s="97"/>
    </row>
    <row r="43" spans="5:7" ht="12.75">
      <c r="E43" s="97"/>
      <c r="F43" s="97"/>
      <c r="G43" s="97"/>
    </row>
    <row r="44" ht="12.75">
      <c r="E44" s="2"/>
    </row>
    <row r="45" ht="12.75">
      <c r="E45" s="2"/>
    </row>
  </sheetData>
  <mergeCells count="2">
    <mergeCell ref="B34:B35"/>
    <mergeCell ref="C34:C35"/>
  </mergeCells>
  <conditionalFormatting sqref="G30">
    <cfRule type="cellIs" priority="1" dxfId="0" operator="greaterThan" stopIfTrue="1">
      <formula>-154</formula>
    </cfRule>
  </conditionalFormatting>
  <printOptions gridLines="1"/>
  <pageMargins left="0.56" right="0.55" top="0.55" bottom="0.5" header="0.33" footer="0.5"/>
  <pageSetup fitToHeight="1" fitToWidth="1" horizontalDpi="600" verticalDpi="600" orientation="landscape"/>
  <headerFooter alignWithMargins="0">
    <oddHeader>&amp;L&amp;F     Printed &amp;D &amp;T&amp;C &amp;A&amp;R&amp;P/&amp;N</oddHeader>
  </headerFooter>
  <legacyDrawing r:id="rId2"/>
</worksheet>
</file>

<file path=xl/worksheets/sheet8.xml><?xml version="1.0" encoding="utf-8"?>
<worksheet xmlns="http://schemas.openxmlformats.org/spreadsheetml/2006/main" xmlns:r="http://schemas.openxmlformats.org/officeDocument/2006/relationships">
  <sheetPr>
    <tabColor indexed="47"/>
    <pageSetUpPr fitToPage="1"/>
  </sheetPr>
  <dimension ref="A1:G42"/>
  <sheetViews>
    <sheetView workbookViewId="0" topLeftCell="A7">
      <selection activeCell="G32" sqref="G32"/>
    </sheetView>
  </sheetViews>
  <sheetFormatPr defaultColWidth="9.140625" defaultRowHeight="12.75"/>
  <cols>
    <col min="1" max="1" width="4.28125" style="0" customWidth="1"/>
    <col min="2" max="2" width="34.421875" style="0" customWidth="1"/>
    <col min="3" max="3" width="13.8515625" style="0" customWidth="1"/>
    <col min="4" max="4" width="4.7109375" style="0" customWidth="1"/>
    <col min="5" max="5" width="6.140625" style="0" customWidth="1"/>
    <col min="6" max="6" width="34.421875" style="0" customWidth="1"/>
    <col min="7" max="7" width="11.28125" style="0" customWidth="1"/>
    <col min="8" max="16384" width="8.8515625" style="0" customWidth="1"/>
  </cols>
  <sheetData>
    <row r="1" spans="1:7" ht="12.75">
      <c r="A1" s="30" t="s">
        <v>182</v>
      </c>
      <c r="B1" s="31"/>
      <c r="C1" s="31"/>
      <c r="D1" s="31"/>
      <c r="E1" s="31"/>
      <c r="F1" s="31"/>
      <c r="G1" s="31"/>
    </row>
    <row r="2" spans="1:7" ht="12.75">
      <c r="A2" s="30"/>
      <c r="B2" s="32" t="s">
        <v>189</v>
      </c>
      <c r="C2" s="31"/>
      <c r="D2" s="31"/>
      <c r="E2" s="31"/>
      <c r="F2" s="32" t="s">
        <v>176</v>
      </c>
      <c r="G2" s="31"/>
    </row>
    <row r="3" spans="1:7" ht="12.75">
      <c r="A3" s="33" t="s">
        <v>75</v>
      </c>
      <c r="B3" s="31"/>
      <c r="C3" s="34"/>
      <c r="D3" s="34"/>
      <c r="E3" s="33" t="s">
        <v>188</v>
      </c>
      <c r="F3" s="31"/>
      <c r="G3" s="31"/>
    </row>
    <row r="4" spans="1:7" ht="12.75">
      <c r="A4" s="35"/>
      <c r="B4" s="31" t="s">
        <v>211</v>
      </c>
      <c r="C4" s="31">
        <v>2032.75</v>
      </c>
      <c r="D4" s="31"/>
      <c r="E4" s="35"/>
      <c r="F4" s="36" t="s">
        <v>177</v>
      </c>
      <c r="G4" s="36"/>
    </row>
    <row r="5" spans="1:7" ht="12.75">
      <c r="A5" s="35"/>
      <c r="B5" s="31" t="s">
        <v>184</v>
      </c>
      <c r="C5" s="69">
        <v>0.306</v>
      </c>
      <c r="D5" s="31"/>
      <c r="E5" s="35"/>
      <c r="F5" s="36" t="s">
        <v>155</v>
      </c>
      <c r="G5" s="36"/>
    </row>
    <row r="6" spans="1:7" ht="12.75">
      <c r="A6" s="35"/>
      <c r="B6" s="31" t="s">
        <v>186</v>
      </c>
      <c r="C6" s="69">
        <v>22.225</v>
      </c>
      <c r="D6" s="39"/>
      <c r="E6" s="35"/>
      <c r="F6" s="59" t="s">
        <v>178</v>
      </c>
      <c r="G6" s="60" t="e">
        <f>10*LOG10(G4)-G5</f>
        <v>#NUM!</v>
      </c>
    </row>
    <row r="7" spans="1:7" ht="12.75">
      <c r="A7" s="35"/>
      <c r="B7" s="31" t="s">
        <v>201</v>
      </c>
      <c r="C7" s="69">
        <f>255/223</f>
        <v>1.1434977578475336</v>
      </c>
      <c r="D7" s="41"/>
      <c r="E7" s="35"/>
      <c r="F7" s="36" t="s">
        <v>141</v>
      </c>
      <c r="G7" s="38"/>
    </row>
    <row r="8" spans="1:7" ht="12.75">
      <c r="A8" s="35"/>
      <c r="B8" s="31" t="s">
        <v>102</v>
      </c>
      <c r="C8" s="69">
        <v>44.5</v>
      </c>
      <c r="D8" s="43"/>
      <c r="E8" s="35"/>
      <c r="F8" s="31" t="s">
        <v>174</v>
      </c>
      <c r="G8" s="31">
        <v>468.75</v>
      </c>
    </row>
    <row r="9" spans="1:7" ht="12.75">
      <c r="A9" s="35"/>
      <c r="B9" s="31" t="s">
        <v>183</v>
      </c>
      <c r="C9" s="37">
        <v>1</v>
      </c>
      <c r="D9" s="44"/>
      <c r="E9" s="35"/>
      <c r="F9" s="36" t="s">
        <v>154</v>
      </c>
      <c r="G9" s="36"/>
    </row>
    <row r="10" spans="1:7" ht="25.5">
      <c r="A10" s="34"/>
      <c r="B10" s="85" t="s">
        <v>59</v>
      </c>
      <c r="C10" s="42">
        <v>71.5</v>
      </c>
      <c r="D10" s="43"/>
      <c r="E10" s="35"/>
      <c r="F10" s="36" t="s">
        <v>149</v>
      </c>
      <c r="G10" s="36"/>
    </row>
    <row r="11" spans="1:7" ht="12.75">
      <c r="A11" s="35"/>
      <c r="B11" s="31"/>
      <c r="C11" s="39"/>
      <c r="D11" s="47"/>
      <c r="E11" s="35"/>
      <c r="F11" s="36" t="s">
        <v>156</v>
      </c>
      <c r="G11" s="40"/>
    </row>
    <row r="12" spans="1:7" ht="12.75">
      <c r="A12" s="33" t="s">
        <v>171</v>
      </c>
      <c r="B12" s="45"/>
      <c r="C12" s="46"/>
      <c r="D12" s="47"/>
      <c r="E12" s="35"/>
      <c r="F12" s="36" t="s">
        <v>131</v>
      </c>
      <c r="G12" s="40"/>
    </row>
    <row r="13" spans="1:7" ht="12.75">
      <c r="A13" s="35"/>
      <c r="B13" s="31" t="s">
        <v>143</v>
      </c>
      <c r="C13" s="31">
        <v>35784</v>
      </c>
      <c r="D13" s="47"/>
      <c r="E13" s="35"/>
      <c r="F13" s="36" t="s">
        <v>216</v>
      </c>
      <c r="G13" s="40"/>
    </row>
    <row r="14" spans="1:7" ht="12.75">
      <c r="A14" s="35"/>
      <c r="B14" s="31" t="s">
        <v>144</v>
      </c>
      <c r="C14" s="31">
        <v>13.8</v>
      </c>
      <c r="D14" s="43"/>
      <c r="E14" s="35"/>
      <c r="F14" s="59" t="s">
        <v>90</v>
      </c>
      <c r="G14" s="60">
        <f>G11-G13-G12</f>
        <v>0</v>
      </c>
    </row>
    <row r="15" spans="1:7" ht="12.75">
      <c r="A15" s="35"/>
      <c r="B15" s="31" t="s">
        <v>145</v>
      </c>
      <c r="C15" s="37">
        <f>SQRT((6378+C13)^2-(6378*COS(PI()/180*C14))^2)-6378*SIN(PI()/180*C14)</f>
        <v>40183.18870290123</v>
      </c>
      <c r="D15" s="31"/>
      <c r="E15" s="35"/>
      <c r="F15" s="73" t="s">
        <v>60</v>
      </c>
      <c r="G15" s="62" t="e">
        <f>G6-G7+G14+30</f>
        <v>#NUM!</v>
      </c>
    </row>
    <row r="16" spans="1:7" ht="12.75">
      <c r="A16" s="35"/>
      <c r="B16" s="31" t="s">
        <v>146</v>
      </c>
      <c r="C16" s="39">
        <f>-(20*LOG(299.792458/(C4*4*3.141592654))-20*LOG(C15*1000))</f>
        <v>190.6903505547571</v>
      </c>
      <c r="D16" s="43"/>
      <c r="E16" s="35"/>
      <c r="F16" s="59" t="s">
        <v>4</v>
      </c>
      <c r="G16" s="60" t="e">
        <f>10*LOG((1-1/(1+(10^(C33/10))*C9)))</f>
        <v>#NUM!</v>
      </c>
    </row>
    <row r="17" spans="1:7" ht="12.75">
      <c r="A17" s="35"/>
      <c r="B17" s="31" t="s">
        <v>159</v>
      </c>
      <c r="C17" s="39">
        <v>1</v>
      </c>
      <c r="D17" s="43"/>
      <c r="E17" s="35"/>
      <c r="F17" s="61" t="s">
        <v>6</v>
      </c>
      <c r="G17" s="165" t="e">
        <f>G15+G16</f>
        <v>#NUM!</v>
      </c>
    </row>
    <row r="18" spans="1:7" ht="12.75">
      <c r="A18" s="35"/>
      <c r="B18" s="31"/>
      <c r="C18" s="39"/>
      <c r="D18" s="43"/>
      <c r="E18" s="35"/>
      <c r="F18" s="34"/>
      <c r="G18" s="42"/>
    </row>
    <row r="19" spans="1:7" ht="12.75">
      <c r="A19" s="33" t="s">
        <v>52</v>
      </c>
      <c r="B19" s="31"/>
      <c r="C19" s="39"/>
      <c r="D19" s="49"/>
      <c r="E19" s="33" t="s">
        <v>158</v>
      </c>
      <c r="F19" s="45"/>
      <c r="G19" s="46"/>
    </row>
    <row r="20" spans="1:7" ht="12.75">
      <c r="A20" s="35"/>
      <c r="B20" s="58" t="s">
        <v>147</v>
      </c>
      <c r="C20" s="36"/>
      <c r="D20" s="50"/>
      <c r="E20" s="56"/>
      <c r="F20" s="31" t="s">
        <v>143</v>
      </c>
      <c r="G20" s="31">
        <v>35784</v>
      </c>
    </row>
    <row r="21" spans="1:7" ht="12.75">
      <c r="A21" s="35"/>
      <c r="B21" s="36" t="s">
        <v>99</v>
      </c>
      <c r="C21" s="36"/>
      <c r="D21" s="50"/>
      <c r="E21" s="33"/>
      <c r="F21" s="31" t="s">
        <v>144</v>
      </c>
      <c r="G21" s="31">
        <v>5</v>
      </c>
    </row>
    <row r="22" spans="1:7" ht="12.75">
      <c r="A22" s="35"/>
      <c r="B22" s="54" t="s">
        <v>161</v>
      </c>
      <c r="C22" s="36"/>
      <c r="D22" s="52"/>
      <c r="E22" s="35"/>
      <c r="F22" s="31" t="s">
        <v>145</v>
      </c>
      <c r="G22" s="37">
        <f>SQRT((6378+G20)^2-(6378*COS(PI()/180*G21))^2)-6378*SIN(PI()/180*G21)</f>
        <v>41124.62405055137</v>
      </c>
    </row>
    <row r="23" spans="1:7" ht="12.75">
      <c r="A23" s="35"/>
      <c r="B23" s="36" t="s">
        <v>149</v>
      </c>
      <c r="C23" s="36"/>
      <c r="D23" s="43"/>
      <c r="E23" s="35"/>
      <c r="F23" s="31" t="s">
        <v>146</v>
      </c>
      <c r="G23" s="39">
        <f>-(20*LOG(299.792458/(G8*4*3.141592654))-20*LOG(G22*1000))</f>
        <v>178.1486476533594</v>
      </c>
    </row>
    <row r="24" spans="1:7" ht="12.75">
      <c r="A24" s="35"/>
      <c r="B24" s="36" t="s">
        <v>162</v>
      </c>
      <c r="C24" s="40"/>
      <c r="D24" s="43"/>
      <c r="E24" s="35"/>
      <c r="F24" s="31" t="s">
        <v>159</v>
      </c>
      <c r="G24" s="39">
        <v>0.7</v>
      </c>
    </row>
    <row r="25" spans="1:7" ht="12.75">
      <c r="A25" s="35"/>
      <c r="B25" s="36" t="s">
        <v>163</v>
      </c>
      <c r="C25" s="40"/>
      <c r="D25" s="31"/>
      <c r="E25" s="35"/>
      <c r="F25" s="31"/>
      <c r="G25" s="39"/>
    </row>
    <row r="26" spans="1:7" ht="12.75">
      <c r="A26" s="35"/>
      <c r="B26" s="36" t="s">
        <v>164</v>
      </c>
      <c r="C26" s="53"/>
      <c r="D26" s="35"/>
      <c r="E26" s="33" t="s">
        <v>172</v>
      </c>
      <c r="F26" s="31"/>
      <c r="G26" s="39"/>
    </row>
    <row r="27" spans="1:7" ht="12.75">
      <c r="A27" s="35"/>
      <c r="B27" s="36" t="s">
        <v>96</v>
      </c>
      <c r="C27" s="54"/>
      <c r="D27" s="43"/>
      <c r="E27" s="56"/>
      <c r="F27" s="43" t="s">
        <v>147</v>
      </c>
      <c r="G27" s="31">
        <v>0</v>
      </c>
    </row>
    <row r="28" spans="1:7" ht="12.75">
      <c r="A28" s="35"/>
      <c r="B28" s="36" t="s">
        <v>212</v>
      </c>
      <c r="C28" s="54"/>
      <c r="D28" s="43"/>
      <c r="E28" s="33"/>
      <c r="F28" s="31" t="s">
        <v>148</v>
      </c>
      <c r="G28" s="31">
        <v>0</v>
      </c>
    </row>
    <row r="29" spans="1:7" ht="12.75">
      <c r="A29" s="35"/>
      <c r="B29" s="59" t="s">
        <v>95</v>
      </c>
      <c r="C29" s="72">
        <f>290*(10^((C27)*0.1)-1)</f>
        <v>0</v>
      </c>
      <c r="D29" s="43"/>
      <c r="E29" s="35"/>
      <c r="F29" s="59" t="s">
        <v>197</v>
      </c>
      <c r="G29" s="62" t="e">
        <f>G15-G23+10*LOG(4*3.141592654)+20*LOG(G8/299.792458)-30+G12+10*LOG(4/C6)</f>
        <v>#NUM!</v>
      </c>
    </row>
    <row r="30" spans="1:7" ht="12.75">
      <c r="A30" s="35"/>
      <c r="B30" s="59" t="s">
        <v>165</v>
      </c>
      <c r="C30" s="60" t="e">
        <f>10*LOG(C28+C29)</f>
        <v>#NUM!</v>
      </c>
      <c r="D30" s="43"/>
      <c r="E30" s="35"/>
      <c r="F30" s="34" t="s">
        <v>150</v>
      </c>
      <c r="G30" s="39">
        <v>-26</v>
      </c>
    </row>
    <row r="31" spans="1:7" ht="12.75">
      <c r="A31" s="35"/>
      <c r="B31" s="61" t="s">
        <v>150</v>
      </c>
      <c r="C31" s="60" t="e">
        <f>C24-C26-C30</f>
        <v>#NUM!</v>
      </c>
      <c r="D31" s="43"/>
      <c r="E31" s="35"/>
      <c r="F31" s="59" t="s">
        <v>167</v>
      </c>
      <c r="G31" s="60" t="e">
        <f>G17-SUM(G23:G28)+G30+228.6-30</f>
        <v>#NUM!</v>
      </c>
    </row>
    <row r="32" spans="1:7" ht="12.75">
      <c r="A32" s="35"/>
      <c r="B32" s="59" t="s">
        <v>199</v>
      </c>
      <c r="C32" s="60" t="e">
        <f>C10-SUM(C16:C21)+C31+228.6-30</f>
        <v>#NUM!</v>
      </c>
      <c r="D32" s="43"/>
      <c r="E32" s="35"/>
      <c r="F32" s="59" t="s">
        <v>168</v>
      </c>
      <c r="G32" s="60" t="e">
        <f>C32</f>
        <v>#NUM!</v>
      </c>
    </row>
    <row r="33" spans="1:7" ht="12.75">
      <c r="A33" s="56"/>
      <c r="B33" s="59" t="s">
        <v>200</v>
      </c>
      <c r="C33" s="71" t="e">
        <f>C32-10*LOG(44450)</f>
        <v>#NUM!</v>
      </c>
      <c r="D33" s="43"/>
      <c r="E33" s="35"/>
      <c r="F33" s="59" t="s">
        <v>169</v>
      </c>
      <c r="G33" s="60" t="e">
        <f>10*LOG(1/(1/(10^(G31/10))+1/(10^(G32/10))))</f>
        <v>#NUM!</v>
      </c>
    </row>
    <row r="34" spans="1:7" ht="12.75">
      <c r="A34" s="101"/>
      <c r="B34" s="101"/>
      <c r="C34" s="101"/>
      <c r="D34" s="130"/>
      <c r="E34" s="35"/>
      <c r="F34" s="36" t="s">
        <v>194</v>
      </c>
      <c r="G34" s="40"/>
    </row>
    <row r="35" spans="1:7" ht="12.75">
      <c r="A35" s="96"/>
      <c r="B35" s="96"/>
      <c r="C35" s="96"/>
      <c r="D35" s="131"/>
      <c r="E35" s="35"/>
      <c r="F35" s="61" t="s">
        <v>129</v>
      </c>
      <c r="G35" s="63" t="e">
        <f>G33-10*LOG(C5*1000)-G34</f>
        <v>#NUM!</v>
      </c>
    </row>
    <row r="36" spans="1:7" ht="12.75">
      <c r="A36" s="96"/>
      <c r="B36" s="96"/>
      <c r="C36" s="96"/>
      <c r="D36" s="123"/>
      <c r="E36" s="35"/>
      <c r="F36" s="31" t="s">
        <v>196</v>
      </c>
      <c r="G36" s="65">
        <v>7</v>
      </c>
    </row>
    <row r="37" spans="1:7" ht="12.75">
      <c r="A37" s="96"/>
      <c r="B37" s="96"/>
      <c r="C37" s="96"/>
      <c r="D37" s="123"/>
      <c r="E37" s="35"/>
      <c r="F37" s="31" t="s">
        <v>152</v>
      </c>
      <c r="G37" s="65">
        <v>6</v>
      </c>
    </row>
    <row r="38" spans="1:7" ht="12.75">
      <c r="A38" s="96"/>
      <c r="B38" s="96"/>
      <c r="C38" s="96"/>
      <c r="D38" s="123"/>
      <c r="E38" s="35"/>
      <c r="F38" s="61" t="s">
        <v>139</v>
      </c>
      <c r="G38" s="63" t="e">
        <f>G35-G36-G37</f>
        <v>#NUM!</v>
      </c>
    </row>
    <row r="39" spans="1:7" ht="12.75">
      <c r="A39" s="96"/>
      <c r="B39" s="96"/>
      <c r="C39" s="96"/>
      <c r="D39" s="123"/>
      <c r="E39" s="22"/>
      <c r="F39" s="22"/>
      <c r="G39" s="22"/>
    </row>
    <row r="40" spans="4:7" ht="12.75">
      <c r="D40" s="2"/>
      <c r="E40" s="22"/>
      <c r="F40" s="22"/>
      <c r="G40" s="22"/>
    </row>
    <row r="41" spans="4:7" ht="12.75">
      <c r="D41" s="2"/>
      <c r="E41" s="22"/>
      <c r="F41" s="22"/>
      <c r="G41" s="22"/>
    </row>
    <row r="42" spans="4:7" ht="12.75">
      <c r="D42" s="22"/>
      <c r="E42" s="22"/>
      <c r="F42" s="22"/>
      <c r="G42" s="22"/>
    </row>
  </sheetData>
  <conditionalFormatting sqref="G29">
    <cfRule type="cellIs" priority="1" dxfId="0" operator="greaterThan" stopIfTrue="1">
      <formula>-152</formula>
    </cfRule>
  </conditionalFormatting>
  <printOptions gridLines="1"/>
  <pageMargins left="0.56" right="0.55" top="0.55" bottom="0.5" header="0.33" footer="0.5"/>
  <pageSetup fitToHeight="1" fitToWidth="1" horizontalDpi="600" verticalDpi="600" orientation="landscape"/>
  <headerFooter alignWithMargins="0">
    <oddHeader>&amp;L&amp;F     Printed &amp;D &amp;T&amp;C &amp;A&amp;R&amp;P/&amp;N</oddHeader>
  </headerFooter>
</worksheet>
</file>

<file path=xl/worksheets/sheet9.xml><?xml version="1.0" encoding="utf-8"?>
<worksheet xmlns="http://schemas.openxmlformats.org/spreadsheetml/2006/main" xmlns:r="http://schemas.openxmlformats.org/officeDocument/2006/relationships">
  <sheetPr>
    <tabColor indexed="47"/>
    <pageSetUpPr fitToPage="1"/>
  </sheetPr>
  <dimension ref="A1:K46"/>
  <sheetViews>
    <sheetView workbookViewId="0" topLeftCell="A1">
      <selection activeCell="G32" sqref="G32"/>
    </sheetView>
  </sheetViews>
  <sheetFormatPr defaultColWidth="9.140625" defaultRowHeight="12.75"/>
  <cols>
    <col min="1" max="1" width="4.28125" style="0" customWidth="1"/>
    <col min="2" max="2" width="38.28125" style="0" customWidth="1"/>
    <col min="3" max="3" width="11.8515625" style="176" customWidth="1"/>
    <col min="4" max="4" width="1.421875" style="0" customWidth="1"/>
    <col min="5" max="5" width="6.140625" style="0" customWidth="1"/>
    <col min="6" max="6" width="38.140625" style="0" customWidth="1"/>
    <col min="7" max="7" width="14.140625" style="176" customWidth="1"/>
    <col min="8" max="8" width="1.421875" style="0" customWidth="1"/>
    <col min="9" max="9" width="6.140625" style="0" customWidth="1"/>
    <col min="10" max="10" width="38.421875" style="0" customWidth="1"/>
    <col min="11" max="11" width="12.8515625" style="176" customWidth="1"/>
    <col min="12" max="16384" width="8.8515625" style="0" customWidth="1"/>
  </cols>
  <sheetData>
    <row r="1" spans="1:11" ht="12.75">
      <c r="A1" s="74" t="s">
        <v>219</v>
      </c>
      <c r="B1" s="56"/>
      <c r="C1" s="206"/>
      <c r="D1" s="56"/>
      <c r="E1" s="56"/>
      <c r="F1" s="56"/>
      <c r="G1" s="206"/>
      <c r="I1" s="56"/>
      <c r="J1" s="56"/>
      <c r="K1" s="206"/>
    </row>
    <row r="2" spans="1:11" ht="12.75">
      <c r="A2" s="30"/>
      <c r="B2" s="32" t="s">
        <v>190</v>
      </c>
      <c r="C2" s="167"/>
      <c r="D2" s="31"/>
      <c r="E2" s="30"/>
      <c r="F2" s="32" t="s">
        <v>191</v>
      </c>
      <c r="G2" s="167"/>
      <c r="H2" s="2"/>
      <c r="I2" s="30"/>
      <c r="J2" s="33" t="s">
        <v>51</v>
      </c>
      <c r="K2" s="167"/>
    </row>
    <row r="3" spans="1:11" ht="12.75">
      <c r="A3" s="33" t="s">
        <v>170</v>
      </c>
      <c r="B3" s="31"/>
      <c r="C3" s="168"/>
      <c r="D3" s="34"/>
      <c r="E3" s="33" t="s">
        <v>188</v>
      </c>
      <c r="F3" s="31"/>
      <c r="G3" s="168"/>
      <c r="H3" s="9"/>
      <c r="I3" s="33" t="s">
        <v>188</v>
      </c>
      <c r="J3" s="31"/>
      <c r="K3" s="168"/>
    </row>
    <row r="4" spans="1:11" ht="12.75">
      <c r="A4" s="33"/>
      <c r="B4" s="36" t="s">
        <v>210</v>
      </c>
      <c r="C4" s="187"/>
      <c r="D4" s="34"/>
      <c r="E4" s="33"/>
      <c r="F4" s="36" t="s">
        <v>210</v>
      </c>
      <c r="G4" s="187"/>
      <c r="H4" s="9"/>
      <c r="I4" s="33"/>
      <c r="J4" s="36" t="s">
        <v>210</v>
      </c>
      <c r="K4" s="187"/>
    </row>
    <row r="5" spans="1:11" ht="12.75">
      <c r="A5" s="35"/>
      <c r="B5" s="36" t="s">
        <v>103</v>
      </c>
      <c r="C5" s="169"/>
      <c r="D5" s="31"/>
      <c r="E5" s="35"/>
      <c r="F5" s="36" t="s">
        <v>103</v>
      </c>
      <c r="G5" s="169"/>
      <c r="H5" s="4"/>
      <c r="I5" s="35"/>
      <c r="J5" s="36" t="s">
        <v>103</v>
      </c>
      <c r="K5" s="169"/>
    </row>
    <row r="6" spans="1:11" ht="12.75">
      <c r="A6" s="35"/>
      <c r="B6" s="59" t="s">
        <v>104</v>
      </c>
      <c r="C6" s="174" t="e">
        <f>10*LOG(C4)-C5+30</f>
        <v>#NUM!</v>
      </c>
      <c r="D6" s="31"/>
      <c r="E6" s="35"/>
      <c r="F6" s="59" t="s">
        <v>104</v>
      </c>
      <c r="G6" s="174" t="e">
        <f>10*LOG(G4)-G5+30</f>
        <v>#NUM!</v>
      </c>
      <c r="H6" s="4"/>
      <c r="I6" s="35"/>
      <c r="J6" s="59" t="s">
        <v>104</v>
      </c>
      <c r="K6" s="174" t="e">
        <f>10*LOG(K4)-K5+30</f>
        <v>#NUM!</v>
      </c>
    </row>
    <row r="7" spans="1:11" ht="12.75">
      <c r="A7" s="35"/>
      <c r="B7" s="36" t="s">
        <v>9</v>
      </c>
      <c r="C7" s="170"/>
      <c r="D7" s="39"/>
      <c r="E7" s="35"/>
      <c r="F7" s="36" t="s">
        <v>9</v>
      </c>
      <c r="G7" s="170"/>
      <c r="H7" s="4"/>
      <c r="I7" s="35"/>
      <c r="J7" s="36" t="s">
        <v>9</v>
      </c>
      <c r="K7" s="170"/>
    </row>
    <row r="8" spans="1:11" ht="12.75">
      <c r="A8" s="35"/>
      <c r="B8" s="31" t="s">
        <v>211</v>
      </c>
      <c r="C8" s="167">
        <v>1696.3</v>
      </c>
      <c r="D8" s="41"/>
      <c r="E8" s="35"/>
      <c r="F8" s="31" t="s">
        <v>211</v>
      </c>
      <c r="G8" s="167">
        <v>1696.3</v>
      </c>
      <c r="H8" s="4"/>
      <c r="I8" s="35"/>
      <c r="J8" s="31" t="s">
        <v>211</v>
      </c>
      <c r="K8" s="167">
        <v>1696.3</v>
      </c>
    </row>
    <row r="9" spans="1:11" ht="12.75">
      <c r="A9" s="35"/>
      <c r="B9" s="31" t="s">
        <v>184</v>
      </c>
      <c r="C9" s="207">
        <v>3.5</v>
      </c>
      <c r="D9" s="43" t="s">
        <v>142</v>
      </c>
      <c r="E9" s="35"/>
      <c r="F9" s="31" t="s">
        <v>184</v>
      </c>
      <c r="G9" s="208">
        <v>32</v>
      </c>
      <c r="H9" s="4"/>
      <c r="I9" s="35"/>
      <c r="J9" s="31" t="s">
        <v>184</v>
      </c>
      <c r="K9" s="207">
        <v>3.5</v>
      </c>
    </row>
    <row r="10" spans="1:11" ht="12.75">
      <c r="A10" s="35"/>
      <c r="B10" s="31" t="s">
        <v>195</v>
      </c>
      <c r="C10" s="209">
        <f>C9*8/7</f>
        <v>4</v>
      </c>
      <c r="D10" s="44"/>
      <c r="E10" s="35"/>
      <c r="F10" s="31" t="s">
        <v>195</v>
      </c>
      <c r="G10" s="207">
        <f>G9*8/7</f>
        <v>36.57142857142857</v>
      </c>
      <c r="H10" s="2"/>
      <c r="I10" s="35"/>
      <c r="J10" s="31" t="s">
        <v>195</v>
      </c>
      <c r="K10" s="207">
        <f>K9*8/7</f>
        <v>4</v>
      </c>
    </row>
    <row r="11" spans="1:11" ht="12.75">
      <c r="A11" s="35"/>
      <c r="B11" s="36" t="s">
        <v>154</v>
      </c>
      <c r="C11" s="173"/>
      <c r="D11" s="44"/>
      <c r="E11" s="35"/>
      <c r="F11" s="36" t="s">
        <v>154</v>
      </c>
      <c r="G11" s="173"/>
      <c r="H11" s="2"/>
      <c r="I11" s="35"/>
      <c r="J11" s="36" t="s">
        <v>154</v>
      </c>
      <c r="K11" s="173"/>
    </row>
    <row r="12" spans="1:11" ht="12.75">
      <c r="A12" s="35"/>
      <c r="B12" s="36" t="s">
        <v>153</v>
      </c>
      <c r="C12" s="173"/>
      <c r="D12" s="43"/>
      <c r="E12" s="35"/>
      <c r="F12" s="36" t="s">
        <v>153</v>
      </c>
      <c r="G12" s="173"/>
      <c r="H12" s="2"/>
      <c r="I12" s="35"/>
      <c r="J12" s="36" t="s">
        <v>153</v>
      </c>
      <c r="K12" s="173"/>
    </row>
    <row r="13" spans="1:11" ht="12.75">
      <c r="A13" s="35"/>
      <c r="B13" s="36" t="s">
        <v>149</v>
      </c>
      <c r="C13" s="173"/>
      <c r="D13" s="47"/>
      <c r="E13" s="35"/>
      <c r="F13" s="36" t="s">
        <v>149</v>
      </c>
      <c r="G13" s="173"/>
      <c r="H13" s="2"/>
      <c r="I13" s="35"/>
      <c r="J13" s="36" t="s">
        <v>149</v>
      </c>
      <c r="K13" s="173"/>
    </row>
    <row r="14" spans="1:11" ht="12.75">
      <c r="A14" s="35"/>
      <c r="B14" s="36" t="s">
        <v>156</v>
      </c>
      <c r="C14" s="169"/>
      <c r="D14" s="47"/>
      <c r="E14" s="35"/>
      <c r="F14" s="36" t="s">
        <v>156</v>
      </c>
      <c r="G14" s="169"/>
      <c r="H14" s="4"/>
      <c r="I14" s="35"/>
      <c r="J14" s="36" t="s">
        <v>156</v>
      </c>
      <c r="K14" s="169"/>
    </row>
    <row r="15" spans="1:11" ht="12.75">
      <c r="A15" s="35"/>
      <c r="B15" s="36" t="s">
        <v>25</v>
      </c>
      <c r="C15" s="169"/>
      <c r="D15" s="47"/>
      <c r="E15" s="35"/>
      <c r="F15" s="36" t="s">
        <v>25</v>
      </c>
      <c r="G15" s="169"/>
      <c r="H15" s="4"/>
      <c r="I15" s="35"/>
      <c r="J15" s="36" t="s">
        <v>28</v>
      </c>
      <c r="K15" s="169"/>
    </row>
    <row r="16" spans="1:11" ht="12.75">
      <c r="A16" s="35"/>
      <c r="B16" s="36" t="s">
        <v>133</v>
      </c>
      <c r="C16" s="169"/>
      <c r="D16" s="47"/>
      <c r="E16" s="35"/>
      <c r="F16" s="36" t="s">
        <v>133</v>
      </c>
      <c r="G16" s="169"/>
      <c r="H16" s="4"/>
      <c r="I16" s="35"/>
      <c r="J16" s="36" t="s">
        <v>29</v>
      </c>
      <c r="K16" s="169"/>
    </row>
    <row r="17" spans="1:11" ht="12.75">
      <c r="A17" s="35"/>
      <c r="B17" s="59" t="s">
        <v>90</v>
      </c>
      <c r="C17" s="174">
        <f>C14-C15-C16</f>
        <v>0</v>
      </c>
      <c r="D17" s="43"/>
      <c r="E17" s="35"/>
      <c r="F17" s="59" t="s">
        <v>90</v>
      </c>
      <c r="G17" s="174">
        <f>G14-G15-G16</f>
        <v>0</v>
      </c>
      <c r="H17" s="4"/>
      <c r="I17" s="35"/>
      <c r="J17" s="59" t="s">
        <v>90</v>
      </c>
      <c r="K17" s="174">
        <f>K14-K15-K16</f>
        <v>0</v>
      </c>
    </row>
    <row r="18" spans="1:11" ht="12.75">
      <c r="A18" s="34"/>
      <c r="B18" s="61" t="s">
        <v>58</v>
      </c>
      <c r="C18" s="174" t="e">
        <f>C6-C7+C17</f>
        <v>#NUM!</v>
      </c>
      <c r="D18" s="31"/>
      <c r="E18" s="34"/>
      <c r="F18" s="61" t="s">
        <v>56</v>
      </c>
      <c r="G18" s="174" t="e">
        <f>G6-G7+G17</f>
        <v>#NUM!</v>
      </c>
      <c r="H18" s="4"/>
      <c r="I18" s="34"/>
      <c r="J18" s="61" t="s">
        <v>56</v>
      </c>
      <c r="K18" s="174" t="e">
        <f>K6-K7+K17</f>
        <v>#NUM!</v>
      </c>
    </row>
    <row r="19" spans="1:11" ht="12.75">
      <c r="A19" s="35"/>
      <c r="B19" s="31"/>
      <c r="C19" s="172"/>
      <c r="D19" s="43"/>
      <c r="E19" s="35"/>
      <c r="F19" s="31"/>
      <c r="G19" s="172"/>
      <c r="H19" s="1"/>
      <c r="I19" s="35"/>
      <c r="J19" s="31"/>
      <c r="K19" s="172"/>
    </row>
    <row r="20" spans="1:11" ht="12.75">
      <c r="A20" s="33" t="s">
        <v>158</v>
      </c>
      <c r="B20" s="45"/>
      <c r="C20" s="172"/>
      <c r="D20" s="43"/>
      <c r="E20" s="33" t="s">
        <v>158</v>
      </c>
      <c r="F20" s="45"/>
      <c r="G20" s="172"/>
      <c r="H20" s="2"/>
      <c r="I20" s="33" t="s">
        <v>158</v>
      </c>
      <c r="J20" s="45"/>
      <c r="K20" s="172"/>
    </row>
    <row r="21" spans="1:11" ht="12.75">
      <c r="A21" s="35"/>
      <c r="B21" s="31" t="s">
        <v>143</v>
      </c>
      <c r="C21" s="167">
        <v>35784</v>
      </c>
      <c r="D21" s="43"/>
      <c r="E21" s="35"/>
      <c r="F21" s="31" t="s">
        <v>143</v>
      </c>
      <c r="G21" s="167">
        <v>35784</v>
      </c>
      <c r="H21" s="2"/>
      <c r="I21" s="35"/>
      <c r="J21" s="31" t="s">
        <v>143</v>
      </c>
      <c r="K21" s="167">
        <v>35784</v>
      </c>
    </row>
    <row r="22" spans="1:11" ht="12.75">
      <c r="A22" s="35"/>
      <c r="B22" s="31" t="s">
        <v>144</v>
      </c>
      <c r="C22" s="167">
        <v>13.8</v>
      </c>
      <c r="D22" s="49"/>
      <c r="E22" s="35"/>
      <c r="F22" s="31" t="s">
        <v>144</v>
      </c>
      <c r="G22" s="167">
        <v>13.8</v>
      </c>
      <c r="H22" s="2"/>
      <c r="I22" s="35"/>
      <c r="J22" s="31" t="s">
        <v>144</v>
      </c>
      <c r="K22" s="167">
        <v>13.8</v>
      </c>
    </row>
    <row r="23" spans="1:11" ht="12.75">
      <c r="A23" s="35"/>
      <c r="B23" s="31" t="s">
        <v>145</v>
      </c>
      <c r="C23" s="175">
        <f>SQRT((6378+C21)^2-(6378*COS(PI()/180*C22))^2)-6378*SIN(PI()/180*C22)</f>
        <v>40183.18870290123</v>
      </c>
      <c r="D23" s="50"/>
      <c r="E23" s="35"/>
      <c r="F23" s="31" t="s">
        <v>145</v>
      </c>
      <c r="G23" s="175">
        <f>SQRT((6378+G21)^2-(6378*COS(PI()/180*G22))^2)-6378*SIN(PI()/180*G22)</f>
        <v>40183.18870290123</v>
      </c>
      <c r="H23" s="2"/>
      <c r="I23" s="35"/>
      <c r="J23" s="31" t="s">
        <v>145</v>
      </c>
      <c r="K23" s="175">
        <f>SQRT((6378+K21)^2-(6378*COS(PI()/180*K22))^2)-6378*SIN(PI()/180*K22)</f>
        <v>40183.18870290123</v>
      </c>
    </row>
    <row r="24" spans="1:11" ht="12.75">
      <c r="A24" s="35"/>
      <c r="B24" s="31" t="s">
        <v>146</v>
      </c>
      <c r="C24" s="172">
        <f>-(20*LOG(299.792458/(C8*4*3.141592654))-20*LOG(C23*1000))</f>
        <v>189.11872440172755</v>
      </c>
      <c r="D24" s="50"/>
      <c r="E24" s="35"/>
      <c r="F24" s="31" t="s">
        <v>146</v>
      </c>
      <c r="G24" s="172">
        <f>-(20*LOG(299.792458/(G8*4*3.141592654))-20*LOG(G23*1000))</f>
        <v>189.11872440172755</v>
      </c>
      <c r="H24" s="4"/>
      <c r="I24" s="35"/>
      <c r="J24" s="31" t="s">
        <v>146</v>
      </c>
      <c r="K24" s="172">
        <f>-(20*LOG(299.792458/(K8*4*3.141592654))-20*LOG(K23*1000))</f>
        <v>189.11872440172755</v>
      </c>
    </row>
    <row r="25" spans="1:11" ht="12.75">
      <c r="A25" s="35"/>
      <c r="B25" s="31" t="s">
        <v>159</v>
      </c>
      <c r="C25" s="172">
        <v>1</v>
      </c>
      <c r="D25" s="52"/>
      <c r="E25" s="35"/>
      <c r="F25" s="31" t="s">
        <v>159</v>
      </c>
      <c r="G25" s="172">
        <v>1</v>
      </c>
      <c r="H25" s="2"/>
      <c r="I25" s="35"/>
      <c r="J25" s="31" t="s">
        <v>159</v>
      </c>
      <c r="K25" s="172">
        <v>1</v>
      </c>
    </row>
    <row r="26" spans="1:11" ht="12.75">
      <c r="A26" s="35"/>
      <c r="B26" s="31"/>
      <c r="C26" s="172"/>
      <c r="D26" s="43"/>
      <c r="E26" s="35"/>
      <c r="F26" s="31"/>
      <c r="G26" s="172"/>
      <c r="H26" s="2"/>
      <c r="I26" s="35"/>
      <c r="J26" s="31"/>
      <c r="K26" s="172"/>
    </row>
    <row r="27" spans="1:11" ht="12.75">
      <c r="A27" s="33" t="s">
        <v>53</v>
      </c>
      <c r="B27" s="31"/>
      <c r="C27" s="172"/>
      <c r="D27" s="43"/>
      <c r="E27" s="33" t="s">
        <v>53</v>
      </c>
      <c r="F27" s="31"/>
      <c r="G27" s="172"/>
      <c r="H27" s="2"/>
      <c r="I27" s="33" t="s">
        <v>53</v>
      </c>
      <c r="J27" s="31"/>
      <c r="K27" s="172"/>
    </row>
    <row r="28" spans="1:11" ht="12.75">
      <c r="A28" s="35"/>
      <c r="B28" s="43" t="s">
        <v>147</v>
      </c>
      <c r="C28" s="167">
        <v>0.25</v>
      </c>
      <c r="D28" s="31"/>
      <c r="E28" s="35"/>
      <c r="F28" s="43" t="s">
        <v>147</v>
      </c>
      <c r="G28" s="167">
        <v>0.25</v>
      </c>
      <c r="H28" s="3"/>
      <c r="I28" s="35"/>
      <c r="J28" s="43" t="s">
        <v>147</v>
      </c>
      <c r="K28" s="167">
        <v>0.25</v>
      </c>
    </row>
    <row r="29" spans="1:11" ht="12.75">
      <c r="A29" s="35"/>
      <c r="B29" s="31" t="s">
        <v>173</v>
      </c>
      <c r="C29" s="167">
        <v>0.5</v>
      </c>
      <c r="D29" s="35"/>
      <c r="E29" s="35"/>
      <c r="F29" s="31" t="s">
        <v>173</v>
      </c>
      <c r="G29" s="167">
        <v>0.5</v>
      </c>
      <c r="H29" s="3"/>
      <c r="I29" s="35"/>
      <c r="J29" s="31" t="s">
        <v>173</v>
      </c>
      <c r="K29" s="167">
        <v>0.5</v>
      </c>
    </row>
    <row r="30" spans="1:11" ht="12.75">
      <c r="A30" s="35"/>
      <c r="B30" s="34" t="s">
        <v>150</v>
      </c>
      <c r="C30" s="172">
        <v>13.5</v>
      </c>
      <c r="D30" s="43"/>
      <c r="E30" s="35"/>
      <c r="F30" s="34" t="s">
        <v>150</v>
      </c>
      <c r="G30" s="172">
        <v>14.25</v>
      </c>
      <c r="H30" s="14"/>
      <c r="I30" s="35"/>
      <c r="J30" s="34" t="s">
        <v>150</v>
      </c>
      <c r="K30" s="172">
        <v>14.25</v>
      </c>
    </row>
    <row r="31" spans="1:11" ht="12.75">
      <c r="A31" s="35"/>
      <c r="B31" s="59" t="s">
        <v>151</v>
      </c>
      <c r="C31" s="174" t="e">
        <f>C18-SUM(C24:C29)+C30+228.6-30</f>
        <v>#NUM!</v>
      </c>
      <c r="D31" s="43"/>
      <c r="E31" s="35"/>
      <c r="F31" s="59" t="s">
        <v>151</v>
      </c>
      <c r="G31" s="174" t="e">
        <f>G18-SUM(G24:G29)+G30+228.6-30</f>
        <v>#NUM!</v>
      </c>
      <c r="H31" s="3"/>
      <c r="I31" s="35"/>
      <c r="J31" s="59" t="s">
        <v>151</v>
      </c>
      <c r="K31" s="174" t="e">
        <f>K18-SUM(K24:K29)+K30+228.6-30</f>
        <v>#NUM!</v>
      </c>
    </row>
    <row r="32" spans="1:11" s="22" customFormat="1" ht="12.75">
      <c r="A32" s="56"/>
      <c r="B32" s="59" t="s">
        <v>197</v>
      </c>
      <c r="C32" s="174" t="e">
        <f>C18-C24+10*LOG(4*3.141592654)+20*LOG(C8/299.792458)+10*LOG(4/C10)-30+C16</f>
        <v>#NUM!</v>
      </c>
      <c r="D32" s="43"/>
      <c r="E32" s="56"/>
      <c r="F32" s="59" t="s">
        <v>197</v>
      </c>
      <c r="G32" s="174" t="e">
        <f>G18-G24+10*LOG(4*3.141592654)+20*LOG(G8/299.792458)+10*LOG(4/G10)-30+G16</f>
        <v>#NUM!</v>
      </c>
      <c r="H32" s="3"/>
      <c r="I32" s="56"/>
      <c r="J32" s="59" t="s">
        <v>197</v>
      </c>
      <c r="K32" s="174" t="e">
        <f>K18-K24+10*LOG(4*3.141592654)+20*LOG(K8/299.792458)+10*LOG(4/K10)-30+K16</f>
        <v>#NUM!</v>
      </c>
    </row>
    <row r="33" spans="1:11" ht="12.75">
      <c r="A33" s="56"/>
      <c r="B33" s="36" t="s">
        <v>80</v>
      </c>
      <c r="C33" s="169"/>
      <c r="D33" s="43"/>
      <c r="E33" s="68"/>
      <c r="F33" s="61" t="s">
        <v>134</v>
      </c>
      <c r="G33" s="177" t="e">
        <f>G31-10*LOG(G9*1000)</f>
        <v>#NUM!</v>
      </c>
      <c r="H33" s="3"/>
      <c r="I33" s="68"/>
      <c r="J33" s="36" t="s">
        <v>80</v>
      </c>
      <c r="K33" s="169"/>
    </row>
    <row r="34" spans="1:11" ht="12.75">
      <c r="A34" s="68"/>
      <c r="B34" s="36" t="s">
        <v>220</v>
      </c>
      <c r="C34" s="169"/>
      <c r="D34" s="43"/>
      <c r="E34" s="56"/>
      <c r="F34" s="31" t="s">
        <v>198</v>
      </c>
      <c r="G34" s="167">
        <v>4</v>
      </c>
      <c r="H34" s="2"/>
      <c r="I34" s="56"/>
      <c r="J34" s="36" t="s">
        <v>220</v>
      </c>
      <c r="K34" s="169"/>
    </row>
    <row r="35" spans="1:11" ht="12.75">
      <c r="A35" s="56"/>
      <c r="B35" s="61" t="s">
        <v>134</v>
      </c>
      <c r="C35" s="177" t="e">
        <f>C31-10*LOG(C9*1000)-C34</f>
        <v>#NUM!</v>
      </c>
      <c r="D35" s="43"/>
      <c r="E35" s="56"/>
      <c r="F35" s="31" t="s">
        <v>204</v>
      </c>
      <c r="G35" s="206">
        <v>2.3</v>
      </c>
      <c r="H35" s="2"/>
      <c r="I35" s="56"/>
      <c r="J35" s="61" t="s">
        <v>134</v>
      </c>
      <c r="K35" s="177" t="e">
        <f>K31-10*LOG(K9*1000)-K34</f>
        <v>#NUM!</v>
      </c>
    </row>
    <row r="36" spans="1:11" ht="12.75">
      <c r="A36" s="56"/>
      <c r="B36" s="31" t="s">
        <v>196</v>
      </c>
      <c r="C36" s="167">
        <v>4</v>
      </c>
      <c r="D36" s="43"/>
      <c r="E36" s="56"/>
      <c r="F36" s="34" t="s">
        <v>27</v>
      </c>
      <c r="G36" s="177" t="e">
        <f>G33-G34-G35</f>
        <v>#NUM!</v>
      </c>
      <c r="H36" s="2"/>
      <c r="I36" s="56"/>
      <c r="J36" s="31" t="s">
        <v>196</v>
      </c>
      <c r="K36" s="167">
        <v>4</v>
      </c>
    </row>
    <row r="37" spans="1:11" ht="12.75">
      <c r="A37" s="56"/>
      <c r="B37" s="31" t="s">
        <v>204</v>
      </c>
      <c r="C37" s="167">
        <v>2.3</v>
      </c>
      <c r="D37" s="1"/>
      <c r="E37" s="56"/>
      <c r="H37" s="2"/>
      <c r="I37" s="56"/>
      <c r="J37" s="31" t="s">
        <v>204</v>
      </c>
      <c r="K37" s="167">
        <v>2.3</v>
      </c>
    </row>
    <row r="38" spans="1:11" ht="12.75">
      <c r="A38" s="56"/>
      <c r="B38" s="61" t="s">
        <v>26</v>
      </c>
      <c r="C38" s="177" t="e">
        <f>C35-C36-C37</f>
        <v>#NUM!</v>
      </c>
      <c r="D38" s="16"/>
      <c r="H38" s="2"/>
      <c r="J38" s="61" t="s">
        <v>30</v>
      </c>
      <c r="K38" s="177" t="e">
        <f>K35-K36-K37</f>
        <v>#NUM!</v>
      </c>
    </row>
    <row r="39" spans="4:8" ht="12.75">
      <c r="D39" s="1"/>
      <c r="H39" s="2"/>
    </row>
    <row r="40" spans="4:8" ht="12.75">
      <c r="D40" s="2"/>
      <c r="H40" s="2"/>
    </row>
    <row r="41" spans="4:8" ht="12.75">
      <c r="D41" s="2"/>
      <c r="H41" s="2"/>
    </row>
    <row r="42" spans="4:8" ht="12.75">
      <c r="D42" s="2"/>
      <c r="H42" s="2"/>
    </row>
    <row r="43" spans="4:8" ht="12.75">
      <c r="D43" s="2"/>
      <c r="H43" s="2"/>
    </row>
    <row r="44" spans="4:8" ht="12.75">
      <c r="D44" s="2"/>
      <c r="H44" s="2"/>
    </row>
    <row r="45" spans="4:8" ht="12.75">
      <c r="D45" s="2"/>
      <c r="H45" s="2"/>
    </row>
    <row r="46" ht="12.75">
      <c r="H46" s="2"/>
    </row>
  </sheetData>
  <conditionalFormatting sqref="G32 K32 C32">
    <cfRule type="cellIs" priority="1" dxfId="0" operator="greaterThan" stopIfTrue="1">
      <formula>-154</formula>
    </cfRule>
  </conditionalFormatting>
  <printOptions gridLines="1"/>
  <pageMargins left="0.56" right="0.55" top="0.55" bottom="0.5" header="0.33" footer="0.5"/>
  <pageSetup fitToHeight="1" fitToWidth="1" horizontalDpi="600" verticalDpi="600" orientation="landscape" scale="74"/>
  <headerFooter alignWithMargins="0">
    <oddHeader>&amp;L&amp;F     Printed &amp;D &amp;T&amp;C &amp;A&amp;R&amp;P/&amp;N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Goes R</dc:creator>
  <cp:keywords/>
  <dc:description/>
  <cp:lastModifiedBy>cawalker</cp:lastModifiedBy>
  <cp:lastPrinted>2008-01-17T21:11:06Z</cp:lastPrinted>
  <dcterms:created xsi:type="dcterms:W3CDTF">1999-11-07T20:23:29Z</dcterms:created>
  <dcterms:modified xsi:type="dcterms:W3CDTF">2008-01-18T13:25:59Z</dcterms:modified>
  <cp:category/>
  <cp:version/>
  <cp:contentType/>
  <cp:contentStatus/>
</cp:coreProperties>
</file>