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11" windowWidth="19305" windowHeight="13215" activeTab="0"/>
  </bookViews>
  <sheets>
    <sheet name="Instructions" sheetId="1" r:id="rId1"/>
    <sheet name="EMWIN" sheetId="2" r:id="rId2"/>
    <sheet name="LRIT" sheetId="3" r:id="rId3"/>
    <sheet name="GRB" sheetId="4" r:id="rId4"/>
    <sheet name="RAW" sheetId="5" r:id="rId5"/>
    <sheet name="SAR" sheetId="6" r:id="rId6"/>
    <sheet name="0.3kDCPR" sheetId="7" r:id="rId7"/>
    <sheet name="1.2kDCPR" sheetId="8" r:id="rId8"/>
    <sheet name=" DCPC" sheetId="9" r:id="rId9"/>
    <sheet name="CDA Telm" sheetId="10" r:id="rId10"/>
    <sheet name="CDA Command" sheetId="11" r:id="rId11"/>
    <sheet name="OR CMD" sheetId="12" r:id="rId12"/>
    <sheet name="OR TLM" sheetId="13" r:id="rId13"/>
    <sheet name="Ranging" sheetId="14" r:id="rId14"/>
  </sheets>
  <definedNames>
    <definedName name="_xlnm.Print_Area" localSheetId="10">'CDA Command'!$A$1:$K$38</definedName>
    <definedName name="_xlnm.Print_Area" localSheetId="1">'EMWIN'!$A$1:$G$41</definedName>
    <definedName name="_xlnm.Print_Area" localSheetId="5">'SAR'!$A$1:$H$43</definedName>
  </definedNames>
  <calcPr fullCalcOnLoad="1"/>
</workbook>
</file>

<file path=xl/comments2.xml><?xml version="1.0" encoding="utf-8"?>
<comments xmlns="http://schemas.openxmlformats.org/spreadsheetml/2006/main">
  <authors>
    <author>RAPETERS</author>
  </authors>
  <commentList>
    <comment ref="G27" authorId="0">
      <text>
        <r>
          <rPr>
            <b/>
            <sz val="8"/>
            <rFont val="Tahoma"/>
            <family val="0"/>
          </rPr>
          <t>No EOC correction needed as PFD is at 5 degrees</t>
        </r>
        <r>
          <rPr>
            <sz val="8"/>
            <rFont val="Tahoma"/>
            <family val="0"/>
          </rPr>
          <t xml:space="preserve">
</t>
        </r>
      </text>
    </comment>
  </commentList>
</comments>
</file>

<file path=xl/comments6.xml><?xml version="1.0" encoding="utf-8"?>
<comments xmlns="http://schemas.openxmlformats.org/spreadsheetml/2006/main">
  <authors>
    <author>RAPETERS</author>
  </authors>
  <commentList>
    <comment ref="G30" authorId="0">
      <text>
        <r>
          <rPr>
            <b/>
            <sz val="8"/>
            <rFont val="Tahoma"/>
            <family val="0"/>
          </rPr>
          <t>No PFD requirement on SAR.  Assumes 1 carrier per 4 kHz.</t>
        </r>
        <r>
          <rPr>
            <sz val="8"/>
            <rFont val="Tahoma"/>
            <family val="0"/>
          </rPr>
          <t xml:space="preserve">
</t>
        </r>
      </text>
    </comment>
  </commentList>
</comments>
</file>

<file path=xl/comments7.xml><?xml version="1.0" encoding="utf-8"?>
<comments xmlns="http://schemas.openxmlformats.org/spreadsheetml/2006/main">
  <authors>
    <author>RAPETERS</author>
  </authors>
  <commentList>
    <comment ref="G17" authorId="0">
      <text>
        <r>
          <rPr>
            <b/>
            <sz val="8"/>
            <rFont val="Tahoma"/>
            <family val="0"/>
          </rPr>
          <t>4 dB=2.5</t>
        </r>
        <r>
          <rPr>
            <sz val="8"/>
            <rFont val="Tahoma"/>
            <family val="0"/>
          </rPr>
          <t xml:space="preserve">
</t>
        </r>
      </text>
    </comment>
    <comment ref="G20" authorId="0">
      <text>
        <r>
          <rPr>
            <b/>
            <sz val="8"/>
            <rFont val="Tahoma"/>
            <family val="0"/>
          </rPr>
          <t>Uplink power assumed to be spread out over center to center spacing of 750 Hz to get "average" signal power over transponder bandwidth to use in NPR calculation</t>
        </r>
        <r>
          <rPr>
            <sz val="8"/>
            <rFont val="Tahoma"/>
            <family val="0"/>
          </rPr>
          <t xml:space="preserve">
</t>
        </r>
      </text>
    </comment>
    <comment ref="B10" authorId="0">
      <text>
        <r>
          <rPr>
            <b/>
            <sz val="8"/>
            <rFont val="Tahoma"/>
            <family val="0"/>
          </rPr>
          <t>249.4 carriers at 41 dBmi=249 carriers@41 dBmi and one at 37 dBmi.</t>
        </r>
      </text>
    </comment>
  </commentList>
</comments>
</file>

<file path=xl/comments8.xml><?xml version="1.0" encoding="utf-8"?>
<comments xmlns="http://schemas.openxmlformats.org/spreadsheetml/2006/main">
  <authors>
    <author>RAPETERS</author>
  </authors>
  <commentList>
    <comment ref="G16" authorId="0">
      <text>
        <r>
          <rPr>
            <sz val="8"/>
            <rFont val="Tahoma"/>
            <family val="0"/>
          </rPr>
          <t>2 dB=1.585</t>
        </r>
      </text>
    </comment>
    <comment ref="G32" authorId="0">
      <text>
        <r>
          <rPr>
            <b/>
            <sz val="8"/>
            <rFont val="Tahoma"/>
            <family val="0"/>
          </rPr>
          <t>2 carriers/4kHz</t>
        </r>
        <r>
          <rPr>
            <sz val="8"/>
            <rFont val="Tahoma"/>
            <family val="0"/>
          </rPr>
          <t xml:space="preserve">
</t>
        </r>
      </text>
    </comment>
  </commentList>
</comments>
</file>

<file path=xl/sharedStrings.xml><?xml version="1.0" encoding="utf-8"?>
<sst xmlns="http://schemas.openxmlformats.org/spreadsheetml/2006/main" count="1062" uniqueCount="212">
  <si>
    <t>Passive Loss (dB)</t>
  </si>
  <si>
    <t xml:space="preserve"> </t>
  </si>
  <si>
    <t>Altitude (km)</t>
  </si>
  <si>
    <t>Ground elev. angle (deg)</t>
  </si>
  <si>
    <t>Range (km)</t>
  </si>
  <si>
    <t>Space loss (dB)</t>
  </si>
  <si>
    <t>Polarization loss (dB)</t>
  </si>
  <si>
    <t>Pointing loss (dB)</t>
  </si>
  <si>
    <t>Antenna efficiency (%)</t>
  </si>
  <si>
    <t>System G/T (dB/K)</t>
  </si>
  <si>
    <t>C/No (dB-Hz)</t>
  </si>
  <si>
    <t>Implementation loss (dB)</t>
  </si>
  <si>
    <t>Intermediate sum</t>
  </si>
  <si>
    <t>SC Antenna beamwidth (deg)</t>
  </si>
  <si>
    <t>Transmit Antenna size (m)</t>
  </si>
  <si>
    <t>Output power backoff (dB)</t>
  </si>
  <si>
    <t>Data rate (Kbps)</t>
  </si>
  <si>
    <t>Antenna gain (dBi)</t>
  </si>
  <si>
    <t>Space Craft Transmit</t>
  </si>
  <si>
    <t>Downlink</t>
  </si>
  <si>
    <t>All Atmospheric Losses (dB)</t>
  </si>
  <si>
    <t xml:space="preserve">  less antenna pointing loss</t>
  </si>
  <si>
    <t>Avail Eb/No</t>
  </si>
  <si>
    <t>Margin (2 dB required)</t>
  </si>
  <si>
    <t>Receive antenna size (m)</t>
  </si>
  <si>
    <t>Antenna gain (dB)</t>
  </si>
  <si>
    <t>Antenna beamwidth (deg)</t>
  </si>
  <si>
    <t>Power Received (dBw)</t>
  </si>
  <si>
    <t>Ant to LNA Passive Loss (dB)</t>
  </si>
  <si>
    <t>LNA Noise figure (dB)</t>
  </si>
  <si>
    <t>Passive Loss  Temp (K)</t>
  </si>
  <si>
    <t>LNA Temperature (K)</t>
  </si>
  <si>
    <t>System temp (deg K)</t>
  </si>
  <si>
    <t>System temp (dB-K)</t>
  </si>
  <si>
    <t>GOES-R EMWIN</t>
  </si>
  <si>
    <t>Downlink C/No (dB-Hz)</t>
  </si>
  <si>
    <t>Uplink C/No (dB-Hz)</t>
  </si>
  <si>
    <t>Total Link C/No (dB-Hz)</t>
  </si>
  <si>
    <t>CDAS Transmit</t>
  </si>
  <si>
    <t>Uplink</t>
  </si>
  <si>
    <t>Spacecraft Rx</t>
  </si>
  <si>
    <t>Ground  Receive</t>
  </si>
  <si>
    <t>Antenna EOC gain (dBi)</t>
  </si>
  <si>
    <t>Pointing loss CDAS, backup CDAS (dB)</t>
  </si>
  <si>
    <t>Freq. (MHz)</t>
  </si>
  <si>
    <t>UPLINK</t>
  </si>
  <si>
    <t>DOWNLINK</t>
  </si>
  <si>
    <t>Saturated Tx HPA Power (W)</t>
  </si>
  <si>
    <t>Delivered HPA Power (dBW)</t>
  </si>
  <si>
    <t>Satellite Degredations (dB)</t>
  </si>
  <si>
    <t>Symbol Transmit Rate(ksps)</t>
  </si>
  <si>
    <t>GOES-R LRIT</t>
  </si>
  <si>
    <t>GOES-GRB</t>
  </si>
  <si>
    <t>GOES-RAW</t>
  </si>
  <si>
    <t>GOES-SAR</t>
  </si>
  <si>
    <t>GOES-DCPC</t>
  </si>
  <si>
    <t xml:space="preserve">EIRP (dBmi) </t>
  </si>
  <si>
    <t xml:space="preserve">EOC EIRP (dBmi) </t>
  </si>
  <si>
    <t>System temp (dBm-K)</t>
  </si>
  <si>
    <t>Uplink Margin</t>
  </si>
  <si>
    <t>Number simultaneous carriers</t>
  </si>
  <si>
    <t>C/N for one carrier (dB-100kHz)</t>
  </si>
  <si>
    <t>Data rate (kbps)</t>
  </si>
  <si>
    <t>1.2 kbps DCPR</t>
  </si>
  <si>
    <t>Tx HPA Power (W) from 0.3 kbps</t>
  </si>
  <si>
    <t>Rx antenna size from SAR (m)</t>
  </si>
  <si>
    <t>Number of 37 dBmi carriers</t>
  </si>
  <si>
    <t>DCPTransmit</t>
  </si>
  <si>
    <t>Beacon</t>
  </si>
  <si>
    <t>Number Simultaneous carriers</t>
  </si>
  <si>
    <t>Chip Rate kHz</t>
  </si>
  <si>
    <t>Down link</t>
  </si>
  <si>
    <t>Spacecraft Transmit</t>
  </si>
  <si>
    <t>CDAS Rx</t>
  </si>
  <si>
    <t>Available Eb/No</t>
  </si>
  <si>
    <t>Margin (3 dB required)</t>
  </si>
  <si>
    <t xml:space="preserve">UPLINK </t>
  </si>
  <si>
    <t>Normal Operations Down link 4 kbps</t>
  </si>
  <si>
    <t>Normal Operations Down link 32 kbps</t>
  </si>
  <si>
    <t>Operational UPLINK 64 kbps</t>
  </si>
  <si>
    <t>Operational UPLINK 4 kbps</t>
  </si>
  <si>
    <t>Antenna Combining losses</t>
  </si>
  <si>
    <t>Satellite Degradations (dB)</t>
  </si>
  <si>
    <t>Symbol Transmit Rate (ksps)</t>
  </si>
  <si>
    <t>Power Received/carrier (dBW)</t>
  </si>
  <si>
    <t>Theoretical Eb/No (dB)</t>
  </si>
  <si>
    <t>PFD (dBW/m2/4kHz)</t>
  </si>
  <si>
    <t>Theoretical Eb/No</t>
  </si>
  <si>
    <t>Number simultaneous 41 dBmi carriers</t>
  </si>
  <si>
    <t>Power sharing</t>
  </si>
  <si>
    <t>20 dB NPR C/Io (dB-Hz)</t>
  </si>
  <si>
    <t>C/N for 250 carriers (dB-400kHz)</t>
  </si>
  <si>
    <t>C/No per carrier (dB-Hz)</t>
  </si>
  <si>
    <t>C/N per carrier (dB-44.45kHz)</t>
  </si>
  <si>
    <t>R-S(255,223)</t>
  </si>
  <si>
    <t>Occupied bandwidth (kHz)</t>
  </si>
  <si>
    <t>Power Robbing to noise</t>
  </si>
  <si>
    <t>Power robbing to noise</t>
  </si>
  <si>
    <t>Power sharing w/other carriers</t>
  </si>
  <si>
    <t>Downlink C/No (dB-Hz) including NPR</t>
  </si>
  <si>
    <t>NPR (dB)</t>
  </si>
  <si>
    <t>Margin (6 dB required)</t>
  </si>
  <si>
    <t>Ground implementation loss (dB)</t>
  </si>
  <si>
    <t>Margin (2.0 dB required)</t>
  </si>
  <si>
    <t>C/II with Pol interference (dB-Hz)</t>
  </si>
  <si>
    <t>Eb/No with X-pol interference</t>
  </si>
  <si>
    <t>Antenna Isolation</t>
  </si>
  <si>
    <t>to be filled in by contractor</t>
  </si>
  <si>
    <t>filled in by spreadsheet</t>
  </si>
  <si>
    <r>
      <t>EIRP</t>
    </r>
    <r>
      <rPr>
        <sz val="10"/>
        <rFont val="Arial"/>
        <family val="2"/>
      </rPr>
      <t xml:space="preserve"> includes pol and pointing loss (dBmi) </t>
    </r>
  </si>
  <si>
    <t xml:space="preserve">EIRP*/0.3kbps carrier (dBmi) </t>
  </si>
  <si>
    <r>
      <t xml:space="preserve">EIRP/carrier </t>
    </r>
    <r>
      <rPr>
        <sz val="10"/>
        <rFont val="Arial"/>
        <family val="2"/>
      </rPr>
      <t xml:space="preserve">includes pointing and polarization loss (dBmi) </t>
    </r>
  </si>
  <si>
    <t>Legend</t>
  </si>
  <si>
    <t>1 kbps link budget not needed</t>
  </si>
  <si>
    <t>Coded Symbol Transmit Rate (ksps)</t>
  </si>
  <si>
    <t xml:space="preserve">Orbit Raising Link Commanding </t>
  </si>
  <si>
    <t>Orbit Raising</t>
  </si>
  <si>
    <t>Orbit Raising TT&amp;C Telemetry</t>
  </si>
  <si>
    <t xml:space="preserve">Normal Operations </t>
  </si>
  <si>
    <t>Saturated HPA Power (W)</t>
  </si>
  <si>
    <t xml:space="preserve">Freq. (MHz)  </t>
  </si>
  <si>
    <t>Antenna temp (K)</t>
  </si>
  <si>
    <t>Margin (2.5 dB required)</t>
  </si>
  <si>
    <t>Satellite degradations (dB)</t>
  </si>
  <si>
    <t>Ground interference</t>
  </si>
  <si>
    <t>EOC and polarization losses (dB)</t>
  </si>
  <si>
    <t xml:space="preserve">  Pointing and polarization losses</t>
  </si>
  <si>
    <r>
      <t xml:space="preserve">Theoretical Eb/No </t>
    </r>
    <r>
      <rPr>
        <sz val="10"/>
        <rFont val="Arial"/>
        <family val="2"/>
      </rPr>
      <t xml:space="preserve">(includes integration gain) (dB) </t>
    </r>
  </si>
  <si>
    <t>Margin (6 dB Required)</t>
  </si>
  <si>
    <t>Margin (2 dB Required)</t>
  </si>
  <si>
    <t>PFD (dBW/m2/4kHz/Polarization)</t>
  </si>
  <si>
    <t>EOC losses (dB)</t>
  </si>
  <si>
    <t xml:space="preserve">  less pointing and polarization loss</t>
  </si>
  <si>
    <t>Contingency Operations</t>
  </si>
  <si>
    <t xml:space="preserve">On Station Storage/Contingency </t>
  </si>
  <si>
    <t xml:space="preserve"> Storage/Contingency UPLINK 1 kbps</t>
  </si>
  <si>
    <t>Storage/Contingency Operations Down link 4 kbps (CDAS Vertical Pol.)</t>
  </si>
  <si>
    <t>CDA Telemetry</t>
  </si>
  <si>
    <t>0.3 kbps DCPR @ 37 dBmi with 249 carriers at 41 dBmi</t>
  </si>
  <si>
    <t>Margin (0.5 dB required)</t>
  </si>
  <si>
    <t>On Station Operational, No Ranging</t>
  </si>
  <si>
    <t>On Station Operational, CMD and Ranging</t>
  </si>
  <si>
    <t>Modulation Loss (dB)</t>
  </si>
  <si>
    <t>Simultaneous Ranging and Commanding</t>
  </si>
  <si>
    <t>Simultaneous Ranging and Telemetry</t>
  </si>
  <si>
    <r>
      <t xml:space="preserve">Effective </t>
    </r>
    <r>
      <rPr>
        <sz val="10"/>
        <rFont val="Arial"/>
        <family val="0"/>
      </rPr>
      <t>Antenna gain (dB)</t>
    </r>
  </si>
  <si>
    <r>
      <t>Effective</t>
    </r>
    <r>
      <rPr>
        <sz val="10"/>
        <rFont val="Arial"/>
        <family val="0"/>
      </rPr>
      <t xml:space="preserve"> System temp (dB-K)</t>
    </r>
  </si>
  <si>
    <t>Required C/No (Carrier Acquisition)</t>
  </si>
  <si>
    <t>Overall C/No (dB-Hz)</t>
  </si>
  <si>
    <t>Carrier Channel</t>
  </si>
  <si>
    <t>Carrier Modulation Loss</t>
  </si>
  <si>
    <t>Carrier Only</t>
  </si>
  <si>
    <t>Carrier C/No</t>
  </si>
  <si>
    <t>Required C/No for tracking</t>
  </si>
  <si>
    <t>Carrier Margin</t>
  </si>
  <si>
    <t>Loop Bandwidth</t>
  </si>
  <si>
    <t>Loop SNR</t>
  </si>
  <si>
    <t>Command Channel</t>
  </si>
  <si>
    <t>Required Loop SNR</t>
  </si>
  <si>
    <t>Command Modulation Loss</t>
  </si>
  <si>
    <t>Margin</t>
  </si>
  <si>
    <t>Command Data Rate</t>
  </si>
  <si>
    <t>Command Eb/No</t>
  </si>
  <si>
    <t>Telemetry</t>
  </si>
  <si>
    <t>Required Eb/No (including s/c impl loss)</t>
  </si>
  <si>
    <t>Telemetry Modulation Loss</t>
  </si>
  <si>
    <t>Command Margin</t>
  </si>
  <si>
    <t>Telemetry Data Rate</t>
  </si>
  <si>
    <t>1 kbps</t>
  </si>
  <si>
    <t>Telemetry Eb/No</t>
  </si>
  <si>
    <t>Ranging Channel</t>
  </si>
  <si>
    <t>Required Telemetry Eb/No</t>
  </si>
  <si>
    <t>Ranging Modulation Loss</t>
  </si>
  <si>
    <t>Uplink Ranging C/No</t>
  </si>
  <si>
    <t>Ranging</t>
  </si>
  <si>
    <t>Ranging Tone C/No</t>
  </si>
  <si>
    <t>Required Ranging C/No</t>
  </si>
  <si>
    <t>Required Eb/No (dB) (including receive implementation)</t>
  </si>
  <si>
    <t>Implementation (dB)</t>
  </si>
  <si>
    <t>Antenna gain</t>
  </si>
  <si>
    <t xml:space="preserve">  Antenna combing loss</t>
  </si>
  <si>
    <t>Net Antenna gain (dB)</t>
  </si>
  <si>
    <t xml:space="preserve">NET EOC EIRP/carrier (dBmi) </t>
  </si>
  <si>
    <t>Total EIRP (dBmi)</t>
  </si>
  <si>
    <t>PFD w/noise correction</t>
  </si>
  <si>
    <t>Net EOC EIRP for 37 dBmi Carrier (dbmi)</t>
  </si>
  <si>
    <t>C/No for 37 dBmi carrier (dB-Hz)</t>
  </si>
  <si>
    <t>C/N for 37 dBmi carrier (dB-400kHz)</t>
  </si>
  <si>
    <t>C/No all carriers (dB-Hz)</t>
  </si>
  <si>
    <t xml:space="preserve">Net EOC EIRPcarrier (dBmi) </t>
  </si>
  <si>
    <t>Modulation Loss</t>
  </si>
  <si>
    <t>Ant to LNA Loss incl. antenna combining(dB)</t>
  </si>
  <si>
    <t>Modualtion Loss</t>
  </si>
  <si>
    <t>Uplink Mod Index set accuracy:</t>
  </si>
  <si>
    <t>Command subcarrier</t>
  </si>
  <si>
    <t>± 0.05 rad</t>
  </si>
  <si>
    <t>Uplink Ranging tone</t>
  </si>
  <si>
    <t>± 0.02 rad</t>
  </si>
  <si>
    <t>Command (0.5&lt;MI&lt;1.3 rad. Pk.) M.I.=</t>
  </si>
  <si>
    <t>Ranging tone M.I. (0.4&lt;MI&lt;0.8 rad. Pk.)</t>
  </si>
  <si>
    <t>Telemetry M.I. (0.7&lt;MI&lt;1.3) =</t>
  </si>
  <si>
    <t>Ranging tone M.I. (MI&gt;0.3 rad) =</t>
  </si>
  <si>
    <t>Number simultaneous 43 dBmi carriers</t>
  </si>
  <si>
    <t>C/N for one 43 dBmi carrier (dB-400kHz)</t>
  </si>
  <si>
    <t xml:space="preserve">EOC EIRP for 37 dBmi (dBmi) </t>
  </si>
  <si>
    <t>C/No (dB-Hz) for 43 dBmi carrier</t>
  </si>
  <si>
    <t xml:space="preserve">Net EOC EIRP/41 dBmi carrier (dBmi) </t>
  </si>
  <si>
    <t>Total EIRP* for 252.5 carriers@41dBmi</t>
  </si>
  <si>
    <t>Modulation loss (dB)</t>
  </si>
  <si>
    <t>Note: One of the 249 carriers at 41 dBmi should be 37 dBmi, but correction insignificant</t>
  </si>
  <si>
    <t>Note: One of the 249 carriers at 41 dBmi should be 43 dBmi, but correction insignificant</t>
  </si>
  <si>
    <t>Number of 41 dBmi carriers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</si>
</sst>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000E+00"/>
    <numFmt numFmtId="171" formatCode="0.000E+00"/>
    <numFmt numFmtId="172" formatCode="0.000000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16">
    <font>
      <sz val="10"/>
      <name val="Arial"/>
      <family val="0"/>
    </font>
    <font>
      <b/>
      <sz val="10"/>
      <name val="Geneva"/>
      <family val="0"/>
    </font>
    <font>
      <sz val="10"/>
      <name val="Geneva"/>
      <family val="0"/>
    </font>
    <font>
      <sz val="10"/>
      <color indexed="10"/>
      <name val="Arial"/>
      <family val="2"/>
    </font>
    <font>
      <sz val="10"/>
      <color indexed="12"/>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0"/>
    </font>
    <font>
      <sz val="10"/>
      <color indexed="8"/>
      <name val="Arial"/>
      <family val="0"/>
    </font>
    <font>
      <sz val="16"/>
      <name val="Arial"/>
      <family val="2"/>
    </font>
    <font>
      <b/>
      <sz val="10"/>
      <color indexed="8"/>
      <name val="Arial"/>
      <family val="2"/>
    </font>
    <font>
      <sz val="8"/>
      <name val="Tahoma"/>
      <family val="0"/>
    </font>
    <font>
      <b/>
      <sz val="8"/>
      <name val="Tahoma"/>
      <family val="0"/>
    </font>
    <font>
      <b/>
      <sz val="8"/>
      <name val="Arial"/>
      <family val="2"/>
    </font>
  </fonts>
  <fills count="5">
    <fill>
      <patternFill/>
    </fill>
    <fill>
      <patternFill patternType="gray125"/>
    </fill>
    <fill>
      <patternFill patternType="solid">
        <fgColor indexed="51"/>
        <bgColor indexed="64"/>
      </patternFill>
    </fill>
    <fill>
      <patternFill patternType="solid">
        <fgColor indexed="42"/>
        <bgColor indexed="64"/>
      </patternFill>
    </fill>
    <fill>
      <patternFill patternType="solid">
        <fgColor indexed="47"/>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0" fillId="0" borderId="0" xfId="0" applyFill="1" applyAlignment="1">
      <alignment horizontal="left" readingOrder="1"/>
    </xf>
    <xf numFmtId="0" fontId="0" fillId="0" borderId="0" xfId="0" applyFill="1" applyAlignment="1">
      <alignment readingOrder="1"/>
    </xf>
    <xf numFmtId="0" fontId="3" fillId="0" borderId="0" xfId="0" applyFont="1" applyFill="1" applyAlignment="1">
      <alignment readingOrder="1"/>
    </xf>
    <xf numFmtId="0" fontId="0" fillId="0" borderId="0" xfId="0" applyFill="1" applyAlignment="1">
      <alignment horizontal="right" readingOrder="1"/>
    </xf>
    <xf numFmtId="0" fontId="0" fillId="0" borderId="0" xfId="0" applyFill="1" applyAlignment="1">
      <alignment horizontal="center" readingOrder="1"/>
    </xf>
    <xf numFmtId="2" fontId="0" fillId="0" borderId="0" xfId="0" applyNumberFormat="1" applyFill="1" applyAlignment="1">
      <alignment readingOrder="1"/>
    </xf>
    <xf numFmtId="0" fontId="0" fillId="0" borderId="0" xfId="0" applyFill="1" applyAlignment="1" quotePrefix="1">
      <alignment readingOrder="1"/>
    </xf>
    <xf numFmtId="2" fontId="2" fillId="0" borderId="0" xfId="0" applyNumberFormat="1" applyFont="1" applyFill="1" applyAlignment="1">
      <alignment readingOrder="1"/>
    </xf>
    <xf numFmtId="0" fontId="3" fillId="0" borderId="0" xfId="0" applyFont="1" applyFill="1" applyAlignment="1">
      <alignment horizontal="center" readingOrder="1"/>
    </xf>
    <xf numFmtId="0" fontId="7" fillId="0" borderId="0" xfId="0" applyFont="1" applyFill="1" applyAlignment="1">
      <alignment readingOrder="1"/>
    </xf>
    <xf numFmtId="2" fontId="0" fillId="0" borderId="0" xfId="0" applyNumberFormat="1" applyFill="1" applyAlignment="1">
      <alignment horizontal="right" readingOrder="1"/>
    </xf>
    <xf numFmtId="1" fontId="0" fillId="0" borderId="0" xfId="0" applyNumberFormat="1" applyFill="1" applyAlignment="1">
      <alignment readingOrder="1"/>
    </xf>
    <xf numFmtId="2" fontId="0" fillId="0" borderId="0" xfId="0" applyNumberFormat="1" applyFill="1" applyAlignment="1">
      <alignment horizontal="left" readingOrder="1"/>
    </xf>
    <xf numFmtId="2" fontId="0" fillId="0" borderId="0" xfId="0" applyNumberFormat="1" applyFont="1" applyFill="1" applyAlignment="1">
      <alignment horizontal="right" readingOrder="1"/>
    </xf>
    <xf numFmtId="2" fontId="3" fillId="0" borderId="0" xfId="0" applyNumberFormat="1" applyFont="1" applyFill="1" applyAlignment="1">
      <alignment readingOrder="1"/>
    </xf>
    <xf numFmtId="1" fontId="4" fillId="0" borderId="0" xfId="0" applyNumberFormat="1" applyFont="1" applyFill="1" applyAlignment="1">
      <alignment readingOrder="1"/>
    </xf>
    <xf numFmtId="2" fontId="0" fillId="0" borderId="0" xfId="0" applyNumberFormat="1" applyFill="1" applyAlignment="1">
      <alignment horizontal="center" readingOrder="1"/>
    </xf>
    <xf numFmtId="1" fontId="3" fillId="0" borderId="0" xfId="0" applyNumberFormat="1" applyFont="1" applyFill="1" applyAlignment="1">
      <alignment readingOrder="1"/>
    </xf>
    <xf numFmtId="1" fontId="0" fillId="0" borderId="0" xfId="0" applyNumberFormat="1" applyFill="1" applyAlignment="1">
      <alignment horizontal="center" readingOrder="1"/>
    </xf>
    <xf numFmtId="2" fontId="7" fillId="0" borderId="0" xfId="0" applyNumberFormat="1" applyFont="1" applyFill="1" applyAlignment="1">
      <alignment readingOrder="1"/>
    </xf>
    <xf numFmtId="11" fontId="0" fillId="0" borderId="0" xfId="0" applyNumberFormat="1" applyFill="1" applyAlignment="1">
      <alignment horizontal="left" readingOrder="1"/>
    </xf>
    <xf numFmtId="0" fontId="7" fillId="0" borderId="0" xfId="0" applyFont="1" applyFill="1" applyAlignment="1">
      <alignment horizontal="left" readingOrder="1"/>
    </xf>
    <xf numFmtId="0" fontId="8" fillId="0" borderId="0" xfId="0" applyFont="1" applyFill="1" applyAlignment="1">
      <alignment horizontal="left" readingOrder="1"/>
    </xf>
    <xf numFmtId="2" fontId="1" fillId="0" borderId="0" xfId="0" applyNumberFormat="1" applyFont="1" applyFill="1" applyAlignment="1">
      <alignment readingOrder="1"/>
    </xf>
    <xf numFmtId="0" fontId="0" fillId="0" borderId="0" xfId="0" applyFont="1" applyFill="1" applyAlignment="1">
      <alignment readingOrder="1"/>
    </xf>
    <xf numFmtId="164" fontId="0" fillId="0" borderId="0" xfId="0" applyNumberFormat="1" applyFill="1" applyAlignment="1">
      <alignment readingOrder="1"/>
    </xf>
    <xf numFmtId="2" fontId="0" fillId="0" borderId="0" xfId="0" applyNumberFormat="1" applyFont="1" applyFill="1" applyAlignment="1">
      <alignment readingOrder="1"/>
    </xf>
    <xf numFmtId="0" fontId="7" fillId="0" borderId="0" xfId="0" applyFont="1" applyFill="1" applyAlignment="1">
      <alignment horizontal="center" readingOrder="1"/>
    </xf>
    <xf numFmtId="2" fontId="0" fillId="0" borderId="0" xfId="0" applyNumberFormat="1" applyAlignment="1">
      <alignment/>
    </xf>
    <xf numFmtId="0" fontId="0" fillId="0" borderId="0" xfId="0" applyFill="1" applyAlignment="1" quotePrefix="1">
      <alignment horizontal="left" readingOrder="1"/>
    </xf>
    <xf numFmtId="169" fontId="0" fillId="0" borderId="0" xfId="0" applyNumberFormat="1" applyFill="1" applyAlignment="1">
      <alignment readingOrder="1"/>
    </xf>
    <xf numFmtId="0" fontId="0" fillId="0" borderId="0" xfId="0" applyFill="1" applyAlignment="1">
      <alignment/>
    </xf>
    <xf numFmtId="0" fontId="0" fillId="0" borderId="0" xfId="0" applyFont="1" applyFill="1" applyAlignment="1">
      <alignment readingOrder="1"/>
    </xf>
    <xf numFmtId="0" fontId="0" fillId="0" borderId="0" xfId="0" applyFont="1" applyAlignment="1">
      <alignment/>
    </xf>
    <xf numFmtId="2" fontId="0" fillId="0" borderId="0" xfId="0" applyNumberFormat="1" applyFont="1" applyFill="1" applyAlignment="1">
      <alignment readingOrder="1"/>
    </xf>
    <xf numFmtId="0" fontId="0" fillId="0" borderId="0" xfId="0" applyFont="1" applyFill="1" applyAlignment="1" quotePrefix="1">
      <alignment readingOrder="1"/>
    </xf>
    <xf numFmtId="0" fontId="0" fillId="0" borderId="0" xfId="0" applyFont="1" applyFill="1" applyAlignment="1">
      <alignment horizontal="left" readingOrder="1"/>
    </xf>
    <xf numFmtId="0" fontId="0" fillId="0" borderId="0" xfId="0" applyFont="1" applyFill="1" applyAlignment="1">
      <alignment horizontal="center" readingOrder="1"/>
    </xf>
    <xf numFmtId="11" fontId="0" fillId="0" borderId="0" xfId="0" applyNumberFormat="1" applyFont="1" applyFill="1" applyAlignment="1">
      <alignment horizontal="left" readingOrder="1"/>
    </xf>
    <xf numFmtId="0" fontId="0" fillId="2" borderId="0" xfId="0" applyFill="1" applyAlignment="1">
      <alignment/>
    </xf>
    <xf numFmtId="164" fontId="0" fillId="0" borderId="0" xfId="0" applyNumberFormat="1" applyAlignment="1">
      <alignment/>
    </xf>
    <xf numFmtId="171" fontId="0" fillId="0" borderId="0" xfId="0" applyNumberFormat="1" applyAlignment="1">
      <alignment/>
    </xf>
    <xf numFmtId="0" fontId="0" fillId="3" borderId="0" xfId="0" applyFill="1" applyAlignment="1">
      <alignment/>
    </xf>
    <xf numFmtId="0" fontId="1" fillId="0" borderId="1" xfId="0" applyFont="1" applyFill="1" applyBorder="1" applyAlignment="1">
      <alignment readingOrder="1"/>
    </xf>
    <xf numFmtId="0" fontId="0" fillId="0" borderId="1" xfId="0" applyFill="1" applyBorder="1" applyAlignment="1">
      <alignment readingOrder="1"/>
    </xf>
    <xf numFmtId="0" fontId="7" fillId="0" borderId="1" xfId="0" applyFont="1" applyFill="1" applyBorder="1" applyAlignment="1">
      <alignment horizontal="center" readingOrder="1"/>
    </xf>
    <xf numFmtId="0" fontId="7" fillId="0" borderId="1" xfId="0" applyFont="1" applyFill="1" applyBorder="1" applyAlignment="1">
      <alignment horizontal="left" readingOrder="1"/>
    </xf>
    <xf numFmtId="0" fontId="7" fillId="0" borderId="1" xfId="0" applyFont="1" applyFill="1" applyBorder="1" applyAlignment="1">
      <alignment readingOrder="1"/>
    </xf>
    <xf numFmtId="0" fontId="0" fillId="0" borderId="1" xfId="0" applyFill="1" applyBorder="1" applyAlignment="1">
      <alignment horizontal="center" readingOrder="1"/>
    </xf>
    <xf numFmtId="0" fontId="0" fillId="4" borderId="1" xfId="0" applyFill="1" applyBorder="1" applyAlignment="1">
      <alignment readingOrder="1"/>
    </xf>
    <xf numFmtId="1" fontId="0" fillId="0" borderId="1" xfId="0" applyNumberFormat="1" applyFill="1" applyBorder="1" applyAlignment="1">
      <alignment readingOrder="1"/>
    </xf>
    <xf numFmtId="164" fontId="0" fillId="4" borderId="1" xfId="0" applyNumberFormat="1" applyFill="1" applyBorder="1" applyAlignment="1">
      <alignment readingOrder="1"/>
    </xf>
    <xf numFmtId="2" fontId="0" fillId="0" borderId="1" xfId="0" applyNumberFormat="1" applyFill="1" applyBorder="1" applyAlignment="1">
      <alignment readingOrder="1"/>
    </xf>
    <xf numFmtId="2" fontId="0" fillId="4" borderId="1" xfId="0" applyNumberFormat="1" applyFill="1" applyBorder="1" applyAlignment="1">
      <alignment readingOrder="1"/>
    </xf>
    <xf numFmtId="0" fontId="0" fillId="0" borderId="1" xfId="0" applyFill="1" applyBorder="1" applyAlignment="1" quotePrefix="1">
      <alignment readingOrder="1"/>
    </xf>
    <xf numFmtId="2" fontId="0" fillId="0" borderId="1" xfId="0" applyNumberFormat="1" applyFill="1" applyBorder="1" applyAlignment="1">
      <alignment horizontal="right" readingOrder="1"/>
    </xf>
    <xf numFmtId="0" fontId="0" fillId="0" borderId="1" xfId="0" applyFill="1" applyBorder="1" applyAlignment="1">
      <alignment horizontal="left" readingOrder="1"/>
    </xf>
    <xf numFmtId="0" fontId="8" fillId="0" borderId="1" xfId="0" applyFont="1" applyFill="1" applyBorder="1" applyAlignment="1">
      <alignment horizontal="left" readingOrder="1"/>
    </xf>
    <xf numFmtId="2" fontId="1" fillId="0" borderId="1" xfId="0" applyNumberFormat="1" applyFont="1" applyFill="1" applyBorder="1" applyAlignment="1">
      <alignment readingOrder="1"/>
    </xf>
    <xf numFmtId="2" fontId="0" fillId="0" borderId="1" xfId="0" applyNumberFormat="1" applyFill="1" applyBorder="1" applyAlignment="1">
      <alignment horizontal="left" readingOrder="1"/>
    </xf>
    <xf numFmtId="0" fontId="0" fillId="0" borderId="1" xfId="0" applyFill="1" applyBorder="1" applyAlignment="1">
      <alignment horizontal="right" readingOrder="1"/>
    </xf>
    <xf numFmtId="2" fontId="0" fillId="4" borderId="1" xfId="0" applyNumberFormat="1" applyFill="1" applyBorder="1" applyAlignment="1">
      <alignment horizontal="right" readingOrder="1"/>
    </xf>
    <xf numFmtId="2" fontId="0" fillId="0" borderId="1" xfId="0" applyNumberFormat="1" applyFont="1" applyFill="1" applyBorder="1" applyAlignment="1">
      <alignment horizontal="right" readingOrder="1"/>
    </xf>
    <xf numFmtId="0" fontId="3" fillId="0" borderId="1" xfId="0" applyFont="1" applyFill="1" applyBorder="1" applyAlignment="1">
      <alignment horizontal="center" readingOrder="1"/>
    </xf>
    <xf numFmtId="0" fontId="0" fillId="0" borderId="1" xfId="0" applyFont="1" applyFill="1" applyBorder="1" applyAlignment="1">
      <alignment readingOrder="1"/>
    </xf>
    <xf numFmtId="2" fontId="3" fillId="0" borderId="1" xfId="0" applyNumberFormat="1" applyFont="1" applyFill="1" applyBorder="1" applyAlignment="1">
      <alignment readingOrder="1"/>
    </xf>
    <xf numFmtId="2" fontId="0" fillId="4" borderId="1" xfId="0" applyNumberFormat="1" applyFont="1" applyFill="1" applyBorder="1" applyAlignment="1">
      <alignment readingOrder="1"/>
    </xf>
    <xf numFmtId="0" fontId="0" fillId="4" borderId="1" xfId="0" applyFont="1" applyFill="1" applyBorder="1" applyAlignment="1">
      <alignment readingOrder="1"/>
    </xf>
    <xf numFmtId="11" fontId="0" fillId="0" borderId="1" xfId="0" applyNumberFormat="1" applyFill="1" applyBorder="1" applyAlignment="1">
      <alignment horizontal="left" readingOrder="1"/>
    </xf>
    <xf numFmtId="0" fontId="0" fillId="0" borderId="1" xfId="0" applyBorder="1" applyAlignment="1">
      <alignment/>
    </xf>
    <xf numFmtId="0" fontId="10" fillId="0" borderId="1" xfId="0" applyFont="1" applyFill="1" applyBorder="1" applyAlignment="1">
      <alignment readingOrder="1"/>
    </xf>
    <xf numFmtId="0" fontId="11" fillId="0" borderId="1" xfId="0" applyFont="1" applyBorder="1" applyAlignment="1">
      <alignment/>
    </xf>
    <xf numFmtId="171" fontId="0" fillId="0" borderId="1" xfId="0" applyNumberFormat="1" applyBorder="1" applyAlignment="1">
      <alignment/>
    </xf>
    <xf numFmtId="0" fontId="0" fillId="4" borderId="1" xfId="0" applyFill="1" applyBorder="1" applyAlignment="1">
      <alignment horizontal="left" readingOrder="1"/>
    </xf>
    <xf numFmtId="0" fontId="0" fillId="3" borderId="1" xfId="0" applyFill="1" applyBorder="1" applyAlignment="1">
      <alignment readingOrder="1"/>
    </xf>
    <xf numFmtId="2" fontId="0" fillId="3" borderId="1" xfId="0" applyNumberFormat="1" applyFill="1" applyBorder="1" applyAlignment="1">
      <alignment readingOrder="1"/>
    </xf>
    <xf numFmtId="164" fontId="0" fillId="3" borderId="1" xfId="0" applyNumberFormat="1" applyFill="1" applyBorder="1" applyAlignment="1">
      <alignment readingOrder="1"/>
    </xf>
    <xf numFmtId="0" fontId="7" fillId="3" borderId="1" xfId="0" applyFont="1" applyFill="1" applyBorder="1" applyAlignment="1">
      <alignment readingOrder="1"/>
    </xf>
    <xf numFmtId="2" fontId="0" fillId="3" borderId="1" xfId="0" applyNumberFormat="1" applyFill="1" applyBorder="1" applyAlignment="1">
      <alignment horizontal="right" readingOrder="1"/>
    </xf>
    <xf numFmtId="2" fontId="7" fillId="3" borderId="1" xfId="0" applyNumberFormat="1" applyFont="1" applyFill="1" applyBorder="1" applyAlignment="1">
      <alignment readingOrder="1"/>
    </xf>
    <xf numFmtId="0" fontId="0" fillId="3" borderId="1" xfId="0" applyFill="1" applyBorder="1" applyAlignment="1">
      <alignment/>
    </xf>
    <xf numFmtId="2" fontId="0" fillId="0" borderId="1" xfId="0" applyNumberFormat="1" applyFont="1" applyFill="1" applyBorder="1" applyAlignment="1">
      <alignment readingOrder="1"/>
    </xf>
    <xf numFmtId="3" fontId="0" fillId="0" borderId="1" xfId="0" applyNumberFormat="1" applyFill="1" applyBorder="1" applyAlignment="1">
      <alignment readingOrder="1"/>
    </xf>
    <xf numFmtId="3" fontId="0" fillId="4" borderId="1" xfId="0" applyNumberFormat="1" applyFill="1" applyBorder="1" applyAlignment="1">
      <alignment readingOrder="1"/>
    </xf>
    <xf numFmtId="2" fontId="7" fillId="3" borderId="1" xfId="0" applyNumberFormat="1" applyFont="1" applyFill="1" applyBorder="1" applyAlignment="1">
      <alignment/>
    </xf>
    <xf numFmtId="0" fontId="0" fillId="0" borderId="1" xfId="0" applyFill="1" applyBorder="1" applyAlignment="1">
      <alignment/>
    </xf>
    <xf numFmtId="2" fontId="7" fillId="0" borderId="1" xfId="0" applyNumberFormat="1" applyFont="1" applyFill="1" applyBorder="1" applyAlignment="1">
      <alignment readingOrder="1"/>
    </xf>
    <xf numFmtId="169" fontId="0" fillId="0" borderId="1" xfId="0" applyNumberFormat="1" applyFill="1" applyBorder="1" applyAlignment="1">
      <alignment readingOrder="1"/>
    </xf>
    <xf numFmtId="164" fontId="0" fillId="0" borderId="1" xfId="0" applyNumberFormat="1" applyFill="1" applyBorder="1" applyAlignment="1">
      <alignment readingOrder="1"/>
    </xf>
    <xf numFmtId="2" fontId="0" fillId="3" borderId="1" xfId="0" applyNumberFormat="1" applyFill="1" applyBorder="1" applyAlignment="1">
      <alignment/>
    </xf>
    <xf numFmtId="2" fontId="0" fillId="3" borderId="1" xfId="0" applyNumberFormat="1" applyFont="1" applyFill="1" applyBorder="1" applyAlignment="1">
      <alignment readingOrder="1"/>
    </xf>
    <xf numFmtId="0" fontId="0" fillId="3" borderId="1" xfId="0" applyFont="1" applyFill="1" applyBorder="1" applyAlignment="1">
      <alignment readingOrder="1"/>
    </xf>
    <xf numFmtId="0" fontId="7" fillId="0" borderId="1" xfId="0" applyFont="1" applyBorder="1" applyAlignment="1">
      <alignment/>
    </xf>
    <xf numFmtId="0" fontId="0" fillId="0" borderId="1" xfId="0" applyFont="1" applyBorder="1" applyAlignment="1">
      <alignment/>
    </xf>
    <xf numFmtId="0" fontId="0" fillId="0" borderId="1" xfId="0" applyFont="1" applyFill="1" applyBorder="1" applyAlignment="1">
      <alignment readingOrder="1"/>
    </xf>
    <xf numFmtId="0" fontId="0" fillId="0" borderId="1" xfId="0" applyFont="1" applyFill="1" applyBorder="1" applyAlignment="1">
      <alignment horizontal="center" readingOrder="1"/>
    </xf>
    <xf numFmtId="2" fontId="0" fillId="0" borderId="1" xfId="0" applyNumberFormat="1" applyFont="1" applyFill="1" applyBorder="1" applyAlignment="1">
      <alignment readingOrder="1"/>
    </xf>
    <xf numFmtId="0" fontId="0" fillId="0" borderId="1" xfId="0" applyFont="1" applyFill="1" applyBorder="1" applyAlignment="1">
      <alignment horizontal="right" readingOrder="1"/>
    </xf>
    <xf numFmtId="0" fontId="0" fillId="0" borderId="1" xfId="0" applyFont="1" applyFill="1" applyBorder="1" applyAlignment="1" quotePrefix="1">
      <alignment readingOrder="1"/>
    </xf>
    <xf numFmtId="1" fontId="0" fillId="0" borderId="1" xfId="0" applyNumberFormat="1" applyFont="1" applyFill="1" applyBorder="1" applyAlignment="1">
      <alignment readingOrder="1"/>
    </xf>
    <xf numFmtId="0" fontId="0" fillId="0" borderId="1" xfId="0" applyFont="1" applyFill="1" applyBorder="1" applyAlignment="1">
      <alignment horizontal="left" readingOrder="1"/>
    </xf>
    <xf numFmtId="164" fontId="0" fillId="0" borderId="1" xfId="0" applyNumberFormat="1" applyFont="1" applyFill="1" applyBorder="1" applyAlignment="1">
      <alignment readingOrder="1"/>
    </xf>
    <xf numFmtId="2" fontId="0" fillId="0" borderId="1" xfId="0" applyNumberFormat="1" applyFont="1" applyFill="1" applyBorder="1" applyAlignment="1">
      <alignment horizontal="right" readingOrder="1"/>
    </xf>
    <xf numFmtId="2" fontId="0" fillId="0" borderId="1" xfId="0" applyNumberFormat="1" applyFont="1" applyFill="1" applyBorder="1" applyAlignment="1">
      <alignment horizontal="left" readingOrder="1"/>
    </xf>
    <xf numFmtId="0" fontId="0" fillId="0" borderId="1" xfId="0" applyFont="1" applyFill="1" applyBorder="1" applyAlignment="1">
      <alignment horizontal="center" readingOrder="1"/>
    </xf>
    <xf numFmtId="0" fontId="0" fillId="4" borderId="1" xfId="0" applyFont="1" applyFill="1" applyBorder="1" applyAlignment="1">
      <alignment readingOrder="1"/>
    </xf>
    <xf numFmtId="2" fontId="0" fillId="4" borderId="1" xfId="0" applyNumberFormat="1" applyFont="1" applyFill="1" applyBorder="1" applyAlignment="1">
      <alignment readingOrder="1"/>
    </xf>
    <xf numFmtId="0" fontId="0" fillId="3" borderId="1" xfId="0" applyFont="1" applyFill="1" applyBorder="1" applyAlignment="1">
      <alignment readingOrder="1"/>
    </xf>
    <xf numFmtId="11" fontId="0" fillId="0" borderId="1" xfId="0" applyNumberFormat="1" applyFont="1" applyFill="1" applyBorder="1" applyAlignment="1">
      <alignment horizontal="left" readingOrder="1"/>
    </xf>
    <xf numFmtId="4" fontId="0" fillId="0" borderId="1" xfId="0" applyNumberFormat="1" applyFill="1" applyBorder="1" applyAlignment="1">
      <alignment readingOrder="1"/>
    </xf>
    <xf numFmtId="177" fontId="0" fillId="0" borderId="1" xfId="0" applyNumberFormat="1" applyFill="1" applyBorder="1" applyAlignment="1">
      <alignment readingOrder="1"/>
    </xf>
    <xf numFmtId="0" fontId="7" fillId="0" borderId="1" xfId="0" applyFont="1" applyFill="1" applyBorder="1" applyAlignment="1">
      <alignment wrapText="1" readingOrder="1"/>
    </xf>
    <xf numFmtId="0" fontId="7" fillId="0" borderId="1" xfId="0" applyFont="1" applyFill="1" applyBorder="1" applyAlignment="1">
      <alignment/>
    </xf>
    <xf numFmtId="0" fontId="0" fillId="4" borderId="1" xfId="0" applyFont="1" applyFill="1" applyBorder="1" applyAlignment="1">
      <alignment horizontal="left" readingOrder="1"/>
    </xf>
    <xf numFmtId="0" fontId="7" fillId="0" borderId="0" xfId="0" applyFont="1" applyAlignment="1">
      <alignment/>
    </xf>
    <xf numFmtId="0" fontId="3" fillId="0" borderId="1" xfId="0" applyFont="1" applyFill="1" applyBorder="1" applyAlignment="1">
      <alignment readingOrder="1"/>
    </xf>
    <xf numFmtId="2" fontId="0" fillId="3" borderId="1" xfId="0" applyNumberFormat="1" applyFont="1" applyFill="1" applyBorder="1" applyAlignment="1">
      <alignment readingOrder="1"/>
    </xf>
    <xf numFmtId="0" fontId="10" fillId="0" borderId="0" xfId="0" applyFont="1" applyAlignment="1">
      <alignment/>
    </xf>
    <xf numFmtId="0" fontId="0" fillId="0" borderId="0" xfId="0" applyFont="1" applyAlignment="1">
      <alignment/>
    </xf>
    <xf numFmtId="0" fontId="0" fillId="0" borderId="1" xfId="0" applyFont="1" applyBorder="1" applyAlignment="1">
      <alignment/>
    </xf>
    <xf numFmtId="2" fontId="0" fillId="0" borderId="1" xfId="0" applyNumberFormat="1" applyFont="1" applyFill="1" applyBorder="1" applyAlignment="1">
      <alignment readingOrder="1"/>
    </xf>
    <xf numFmtId="0" fontId="0" fillId="0" borderId="1" xfId="0" applyFont="1" applyFill="1" applyBorder="1" applyAlignment="1">
      <alignment readingOrder="1"/>
    </xf>
    <xf numFmtId="0" fontId="0" fillId="0" borderId="1" xfId="0" applyFont="1" applyFill="1" applyBorder="1" applyAlignment="1">
      <alignment horizontal="center" readingOrder="1"/>
    </xf>
    <xf numFmtId="0" fontId="0" fillId="4" borderId="1" xfId="0" applyFont="1" applyFill="1" applyBorder="1" applyAlignment="1">
      <alignment readingOrder="1"/>
    </xf>
    <xf numFmtId="0" fontId="0" fillId="0" borderId="1" xfId="0" applyFont="1" applyFill="1" applyBorder="1" applyAlignment="1" quotePrefix="1">
      <alignment readingOrder="1"/>
    </xf>
    <xf numFmtId="0" fontId="0" fillId="0" borderId="1" xfId="0" applyFont="1" applyFill="1" applyBorder="1" applyAlignment="1">
      <alignment horizontal="left" readingOrder="1"/>
    </xf>
    <xf numFmtId="0" fontId="0" fillId="0" borderId="1" xfId="0" applyFont="1" applyFill="1" applyBorder="1" applyAlignment="1">
      <alignment horizontal="right" readingOrder="1"/>
    </xf>
    <xf numFmtId="0" fontId="0" fillId="3" borderId="1" xfId="0" applyFont="1" applyFill="1" applyBorder="1" applyAlignment="1">
      <alignment readingOrder="1"/>
    </xf>
    <xf numFmtId="11" fontId="0" fillId="0" borderId="1" xfId="0" applyNumberFormat="1" applyFont="1" applyFill="1" applyBorder="1" applyAlignment="1">
      <alignment horizontal="left" readingOrder="1"/>
    </xf>
    <xf numFmtId="0" fontId="0" fillId="0" borderId="1" xfId="0" applyFont="1" applyBorder="1" applyAlignment="1">
      <alignment/>
    </xf>
    <xf numFmtId="0" fontId="0" fillId="4" borderId="1" xfId="0" applyFont="1" applyFill="1" applyBorder="1" applyAlignment="1">
      <alignment/>
    </xf>
    <xf numFmtId="0" fontId="0" fillId="3" borderId="1" xfId="0" applyFont="1" applyFill="1" applyBorder="1" applyAlignment="1">
      <alignment/>
    </xf>
    <xf numFmtId="0" fontId="0" fillId="4" borderId="1" xfId="0" applyFont="1" applyFill="1" applyBorder="1" applyAlignment="1">
      <alignment/>
    </xf>
    <xf numFmtId="0" fontId="0" fillId="0" borderId="1" xfId="0" applyFont="1" applyBorder="1" applyAlignment="1">
      <alignment horizontal="center"/>
    </xf>
    <xf numFmtId="0" fontId="0" fillId="0" borderId="1" xfId="0" applyFont="1" applyFill="1" applyBorder="1" applyAlignment="1">
      <alignment horizontal="center"/>
    </xf>
    <xf numFmtId="0" fontId="7" fillId="0" borderId="1" xfId="0" applyFont="1" applyFill="1" applyBorder="1" applyAlignment="1">
      <alignment horizontal="center"/>
    </xf>
    <xf numFmtId="0" fontId="0" fillId="4" borderId="1" xfId="0" applyFont="1" applyFill="1" applyBorder="1" applyAlignment="1">
      <alignment horizontal="center"/>
    </xf>
    <xf numFmtId="2" fontId="0" fillId="0" borderId="1" xfId="0" applyNumberFormat="1" applyFont="1" applyFill="1" applyBorder="1" applyAlignment="1">
      <alignment horizontal="center"/>
    </xf>
    <xf numFmtId="164"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2" fontId="0" fillId="3" borderId="1" xfId="0" applyNumberFormat="1" applyFont="1" applyFill="1" applyBorder="1" applyAlignment="1">
      <alignment horizontal="center"/>
    </xf>
    <xf numFmtId="2" fontId="7" fillId="3" borderId="1" xfId="0" applyNumberFormat="1" applyFont="1" applyFill="1" applyBorder="1" applyAlignment="1">
      <alignment horizontal="center"/>
    </xf>
    <xf numFmtId="2" fontId="7" fillId="0" borderId="1" xfId="0" applyNumberFormat="1" applyFont="1" applyFill="1" applyBorder="1" applyAlignment="1">
      <alignment horizontal="center"/>
    </xf>
    <xf numFmtId="0" fontId="0" fillId="3" borderId="1" xfId="0"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10" fillId="4" borderId="1" xfId="0" applyFont="1" applyFill="1" applyBorder="1" applyAlignment="1">
      <alignment readingOrder="1"/>
    </xf>
    <xf numFmtId="0" fontId="0" fillId="0" borderId="1" xfId="0" applyFill="1" applyBorder="1" applyAlignment="1">
      <alignment wrapText="1" readingOrder="1"/>
    </xf>
    <xf numFmtId="0" fontId="0" fillId="0" borderId="1" xfId="0" applyFont="1" applyFill="1" applyBorder="1" applyAlignment="1">
      <alignment/>
    </xf>
    <xf numFmtId="169" fontId="0" fillId="3" borderId="1" xfId="0" applyNumberFormat="1" applyFill="1" applyBorder="1" applyAlignment="1">
      <alignment horizontal="right" readingOrder="1"/>
    </xf>
    <xf numFmtId="0" fontId="0" fillId="0" borderId="2" xfId="0" applyBorder="1" applyAlignment="1">
      <alignment/>
    </xf>
    <xf numFmtId="0" fontId="7" fillId="0" borderId="2" xfId="0" applyFont="1" applyFill="1" applyBorder="1" applyAlignment="1">
      <alignment readingOrder="1"/>
    </xf>
    <xf numFmtId="0" fontId="0" fillId="0" borderId="2" xfId="0" applyFill="1" applyBorder="1" applyAlignment="1">
      <alignment readingOrder="1"/>
    </xf>
    <xf numFmtId="0" fontId="0" fillId="0" borderId="2" xfId="0" applyFill="1" applyBorder="1" applyAlignment="1">
      <alignment horizontal="center" readingOrder="1"/>
    </xf>
    <xf numFmtId="0" fontId="0" fillId="0" borderId="0" xfId="0" applyBorder="1" applyAlignment="1">
      <alignment/>
    </xf>
    <xf numFmtId="0" fontId="0" fillId="0" borderId="0" xfId="0" applyFill="1" applyBorder="1" applyAlignment="1">
      <alignment readingOrder="1"/>
    </xf>
    <xf numFmtId="0" fontId="0" fillId="0" borderId="0" xfId="0" applyFill="1" applyBorder="1" applyAlignment="1">
      <alignment horizontal="center" readingOrder="1"/>
    </xf>
    <xf numFmtId="0" fontId="0" fillId="0" borderId="0" xfId="0" applyFill="1" applyBorder="1" applyAlignment="1">
      <alignment/>
    </xf>
    <xf numFmtId="2" fontId="3" fillId="4" borderId="1" xfId="0" applyNumberFormat="1" applyFont="1" applyFill="1" applyBorder="1" applyAlignment="1">
      <alignment readingOrder="1"/>
    </xf>
    <xf numFmtId="0" fontId="0" fillId="0" borderId="1" xfId="0" applyFont="1"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10" fillId="0" borderId="0" xfId="0" applyFont="1" applyFill="1" applyBorder="1" applyAlignment="1">
      <alignment readingOrder="1"/>
    </xf>
    <xf numFmtId="0" fontId="12" fillId="0" borderId="0" xfId="0" applyFont="1" applyFill="1" applyBorder="1" applyAlignment="1">
      <alignment readingOrder="1"/>
    </xf>
    <xf numFmtId="0" fontId="10" fillId="0" borderId="0" xfId="0" applyFont="1" applyFill="1" applyBorder="1" applyAlignment="1">
      <alignment horizontal="right" readingOrder="1"/>
    </xf>
    <xf numFmtId="0" fontId="10" fillId="0" borderId="0" xfId="0" applyFont="1" applyFill="1" applyBorder="1" applyAlignment="1">
      <alignment horizontal="left" readingOrder="1"/>
    </xf>
    <xf numFmtId="0" fontId="10" fillId="0" borderId="0" xfId="0" applyFont="1" applyFill="1" applyBorder="1" applyAlignment="1">
      <alignment readingOrder="1"/>
    </xf>
    <xf numFmtId="2" fontId="10" fillId="0" borderId="0" xfId="0" applyNumberFormat="1" applyFont="1" applyFill="1" applyBorder="1" applyAlignment="1">
      <alignment readingOrder="1"/>
    </xf>
    <xf numFmtId="2" fontId="10" fillId="0" borderId="0" xfId="0" applyNumberFormat="1" applyFont="1" applyFill="1" applyBorder="1" applyAlignment="1">
      <alignment horizontal="center"/>
    </xf>
    <xf numFmtId="0" fontId="10" fillId="0" borderId="0" xfId="0" applyFont="1" applyFill="1" applyBorder="1" applyAlignment="1">
      <alignment horizontal="center"/>
    </xf>
    <xf numFmtId="2" fontId="10" fillId="0" borderId="0" xfId="0" applyNumberFormat="1"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2" fontId="0" fillId="0" borderId="0" xfId="0" applyNumberFormat="1" applyFont="1" applyBorder="1" applyAlignment="1">
      <alignment horizontal="center"/>
    </xf>
    <xf numFmtId="0" fontId="0" fillId="3" borderId="3" xfId="0" applyFill="1" applyBorder="1" applyAlignment="1">
      <alignment readingOrder="1"/>
    </xf>
    <xf numFmtId="2" fontId="0" fillId="3" borderId="0" xfId="0" applyNumberFormat="1" applyFill="1" applyAlignment="1">
      <alignment/>
    </xf>
    <xf numFmtId="1" fontId="0" fillId="0" borderId="1"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438775" cy="3076575"/>
    <xdr:sp>
      <xdr:nvSpPr>
        <xdr:cNvPr id="1" name="TextBox 1"/>
        <xdr:cNvSpPr txBox="1">
          <a:spLocks noChangeArrowheads="1"/>
        </xdr:cNvSpPr>
      </xdr:nvSpPr>
      <xdr:spPr>
        <a:xfrm>
          <a:off x="0" y="0"/>
          <a:ext cx="5438775" cy="3076575"/>
        </a:xfrm>
        <a:prstGeom prst="rect">
          <a:avLst/>
        </a:prstGeom>
        <a:solidFill>
          <a:srgbClr val="FFFFFF"/>
        </a:solidFill>
        <a:ln w="3175" cmpd="sng">
          <a:solidFill>
            <a:srgbClr val="000000"/>
          </a:solidFill>
          <a:headEnd type="none"/>
          <a:tailEnd type="none"/>
        </a:ln>
      </xdr:spPr>
      <xdr:txBody>
        <a:bodyPr vertOverflow="clip" wrap="square" lIns="182880" tIns="45720" rIns="91440" bIns="45720"/>
        <a:p>
          <a:pPr algn="l">
            <a:defRPr/>
          </a:pPr>
          <a:r>
            <a:rPr lang="en-US" cap="none" sz="1000" b="0" i="0" u="none" baseline="0">
              <a:latin typeface="Arial"/>
              <a:ea typeface="Arial"/>
              <a:cs typeface="Arial"/>
            </a:rPr>
            <a:t>GOES-R Communication Link Budgets
The communication link budgets presented in this spreadsheet provide the major parameters needed to determine the margin for all the GOES-R spacecraft-ground  links. Only the values fixed in the spacecraft - ground Interface  Requirements Documents (IRD) are filled in in the spreadsheet. The values due to the spacecraft equipment and the related calculations are to be filled in by the spacecraft contractors based on their  proposed designs.
The contractors are encouraged to expand on the link budget by adding additional cells where appropriate (with necessary changes to the formula).  This is especially true for "Satellite Degradations" which should be expanded to include adjacent channel interference contributions and filter (multiplexer) contributions. If corrections are felt necessary, they may be made with a comment box explain the rational. 
In some cases the contractor can select the satellite receive and transmit polarization.  If this is different than the ground polarization, the additional polarization loss shall be incorporated into the satellite receive and transmit cells with appropriate correction for the PFD calculation.
"Satellite Impairments" include adjacent channel interference, filter effects, phase noise, etc.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47"/>
  </sheetPr>
  <dimension ref="A23:B26"/>
  <sheetViews>
    <sheetView tabSelected="1" workbookViewId="0" topLeftCell="A1">
      <selection activeCell="G28" sqref="G28"/>
    </sheetView>
  </sheetViews>
  <sheetFormatPr defaultColWidth="9.140625" defaultRowHeight="12.75"/>
  <sheetData>
    <row r="23" ht="12.75">
      <c r="A23" s="115" t="s">
        <v>112</v>
      </c>
    </row>
    <row r="25" spans="1:2" ht="12.75">
      <c r="A25" s="40"/>
      <c r="B25" t="s">
        <v>107</v>
      </c>
    </row>
    <row r="26" spans="1:2" ht="12.75">
      <c r="A26" s="43"/>
      <c r="B26" t="s">
        <v>108</v>
      </c>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1">
    <tabColor indexed="47"/>
    <pageSetUpPr fitToPage="1"/>
  </sheetPr>
  <dimension ref="A1:K43"/>
  <sheetViews>
    <sheetView workbookViewId="0" topLeftCell="A1">
      <selection activeCell="E38" sqref="E38"/>
    </sheetView>
  </sheetViews>
  <sheetFormatPr defaultColWidth="9.140625" defaultRowHeight="12.75"/>
  <cols>
    <col min="1" max="1" width="4.28125" style="0" customWidth="1"/>
    <col min="2" max="2" width="34.57421875" style="0" customWidth="1"/>
    <col min="3" max="3" width="13.8515625" style="0" customWidth="1"/>
    <col min="4" max="4" width="1.421875" style="0" customWidth="1"/>
    <col min="5" max="5" width="6.140625" style="0" customWidth="1"/>
    <col min="6" max="6" width="33.57421875" style="0" customWidth="1"/>
    <col min="7" max="7" width="19.421875" style="0" customWidth="1"/>
    <col min="8" max="8" width="1.57421875" style="0" customWidth="1"/>
    <col min="9" max="9" width="6.140625" style="0" customWidth="1"/>
    <col min="10" max="10" width="33.421875" style="0" customWidth="1"/>
    <col min="11" max="11" width="19.421875" style="0" customWidth="1"/>
  </cols>
  <sheetData>
    <row r="1" spans="1:11" ht="12.75">
      <c r="A1" s="93" t="s">
        <v>137</v>
      </c>
      <c r="B1" s="70"/>
      <c r="C1" s="70"/>
      <c r="D1" s="70"/>
      <c r="E1" s="70"/>
      <c r="F1" s="70"/>
      <c r="G1" s="70"/>
      <c r="I1" s="70"/>
      <c r="J1" s="70"/>
      <c r="K1" s="70"/>
    </row>
    <row r="2" spans="1:11" ht="12.75">
      <c r="A2" s="44"/>
      <c r="B2" s="46" t="s">
        <v>77</v>
      </c>
      <c r="C2" s="45"/>
      <c r="D2" s="45"/>
      <c r="E2" s="44"/>
      <c r="F2" s="46" t="s">
        <v>78</v>
      </c>
      <c r="G2" s="45"/>
      <c r="H2" s="2"/>
      <c r="I2" s="44"/>
      <c r="J2" s="47" t="s">
        <v>136</v>
      </c>
      <c r="K2" s="45"/>
    </row>
    <row r="3" spans="1:11" ht="12.75">
      <c r="A3" s="47" t="s">
        <v>72</v>
      </c>
      <c r="B3" s="45"/>
      <c r="C3" s="48"/>
      <c r="D3" s="48"/>
      <c r="E3" s="47" t="s">
        <v>72</v>
      </c>
      <c r="F3" s="45"/>
      <c r="G3" s="48"/>
      <c r="H3" s="10"/>
      <c r="I3" s="47" t="s">
        <v>72</v>
      </c>
      <c r="J3" s="45"/>
      <c r="K3" s="48"/>
    </row>
    <row r="4" spans="1:11" ht="12.75">
      <c r="A4" s="49"/>
      <c r="B4" s="50" t="s">
        <v>48</v>
      </c>
      <c r="C4" s="54"/>
      <c r="D4" s="45"/>
      <c r="E4" s="49"/>
      <c r="F4" s="50" t="s">
        <v>48</v>
      </c>
      <c r="G4" s="54"/>
      <c r="H4" s="4"/>
      <c r="I4" s="49"/>
      <c r="J4" s="50" t="s">
        <v>48</v>
      </c>
      <c r="K4" s="54"/>
    </row>
    <row r="5" spans="1:11" ht="12.75">
      <c r="A5" s="49"/>
      <c r="B5" s="50" t="s">
        <v>0</v>
      </c>
      <c r="C5" s="52"/>
      <c r="D5" s="45"/>
      <c r="E5" s="49"/>
      <c r="F5" s="50" t="s">
        <v>0</v>
      </c>
      <c r="G5" s="52"/>
      <c r="H5" s="4"/>
      <c r="I5" s="49"/>
      <c r="J5" s="50" t="s">
        <v>0</v>
      </c>
      <c r="K5" s="52"/>
    </row>
    <row r="6" spans="1:11" ht="12.75">
      <c r="A6" s="49"/>
      <c r="B6" s="45" t="s">
        <v>120</v>
      </c>
      <c r="C6" s="45">
        <v>1672.25</v>
      </c>
      <c r="D6" s="53"/>
      <c r="E6" s="49"/>
      <c r="F6" s="45" t="s">
        <v>120</v>
      </c>
      <c r="G6" s="45">
        <v>1672.25</v>
      </c>
      <c r="H6" s="4"/>
      <c r="I6" s="49"/>
      <c r="J6" s="45" t="s">
        <v>120</v>
      </c>
      <c r="K6" s="45">
        <v>1672.25</v>
      </c>
    </row>
    <row r="7" spans="1:11" ht="12.75">
      <c r="A7" s="49"/>
      <c r="B7" s="45" t="s">
        <v>16</v>
      </c>
      <c r="C7" s="110">
        <v>3.5</v>
      </c>
      <c r="D7" s="55"/>
      <c r="E7" s="49"/>
      <c r="F7" s="45" t="s">
        <v>16</v>
      </c>
      <c r="G7" s="83">
        <v>32</v>
      </c>
      <c r="H7" s="4"/>
      <c r="I7" s="49"/>
      <c r="J7" s="45" t="s">
        <v>16</v>
      </c>
      <c r="K7" s="110">
        <v>3.5</v>
      </c>
    </row>
    <row r="8" spans="1:11" ht="12.75">
      <c r="A8" s="49"/>
      <c r="B8" s="45" t="s">
        <v>83</v>
      </c>
      <c r="C8" s="111">
        <f>C7*8/7</f>
        <v>4</v>
      </c>
      <c r="D8" s="57" t="s">
        <v>1</v>
      </c>
      <c r="E8" s="49"/>
      <c r="F8" s="45" t="s">
        <v>83</v>
      </c>
      <c r="G8" s="110">
        <f>G7*8/7</f>
        <v>36.57142857142857</v>
      </c>
      <c r="H8" s="2"/>
      <c r="I8" s="49"/>
      <c r="J8" s="45" t="s">
        <v>83</v>
      </c>
      <c r="K8" s="110">
        <f>K7*8/7</f>
        <v>4</v>
      </c>
    </row>
    <row r="9" spans="1:11" ht="12.75">
      <c r="A9" s="49"/>
      <c r="B9" s="50" t="s">
        <v>14</v>
      </c>
      <c r="C9" s="50"/>
      <c r="D9" s="58"/>
      <c r="E9" s="49"/>
      <c r="F9" s="50" t="s">
        <v>14</v>
      </c>
      <c r="G9" s="50"/>
      <c r="H9" s="2"/>
      <c r="I9" s="49"/>
      <c r="J9" s="50" t="s">
        <v>14</v>
      </c>
      <c r="K9" s="50"/>
    </row>
    <row r="10" spans="1:11" ht="12.75">
      <c r="A10" s="49"/>
      <c r="B10" s="50" t="s">
        <v>8</v>
      </c>
      <c r="C10" s="50"/>
      <c r="D10" s="57"/>
      <c r="E10" s="49"/>
      <c r="F10" s="50" t="s">
        <v>8</v>
      </c>
      <c r="G10" s="50"/>
      <c r="H10" s="2"/>
      <c r="I10" s="49"/>
      <c r="J10" s="50" t="s">
        <v>8</v>
      </c>
      <c r="K10" s="50"/>
    </row>
    <row r="11" spans="1:11" ht="12.75">
      <c r="A11" s="49"/>
      <c r="B11" s="50" t="s">
        <v>17</v>
      </c>
      <c r="C11" s="54"/>
      <c r="D11" s="61"/>
      <c r="E11" s="49"/>
      <c r="F11" s="50" t="s">
        <v>17</v>
      </c>
      <c r="G11" s="54"/>
      <c r="H11" s="4"/>
      <c r="I11" s="49"/>
      <c r="J11" s="50" t="s">
        <v>17</v>
      </c>
      <c r="K11" s="54"/>
    </row>
    <row r="12" spans="1:11" ht="12.75">
      <c r="A12" s="49"/>
      <c r="B12" s="50" t="s">
        <v>180</v>
      </c>
      <c r="C12" s="54"/>
      <c r="D12" s="61"/>
      <c r="E12" s="49"/>
      <c r="F12" s="50" t="s">
        <v>180</v>
      </c>
      <c r="G12" s="54"/>
      <c r="H12" s="4"/>
      <c r="I12" s="49"/>
      <c r="J12" s="50" t="s">
        <v>180</v>
      </c>
      <c r="K12" s="54"/>
    </row>
    <row r="13" spans="1:11" ht="12.75">
      <c r="A13" s="49"/>
      <c r="B13" s="50" t="s">
        <v>126</v>
      </c>
      <c r="C13" s="54"/>
      <c r="D13" s="61"/>
      <c r="E13" s="49"/>
      <c r="F13" s="50" t="s">
        <v>126</v>
      </c>
      <c r="G13" s="54"/>
      <c r="H13" s="4"/>
      <c r="I13" s="49"/>
      <c r="J13" s="50" t="s">
        <v>126</v>
      </c>
      <c r="K13" s="54"/>
    </row>
    <row r="14" spans="1:11" ht="12.75">
      <c r="A14" s="49"/>
      <c r="B14" s="50" t="s">
        <v>13</v>
      </c>
      <c r="C14" s="54"/>
      <c r="D14" s="61"/>
      <c r="E14" s="49"/>
      <c r="F14" s="50" t="s">
        <v>13</v>
      </c>
      <c r="G14" s="54"/>
      <c r="H14" s="4"/>
      <c r="I14" s="49"/>
      <c r="J14" s="50" t="s">
        <v>13</v>
      </c>
      <c r="K14" s="54"/>
    </row>
    <row r="15" spans="1:11" ht="12.75">
      <c r="A15" s="48"/>
      <c r="B15" s="78" t="s">
        <v>109</v>
      </c>
      <c r="C15" s="79">
        <f>+C4-C5+C11-C12-C13+30</f>
        <v>30</v>
      </c>
      <c r="D15" s="57"/>
      <c r="E15" s="48"/>
      <c r="F15" s="78" t="s">
        <v>56</v>
      </c>
      <c r="G15" s="79">
        <f>+G4-G5+G11-G12-G13+30</f>
        <v>30</v>
      </c>
      <c r="H15" s="4"/>
      <c r="I15" s="48"/>
      <c r="J15" s="78" t="s">
        <v>56</v>
      </c>
      <c r="K15" s="79">
        <f>+K4-K5+K11-K12-K13+30</f>
        <v>30</v>
      </c>
    </row>
    <row r="16" spans="1:11" ht="12.75">
      <c r="A16" s="49"/>
      <c r="B16" s="45"/>
      <c r="C16" s="53"/>
      <c r="D16" s="45"/>
      <c r="E16" s="49"/>
      <c r="F16" s="45"/>
      <c r="G16" s="53"/>
      <c r="H16" s="1"/>
      <c r="I16" s="49"/>
      <c r="J16" s="45"/>
      <c r="K16" s="53"/>
    </row>
    <row r="17" spans="1:11" ht="12.75">
      <c r="A17" s="47" t="s">
        <v>19</v>
      </c>
      <c r="B17" s="59"/>
      <c r="C17" s="60"/>
      <c r="D17" s="57"/>
      <c r="E17" s="47" t="s">
        <v>19</v>
      </c>
      <c r="F17" s="59"/>
      <c r="G17" s="60"/>
      <c r="H17" s="2"/>
      <c r="I17" s="47" t="s">
        <v>19</v>
      </c>
      <c r="J17" s="59"/>
      <c r="K17" s="60"/>
    </row>
    <row r="18" spans="1:11" ht="12.75">
      <c r="A18" s="49"/>
      <c r="B18" s="45" t="s">
        <v>2</v>
      </c>
      <c r="C18" s="45">
        <v>35784</v>
      </c>
      <c r="D18" s="57"/>
      <c r="E18" s="49"/>
      <c r="F18" s="45" t="s">
        <v>2</v>
      </c>
      <c r="G18" s="45">
        <v>35784</v>
      </c>
      <c r="H18" s="2"/>
      <c r="I18" s="49"/>
      <c r="J18" s="45" t="s">
        <v>2</v>
      </c>
      <c r="K18" s="45">
        <v>35784</v>
      </c>
    </row>
    <row r="19" spans="1:11" ht="12.75">
      <c r="A19" s="49"/>
      <c r="B19" s="45" t="s">
        <v>3</v>
      </c>
      <c r="C19" s="45">
        <v>13.8</v>
      </c>
      <c r="D19" s="57"/>
      <c r="E19" s="49"/>
      <c r="F19" s="45" t="s">
        <v>3</v>
      </c>
      <c r="G19" s="45">
        <v>13.8</v>
      </c>
      <c r="H19" s="2"/>
      <c r="I19" s="49"/>
      <c r="J19" s="45" t="s">
        <v>3</v>
      </c>
      <c r="K19" s="45">
        <v>13.8</v>
      </c>
    </row>
    <row r="20" spans="1:11" ht="12.75">
      <c r="A20" s="49"/>
      <c r="B20" s="45" t="s">
        <v>4</v>
      </c>
      <c r="C20" s="51">
        <f>SQRT((6378+C18)^2-(6378*COS(PI()/180*C19))^2)-6378*SIN(PI()/180*C19)</f>
        <v>40183.18870290123</v>
      </c>
      <c r="D20" s="63"/>
      <c r="E20" s="49"/>
      <c r="F20" s="45" t="s">
        <v>4</v>
      </c>
      <c r="G20" s="51">
        <f>SQRT((6378+G18)^2-(6378*COS(PI()/180*G19))^2)-6378*SIN(PI()/180*G19)</f>
        <v>40183.18870290123</v>
      </c>
      <c r="H20" s="2"/>
      <c r="I20" s="49"/>
      <c r="J20" s="45" t="s">
        <v>4</v>
      </c>
      <c r="K20" s="51">
        <f>SQRT((6378+K18)^2-(6378*COS(PI()/180*K19))^2)-6378*SIN(PI()/180*K19)</f>
        <v>40183.18870290123</v>
      </c>
    </row>
    <row r="21" spans="1:11" ht="12.75">
      <c r="A21" s="49"/>
      <c r="B21" s="45" t="s">
        <v>5</v>
      </c>
      <c r="C21" s="53">
        <f>-(20*LOG(299.792458/(C6*4*3.141592654))-20*LOG(C20*1000))</f>
        <v>188.99469525251948</v>
      </c>
      <c r="D21" s="64"/>
      <c r="E21" s="49"/>
      <c r="F21" s="45" t="s">
        <v>5</v>
      </c>
      <c r="G21" s="53">
        <f>-(20*LOG(299.792458/(G6*4*3.141592654))-20*LOG(G20*1000))</f>
        <v>188.99469525251948</v>
      </c>
      <c r="H21" s="4"/>
      <c r="I21" s="49"/>
      <c r="J21" s="45" t="s">
        <v>5</v>
      </c>
      <c r="K21" s="53">
        <f>-(20*LOG(299.792458/(K6*4*3.141592654))-20*LOG(K20*1000))</f>
        <v>188.99469525251948</v>
      </c>
    </row>
    <row r="22" spans="1:11" ht="12.75">
      <c r="A22" s="49"/>
      <c r="B22" s="45" t="s">
        <v>20</v>
      </c>
      <c r="C22" s="53">
        <v>1</v>
      </c>
      <c r="D22" s="64"/>
      <c r="E22" s="49"/>
      <c r="F22" s="45" t="s">
        <v>20</v>
      </c>
      <c r="G22" s="53">
        <v>1</v>
      </c>
      <c r="H22" s="2"/>
      <c r="I22" s="49"/>
      <c r="J22" s="45" t="s">
        <v>20</v>
      </c>
      <c r="K22" s="53">
        <v>1</v>
      </c>
    </row>
    <row r="23" spans="1:11" ht="12.75">
      <c r="A23" s="49"/>
      <c r="B23" s="45"/>
      <c r="C23" s="53"/>
      <c r="D23" s="66"/>
      <c r="E23" s="49"/>
      <c r="F23" s="45"/>
      <c r="G23" s="53"/>
      <c r="H23" s="2"/>
      <c r="I23" s="49"/>
      <c r="J23" s="45"/>
      <c r="K23" s="53"/>
    </row>
    <row r="24" spans="1:11" ht="12.75">
      <c r="A24" s="47" t="s">
        <v>73</v>
      </c>
      <c r="B24" s="45"/>
      <c r="C24" s="53"/>
      <c r="D24" s="57"/>
      <c r="E24" s="47" t="s">
        <v>73</v>
      </c>
      <c r="F24" s="45"/>
      <c r="G24" s="53"/>
      <c r="H24" s="2"/>
      <c r="I24" s="47" t="s">
        <v>73</v>
      </c>
      <c r="J24" s="45"/>
      <c r="K24" s="53"/>
    </row>
    <row r="25" spans="1:11" ht="12.75">
      <c r="A25" s="49"/>
      <c r="B25" s="57" t="s">
        <v>6</v>
      </c>
      <c r="C25" s="45">
        <v>0.25</v>
      </c>
      <c r="D25" s="57"/>
      <c r="E25" s="49"/>
      <c r="F25" s="57" t="s">
        <v>6</v>
      </c>
      <c r="G25" s="45">
        <v>0.25</v>
      </c>
      <c r="H25" s="3"/>
      <c r="I25" s="49"/>
      <c r="J25" s="57" t="s">
        <v>6</v>
      </c>
      <c r="K25" s="45">
        <v>0.25</v>
      </c>
    </row>
    <row r="26" spans="1:11" ht="12.75">
      <c r="A26" s="49"/>
      <c r="B26" s="45" t="s">
        <v>43</v>
      </c>
      <c r="C26" s="45">
        <v>0.5</v>
      </c>
      <c r="D26" s="45"/>
      <c r="E26" s="49"/>
      <c r="F26" s="45" t="s">
        <v>43</v>
      </c>
      <c r="G26" s="45">
        <v>0.5</v>
      </c>
      <c r="H26" s="3"/>
      <c r="I26" s="49"/>
      <c r="J26" s="45" t="s">
        <v>43</v>
      </c>
      <c r="K26" s="45">
        <v>0.5</v>
      </c>
    </row>
    <row r="27" spans="1:11" ht="12.75">
      <c r="A27" s="49"/>
      <c r="B27" s="48" t="s">
        <v>9</v>
      </c>
      <c r="C27" s="53">
        <v>26</v>
      </c>
      <c r="D27" s="49"/>
      <c r="E27" s="49"/>
      <c r="F27" s="48" t="s">
        <v>9</v>
      </c>
      <c r="G27" s="53">
        <v>26</v>
      </c>
      <c r="H27" s="15"/>
      <c r="I27" s="49"/>
      <c r="J27" s="48" t="s">
        <v>9</v>
      </c>
      <c r="K27" s="53">
        <v>26</v>
      </c>
    </row>
    <row r="28" spans="1:11" ht="12.75">
      <c r="A28" s="49"/>
      <c r="B28" s="75" t="s">
        <v>10</v>
      </c>
      <c r="C28" s="76">
        <f>C15-SUM(C21:C26)+C27+228.6-30</f>
        <v>63.85530474748052</v>
      </c>
      <c r="D28" s="57"/>
      <c r="E28" s="49"/>
      <c r="F28" s="75" t="s">
        <v>10</v>
      </c>
      <c r="G28" s="76">
        <f>G15-SUM(G21:G26)+G27+228.6-30</f>
        <v>63.85530474748052</v>
      </c>
      <c r="H28" s="3"/>
      <c r="I28" s="49"/>
      <c r="J28" s="75" t="s">
        <v>10</v>
      </c>
      <c r="K28" s="76">
        <f>K15-SUM(K21:K26)+K27+228.6-30</f>
        <v>63.85530474748052</v>
      </c>
    </row>
    <row r="29" spans="1:11" ht="12.75">
      <c r="A29" s="70"/>
      <c r="B29" s="75" t="s">
        <v>86</v>
      </c>
      <c r="C29" s="79">
        <f>C15-C21+10*LOG(4*3.141592654)+20*LOG(C6/299.792458)+10*LOG(4/C8)-30+C13</f>
        <v>-163.07298657779657</v>
      </c>
      <c r="D29" s="57"/>
      <c r="E29" s="70"/>
      <c r="F29" s="75" t="s">
        <v>86</v>
      </c>
      <c r="G29" s="79">
        <f>G15-G21+10*LOG(4*3.141592654)+20*LOG(G6/299.792458)+10*LOG(4/G8)-30+G13</f>
        <v>-172.68380591749286</v>
      </c>
      <c r="H29" s="3"/>
      <c r="I29" s="70"/>
      <c r="J29" s="75" t="s">
        <v>86</v>
      </c>
      <c r="K29" s="79">
        <f>K15-K21+10*LOG(4*3.141592654)+20*LOG(K6/299.792458)+10*LOG(4/K8)-30+K13</f>
        <v>-163.07298657779657</v>
      </c>
    </row>
    <row r="30" spans="1:11" s="32" customFormat="1" ht="12.75">
      <c r="A30" s="86"/>
      <c r="B30" s="50" t="s">
        <v>190</v>
      </c>
      <c r="C30" s="62"/>
      <c r="D30" s="57"/>
      <c r="E30" s="86"/>
      <c r="F30" s="78" t="s">
        <v>74</v>
      </c>
      <c r="G30" s="85">
        <f>G28-10*LOG(G7*1000)</f>
        <v>18.803804964281454</v>
      </c>
      <c r="H30" s="3"/>
      <c r="I30" s="86"/>
      <c r="J30" s="50" t="s">
        <v>190</v>
      </c>
      <c r="K30" s="62"/>
    </row>
    <row r="31" spans="1:11" ht="12.75">
      <c r="A31" s="70"/>
      <c r="B31" s="78" t="s">
        <v>74</v>
      </c>
      <c r="C31" s="85">
        <f>C28-10*LOG(C7*1000)-C30</f>
        <v>28.41462430397776</v>
      </c>
      <c r="D31" s="57"/>
      <c r="E31" s="70"/>
      <c r="F31" s="45" t="s">
        <v>87</v>
      </c>
      <c r="G31" s="86">
        <v>4.6</v>
      </c>
      <c r="H31" s="2"/>
      <c r="I31" s="70"/>
      <c r="J31" s="78" t="s">
        <v>74</v>
      </c>
      <c r="K31" s="85">
        <f>K28-10*LOG(K7*1000)-K30</f>
        <v>28.41462430397776</v>
      </c>
    </row>
    <row r="32" spans="1:11" ht="12.75">
      <c r="A32" s="70"/>
      <c r="B32" s="45" t="s">
        <v>87</v>
      </c>
      <c r="C32" s="86">
        <v>4.6</v>
      </c>
      <c r="D32" s="57"/>
      <c r="E32" s="70"/>
      <c r="F32" s="45" t="s">
        <v>102</v>
      </c>
      <c r="G32" s="70">
        <v>2.3</v>
      </c>
      <c r="H32" s="2"/>
      <c r="I32" s="70"/>
      <c r="J32" s="45" t="s">
        <v>87</v>
      </c>
      <c r="K32" s="86">
        <v>4.6</v>
      </c>
    </row>
    <row r="33" spans="1:11" ht="12.75">
      <c r="A33" s="70"/>
      <c r="B33" s="45" t="s">
        <v>102</v>
      </c>
      <c r="C33" s="70">
        <v>2.3</v>
      </c>
      <c r="D33" s="57"/>
      <c r="E33" s="70"/>
      <c r="F33" s="78" t="s">
        <v>128</v>
      </c>
      <c r="G33" s="85">
        <f>G30-G31-G32</f>
        <v>11.903804964281456</v>
      </c>
      <c r="H33" s="2"/>
      <c r="I33" s="70"/>
      <c r="J33" s="45" t="s">
        <v>102</v>
      </c>
      <c r="K33" s="70">
        <v>2.3</v>
      </c>
    </row>
    <row r="34" spans="1:11" ht="12.75">
      <c r="A34" s="70"/>
      <c r="B34" s="78" t="s">
        <v>128</v>
      </c>
      <c r="C34" s="85">
        <f>C31-C32-C33</f>
        <v>21.514624303977758</v>
      </c>
      <c r="D34" s="57"/>
      <c r="E34" s="70"/>
      <c r="H34" s="2"/>
      <c r="I34" s="70"/>
      <c r="J34" s="78" t="s">
        <v>129</v>
      </c>
      <c r="K34" s="85">
        <f>K31-K32-K33</f>
        <v>21.514624303977758</v>
      </c>
    </row>
    <row r="35" spans="4:8" ht="12.75">
      <c r="D35" s="1"/>
      <c r="H35" s="2"/>
    </row>
    <row r="36" spans="4:8" ht="12.75">
      <c r="D36" s="21"/>
      <c r="H36" s="2"/>
    </row>
    <row r="37" spans="4:8" ht="12.75">
      <c r="D37" s="1"/>
      <c r="H37" s="2"/>
    </row>
    <row r="38" spans="4:8" ht="12.75">
      <c r="D38" s="2"/>
      <c r="H38" s="2"/>
    </row>
    <row r="39" spans="4:8" ht="12.75">
      <c r="D39" s="2"/>
      <c r="H39" s="2"/>
    </row>
    <row r="40" spans="4:8" ht="12.75">
      <c r="D40" s="2"/>
      <c r="H40" s="2"/>
    </row>
    <row r="41" spans="4:8" ht="12.75">
      <c r="D41" s="2"/>
      <c r="H41" s="2"/>
    </row>
    <row r="42" spans="4:8" ht="12.75">
      <c r="D42" s="2"/>
      <c r="H42" s="2"/>
    </row>
    <row r="43" spans="4:8" ht="12.75">
      <c r="D43" s="2"/>
      <c r="H43" s="2"/>
    </row>
  </sheetData>
  <conditionalFormatting sqref="K29 C29 G29">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66" r:id="rId1"/>
  <headerFooter alignWithMargins="0">
    <oddHeader>&amp;L&amp;F     Printed &amp;D &amp;T&amp;C &amp;A&amp;R&amp;P/&amp;N</oddHeader>
  </headerFooter>
</worksheet>
</file>

<file path=xl/worksheets/sheet11.xml><?xml version="1.0" encoding="utf-8"?>
<worksheet xmlns="http://schemas.openxmlformats.org/spreadsheetml/2006/main" xmlns:r="http://schemas.openxmlformats.org/officeDocument/2006/relationships">
  <sheetPr codeName="Sheet12">
    <tabColor indexed="47"/>
    <pageSetUpPr fitToPage="1"/>
  </sheetPr>
  <dimension ref="A1:L42"/>
  <sheetViews>
    <sheetView workbookViewId="0" topLeftCell="B1">
      <selection activeCell="K37" sqref="K37"/>
    </sheetView>
  </sheetViews>
  <sheetFormatPr defaultColWidth="9.140625" defaultRowHeight="12.75"/>
  <cols>
    <col min="1" max="1" width="4.28125" style="34" customWidth="1"/>
    <col min="2" max="2" width="36.28125" style="34" customWidth="1"/>
    <col min="3" max="3" width="13.8515625" style="34" customWidth="1"/>
    <col min="4" max="4" width="4.7109375" style="34" customWidth="1"/>
    <col min="5" max="5" width="6.140625" style="34" customWidth="1"/>
    <col min="6" max="6" width="36.28125" style="34" customWidth="1"/>
    <col min="7" max="7" width="19.421875" style="34" customWidth="1"/>
    <col min="8" max="8" width="4.421875" style="34" customWidth="1"/>
    <col min="9" max="9" width="4.28125" style="34" customWidth="1"/>
    <col min="10" max="10" width="36.00390625" style="34" customWidth="1"/>
    <col min="11" max="11" width="13.8515625" style="34" customWidth="1"/>
    <col min="12" max="12" width="4.7109375" style="34" customWidth="1"/>
    <col min="13" max="16384" width="9.140625" style="34" customWidth="1"/>
  </cols>
  <sheetData>
    <row r="1" spans="1:11" ht="12.75">
      <c r="A1" s="94"/>
      <c r="B1" s="94"/>
      <c r="C1" s="94"/>
      <c r="D1" s="94"/>
      <c r="E1" s="94"/>
      <c r="F1" s="94"/>
      <c r="G1" s="94"/>
      <c r="H1" s="94"/>
      <c r="I1" s="94"/>
      <c r="J1" s="94"/>
      <c r="K1" s="94"/>
    </row>
    <row r="2" spans="1:12" ht="12.75">
      <c r="A2" s="44"/>
      <c r="B2" s="46" t="s">
        <v>80</v>
      </c>
      <c r="C2" s="95"/>
      <c r="D2" s="95"/>
      <c r="E2" s="44"/>
      <c r="F2" s="46" t="s">
        <v>79</v>
      </c>
      <c r="G2" s="95"/>
      <c r="H2" s="95"/>
      <c r="I2" s="44"/>
      <c r="J2" s="46" t="s">
        <v>135</v>
      </c>
      <c r="K2" s="95"/>
      <c r="L2" s="33"/>
    </row>
    <row r="3" spans="1:12" ht="10.5" customHeight="1">
      <c r="A3" s="47" t="s">
        <v>38</v>
      </c>
      <c r="B3" s="95"/>
      <c r="C3" s="48"/>
      <c r="D3" s="48"/>
      <c r="E3" s="47" t="s">
        <v>38</v>
      </c>
      <c r="F3" s="95"/>
      <c r="G3" s="48"/>
      <c r="H3" s="48"/>
      <c r="I3" s="47" t="s">
        <v>38</v>
      </c>
      <c r="J3" s="95"/>
      <c r="K3" s="48"/>
      <c r="L3" s="10"/>
    </row>
    <row r="4" spans="1:12" ht="12.75">
      <c r="A4" s="96"/>
      <c r="B4" s="95" t="s">
        <v>120</v>
      </c>
      <c r="C4" s="95">
        <v>2034.6</v>
      </c>
      <c r="D4" s="97"/>
      <c r="E4" s="96"/>
      <c r="F4" s="95" t="s">
        <v>120</v>
      </c>
      <c r="G4" s="95">
        <v>2034.6</v>
      </c>
      <c r="H4" s="98"/>
      <c r="I4" s="96"/>
      <c r="J4" s="95" t="s">
        <v>120</v>
      </c>
      <c r="K4" s="95">
        <v>2034.6</v>
      </c>
      <c r="L4" s="35"/>
    </row>
    <row r="5" spans="1:12" ht="12.75">
      <c r="A5" s="96"/>
      <c r="B5" s="95" t="s">
        <v>16</v>
      </c>
      <c r="C5" s="97">
        <v>3.5</v>
      </c>
      <c r="D5" s="99"/>
      <c r="E5" s="96"/>
      <c r="F5" s="95" t="s">
        <v>16</v>
      </c>
      <c r="G5" s="100">
        <v>64</v>
      </c>
      <c r="H5" s="98"/>
      <c r="I5" s="96"/>
      <c r="J5" s="95" t="s">
        <v>16</v>
      </c>
      <c r="K5" s="97">
        <v>0.88</v>
      </c>
      <c r="L5" s="36"/>
    </row>
    <row r="6" spans="1:12" ht="12.75">
      <c r="A6" s="96"/>
      <c r="B6" s="95" t="s">
        <v>114</v>
      </c>
      <c r="C6" s="97">
        <f>C5*8/7</f>
        <v>4</v>
      </c>
      <c r="D6" s="101" t="s">
        <v>1</v>
      </c>
      <c r="E6" s="96"/>
      <c r="F6" s="95" t="s">
        <v>114</v>
      </c>
      <c r="G6" s="102">
        <f>G5*8/7</f>
        <v>73.14285714285714</v>
      </c>
      <c r="H6" s="95"/>
      <c r="I6" s="96"/>
      <c r="J6" s="95" t="s">
        <v>114</v>
      </c>
      <c r="K6" s="102">
        <f>K5*8/7</f>
        <v>1.0057142857142858</v>
      </c>
      <c r="L6" s="37" t="s">
        <v>1</v>
      </c>
    </row>
    <row r="7" spans="1:12" ht="12.75">
      <c r="A7" s="48"/>
      <c r="B7" s="48" t="s">
        <v>109</v>
      </c>
      <c r="C7" s="103">
        <v>87.25</v>
      </c>
      <c r="D7" s="101"/>
      <c r="E7" s="48"/>
      <c r="F7" s="48" t="s">
        <v>109</v>
      </c>
      <c r="G7" s="103">
        <v>94.25</v>
      </c>
      <c r="H7" s="98"/>
      <c r="I7" s="48"/>
      <c r="J7" s="48" t="s">
        <v>109</v>
      </c>
      <c r="K7" s="103">
        <v>103.25</v>
      </c>
      <c r="L7" s="37"/>
    </row>
    <row r="8" spans="1:12" ht="12.75">
      <c r="A8" s="96"/>
      <c r="B8" s="95"/>
      <c r="C8" s="97"/>
      <c r="D8" s="95"/>
      <c r="E8" s="96"/>
      <c r="F8" s="95"/>
      <c r="G8" s="97"/>
      <c r="H8" s="101"/>
      <c r="I8" s="96"/>
      <c r="J8" s="95"/>
      <c r="K8" s="97"/>
      <c r="L8" s="33"/>
    </row>
    <row r="9" spans="1:12" ht="12.75">
      <c r="A9" s="47" t="s">
        <v>39</v>
      </c>
      <c r="B9" s="59"/>
      <c r="C9" s="104"/>
      <c r="D9" s="101"/>
      <c r="E9" s="47" t="s">
        <v>39</v>
      </c>
      <c r="F9" s="47" t="s">
        <v>39</v>
      </c>
      <c r="G9" s="104"/>
      <c r="H9" s="95"/>
      <c r="I9" s="47" t="s">
        <v>39</v>
      </c>
      <c r="J9" s="59"/>
      <c r="K9" s="104"/>
      <c r="L9" s="37"/>
    </row>
    <row r="10" spans="1:12" ht="12.75">
      <c r="A10" s="96"/>
      <c r="B10" s="95" t="s">
        <v>2</v>
      </c>
      <c r="C10" s="95">
        <v>35784</v>
      </c>
      <c r="D10" s="101"/>
      <c r="E10" s="96"/>
      <c r="F10" s="95" t="s">
        <v>2</v>
      </c>
      <c r="G10" s="95">
        <v>35784</v>
      </c>
      <c r="H10" s="95"/>
      <c r="I10" s="96"/>
      <c r="J10" s="95" t="s">
        <v>2</v>
      </c>
      <c r="K10" s="95">
        <v>35784</v>
      </c>
      <c r="L10" s="37"/>
    </row>
    <row r="11" spans="1:12" ht="12.75">
      <c r="A11" s="96"/>
      <c r="B11" s="95" t="s">
        <v>3</v>
      </c>
      <c r="C11" s="95">
        <v>13.8</v>
      </c>
      <c r="D11" s="101"/>
      <c r="E11" s="96"/>
      <c r="F11" s="95" t="s">
        <v>3</v>
      </c>
      <c r="G11" s="95">
        <v>13.8</v>
      </c>
      <c r="H11" s="95"/>
      <c r="I11" s="96"/>
      <c r="J11" s="95" t="s">
        <v>3</v>
      </c>
      <c r="K11" s="95">
        <v>13.8</v>
      </c>
      <c r="L11" s="37"/>
    </row>
    <row r="12" spans="1:12" ht="12.75">
      <c r="A12" s="96"/>
      <c r="B12" s="95" t="s">
        <v>4</v>
      </c>
      <c r="C12" s="100">
        <f>SQRT((6378+C10)^2-(6378*COS(PI()/180*C11))^2)-6378*SIN(PI()/180*C11)</f>
        <v>40183.18870290123</v>
      </c>
      <c r="D12" s="63"/>
      <c r="E12" s="96"/>
      <c r="F12" s="95" t="s">
        <v>4</v>
      </c>
      <c r="G12" s="100">
        <f>SQRT((6378+G10)^2-(6378*COS(PI()/180*G11))^2)-6378*SIN(PI()/180*G11)</f>
        <v>40183.18870290123</v>
      </c>
      <c r="H12" s="95"/>
      <c r="I12" s="96"/>
      <c r="J12" s="95" t="s">
        <v>4</v>
      </c>
      <c r="K12" s="100">
        <f>SQRT((6378+K10)^2-(6378*COS(PI()/180*K11))^2)-6378*SIN(PI()/180*K11)</f>
        <v>40183.18870290123</v>
      </c>
      <c r="L12" s="14"/>
    </row>
    <row r="13" spans="1:12" ht="12.75">
      <c r="A13" s="96"/>
      <c r="B13" s="95" t="s">
        <v>5</v>
      </c>
      <c r="C13" s="97">
        <f>-(20*LOG(299.792458/(C4*4*3.141592654))-20*LOG(C12*1000))</f>
        <v>190.69825196326067</v>
      </c>
      <c r="D13" s="105"/>
      <c r="E13" s="96"/>
      <c r="F13" s="95" t="s">
        <v>5</v>
      </c>
      <c r="G13" s="97">
        <f>-(20*LOG(299.792458/(G4*4*3.141592654))-20*LOG(G12*1000))</f>
        <v>190.69825196326067</v>
      </c>
      <c r="H13" s="98"/>
      <c r="I13" s="96"/>
      <c r="J13" s="95" t="s">
        <v>5</v>
      </c>
      <c r="K13" s="97">
        <f>-(20*LOG(299.792458/(K4*4*3.141592654))-20*LOG(K12*1000))</f>
        <v>190.69825196326067</v>
      </c>
      <c r="L13" s="38"/>
    </row>
    <row r="14" spans="1:12" ht="12.75">
      <c r="A14" s="96"/>
      <c r="B14" s="95" t="s">
        <v>20</v>
      </c>
      <c r="C14" s="97">
        <v>1</v>
      </c>
      <c r="D14" s="105"/>
      <c r="E14" s="96"/>
      <c r="F14" s="95" t="s">
        <v>20</v>
      </c>
      <c r="G14" s="97">
        <v>1</v>
      </c>
      <c r="H14" s="95"/>
      <c r="I14" s="96"/>
      <c r="J14" s="95" t="s">
        <v>20</v>
      </c>
      <c r="K14" s="97">
        <v>1</v>
      </c>
      <c r="L14" s="38"/>
    </row>
    <row r="15" spans="1:12" ht="12.75">
      <c r="A15" s="96"/>
      <c r="B15" s="95"/>
      <c r="C15" s="97"/>
      <c r="D15" s="82"/>
      <c r="E15" s="96"/>
      <c r="F15" s="95"/>
      <c r="G15" s="97"/>
      <c r="H15" s="95"/>
      <c r="I15" s="96"/>
      <c r="J15" s="95"/>
      <c r="K15" s="97"/>
      <c r="L15" s="27"/>
    </row>
    <row r="16" spans="1:12" ht="12.75">
      <c r="A16" s="47" t="s">
        <v>40</v>
      </c>
      <c r="B16" s="95"/>
      <c r="C16" s="97"/>
      <c r="D16" s="101"/>
      <c r="E16" s="47" t="s">
        <v>40</v>
      </c>
      <c r="F16" s="95"/>
      <c r="G16" s="97"/>
      <c r="H16" s="95"/>
      <c r="I16" s="47" t="s">
        <v>40</v>
      </c>
      <c r="J16" s="95"/>
      <c r="K16" s="97"/>
      <c r="L16" s="37"/>
    </row>
    <row r="17" spans="1:12" ht="12.75">
      <c r="A17" s="96"/>
      <c r="B17" s="114" t="s">
        <v>6</v>
      </c>
      <c r="C17" s="106"/>
      <c r="D17" s="101"/>
      <c r="E17" s="96"/>
      <c r="F17" s="114" t="s">
        <v>6</v>
      </c>
      <c r="G17" s="106"/>
      <c r="H17" s="65"/>
      <c r="I17" s="96"/>
      <c r="J17" s="114" t="s">
        <v>6</v>
      </c>
      <c r="K17" s="106"/>
      <c r="L17" s="37"/>
    </row>
    <row r="18" spans="1:12" ht="12.75">
      <c r="A18" s="96"/>
      <c r="B18" s="106" t="s">
        <v>43</v>
      </c>
      <c r="C18" s="106"/>
      <c r="D18" s="95"/>
      <c r="E18" s="96"/>
      <c r="F18" s="106" t="s">
        <v>43</v>
      </c>
      <c r="G18" s="106"/>
      <c r="H18" s="65"/>
      <c r="I18" s="96"/>
      <c r="J18" s="106" t="s">
        <v>43</v>
      </c>
      <c r="K18" s="106"/>
      <c r="L18" s="33"/>
    </row>
    <row r="19" spans="1:12" ht="12.75">
      <c r="A19" s="96"/>
      <c r="B19" s="106" t="s">
        <v>81</v>
      </c>
      <c r="C19" s="106"/>
      <c r="D19" s="95"/>
      <c r="E19" s="96"/>
      <c r="F19" s="106" t="s">
        <v>81</v>
      </c>
      <c r="G19" s="106"/>
      <c r="H19" s="65"/>
      <c r="I19" s="96"/>
      <c r="J19" s="106" t="s">
        <v>81</v>
      </c>
      <c r="K19" s="106"/>
      <c r="L19" s="33"/>
    </row>
    <row r="20" spans="1:12" ht="12.75">
      <c r="A20" s="96"/>
      <c r="B20" s="68" t="s">
        <v>24</v>
      </c>
      <c r="C20" s="106"/>
      <c r="D20" s="101"/>
      <c r="E20" s="96"/>
      <c r="F20" s="68" t="s">
        <v>24</v>
      </c>
      <c r="G20" s="106"/>
      <c r="H20" s="65"/>
      <c r="I20" s="96"/>
      <c r="J20" s="68" t="s">
        <v>24</v>
      </c>
      <c r="K20" s="106"/>
      <c r="L20" s="37"/>
    </row>
    <row r="21" spans="1:12" ht="12.75">
      <c r="A21" s="96"/>
      <c r="B21" s="106" t="s">
        <v>8</v>
      </c>
      <c r="C21" s="106"/>
      <c r="D21" s="101"/>
      <c r="E21" s="96"/>
      <c r="F21" s="106" t="s">
        <v>8</v>
      </c>
      <c r="G21" s="106"/>
      <c r="H21" s="65"/>
      <c r="I21" s="96"/>
      <c r="J21" s="106" t="s">
        <v>8</v>
      </c>
      <c r="K21" s="106"/>
      <c r="L21" s="37"/>
    </row>
    <row r="22" spans="1:12" ht="12.75">
      <c r="A22" s="96"/>
      <c r="B22" s="106" t="s">
        <v>181</v>
      </c>
      <c r="C22" s="107"/>
      <c r="D22" s="101"/>
      <c r="E22" s="96"/>
      <c r="F22" s="106" t="s">
        <v>181</v>
      </c>
      <c r="G22" s="107"/>
      <c r="H22" s="95"/>
      <c r="I22" s="96"/>
      <c r="J22" s="106" t="s">
        <v>181</v>
      </c>
      <c r="K22" s="107"/>
      <c r="L22" s="37"/>
    </row>
    <row r="23" spans="1:12" ht="12.75">
      <c r="A23" s="96"/>
      <c r="B23" s="106" t="s">
        <v>26</v>
      </c>
      <c r="C23" s="107"/>
      <c r="D23" s="101"/>
      <c r="E23" s="96"/>
      <c r="F23" s="106" t="s">
        <v>26</v>
      </c>
      <c r="G23" s="107"/>
      <c r="H23" s="95"/>
      <c r="I23" s="96"/>
      <c r="J23" s="106" t="s">
        <v>26</v>
      </c>
      <c r="K23" s="107"/>
      <c r="L23" s="37"/>
    </row>
    <row r="24" spans="1:12" ht="12.75">
      <c r="A24" s="96"/>
      <c r="B24" s="106" t="s">
        <v>191</v>
      </c>
      <c r="C24" s="67"/>
      <c r="D24" s="101"/>
      <c r="E24" s="96"/>
      <c r="F24" s="106" t="s">
        <v>28</v>
      </c>
      <c r="G24" s="67"/>
      <c r="H24" s="95"/>
      <c r="I24" s="96"/>
      <c r="J24" s="106" t="s">
        <v>28</v>
      </c>
      <c r="K24" s="67"/>
      <c r="L24" s="37"/>
    </row>
    <row r="25" spans="1:12" ht="12.75">
      <c r="A25" s="96"/>
      <c r="B25" s="106" t="s">
        <v>29</v>
      </c>
      <c r="C25" s="68"/>
      <c r="D25" s="101"/>
      <c r="E25" s="96"/>
      <c r="F25" s="106" t="s">
        <v>29</v>
      </c>
      <c r="G25" s="68"/>
      <c r="H25" s="95"/>
      <c r="I25" s="96"/>
      <c r="J25" s="106" t="s">
        <v>29</v>
      </c>
      <c r="K25" s="68"/>
      <c r="L25" s="37"/>
    </row>
    <row r="26" spans="1:12" ht="12.75">
      <c r="A26" s="96"/>
      <c r="B26" s="106" t="s">
        <v>121</v>
      </c>
      <c r="C26" s="68"/>
      <c r="D26" s="109"/>
      <c r="E26" s="96"/>
      <c r="F26" s="106" t="s">
        <v>121</v>
      </c>
      <c r="G26" s="68"/>
      <c r="H26" s="95"/>
      <c r="I26" s="96"/>
      <c r="J26" s="106" t="s">
        <v>121</v>
      </c>
      <c r="K26" s="68"/>
      <c r="L26" s="39"/>
    </row>
    <row r="27" spans="1:12" ht="12.75">
      <c r="A27" s="96"/>
      <c r="B27" s="106" t="s">
        <v>30</v>
      </c>
      <c r="C27" s="67"/>
      <c r="D27" s="101"/>
      <c r="E27" s="96"/>
      <c r="F27" s="106" t="s">
        <v>30</v>
      </c>
      <c r="G27" s="67"/>
      <c r="H27" s="95"/>
      <c r="I27" s="96"/>
      <c r="J27" s="106" t="s">
        <v>30</v>
      </c>
      <c r="K27" s="67"/>
      <c r="L27" s="37"/>
    </row>
    <row r="28" spans="1:12" ht="12.75">
      <c r="A28" s="96"/>
      <c r="B28" s="106" t="s">
        <v>31</v>
      </c>
      <c r="C28" s="67"/>
      <c r="D28" s="95"/>
      <c r="E28" s="96"/>
      <c r="F28" s="106" t="s">
        <v>31</v>
      </c>
      <c r="G28" s="67"/>
      <c r="H28" s="95"/>
      <c r="I28" s="96"/>
      <c r="J28" s="106" t="s">
        <v>31</v>
      </c>
      <c r="K28" s="67"/>
      <c r="L28" s="33"/>
    </row>
    <row r="29" spans="1:12" ht="12.75">
      <c r="A29" s="96"/>
      <c r="B29" s="108" t="s">
        <v>32</v>
      </c>
      <c r="C29" s="117">
        <f>C26*10^(-C24/10)+C27+C28</f>
        <v>0</v>
      </c>
      <c r="D29" s="95"/>
      <c r="E29" s="96"/>
      <c r="F29" s="108" t="s">
        <v>32</v>
      </c>
      <c r="G29" s="117">
        <f>G26*10^(-G24/10)+G27+G28</f>
        <v>0</v>
      </c>
      <c r="H29" s="95"/>
      <c r="I29" s="96"/>
      <c r="J29" s="108" t="s">
        <v>32</v>
      </c>
      <c r="K29" s="117">
        <f>K26*10^(-K24/10)+K27+K28</f>
        <v>0</v>
      </c>
      <c r="L29" s="33"/>
    </row>
    <row r="30" spans="1:12" ht="12.75">
      <c r="A30" s="96"/>
      <c r="B30" s="108" t="s">
        <v>33</v>
      </c>
      <c r="C30" s="117" t="e">
        <f>10*LOG(C29)</f>
        <v>#NUM!</v>
      </c>
      <c r="D30" s="95"/>
      <c r="E30" s="96"/>
      <c r="F30" s="108" t="s">
        <v>33</v>
      </c>
      <c r="G30" s="117" t="e">
        <f>10*LOG(G29)</f>
        <v>#NUM!</v>
      </c>
      <c r="H30" s="95"/>
      <c r="I30" s="96"/>
      <c r="J30" s="108" t="s">
        <v>33</v>
      </c>
      <c r="K30" s="117" t="e">
        <f>10*LOG(K29)</f>
        <v>#NUM!</v>
      </c>
      <c r="L30" s="33"/>
    </row>
    <row r="31" spans="1:12" ht="12.75">
      <c r="A31" s="96"/>
      <c r="B31" s="78" t="s">
        <v>9</v>
      </c>
      <c r="C31" s="117" t="e">
        <f>C22-C24-C30</f>
        <v>#NUM!</v>
      </c>
      <c r="D31" s="95"/>
      <c r="E31" s="96"/>
      <c r="F31" s="78" t="s">
        <v>9</v>
      </c>
      <c r="G31" s="117" t="e">
        <f>G22-G24-G30</f>
        <v>#NUM!</v>
      </c>
      <c r="H31" s="95"/>
      <c r="I31" s="96"/>
      <c r="J31" s="78" t="s">
        <v>9</v>
      </c>
      <c r="K31" s="117" t="e">
        <f>K22-K24-K30</f>
        <v>#NUM!</v>
      </c>
      <c r="L31" s="33"/>
    </row>
    <row r="32" spans="1:12" ht="12.75">
      <c r="A32" s="96"/>
      <c r="B32" s="68" t="s">
        <v>208</v>
      </c>
      <c r="C32" s="107"/>
      <c r="D32" s="95"/>
      <c r="E32" s="96"/>
      <c r="F32" s="108" t="s">
        <v>10</v>
      </c>
      <c r="G32" s="117" t="e">
        <f>G7-SUM(G13:G19)+G31+228.6-30+G22</f>
        <v>#NUM!</v>
      </c>
      <c r="H32" s="95"/>
      <c r="I32" s="96"/>
      <c r="J32" s="68" t="s">
        <v>142</v>
      </c>
      <c r="K32" s="107"/>
      <c r="L32" s="33"/>
    </row>
    <row r="33" spans="1:12" ht="12.75">
      <c r="A33" s="96"/>
      <c r="B33" s="108" t="s">
        <v>10</v>
      </c>
      <c r="C33" s="117" t="e">
        <f>C7-SUM(C13:C19)+C31+228.6-30+C22</f>
        <v>#NUM!</v>
      </c>
      <c r="D33" s="95"/>
      <c r="E33" s="96"/>
      <c r="F33" s="106" t="s">
        <v>82</v>
      </c>
      <c r="G33" s="107"/>
      <c r="H33" s="95"/>
      <c r="I33" s="96"/>
      <c r="J33" s="108" t="s">
        <v>10</v>
      </c>
      <c r="K33" s="117" t="e">
        <f>K7-SUM(K13:K19)+K31+228.6-30+K22</f>
        <v>#NUM!</v>
      </c>
      <c r="L33" s="33"/>
    </row>
    <row r="34" spans="1:12" ht="12.75">
      <c r="A34" s="94"/>
      <c r="B34" s="106" t="s">
        <v>82</v>
      </c>
      <c r="C34" s="107"/>
      <c r="D34" s="95"/>
      <c r="E34" s="94"/>
      <c r="F34" s="78" t="s">
        <v>22</v>
      </c>
      <c r="G34" s="80" t="e">
        <f>G32-10*LOG(G5*1000)-G33</f>
        <v>#NUM!</v>
      </c>
      <c r="H34" s="95"/>
      <c r="I34" s="94"/>
      <c r="J34" s="106" t="s">
        <v>82</v>
      </c>
      <c r="K34" s="107"/>
      <c r="L34" s="33"/>
    </row>
    <row r="35" spans="1:12" ht="12.75">
      <c r="A35" s="94"/>
      <c r="B35" s="78" t="s">
        <v>22</v>
      </c>
      <c r="C35" s="80" t="e">
        <f>C33-10*LOG(C5*1000)-C34</f>
        <v>#NUM!</v>
      </c>
      <c r="D35" s="95"/>
      <c r="E35" s="94"/>
      <c r="F35" s="95" t="s">
        <v>85</v>
      </c>
      <c r="G35" s="95">
        <v>4.6</v>
      </c>
      <c r="H35" s="95"/>
      <c r="I35" s="94"/>
      <c r="J35" s="78" t="s">
        <v>22</v>
      </c>
      <c r="K35" s="80" t="e">
        <f>K33-10*LOG(K5*1000)-K34</f>
        <v>#NUM!</v>
      </c>
      <c r="L35" s="33"/>
    </row>
    <row r="36" spans="1:11" ht="12.75">
      <c r="A36" s="94"/>
      <c r="B36" s="95" t="s">
        <v>85</v>
      </c>
      <c r="C36" s="95">
        <v>4.6</v>
      </c>
      <c r="D36" s="94"/>
      <c r="E36" s="94"/>
      <c r="F36" s="106" t="s">
        <v>11</v>
      </c>
      <c r="G36" s="68"/>
      <c r="H36" s="94"/>
      <c r="I36" s="94"/>
      <c r="J36" s="95" t="s">
        <v>85</v>
      </c>
      <c r="K36" s="95">
        <v>4.6</v>
      </c>
    </row>
    <row r="37" spans="1:11" ht="12.75">
      <c r="A37" s="94"/>
      <c r="B37" s="106" t="s">
        <v>11</v>
      </c>
      <c r="C37" s="68"/>
      <c r="D37" s="94"/>
      <c r="E37" s="94"/>
      <c r="F37" s="78" t="s">
        <v>101</v>
      </c>
      <c r="G37" s="80" t="e">
        <f>G34-G35-G36</f>
        <v>#NUM!</v>
      </c>
      <c r="H37" s="94"/>
      <c r="I37" s="94"/>
      <c r="J37" s="106" t="s">
        <v>11</v>
      </c>
      <c r="K37" s="68"/>
    </row>
    <row r="38" spans="1:11" ht="12.75">
      <c r="A38" s="94"/>
      <c r="B38" s="78" t="s">
        <v>101</v>
      </c>
      <c r="C38" s="80" t="e">
        <f>C35-C36-C37</f>
        <v>#NUM!</v>
      </c>
      <c r="D38" s="94"/>
      <c r="E38" s="94"/>
      <c r="H38" s="94"/>
      <c r="I38" s="94"/>
      <c r="J38" s="78" t="s">
        <v>23</v>
      </c>
      <c r="K38" s="80" t="e">
        <f>K35-K36-K37</f>
        <v>#NUM!</v>
      </c>
    </row>
    <row r="42" ht="12.75">
      <c r="B42" s="34" t="s">
        <v>113</v>
      </c>
    </row>
  </sheetData>
  <printOptions gridLines="1"/>
  <pageMargins left="0.56" right="0.55" top="0.55" bottom="0.5" header="0.33" footer="0.5"/>
  <pageSetup fitToHeight="1" fitToWidth="1" horizontalDpi="600" verticalDpi="600" orientation="landscape" scale="71" r:id="rId1"/>
  <headerFooter alignWithMargins="0">
    <oddHeader>&amp;L&amp;F     Printed &amp;D &amp;T&amp;C &amp;A&amp;R&amp;P/&amp;N</oddHeader>
  </headerFooter>
</worksheet>
</file>

<file path=xl/worksheets/sheet12.xml><?xml version="1.0" encoding="utf-8"?>
<worksheet xmlns="http://schemas.openxmlformats.org/spreadsheetml/2006/main" xmlns:r="http://schemas.openxmlformats.org/officeDocument/2006/relationships">
  <sheetPr codeName="Sheet13">
    <tabColor indexed="47"/>
    <pageSetUpPr fitToPage="1"/>
  </sheetPr>
  <dimension ref="A1:O39"/>
  <sheetViews>
    <sheetView workbookViewId="0" topLeftCell="A3">
      <selection activeCell="G46" sqref="G46"/>
    </sheetView>
  </sheetViews>
  <sheetFormatPr defaultColWidth="9.140625" defaultRowHeight="12.75"/>
  <cols>
    <col min="1" max="1" width="4.28125" style="32" customWidth="1"/>
    <col min="2" max="2" width="34.57421875" style="32" customWidth="1"/>
    <col min="3" max="3" width="13.8515625" style="32" customWidth="1"/>
    <col min="4" max="4" width="4.7109375" style="32" customWidth="1"/>
    <col min="5" max="5" width="6.140625" style="32" customWidth="1"/>
    <col min="6" max="6" width="33.140625" style="32" customWidth="1"/>
    <col min="7" max="7" width="19.421875" style="32" customWidth="1"/>
    <col min="8" max="8" width="5.28125" style="32" customWidth="1"/>
    <col min="9" max="9" width="6.140625" style="32" customWidth="1"/>
    <col min="10" max="10" width="33.140625" style="32" customWidth="1"/>
    <col min="11" max="11" width="19.421875" style="32" customWidth="1"/>
    <col min="12" max="12" width="9.140625" style="32" customWidth="1"/>
    <col min="13" max="13" width="6.140625" style="32" customWidth="1"/>
    <col min="14" max="14" width="33.140625" style="32" customWidth="1"/>
    <col min="15" max="15" width="19.421875" style="32" customWidth="1"/>
    <col min="16" max="16384" width="9.140625" style="32" customWidth="1"/>
  </cols>
  <sheetData>
    <row r="1" spans="1:11" ht="12.75">
      <c r="A1" s="86"/>
      <c r="B1" s="113" t="s">
        <v>115</v>
      </c>
      <c r="C1" s="86"/>
      <c r="E1" s="86"/>
      <c r="F1" s="86"/>
      <c r="G1" s="86"/>
      <c r="I1" s="86"/>
      <c r="J1" s="86"/>
      <c r="K1" s="86"/>
    </row>
    <row r="2" spans="1:15" ht="12.75">
      <c r="A2" s="44"/>
      <c r="B2" s="46" t="s">
        <v>134</v>
      </c>
      <c r="C2" s="45"/>
      <c r="D2" s="2"/>
      <c r="E2" s="44"/>
      <c r="F2" s="46" t="s">
        <v>116</v>
      </c>
      <c r="G2" s="45"/>
      <c r="H2" s="2"/>
      <c r="I2" s="44"/>
      <c r="J2" s="46" t="s">
        <v>140</v>
      </c>
      <c r="K2" s="45"/>
      <c r="M2" s="44"/>
      <c r="N2" s="46" t="s">
        <v>141</v>
      </c>
      <c r="O2" s="45"/>
    </row>
    <row r="3" spans="1:15" ht="12.75">
      <c r="A3" s="47" t="s">
        <v>38</v>
      </c>
      <c r="B3" s="45"/>
      <c r="C3" s="48"/>
      <c r="D3" s="10"/>
      <c r="E3" s="47" t="s">
        <v>38</v>
      </c>
      <c r="F3" s="45"/>
      <c r="G3" s="48"/>
      <c r="H3" s="10"/>
      <c r="I3" s="47" t="s">
        <v>38</v>
      </c>
      <c r="J3" s="45" t="s">
        <v>1</v>
      </c>
      <c r="K3" s="48"/>
      <c r="M3" s="47" t="s">
        <v>38</v>
      </c>
      <c r="N3" s="45" t="s">
        <v>1</v>
      </c>
      <c r="O3" s="48"/>
    </row>
    <row r="4" spans="1:15" ht="12.75">
      <c r="A4" s="49"/>
      <c r="B4" s="45" t="s">
        <v>120</v>
      </c>
      <c r="C4" s="45">
        <v>2036</v>
      </c>
      <c r="D4" s="2"/>
      <c r="E4" s="49"/>
      <c r="F4" s="45" t="s">
        <v>120</v>
      </c>
      <c r="G4" s="45">
        <v>2036</v>
      </c>
      <c r="H4" s="4"/>
      <c r="I4" s="49"/>
      <c r="J4" s="45" t="s">
        <v>120</v>
      </c>
      <c r="K4" s="45">
        <v>2036</v>
      </c>
      <c r="M4" s="49"/>
      <c r="N4" s="45" t="s">
        <v>120</v>
      </c>
      <c r="O4" s="45">
        <v>2036</v>
      </c>
    </row>
    <row r="5" spans="1:15" ht="12.75">
      <c r="A5" s="49"/>
      <c r="B5" s="45" t="s">
        <v>16</v>
      </c>
      <c r="C5" s="53">
        <v>0.87</v>
      </c>
      <c r="D5" s="2"/>
      <c r="E5" s="49"/>
      <c r="F5" s="45" t="s">
        <v>16</v>
      </c>
      <c r="G5" s="53">
        <v>0.87</v>
      </c>
      <c r="H5" s="4"/>
      <c r="I5" s="49"/>
      <c r="J5" s="45" t="s">
        <v>16</v>
      </c>
      <c r="K5" s="53">
        <v>0.87</v>
      </c>
      <c r="M5" s="49"/>
      <c r="N5" s="45" t="s">
        <v>16</v>
      </c>
      <c r="O5" s="53">
        <v>0.87</v>
      </c>
    </row>
    <row r="6" spans="1:15" ht="12.75">
      <c r="A6" s="49"/>
      <c r="B6" s="45" t="s">
        <v>83</v>
      </c>
      <c r="C6" s="53">
        <f>C5*8/7</f>
        <v>0.9942857142857143</v>
      </c>
      <c r="D6" s="6"/>
      <c r="E6" s="49"/>
      <c r="F6" s="45" t="s">
        <v>83</v>
      </c>
      <c r="G6" s="53">
        <f>G5*8/7</f>
        <v>0.9942857142857143</v>
      </c>
      <c r="H6" s="4"/>
      <c r="I6" s="49"/>
      <c r="J6" s="45" t="s">
        <v>83</v>
      </c>
      <c r="K6" s="53">
        <f>K5*8/7</f>
        <v>0.9942857142857143</v>
      </c>
      <c r="M6" s="49"/>
      <c r="N6" s="45" t="s">
        <v>83</v>
      </c>
      <c r="O6" s="53">
        <f>O5*8/7</f>
        <v>0.9942857142857143</v>
      </c>
    </row>
    <row r="7" spans="1:15" ht="12.75">
      <c r="A7" s="48"/>
      <c r="B7" s="48" t="s">
        <v>109</v>
      </c>
      <c r="C7" s="56">
        <v>113.25</v>
      </c>
      <c r="D7" s="7"/>
      <c r="E7" s="48"/>
      <c r="F7" s="48" t="s">
        <v>109</v>
      </c>
      <c r="G7" s="56">
        <v>113.25</v>
      </c>
      <c r="H7" s="4"/>
      <c r="I7" s="48"/>
      <c r="J7" s="48" t="s">
        <v>109</v>
      </c>
      <c r="K7" s="56">
        <v>100.5</v>
      </c>
      <c r="M7" s="48"/>
      <c r="N7" s="48" t="s">
        <v>109</v>
      </c>
      <c r="O7" s="56">
        <v>100.5</v>
      </c>
    </row>
    <row r="8" spans="1:15" ht="12.75">
      <c r="A8" s="49"/>
      <c r="B8" s="45"/>
      <c r="C8" s="53"/>
      <c r="D8" s="1"/>
      <c r="E8" s="49"/>
      <c r="F8" s="45"/>
      <c r="G8" s="53"/>
      <c r="H8" s="2"/>
      <c r="I8" s="49"/>
      <c r="J8" s="45"/>
      <c r="K8" s="53"/>
      <c r="M8" s="49"/>
      <c r="N8" s="45"/>
      <c r="O8" s="53"/>
    </row>
    <row r="9" spans="1:15" ht="12.75">
      <c r="A9" s="47" t="s">
        <v>39</v>
      </c>
      <c r="B9" s="59"/>
      <c r="C9" s="60"/>
      <c r="D9" s="23"/>
      <c r="E9" s="47" t="s">
        <v>39</v>
      </c>
      <c r="F9" s="59"/>
      <c r="G9" s="60"/>
      <c r="H9" s="2"/>
      <c r="I9" s="47" t="s">
        <v>39</v>
      </c>
      <c r="J9" s="59"/>
      <c r="K9" s="60"/>
      <c r="M9" s="47" t="s">
        <v>39</v>
      </c>
      <c r="N9" s="59"/>
      <c r="O9" s="60"/>
    </row>
    <row r="10" spans="1:15" ht="12.75">
      <c r="A10" s="49"/>
      <c r="B10" s="45" t="s">
        <v>4</v>
      </c>
      <c r="C10" s="83">
        <v>40183</v>
      </c>
      <c r="D10" s="1"/>
      <c r="E10" s="49"/>
      <c r="F10" s="45" t="s">
        <v>4</v>
      </c>
      <c r="G10" s="83">
        <v>100000</v>
      </c>
      <c r="H10" s="2"/>
      <c r="I10" s="49"/>
      <c r="J10" s="45" t="s">
        <v>4</v>
      </c>
      <c r="K10" s="45">
        <v>40183</v>
      </c>
      <c r="M10" s="49"/>
      <c r="N10" s="45" t="s">
        <v>4</v>
      </c>
      <c r="O10" s="45">
        <v>40183</v>
      </c>
    </row>
    <row r="11" spans="1:15" ht="12.75">
      <c r="A11" s="49"/>
      <c r="B11" s="45" t="s">
        <v>5</v>
      </c>
      <c r="C11" s="53">
        <f>-(20*LOG(299.792458/(C4*4*3.141592654))-20*LOG(C10*1000))</f>
        <v>190.70418584371478</v>
      </c>
      <c r="D11" s="4"/>
      <c r="E11" s="49"/>
      <c r="F11" s="45" t="s">
        <v>5</v>
      </c>
      <c r="G11" s="53">
        <f>-(20*LOG(299.792458/(G4*4*3.141592654))-20*LOG(G10*1000))</f>
        <v>198.62333869631195</v>
      </c>
      <c r="H11" s="4"/>
      <c r="I11" s="49"/>
      <c r="J11" s="45" t="s">
        <v>5</v>
      </c>
      <c r="K11" s="53">
        <f>-(20*LOG(299.792458/(K4*4*3.141592654))-20*LOG(K10*1000))</f>
        <v>190.70418584371478</v>
      </c>
      <c r="M11" s="49"/>
      <c r="N11" s="45" t="s">
        <v>5</v>
      </c>
      <c r="O11" s="53">
        <f>-(20*LOG(299.792458/(O4*4*3.141592654))-20*LOG(O10*1000))</f>
        <v>190.70418584371478</v>
      </c>
    </row>
    <row r="12" spans="1:15" ht="12.75">
      <c r="A12" s="49"/>
      <c r="B12" s="45" t="s">
        <v>20</v>
      </c>
      <c r="C12" s="53">
        <v>1</v>
      </c>
      <c r="D12" s="4"/>
      <c r="E12" s="49"/>
      <c r="F12" s="45" t="s">
        <v>20</v>
      </c>
      <c r="G12" s="53">
        <v>2.5</v>
      </c>
      <c r="H12" s="4"/>
      <c r="I12" s="49"/>
      <c r="J12" s="45" t="s">
        <v>20</v>
      </c>
      <c r="K12" s="53">
        <v>1</v>
      </c>
      <c r="M12" s="49"/>
      <c r="N12" s="45" t="s">
        <v>20</v>
      </c>
      <c r="O12" s="53">
        <v>1</v>
      </c>
    </row>
    <row r="13" spans="1:15" ht="12.75">
      <c r="A13" s="49"/>
      <c r="B13" s="45"/>
      <c r="C13" s="53"/>
      <c r="D13" s="4"/>
      <c r="E13" s="49"/>
      <c r="F13" s="45"/>
      <c r="G13" s="53"/>
      <c r="H13" s="4"/>
      <c r="I13" s="49"/>
      <c r="J13" s="45"/>
      <c r="K13" s="53"/>
      <c r="M13" s="49"/>
      <c r="N13" s="45"/>
      <c r="O13" s="53"/>
    </row>
    <row r="14" spans="1:15" ht="12.75">
      <c r="A14" s="47" t="s">
        <v>40</v>
      </c>
      <c r="B14" s="45"/>
      <c r="C14" s="53"/>
      <c r="D14" s="1"/>
      <c r="E14" s="47" t="s">
        <v>40</v>
      </c>
      <c r="F14" s="45"/>
      <c r="G14" s="53"/>
      <c r="H14" s="4"/>
      <c r="I14" s="47" t="s">
        <v>40</v>
      </c>
      <c r="J14" s="45"/>
      <c r="K14" s="53"/>
      <c r="M14" s="47" t="s">
        <v>40</v>
      </c>
      <c r="N14" s="45"/>
      <c r="O14" s="53"/>
    </row>
    <row r="15" spans="1:15" ht="12.75">
      <c r="A15" s="49"/>
      <c r="B15" s="74" t="s">
        <v>6</v>
      </c>
      <c r="C15" s="50"/>
      <c r="D15" s="2"/>
      <c r="E15" s="49"/>
      <c r="F15" s="74" t="s">
        <v>6</v>
      </c>
      <c r="G15" s="50"/>
      <c r="H15" s="1"/>
      <c r="I15" s="49"/>
      <c r="J15" s="74" t="s">
        <v>6</v>
      </c>
      <c r="K15" s="50">
        <v>4.1</v>
      </c>
      <c r="M15" s="49"/>
      <c r="N15" s="74" t="s">
        <v>6</v>
      </c>
      <c r="O15" s="50">
        <v>0.2</v>
      </c>
    </row>
    <row r="16" spans="1:15" ht="12.75">
      <c r="A16" s="49"/>
      <c r="B16" s="50" t="s">
        <v>43</v>
      </c>
      <c r="C16" s="50"/>
      <c r="D16" s="1"/>
      <c r="E16" s="49"/>
      <c r="F16" s="50" t="s">
        <v>43</v>
      </c>
      <c r="G16" s="50"/>
      <c r="H16" s="2"/>
      <c r="I16" s="49"/>
      <c r="J16" s="50" t="s">
        <v>43</v>
      </c>
      <c r="K16" s="50">
        <v>0.5</v>
      </c>
      <c r="M16" s="49"/>
      <c r="N16" s="50" t="s">
        <v>43</v>
      </c>
      <c r="O16" s="50">
        <v>0.5</v>
      </c>
    </row>
    <row r="17" spans="1:15" ht="12.75">
      <c r="A17" s="49"/>
      <c r="B17" s="50" t="s">
        <v>81</v>
      </c>
      <c r="C17" s="50"/>
      <c r="D17" s="14"/>
      <c r="E17" s="49"/>
      <c r="F17" s="50" t="s">
        <v>81</v>
      </c>
      <c r="G17" s="50"/>
      <c r="H17" s="2"/>
      <c r="I17" s="49"/>
      <c r="J17" s="50" t="s">
        <v>81</v>
      </c>
      <c r="K17" s="50">
        <v>1</v>
      </c>
      <c r="M17" s="49"/>
      <c r="N17" s="50" t="s">
        <v>81</v>
      </c>
      <c r="O17" s="50">
        <v>8</v>
      </c>
    </row>
    <row r="18" spans="1:15" ht="12.75">
      <c r="A18" s="49"/>
      <c r="B18" s="68" t="s">
        <v>24</v>
      </c>
      <c r="C18" s="50"/>
      <c r="D18" s="9"/>
      <c r="E18" s="49"/>
      <c r="F18" s="68" t="s">
        <v>24</v>
      </c>
      <c r="G18" s="50"/>
      <c r="H18" s="4"/>
      <c r="I18" s="49"/>
      <c r="J18" s="68" t="s">
        <v>24</v>
      </c>
      <c r="K18" s="50"/>
      <c r="M18" s="49"/>
      <c r="N18" s="68" t="s">
        <v>24</v>
      </c>
      <c r="O18" s="50"/>
    </row>
    <row r="19" spans="1:15" ht="12.75">
      <c r="A19" s="49"/>
      <c r="B19" s="50" t="s">
        <v>8</v>
      </c>
      <c r="C19" s="50"/>
      <c r="D19" s="9"/>
      <c r="E19" s="49"/>
      <c r="F19" s="50" t="s">
        <v>8</v>
      </c>
      <c r="G19" s="50"/>
      <c r="H19" s="2"/>
      <c r="I19" s="49"/>
      <c r="J19" s="50" t="s">
        <v>8</v>
      </c>
      <c r="K19" s="50"/>
      <c r="M19" s="49"/>
      <c r="N19" s="50" t="s">
        <v>8</v>
      </c>
      <c r="O19" s="50"/>
    </row>
    <row r="20" spans="1:15" ht="12.75">
      <c r="A20" s="49"/>
      <c r="B20" s="50" t="s">
        <v>25</v>
      </c>
      <c r="C20" s="54"/>
      <c r="D20" s="15"/>
      <c r="E20" s="49"/>
      <c r="F20" s="50" t="s">
        <v>25</v>
      </c>
      <c r="G20" s="54"/>
      <c r="H20" s="2"/>
      <c r="I20" s="49"/>
      <c r="J20" s="50" t="s">
        <v>25</v>
      </c>
      <c r="K20" s="54">
        <v>0</v>
      </c>
      <c r="M20" s="49"/>
      <c r="N20" s="50" t="s">
        <v>25</v>
      </c>
      <c r="O20" s="54">
        <v>8</v>
      </c>
    </row>
    <row r="21" spans="1:15" ht="12.75">
      <c r="A21" s="49"/>
      <c r="B21" s="50" t="s">
        <v>26</v>
      </c>
      <c r="C21" s="62"/>
      <c r="D21" s="1"/>
      <c r="E21" s="49"/>
      <c r="F21" s="50" t="s">
        <v>26</v>
      </c>
      <c r="G21" s="62"/>
      <c r="H21" s="2"/>
      <c r="I21" s="49"/>
      <c r="J21" s="50" t="s">
        <v>26</v>
      </c>
      <c r="K21" s="62"/>
      <c r="M21" s="49"/>
      <c r="N21" s="50" t="s">
        <v>26</v>
      </c>
      <c r="O21" s="62"/>
    </row>
    <row r="22" spans="1:15" ht="12.75">
      <c r="A22" s="49"/>
      <c r="B22" s="50" t="s">
        <v>28</v>
      </c>
      <c r="C22" s="67"/>
      <c r="D22" s="2"/>
      <c r="E22" s="49"/>
      <c r="F22" s="50" t="s">
        <v>28</v>
      </c>
      <c r="G22" s="67"/>
      <c r="H22" s="3"/>
      <c r="I22" s="49"/>
      <c r="J22" s="50" t="s">
        <v>28</v>
      </c>
      <c r="K22" s="67">
        <v>1.3</v>
      </c>
      <c r="M22" s="49"/>
      <c r="N22" s="50" t="s">
        <v>28</v>
      </c>
      <c r="O22" s="67">
        <v>1.3</v>
      </c>
    </row>
    <row r="23" spans="1:15" ht="12.75">
      <c r="A23" s="49"/>
      <c r="B23" s="50" t="s">
        <v>29</v>
      </c>
      <c r="C23" s="68"/>
      <c r="D23" s="5"/>
      <c r="E23" s="49"/>
      <c r="F23" s="50" t="s">
        <v>29</v>
      </c>
      <c r="G23" s="68"/>
      <c r="H23" s="15"/>
      <c r="I23" s="49"/>
      <c r="J23" s="50" t="s">
        <v>29</v>
      </c>
      <c r="K23" s="68">
        <v>1</v>
      </c>
      <c r="M23" s="49"/>
      <c r="N23" s="50" t="s">
        <v>29</v>
      </c>
      <c r="O23" s="68">
        <v>1</v>
      </c>
    </row>
    <row r="24" spans="1:15" ht="12.75">
      <c r="A24" s="49"/>
      <c r="B24" s="50" t="s">
        <v>121</v>
      </c>
      <c r="C24" s="68"/>
      <c r="D24" s="1"/>
      <c r="E24" s="49"/>
      <c r="F24" s="50" t="s">
        <v>121</v>
      </c>
      <c r="G24" s="68"/>
      <c r="H24" s="3"/>
      <c r="I24" s="49"/>
      <c r="J24" s="50" t="s">
        <v>121</v>
      </c>
      <c r="K24" s="68">
        <v>150</v>
      </c>
      <c r="M24" s="49"/>
      <c r="N24" s="50" t="s">
        <v>121</v>
      </c>
      <c r="O24" s="68">
        <v>150</v>
      </c>
    </row>
    <row r="25" spans="1:15" ht="12.75">
      <c r="A25" s="49"/>
      <c r="B25" s="50" t="s">
        <v>30</v>
      </c>
      <c r="C25" s="67"/>
      <c r="D25" s="1"/>
      <c r="E25" s="49"/>
      <c r="F25" s="50" t="s">
        <v>30</v>
      </c>
      <c r="G25" s="67"/>
      <c r="H25" s="2"/>
      <c r="I25" s="49"/>
      <c r="J25" s="50" t="s">
        <v>30</v>
      </c>
      <c r="K25" s="67">
        <v>75</v>
      </c>
      <c r="M25" s="49"/>
      <c r="N25" s="50" t="s">
        <v>30</v>
      </c>
      <c r="O25" s="67">
        <v>75</v>
      </c>
    </row>
    <row r="26" spans="1:15" ht="12.75">
      <c r="A26" s="49"/>
      <c r="B26" s="50" t="s">
        <v>31</v>
      </c>
      <c r="C26" s="67"/>
      <c r="D26" s="1"/>
      <c r="E26" s="49"/>
      <c r="F26" s="50" t="s">
        <v>31</v>
      </c>
      <c r="G26" s="67"/>
      <c r="H26" s="2"/>
      <c r="I26" s="49"/>
      <c r="J26" s="50" t="s">
        <v>31</v>
      </c>
      <c r="K26" s="67">
        <v>75</v>
      </c>
      <c r="M26" s="49"/>
      <c r="N26" s="50" t="s">
        <v>31</v>
      </c>
      <c r="O26" s="67">
        <v>75</v>
      </c>
    </row>
    <row r="27" spans="1:15" ht="12.75">
      <c r="A27" s="49"/>
      <c r="B27" s="75" t="s">
        <v>32</v>
      </c>
      <c r="C27" s="76">
        <f>C24*10^(-C22/10)+C25+C26</f>
        <v>0</v>
      </c>
      <c r="D27" s="1"/>
      <c r="E27" s="49"/>
      <c r="F27" s="75" t="s">
        <v>32</v>
      </c>
      <c r="G27" s="76">
        <f>G24*10^(-G22/10)+G25+G26</f>
        <v>0</v>
      </c>
      <c r="H27" s="2"/>
      <c r="I27" s="49"/>
      <c r="J27" s="75" t="s">
        <v>32</v>
      </c>
      <c r="K27" s="76">
        <f>K24*10^(-K22/10)+K25+K26</f>
        <v>261.1965361951376</v>
      </c>
      <c r="M27" s="49"/>
      <c r="N27" s="75" t="s">
        <v>32</v>
      </c>
      <c r="O27" s="76">
        <f>O24*10^(-O22/10)+O25+O26</f>
        <v>261.1965361951376</v>
      </c>
    </row>
    <row r="28" spans="1:15" ht="12.75">
      <c r="A28" s="49"/>
      <c r="B28" s="75" t="s">
        <v>33</v>
      </c>
      <c r="C28" s="76" t="e">
        <f>10*LOG(C27)</f>
        <v>#NUM!</v>
      </c>
      <c r="D28" s="1"/>
      <c r="E28" s="49"/>
      <c r="F28" s="75" t="s">
        <v>33</v>
      </c>
      <c r="G28" s="76" t="e">
        <f>10*LOG(G27)</f>
        <v>#NUM!</v>
      </c>
      <c r="H28" s="2"/>
      <c r="I28" s="49"/>
      <c r="J28" s="75" t="s">
        <v>33</v>
      </c>
      <c r="K28" s="76">
        <f>10*LOG(K27)</f>
        <v>24.169674133330798</v>
      </c>
      <c r="M28" s="49"/>
      <c r="N28" s="75" t="s">
        <v>33</v>
      </c>
      <c r="O28" s="76">
        <f>10*LOG(O27)</f>
        <v>24.169674133330798</v>
      </c>
    </row>
    <row r="29" spans="1:15" ht="12.75">
      <c r="A29" s="49"/>
      <c r="B29" s="78" t="s">
        <v>9</v>
      </c>
      <c r="C29" s="76" t="e">
        <f>C20-C22-C28</f>
        <v>#NUM!</v>
      </c>
      <c r="D29" s="1"/>
      <c r="E29" s="49"/>
      <c r="F29" s="78" t="s">
        <v>9</v>
      </c>
      <c r="G29" s="76" t="e">
        <f>G20-G22-G28</f>
        <v>#NUM!</v>
      </c>
      <c r="H29" s="2"/>
      <c r="I29" s="49"/>
      <c r="J29" s="78" t="s">
        <v>9</v>
      </c>
      <c r="K29" s="76">
        <f>K20-K22-K28</f>
        <v>-25.4696741333308</v>
      </c>
      <c r="M29" s="49"/>
      <c r="N29" s="78" t="s">
        <v>9</v>
      </c>
      <c r="O29" s="76">
        <f>O20-O22-O28</f>
        <v>-17.4696741333308</v>
      </c>
    </row>
    <row r="30" spans="1:15" ht="12.75">
      <c r="A30" s="49"/>
      <c r="B30" s="75" t="s">
        <v>10</v>
      </c>
      <c r="C30" s="76" t="e">
        <f>C7-SUM(C11:C17)+C29+228.6-30</f>
        <v>#NUM!</v>
      </c>
      <c r="D30" s="21"/>
      <c r="E30" s="49"/>
      <c r="F30" s="75" t="s">
        <v>10</v>
      </c>
      <c r="G30" s="76" t="e">
        <f>G7-SUM(G11:G17)+G29+228.6-30</f>
        <v>#NUM!</v>
      </c>
      <c r="H30" s="2"/>
      <c r="I30" s="49"/>
      <c r="J30" s="75" t="s">
        <v>10</v>
      </c>
      <c r="K30" s="76">
        <f>K7-SUM(K11:K17)+K29+228.6-30</f>
        <v>76.32614002295442</v>
      </c>
      <c r="M30" s="49"/>
      <c r="N30" s="75" t="s">
        <v>10</v>
      </c>
      <c r="O30" s="76">
        <f>O7-SUM(O11:O17)+O29+228.6-30</f>
        <v>81.22614002295443</v>
      </c>
    </row>
    <row r="31" spans="1:15" ht="12.75">
      <c r="A31" s="70"/>
      <c r="B31" s="50" t="s">
        <v>82</v>
      </c>
      <c r="C31" s="54"/>
      <c r="D31" s="1"/>
      <c r="E31" s="70"/>
      <c r="F31" s="50" t="s">
        <v>82</v>
      </c>
      <c r="G31" s="54"/>
      <c r="H31" s="2"/>
      <c r="I31" s="70"/>
      <c r="J31" s="50" t="s">
        <v>82</v>
      </c>
      <c r="K31" s="54">
        <v>0.2</v>
      </c>
      <c r="M31" s="70"/>
      <c r="N31" s="50" t="s">
        <v>82</v>
      </c>
      <c r="O31" s="54">
        <v>0.2</v>
      </c>
    </row>
    <row r="32" spans="1:15" ht="12.75">
      <c r="A32" s="70"/>
      <c r="B32" s="50" t="s">
        <v>198</v>
      </c>
      <c r="C32" s="54"/>
      <c r="D32" s="1"/>
      <c r="E32" s="70"/>
      <c r="F32" s="50" t="s">
        <v>198</v>
      </c>
      <c r="G32" s="54"/>
      <c r="H32" s="2"/>
      <c r="I32" s="70"/>
      <c r="J32" s="50" t="s">
        <v>198</v>
      </c>
      <c r="K32" s="54"/>
      <c r="M32" s="70"/>
      <c r="N32" s="50"/>
      <c r="O32" s="54"/>
    </row>
    <row r="33" spans="1:15" ht="12.75">
      <c r="A33" s="86"/>
      <c r="B33" s="50" t="s">
        <v>190</v>
      </c>
      <c r="C33" s="54"/>
      <c r="D33" s="1"/>
      <c r="E33" s="86"/>
      <c r="F33" s="50" t="s">
        <v>190</v>
      </c>
      <c r="G33" s="54"/>
      <c r="H33" s="2"/>
      <c r="I33" s="86"/>
      <c r="J33" s="50" t="s">
        <v>190</v>
      </c>
      <c r="K33" s="54"/>
      <c r="M33" s="86"/>
      <c r="N33" s="45"/>
      <c r="O33" s="53"/>
    </row>
    <row r="34" spans="1:15" ht="12.75">
      <c r="A34" s="70"/>
      <c r="B34" s="78" t="s">
        <v>22</v>
      </c>
      <c r="C34" s="80" t="e">
        <f>C30-10*LOG(C5*1000)-C31-C33</f>
        <v>#NUM!</v>
      </c>
      <c r="D34" s="2"/>
      <c r="E34" s="70"/>
      <c r="F34" s="78" t="s">
        <v>22</v>
      </c>
      <c r="G34" s="80" t="e">
        <f>G30-10*LOG(G5*1000)-G31</f>
        <v>#NUM!</v>
      </c>
      <c r="H34" s="2"/>
      <c r="I34" s="70"/>
      <c r="J34" s="78" t="s">
        <v>22</v>
      </c>
      <c r="K34" s="80">
        <f>K30-10*LOG(K5*1000)-K31</f>
        <v>46.73094749676823</v>
      </c>
      <c r="M34" s="70"/>
      <c r="N34" s="124" t="s">
        <v>142</v>
      </c>
      <c r="O34" s="160"/>
    </row>
    <row r="35" spans="1:15" ht="12.75">
      <c r="A35" s="70"/>
      <c r="B35" s="45" t="s">
        <v>85</v>
      </c>
      <c r="C35" s="45">
        <v>4.6</v>
      </c>
      <c r="D35" s="2"/>
      <c r="E35" s="70"/>
      <c r="F35" s="45" t="s">
        <v>85</v>
      </c>
      <c r="G35" s="45">
        <v>4.6</v>
      </c>
      <c r="H35" s="2"/>
      <c r="I35" s="70"/>
      <c r="J35" s="45" t="s">
        <v>85</v>
      </c>
      <c r="K35" s="45">
        <v>4.6</v>
      </c>
      <c r="M35" s="70"/>
      <c r="N35" s="78" t="s">
        <v>22</v>
      </c>
      <c r="O35" s="80">
        <f>O30-10*LOG(O5*1000)-O31-O34</f>
        <v>51.630947496768236</v>
      </c>
    </row>
    <row r="36" spans="1:15" ht="12.75">
      <c r="A36" s="70"/>
      <c r="B36" s="50" t="s">
        <v>11</v>
      </c>
      <c r="C36" s="68"/>
      <c r="D36" s="2"/>
      <c r="E36" s="70"/>
      <c r="F36" s="50" t="s">
        <v>11</v>
      </c>
      <c r="G36" s="68"/>
      <c r="H36" s="2"/>
      <c r="I36" s="70"/>
      <c r="J36" s="50" t="s">
        <v>11</v>
      </c>
      <c r="K36" s="68">
        <v>2.3</v>
      </c>
      <c r="M36" s="70"/>
      <c r="N36" s="45" t="s">
        <v>85</v>
      </c>
      <c r="O36" s="45">
        <v>4.6</v>
      </c>
    </row>
    <row r="37" spans="1:15" ht="12.75">
      <c r="A37" s="70"/>
      <c r="B37" s="78" t="s">
        <v>23</v>
      </c>
      <c r="C37" s="80" t="e">
        <f>C34-C35-C36</f>
        <v>#NUM!</v>
      </c>
      <c r="D37" s="2"/>
      <c r="E37" s="70"/>
      <c r="F37" s="78" t="s">
        <v>139</v>
      </c>
      <c r="G37" s="80" t="e">
        <f>G34-G35-G36</f>
        <v>#NUM!</v>
      </c>
      <c r="H37" s="2"/>
      <c r="I37" s="70"/>
      <c r="J37" s="78" t="s">
        <v>101</v>
      </c>
      <c r="K37" s="80">
        <f>K34-K35-K36</f>
        <v>39.83094749676823</v>
      </c>
      <c r="M37" s="70"/>
      <c r="N37" s="50" t="s">
        <v>11</v>
      </c>
      <c r="O37" s="68">
        <v>2.3</v>
      </c>
    </row>
    <row r="38" spans="4:15" ht="12.75">
      <c r="D38" s="2"/>
      <c r="E38" s="2"/>
      <c r="F38" s="2"/>
      <c r="G38" s="2"/>
      <c r="H38" s="2"/>
      <c r="M38" s="70"/>
      <c r="N38" s="78" t="s">
        <v>101</v>
      </c>
      <c r="O38" s="80">
        <f>O35-O36-O37</f>
        <v>44.73094749676824</v>
      </c>
    </row>
    <row r="39" spans="4:8" ht="12.75">
      <c r="D39" s="2"/>
      <c r="E39" s="2"/>
      <c r="F39" s="2"/>
      <c r="G39" s="2"/>
      <c r="H39" s="2"/>
    </row>
  </sheetData>
  <printOptions gridLines="1"/>
  <pageMargins left="0.56" right="0.55" top="0.55" bottom="0.5" header="0.33" footer="0.5"/>
  <pageSetup fitToHeight="1" fitToWidth="1" horizontalDpi="600" verticalDpi="600" orientation="landscape" scale="51" r:id="rId1"/>
  <headerFooter alignWithMargins="0">
    <oddHeader>&amp;L&amp;F     Printed &amp;D &amp;T&amp;C &amp;A&amp;R&amp;P/&amp;N</oddHeader>
  </headerFooter>
</worksheet>
</file>

<file path=xl/worksheets/sheet13.xml><?xml version="1.0" encoding="utf-8"?>
<worksheet xmlns="http://schemas.openxmlformats.org/spreadsheetml/2006/main" xmlns:r="http://schemas.openxmlformats.org/officeDocument/2006/relationships">
  <sheetPr codeName="Sheet14">
    <tabColor indexed="47"/>
    <pageSetUpPr fitToPage="1"/>
  </sheetPr>
  <dimension ref="A1:K43"/>
  <sheetViews>
    <sheetView workbookViewId="0" topLeftCell="A1">
      <selection activeCell="K10" sqref="K10:K14"/>
    </sheetView>
  </sheetViews>
  <sheetFormatPr defaultColWidth="9.140625" defaultRowHeight="12.75"/>
  <cols>
    <col min="1" max="1" width="4.28125" style="0" customWidth="1"/>
    <col min="2" max="2" width="34.57421875" style="0" customWidth="1"/>
    <col min="3" max="3" width="13.8515625" style="0" customWidth="1"/>
    <col min="4" max="4" width="4.7109375" style="0" customWidth="1"/>
    <col min="5" max="5" width="6.140625" style="0" customWidth="1"/>
    <col min="6" max="6" width="30.140625" style="0" customWidth="1"/>
    <col min="7" max="7" width="19.421875" style="0" customWidth="1"/>
    <col min="8" max="8" width="4.140625" style="0" customWidth="1"/>
    <col min="9" max="9" width="4.28125" style="0" customWidth="1"/>
    <col min="10" max="10" width="31.7109375" style="0" customWidth="1"/>
    <col min="11" max="11" width="13.00390625" style="0" customWidth="1"/>
  </cols>
  <sheetData>
    <row r="1" spans="1:11" ht="12.75">
      <c r="A1" s="70"/>
      <c r="B1" s="93" t="s">
        <v>117</v>
      </c>
      <c r="C1" s="70"/>
      <c r="D1" s="70"/>
      <c r="E1" s="70"/>
      <c r="F1" s="70"/>
      <c r="G1" s="70"/>
      <c r="H1" s="70"/>
      <c r="I1" s="70"/>
      <c r="J1" s="70"/>
      <c r="K1" s="70"/>
    </row>
    <row r="2" spans="1:11" ht="12.75">
      <c r="A2" s="44"/>
      <c r="B2" s="46" t="s">
        <v>118</v>
      </c>
      <c r="C2" s="45"/>
      <c r="D2" s="45"/>
      <c r="E2" s="44"/>
      <c r="F2" s="46" t="s">
        <v>133</v>
      </c>
      <c r="G2" s="45"/>
      <c r="H2" s="45"/>
      <c r="I2" s="44"/>
      <c r="J2" s="46" t="s">
        <v>116</v>
      </c>
      <c r="K2" s="45"/>
    </row>
    <row r="3" spans="1:11" ht="12.75">
      <c r="A3" s="47" t="s">
        <v>72</v>
      </c>
      <c r="B3" s="45"/>
      <c r="C3" s="48"/>
      <c r="D3" s="48"/>
      <c r="E3" s="47" t="s">
        <v>72</v>
      </c>
      <c r="F3" s="45"/>
      <c r="G3" s="48"/>
      <c r="H3" s="48"/>
      <c r="I3" s="47" t="s">
        <v>72</v>
      </c>
      <c r="J3" s="45"/>
      <c r="K3" s="48"/>
    </row>
    <row r="4" spans="1:11" ht="12.75">
      <c r="A4" s="49"/>
      <c r="B4" s="50" t="s">
        <v>119</v>
      </c>
      <c r="C4" s="54"/>
      <c r="D4" s="45"/>
      <c r="E4" s="49"/>
      <c r="F4" s="50" t="s">
        <v>119</v>
      </c>
      <c r="G4" s="54"/>
      <c r="H4" s="61"/>
      <c r="I4" s="49"/>
      <c r="J4" s="50" t="s">
        <v>119</v>
      </c>
      <c r="K4" s="54"/>
    </row>
    <row r="5" spans="1:11" ht="12.75">
      <c r="A5" s="49"/>
      <c r="B5" s="50" t="s">
        <v>0</v>
      </c>
      <c r="C5" s="52"/>
      <c r="D5" s="45"/>
      <c r="E5" s="49"/>
      <c r="F5" s="50" t="s">
        <v>0</v>
      </c>
      <c r="G5" s="52"/>
      <c r="H5" s="61"/>
      <c r="I5" s="49"/>
      <c r="J5" s="50" t="s">
        <v>0</v>
      </c>
      <c r="K5" s="52"/>
    </row>
    <row r="6" spans="1:11" ht="12.75">
      <c r="A6" s="49"/>
      <c r="B6" s="75" t="s">
        <v>48</v>
      </c>
      <c r="C6" s="77" t="e">
        <f>10*LOG(C4)-C5</f>
        <v>#NUM!</v>
      </c>
      <c r="D6" s="45"/>
      <c r="E6" s="49"/>
      <c r="F6" s="75" t="s">
        <v>48</v>
      </c>
      <c r="G6" s="77" t="e">
        <f>10*LOG(G4)-G5</f>
        <v>#NUM!</v>
      </c>
      <c r="H6" s="61"/>
      <c r="I6" s="49"/>
      <c r="J6" s="75" t="s">
        <v>48</v>
      </c>
      <c r="K6" s="77" t="e">
        <f>10*LOG(K4)-K5</f>
        <v>#NUM!</v>
      </c>
    </row>
    <row r="7" spans="1:11" ht="12.75">
      <c r="A7" s="49"/>
      <c r="B7" s="45" t="s">
        <v>120</v>
      </c>
      <c r="C7" s="45">
        <v>2211.04</v>
      </c>
      <c r="D7" s="53"/>
      <c r="E7" s="49"/>
      <c r="F7" s="45" t="s">
        <v>120</v>
      </c>
      <c r="G7" s="45">
        <v>2211.04</v>
      </c>
      <c r="H7" s="61"/>
      <c r="I7" s="49"/>
      <c r="J7" s="45" t="s">
        <v>120</v>
      </c>
      <c r="K7" s="45">
        <v>2211.04</v>
      </c>
    </row>
    <row r="8" spans="1:11" ht="12.75">
      <c r="A8" s="49"/>
      <c r="B8" s="45" t="s">
        <v>16</v>
      </c>
      <c r="C8" s="53">
        <v>0.87</v>
      </c>
      <c r="D8" s="55"/>
      <c r="E8" s="49"/>
      <c r="F8" s="45" t="s">
        <v>16</v>
      </c>
      <c r="G8" s="53">
        <v>0.87</v>
      </c>
      <c r="H8" s="61"/>
      <c r="I8" s="49"/>
      <c r="J8" s="45" t="s">
        <v>16</v>
      </c>
      <c r="K8" s="53">
        <v>0.87</v>
      </c>
    </row>
    <row r="9" spans="1:11" ht="12.75">
      <c r="A9" s="49"/>
      <c r="B9" s="45" t="s">
        <v>83</v>
      </c>
      <c r="C9" s="53">
        <f>C8*8/7</f>
        <v>0.9942857142857143</v>
      </c>
      <c r="D9" s="57"/>
      <c r="E9" s="49"/>
      <c r="F9" s="45" t="s">
        <v>83</v>
      </c>
      <c r="G9" s="53">
        <f>G8*8/7</f>
        <v>0.9942857142857143</v>
      </c>
      <c r="H9" s="45"/>
      <c r="I9" s="49"/>
      <c r="J9" s="45" t="s">
        <v>83</v>
      </c>
      <c r="K9" s="53">
        <f>K8*8/7</f>
        <v>0.9942857142857143</v>
      </c>
    </row>
    <row r="10" spans="1:11" ht="12.75">
      <c r="A10" s="49"/>
      <c r="B10" s="50" t="s">
        <v>14</v>
      </c>
      <c r="C10" s="50"/>
      <c r="D10" s="58"/>
      <c r="E10" s="49"/>
      <c r="F10" s="50" t="s">
        <v>14</v>
      </c>
      <c r="G10" s="50"/>
      <c r="H10" s="45"/>
      <c r="I10" s="49"/>
      <c r="J10" s="50" t="s">
        <v>14</v>
      </c>
      <c r="K10" s="50"/>
    </row>
    <row r="11" spans="1:11" ht="12.75">
      <c r="A11" s="49"/>
      <c r="B11" s="50" t="s">
        <v>8</v>
      </c>
      <c r="C11" s="50"/>
      <c r="D11" s="57"/>
      <c r="E11" s="49"/>
      <c r="F11" s="50" t="s">
        <v>8</v>
      </c>
      <c r="G11" s="50"/>
      <c r="H11" s="45"/>
      <c r="I11" s="49"/>
      <c r="J11" s="50" t="s">
        <v>8</v>
      </c>
      <c r="K11" s="50"/>
    </row>
    <row r="12" spans="1:11" ht="12.75">
      <c r="A12" s="49"/>
      <c r="B12" s="50" t="s">
        <v>17</v>
      </c>
      <c r="C12" s="54"/>
      <c r="D12" s="61"/>
      <c r="E12" s="49"/>
      <c r="F12" s="50" t="s">
        <v>17</v>
      </c>
      <c r="G12" s="54"/>
      <c r="H12" s="61"/>
      <c r="I12" s="49"/>
      <c r="J12" s="50" t="s">
        <v>17</v>
      </c>
      <c r="K12" s="54"/>
    </row>
    <row r="13" spans="1:11" ht="12.75">
      <c r="A13" s="49"/>
      <c r="B13" s="50" t="s">
        <v>126</v>
      </c>
      <c r="C13" s="54"/>
      <c r="D13" s="61"/>
      <c r="E13" s="49"/>
      <c r="F13" s="50" t="s">
        <v>126</v>
      </c>
      <c r="G13" s="54"/>
      <c r="H13" s="61"/>
      <c r="I13" s="49"/>
      <c r="J13" s="50" t="s">
        <v>126</v>
      </c>
      <c r="K13" s="54"/>
    </row>
    <row r="14" spans="1:11" ht="12.75">
      <c r="A14" s="49"/>
      <c r="B14" s="50" t="s">
        <v>13</v>
      </c>
      <c r="C14" s="54"/>
      <c r="D14" s="61"/>
      <c r="E14" s="49"/>
      <c r="F14" s="50" t="s">
        <v>13</v>
      </c>
      <c r="G14" s="54"/>
      <c r="H14" s="61"/>
      <c r="I14" s="49"/>
      <c r="J14" s="50" t="s">
        <v>13</v>
      </c>
      <c r="K14" s="54"/>
    </row>
    <row r="15" spans="1:11" ht="12.75">
      <c r="A15" s="48"/>
      <c r="B15" s="78" t="s">
        <v>56</v>
      </c>
      <c r="C15" s="79" t="e">
        <f>C6+C12-C13+30</f>
        <v>#NUM!</v>
      </c>
      <c r="D15" s="57"/>
      <c r="E15" s="48"/>
      <c r="F15" s="78" t="s">
        <v>56</v>
      </c>
      <c r="G15" s="79" t="e">
        <f>G6+G12-G13+30</f>
        <v>#NUM!</v>
      </c>
      <c r="H15" s="61"/>
      <c r="I15" s="48"/>
      <c r="J15" s="78" t="s">
        <v>56</v>
      </c>
      <c r="K15" s="79" t="e">
        <f>K6+K12-K13+30</f>
        <v>#NUM!</v>
      </c>
    </row>
    <row r="16" spans="1:11" ht="12.75">
      <c r="A16" s="49"/>
      <c r="B16" s="45"/>
      <c r="C16" s="53"/>
      <c r="D16" s="45"/>
      <c r="E16" s="49"/>
      <c r="F16" s="45"/>
      <c r="G16" s="53"/>
      <c r="H16" s="57"/>
      <c r="I16" s="49"/>
      <c r="J16" s="45"/>
      <c r="K16" s="53"/>
    </row>
    <row r="17" spans="1:11" ht="12.75">
      <c r="A17" s="47" t="s">
        <v>19</v>
      </c>
      <c r="B17" s="59"/>
      <c r="C17" s="60"/>
      <c r="D17" s="57"/>
      <c r="E17" s="47" t="s">
        <v>19</v>
      </c>
      <c r="F17" s="59"/>
      <c r="G17" s="60"/>
      <c r="H17" s="45"/>
      <c r="I17" s="47" t="s">
        <v>19</v>
      </c>
      <c r="J17" s="59"/>
      <c r="K17" s="60"/>
    </row>
    <row r="18" spans="1:11" ht="12.75">
      <c r="A18" s="49"/>
      <c r="B18" s="45" t="s">
        <v>2</v>
      </c>
      <c r="C18" s="45">
        <v>35784</v>
      </c>
      <c r="D18" s="57"/>
      <c r="E18" s="49"/>
      <c r="F18" s="45" t="s">
        <v>2</v>
      </c>
      <c r="G18" s="45">
        <v>35784</v>
      </c>
      <c r="H18" s="45"/>
      <c r="I18" s="49"/>
      <c r="J18" s="45" t="s">
        <v>2</v>
      </c>
      <c r="K18" s="45">
        <v>95000</v>
      </c>
    </row>
    <row r="19" spans="1:11" ht="12.75">
      <c r="A19" s="49"/>
      <c r="B19" s="45" t="s">
        <v>3</v>
      </c>
      <c r="C19" s="45">
        <v>5</v>
      </c>
      <c r="D19" s="57"/>
      <c r="E19" s="49"/>
      <c r="F19" s="45" t="s">
        <v>3</v>
      </c>
      <c r="G19" s="45">
        <v>5</v>
      </c>
      <c r="H19" s="45"/>
      <c r="I19" s="49"/>
      <c r="J19" s="45" t="s">
        <v>3</v>
      </c>
      <c r="K19" s="45">
        <v>5</v>
      </c>
    </row>
    <row r="20" spans="1:11" ht="12.75">
      <c r="A20" s="49"/>
      <c r="B20" s="45" t="s">
        <v>4</v>
      </c>
      <c r="C20" s="51">
        <f>SQRT((6378+C18)^2-(6378*COS(PI()/180*C19))^2)-6378*SIN(PI()/180*C19)</f>
        <v>41124.62405055137</v>
      </c>
      <c r="D20" s="63"/>
      <c r="E20" s="49"/>
      <c r="F20" s="45" t="s">
        <v>4</v>
      </c>
      <c r="G20" s="51">
        <f>SQRT((6378+G18)^2-(6378*COS(PI()/180*G19))^2)-6378*SIN(PI()/180*G19)</f>
        <v>41124.62405055137</v>
      </c>
      <c r="H20" s="45"/>
      <c r="I20" s="49"/>
      <c r="J20" s="45" t="s">
        <v>4</v>
      </c>
      <c r="K20" s="51">
        <f>SQRT((6378+K18)^2-(6378*COS(PI()/180*K19))^2)-6378*SIN(PI()/180*K19)</f>
        <v>100622.81903276824</v>
      </c>
    </row>
    <row r="21" spans="1:11" ht="12.75">
      <c r="A21" s="49"/>
      <c r="B21" s="45" t="s">
        <v>5</v>
      </c>
      <c r="C21" s="53">
        <f>-(20*LOG(299.792458/(C7*4*3.141592654))-20*LOG(C20*1000))</f>
        <v>191.62175402836505</v>
      </c>
      <c r="D21" s="64"/>
      <c r="E21" s="49"/>
      <c r="F21" s="45" t="s">
        <v>5</v>
      </c>
      <c r="G21" s="53">
        <f>-(20*LOG(299.792458/(G7*4*3.141592654))-20*LOG(G20*1000))</f>
        <v>191.62175402836505</v>
      </c>
      <c r="H21" s="61"/>
      <c r="I21" s="49"/>
      <c r="J21" s="45" t="s">
        <v>5</v>
      </c>
      <c r="K21" s="53">
        <f>-(20*LOG(299.792458/(K7*4*3.141592654))-20*LOG(K20*1000))</f>
        <v>199.3936448184338</v>
      </c>
    </row>
    <row r="22" spans="1:11" ht="12.75">
      <c r="A22" s="49"/>
      <c r="B22" s="45" t="s">
        <v>20</v>
      </c>
      <c r="C22" s="53">
        <v>2.5</v>
      </c>
      <c r="D22" s="64"/>
      <c r="E22" s="49"/>
      <c r="F22" s="45" t="s">
        <v>20</v>
      </c>
      <c r="G22" s="53">
        <v>2.5</v>
      </c>
      <c r="H22" s="45"/>
      <c r="I22" s="49"/>
      <c r="J22" s="45" t="s">
        <v>20</v>
      </c>
      <c r="K22" s="53">
        <v>2.5</v>
      </c>
    </row>
    <row r="23" spans="1:11" ht="12.75">
      <c r="A23" s="49"/>
      <c r="B23" s="45"/>
      <c r="C23" s="53"/>
      <c r="D23" s="66"/>
      <c r="E23" s="49"/>
      <c r="F23" s="45"/>
      <c r="G23" s="53"/>
      <c r="H23" s="45"/>
      <c r="I23" s="49"/>
      <c r="J23" s="45"/>
      <c r="K23" s="53"/>
    </row>
    <row r="24" spans="1:11" ht="12.75">
      <c r="A24" s="47" t="s">
        <v>73</v>
      </c>
      <c r="B24" s="45"/>
      <c r="C24" s="53"/>
      <c r="D24" s="57"/>
      <c r="E24" s="47" t="s">
        <v>73</v>
      </c>
      <c r="F24" s="45"/>
      <c r="G24" s="53"/>
      <c r="H24" s="45"/>
      <c r="I24" s="47" t="s">
        <v>73</v>
      </c>
      <c r="J24" s="45"/>
      <c r="K24" s="53"/>
    </row>
    <row r="25" spans="1:11" ht="12.75">
      <c r="A25" s="49"/>
      <c r="B25" s="57" t="s">
        <v>6</v>
      </c>
      <c r="C25" s="45">
        <v>4.1</v>
      </c>
      <c r="D25" s="57"/>
      <c r="E25" s="49"/>
      <c r="F25" s="57" t="s">
        <v>6</v>
      </c>
      <c r="G25" s="45">
        <v>4.1</v>
      </c>
      <c r="H25" s="116"/>
      <c r="I25" s="49"/>
      <c r="J25" s="57" t="s">
        <v>6</v>
      </c>
      <c r="K25" s="45">
        <v>4.1</v>
      </c>
    </row>
    <row r="26" spans="1:11" ht="12.75">
      <c r="A26" s="49"/>
      <c r="B26" s="45" t="s">
        <v>43</v>
      </c>
      <c r="C26" s="45">
        <v>0.5</v>
      </c>
      <c r="D26" s="45"/>
      <c r="E26" s="49"/>
      <c r="F26" s="45" t="s">
        <v>43</v>
      </c>
      <c r="G26" s="45">
        <v>0.5</v>
      </c>
      <c r="H26" s="116"/>
      <c r="I26" s="49"/>
      <c r="J26" s="45" t="s">
        <v>43</v>
      </c>
      <c r="K26" s="45">
        <v>0.5</v>
      </c>
    </row>
    <row r="27" spans="1:11" ht="12.75">
      <c r="A27" s="49"/>
      <c r="B27" s="48" t="s">
        <v>9</v>
      </c>
      <c r="C27" s="53">
        <v>21.7</v>
      </c>
      <c r="D27" s="45"/>
      <c r="E27" s="49"/>
      <c r="F27" s="48" t="s">
        <v>9</v>
      </c>
      <c r="G27" s="53">
        <v>21.7</v>
      </c>
      <c r="H27" s="45"/>
      <c r="I27" s="49"/>
      <c r="J27" s="78" t="s">
        <v>9</v>
      </c>
      <c r="K27" s="76">
        <v>21.7</v>
      </c>
    </row>
    <row r="28" spans="1:11" ht="12.75">
      <c r="A28" s="49"/>
      <c r="B28" s="75" t="s">
        <v>10</v>
      </c>
      <c r="C28" s="76" t="e">
        <f>C15-SUM(C21:C26)+C27+228.6-30</f>
        <v>#NUM!</v>
      </c>
      <c r="D28" s="45"/>
      <c r="E28" s="49"/>
      <c r="F28" s="75" t="s">
        <v>10</v>
      </c>
      <c r="G28" s="76" t="e">
        <f>G15-SUM(G21:G26)+G27+228.6-30</f>
        <v>#NUM!</v>
      </c>
      <c r="H28" s="45"/>
      <c r="I28" s="49"/>
      <c r="J28" s="75" t="s">
        <v>10</v>
      </c>
      <c r="K28" s="76" t="e">
        <f>K15-SUM(K21:K26)+K27+228.6-30</f>
        <v>#NUM!</v>
      </c>
    </row>
    <row r="29" spans="1:11" ht="12.75">
      <c r="A29" s="70"/>
      <c r="B29" s="75" t="s">
        <v>86</v>
      </c>
      <c r="C29" s="79" t="e">
        <f>C15-C21+10*LOG(4*3.141592654)+20*LOG(C7/299.792458)+10*LOG(4/C9)-30+C13</f>
        <v>#NUM!</v>
      </c>
      <c r="D29" s="45"/>
      <c r="E29" s="70"/>
      <c r="F29" s="75" t="s">
        <v>86</v>
      </c>
      <c r="G29" s="79" t="e">
        <f>G15-G21+10*LOG(4*3.141592654)+20*LOG(G7/299.792458)+10*LOG(4/G9)-30+G13</f>
        <v>#NUM!</v>
      </c>
      <c r="H29" s="45"/>
      <c r="I29" s="70"/>
      <c r="J29" s="75" t="s">
        <v>86</v>
      </c>
      <c r="K29" s="79" t="e">
        <f>K15-K21+10*LOG(4*3.141592654)+20*LOG(K7/299.792458)+10*LOG(4/K9)-30+K13</f>
        <v>#NUM!</v>
      </c>
    </row>
    <row r="30" spans="1:11" ht="12.75">
      <c r="A30" s="70"/>
      <c r="B30" s="50" t="s">
        <v>200</v>
      </c>
      <c r="C30" s="62"/>
      <c r="D30" s="45"/>
      <c r="E30" s="70"/>
      <c r="F30" s="50" t="s">
        <v>200</v>
      </c>
      <c r="G30" s="62"/>
      <c r="H30" s="45"/>
      <c r="I30" s="70"/>
      <c r="J30" s="50" t="s">
        <v>200</v>
      </c>
      <c r="K30" s="62"/>
    </row>
    <row r="31" spans="1:11" ht="12.75">
      <c r="A31" s="70"/>
      <c r="B31" s="50" t="s">
        <v>192</v>
      </c>
      <c r="C31" s="62"/>
      <c r="D31" s="45"/>
      <c r="E31" s="70"/>
      <c r="F31" s="50" t="s">
        <v>192</v>
      </c>
      <c r="G31" s="62"/>
      <c r="H31" s="45"/>
      <c r="I31" s="70"/>
      <c r="J31" s="50" t="s">
        <v>192</v>
      </c>
      <c r="K31" s="62"/>
    </row>
    <row r="32" spans="1:11" ht="12.75">
      <c r="A32" s="70"/>
      <c r="B32" s="78" t="s">
        <v>74</v>
      </c>
      <c r="C32" s="85" t="e">
        <f>C28-10*LOG(C8*1000)-C31</f>
        <v>#NUM!</v>
      </c>
      <c r="D32" s="86"/>
      <c r="E32" s="70"/>
      <c r="F32" s="78" t="s">
        <v>74</v>
      </c>
      <c r="G32" s="85" t="e">
        <f>G28-10*LOG(G8*1000)-G31</f>
        <v>#NUM!</v>
      </c>
      <c r="H32" s="86"/>
      <c r="I32" s="70"/>
      <c r="J32" s="78" t="s">
        <v>74</v>
      </c>
      <c r="K32" s="85" t="e">
        <f>K28-10*LOG(K8*1000)-K31</f>
        <v>#NUM!</v>
      </c>
    </row>
    <row r="33" spans="1:11" s="32" customFormat="1" ht="12.75">
      <c r="A33" s="70"/>
      <c r="B33" s="45" t="s">
        <v>87</v>
      </c>
      <c r="C33" s="86">
        <v>4.6</v>
      </c>
      <c r="D33" s="86"/>
      <c r="E33" s="70"/>
      <c r="F33" s="45" t="s">
        <v>87</v>
      </c>
      <c r="G33" s="86">
        <v>4.6</v>
      </c>
      <c r="H33" s="86"/>
      <c r="I33" s="70"/>
      <c r="J33" s="45" t="s">
        <v>87</v>
      </c>
      <c r="K33" s="86">
        <v>4.6</v>
      </c>
    </row>
    <row r="34" spans="1:11" ht="12.75">
      <c r="A34" s="70"/>
      <c r="B34" s="45" t="s">
        <v>102</v>
      </c>
      <c r="C34" s="86">
        <v>2.3</v>
      </c>
      <c r="D34" s="86"/>
      <c r="E34" s="70"/>
      <c r="F34" s="45" t="s">
        <v>102</v>
      </c>
      <c r="G34" s="86">
        <v>2.3</v>
      </c>
      <c r="H34" s="86"/>
      <c r="I34" s="70"/>
      <c r="J34" s="45" t="s">
        <v>102</v>
      </c>
      <c r="K34" s="86">
        <v>2.3</v>
      </c>
    </row>
    <row r="35" spans="1:11" ht="12.75">
      <c r="A35" s="86"/>
      <c r="B35" s="78" t="s">
        <v>23</v>
      </c>
      <c r="C35" s="85" t="e">
        <f>C32-C33-C34</f>
        <v>#NUM!</v>
      </c>
      <c r="D35" s="86"/>
      <c r="E35" s="86"/>
      <c r="F35" s="78" t="s">
        <v>23</v>
      </c>
      <c r="G35" s="85" t="e">
        <f>G32-G33-G34</f>
        <v>#NUM!</v>
      </c>
      <c r="H35" s="86"/>
      <c r="I35" s="86"/>
      <c r="J35" s="78" t="s">
        <v>23</v>
      </c>
      <c r="K35" s="85" t="e">
        <f>K32-K33-K34</f>
        <v>#NUM!</v>
      </c>
    </row>
    <row r="36" spans="4:8" ht="12.75">
      <c r="D36" s="32"/>
      <c r="E36" s="32"/>
      <c r="F36" s="32"/>
      <c r="G36" s="32"/>
      <c r="H36" s="32"/>
    </row>
    <row r="37" spans="4:8" ht="12.75">
      <c r="D37" s="32"/>
      <c r="E37" s="32"/>
      <c r="F37" s="32"/>
      <c r="G37" s="32"/>
      <c r="H37" s="32"/>
    </row>
    <row r="38" spans="4:8" ht="12.75">
      <c r="D38" s="32"/>
      <c r="E38" s="32"/>
      <c r="F38" s="32"/>
      <c r="G38" s="32"/>
      <c r="H38" s="32"/>
    </row>
    <row r="39" spans="4:8" ht="12.75">
      <c r="D39" s="32"/>
      <c r="E39" s="32"/>
      <c r="F39" s="32"/>
      <c r="G39" s="32"/>
      <c r="H39" s="32"/>
    </row>
    <row r="40" spans="4:8" ht="12.75">
      <c r="D40" s="32"/>
      <c r="E40" s="32"/>
      <c r="F40" s="32"/>
      <c r="G40" s="32"/>
      <c r="H40" s="32"/>
    </row>
    <row r="43" ht="12.75">
      <c r="F43" s="32"/>
    </row>
  </sheetData>
  <conditionalFormatting sqref="G29:G31 C29:C31 K29:K31">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77" r:id="rId1"/>
  <headerFooter alignWithMargins="0">
    <oddHeader>&amp;L&amp;F     Printed &amp;D &amp;T&amp;C &amp;A&amp;R&amp;P/&amp;N</oddHeader>
  </headerFooter>
</worksheet>
</file>

<file path=xl/worksheets/sheet14.xml><?xml version="1.0" encoding="utf-8"?>
<worksheet xmlns="http://schemas.openxmlformats.org/spreadsheetml/2006/main" xmlns:r="http://schemas.openxmlformats.org/officeDocument/2006/relationships">
  <sheetPr codeName="Sheet15">
    <tabColor indexed="47"/>
    <pageSetUpPr fitToPage="1"/>
  </sheetPr>
  <dimension ref="A1:H116"/>
  <sheetViews>
    <sheetView workbookViewId="0" topLeftCell="A23">
      <selection activeCell="G8" sqref="G8"/>
    </sheetView>
  </sheetViews>
  <sheetFormatPr defaultColWidth="9.140625" defaultRowHeight="12.75"/>
  <cols>
    <col min="1" max="1" width="4.28125" style="163" customWidth="1"/>
    <col min="2" max="2" width="34.57421875" style="163" customWidth="1"/>
    <col min="3" max="3" width="13.8515625" style="172" customWidth="1"/>
    <col min="4" max="4" width="4.7109375" style="163" customWidth="1"/>
    <col min="5" max="5" width="6.140625" style="163" customWidth="1"/>
    <col min="6" max="6" width="30.140625" style="163" customWidth="1"/>
    <col min="7" max="7" width="19.421875" style="173" customWidth="1"/>
    <col min="8" max="8" width="8.421875" style="163" customWidth="1"/>
    <col min="9" max="16384" width="9.140625" style="163" customWidth="1"/>
  </cols>
  <sheetData>
    <row r="1" spans="1:8" ht="12.75">
      <c r="A1" s="120"/>
      <c r="B1" s="120" t="s">
        <v>143</v>
      </c>
      <c r="C1" s="145"/>
      <c r="D1" s="120"/>
      <c r="E1" s="120"/>
      <c r="F1" s="120" t="s">
        <v>144</v>
      </c>
      <c r="G1" s="134"/>
      <c r="H1" s="162"/>
    </row>
    <row r="2" spans="1:8" ht="12.75">
      <c r="A2" s="44"/>
      <c r="B2" s="46" t="s">
        <v>45</v>
      </c>
      <c r="C2" s="138"/>
      <c r="D2" s="122"/>
      <c r="E2" s="122"/>
      <c r="F2" s="46" t="s">
        <v>46</v>
      </c>
      <c r="G2" s="135"/>
      <c r="H2" s="164"/>
    </row>
    <row r="3" spans="1:8" ht="12.75">
      <c r="A3" s="47" t="s">
        <v>38</v>
      </c>
      <c r="B3" s="122"/>
      <c r="C3" s="143"/>
      <c r="D3" s="48"/>
      <c r="E3" s="47" t="s">
        <v>18</v>
      </c>
      <c r="F3" s="122"/>
      <c r="G3" s="136"/>
      <c r="H3" s="165"/>
    </row>
    <row r="4" spans="1:8" ht="12.75">
      <c r="A4" s="123"/>
      <c r="B4" s="122" t="s">
        <v>120</v>
      </c>
      <c r="C4" s="138">
        <v>2030.7</v>
      </c>
      <c r="D4" s="122"/>
      <c r="E4" s="123"/>
      <c r="F4" s="124" t="s">
        <v>47</v>
      </c>
      <c r="G4" s="137"/>
      <c r="H4" s="166"/>
    </row>
    <row r="5" spans="1:8" ht="12.75">
      <c r="A5" s="123"/>
      <c r="B5" s="122" t="s">
        <v>16</v>
      </c>
      <c r="C5" s="138">
        <f>1*7/8</f>
        <v>0.875</v>
      </c>
      <c r="D5" s="122"/>
      <c r="E5" s="123"/>
      <c r="F5" s="124" t="s">
        <v>15</v>
      </c>
      <c r="G5" s="137"/>
      <c r="H5" s="166"/>
    </row>
    <row r="6" spans="1:8" ht="12.75">
      <c r="A6" s="123"/>
      <c r="B6" s="122" t="s">
        <v>50</v>
      </c>
      <c r="C6" s="138">
        <v>1</v>
      </c>
      <c r="D6" s="121"/>
      <c r="E6" s="123"/>
      <c r="F6" s="122" t="s">
        <v>48</v>
      </c>
      <c r="G6" s="138" t="e">
        <f>10*LOG10(G4)-G5</f>
        <v>#NUM!</v>
      </c>
      <c r="H6" s="166"/>
    </row>
    <row r="7" spans="1:8" ht="12.75">
      <c r="A7" s="48"/>
      <c r="B7" s="48" t="s">
        <v>56</v>
      </c>
      <c r="C7" s="138">
        <v>104.6</v>
      </c>
      <c r="D7" s="125"/>
      <c r="E7" s="123"/>
      <c r="F7" s="124" t="s">
        <v>0</v>
      </c>
      <c r="G7" s="139"/>
      <c r="H7" s="166"/>
    </row>
    <row r="8" spans="1:8" ht="12.75">
      <c r="A8" s="123"/>
      <c r="B8" s="122"/>
      <c r="C8" s="138"/>
      <c r="D8" s="126" t="s">
        <v>1</v>
      </c>
      <c r="E8" s="123"/>
      <c r="F8" s="122" t="s">
        <v>44</v>
      </c>
      <c r="G8" s="135">
        <v>2211.041</v>
      </c>
      <c r="H8" s="164"/>
    </row>
    <row r="9" spans="1:8" ht="12.75">
      <c r="A9" s="47" t="s">
        <v>39</v>
      </c>
      <c r="B9" s="59"/>
      <c r="C9" s="138"/>
      <c r="D9" s="47"/>
      <c r="E9" s="123"/>
      <c r="F9" s="124" t="s">
        <v>14</v>
      </c>
      <c r="G9" s="137"/>
      <c r="H9" s="164"/>
    </row>
    <row r="10" spans="1:8" ht="12.75">
      <c r="A10" s="123"/>
      <c r="B10" s="122" t="s">
        <v>2</v>
      </c>
      <c r="C10" s="138">
        <v>35784</v>
      </c>
      <c r="D10" s="126"/>
      <c r="E10" s="123"/>
      <c r="F10" s="124" t="s">
        <v>8</v>
      </c>
      <c r="G10" s="137"/>
      <c r="H10" s="164"/>
    </row>
    <row r="11" spans="1:8" ht="12.75">
      <c r="A11" s="123"/>
      <c r="B11" s="122" t="s">
        <v>3</v>
      </c>
      <c r="C11" s="138">
        <v>13.8</v>
      </c>
      <c r="D11" s="127"/>
      <c r="E11" s="123"/>
      <c r="F11" s="124" t="s">
        <v>17</v>
      </c>
      <c r="G11" s="140"/>
      <c r="H11" s="166"/>
    </row>
    <row r="12" spans="1:8" ht="12.75">
      <c r="A12" s="123"/>
      <c r="B12" s="122" t="s">
        <v>4</v>
      </c>
      <c r="C12" s="138">
        <f>SQRT((6378+C10)^2-(6378*COS(PI()/180*C11))^2)-6378*SIN(PI()/180*C11)</f>
        <v>40183.18870290123</v>
      </c>
      <c r="D12" s="127"/>
      <c r="E12" s="123"/>
      <c r="F12" s="124" t="s">
        <v>21</v>
      </c>
      <c r="G12" s="140"/>
      <c r="H12" s="166"/>
    </row>
    <row r="13" spans="1:8" ht="12.75">
      <c r="A13" s="123"/>
      <c r="B13" s="122" t="s">
        <v>5</v>
      </c>
      <c r="C13" s="138">
        <f>-(20*LOG(299.792458/(C4*4*3.141592654))-20*LOG(C12*1000))</f>
        <v>190.68158653636448</v>
      </c>
      <c r="D13" s="127"/>
      <c r="E13" s="123"/>
      <c r="F13" s="124" t="s">
        <v>125</v>
      </c>
      <c r="G13" s="140"/>
      <c r="H13" s="166"/>
    </row>
    <row r="14" spans="1:8" ht="12.75">
      <c r="A14" s="123"/>
      <c r="B14" s="122" t="s">
        <v>20</v>
      </c>
      <c r="C14" s="138">
        <v>1</v>
      </c>
      <c r="D14" s="126"/>
      <c r="E14" s="123"/>
      <c r="F14" s="122" t="s">
        <v>42</v>
      </c>
      <c r="G14" s="138">
        <f>G11-G13</f>
        <v>0</v>
      </c>
      <c r="H14" s="166"/>
    </row>
    <row r="15" spans="1:8" ht="12.75">
      <c r="A15" s="123"/>
      <c r="B15" s="122"/>
      <c r="C15" s="138"/>
      <c r="D15" s="122"/>
      <c r="E15" s="123"/>
      <c r="F15" s="48" t="s">
        <v>57</v>
      </c>
      <c r="G15" s="138" t="e">
        <f>+G6-G7+G11-G13+30</f>
        <v>#NUM!</v>
      </c>
      <c r="H15" s="167"/>
    </row>
    <row r="16" spans="1:8" ht="12.75">
      <c r="A16" s="47" t="s">
        <v>40</v>
      </c>
      <c r="B16" s="122"/>
      <c r="C16" s="138"/>
      <c r="D16" s="126"/>
      <c r="E16" s="123"/>
      <c r="F16" s="48"/>
      <c r="G16" s="138"/>
      <c r="H16" s="164"/>
    </row>
    <row r="17" spans="1:8" ht="12.75">
      <c r="A17" s="123"/>
      <c r="B17" s="126" t="s">
        <v>6</v>
      </c>
      <c r="C17" s="138">
        <v>4.1</v>
      </c>
      <c r="D17" s="126"/>
      <c r="E17" s="47" t="s">
        <v>19</v>
      </c>
      <c r="F17" s="59"/>
      <c r="G17" s="138"/>
      <c r="H17" s="164"/>
    </row>
    <row r="18" spans="1:8" ht="12.75">
      <c r="A18" s="123"/>
      <c r="B18" s="124" t="s">
        <v>43</v>
      </c>
      <c r="C18" s="140"/>
      <c r="D18" s="126"/>
      <c r="E18" s="47"/>
      <c r="F18" s="122" t="s">
        <v>2</v>
      </c>
      <c r="G18" s="135">
        <v>35784</v>
      </c>
      <c r="H18" s="164"/>
    </row>
    <row r="19" spans="1:8" ht="12.75">
      <c r="A19" s="123"/>
      <c r="B19" s="68" t="s">
        <v>24</v>
      </c>
      <c r="C19" s="140"/>
      <c r="D19" s="63"/>
      <c r="E19" s="123"/>
      <c r="F19" s="122" t="s">
        <v>3</v>
      </c>
      <c r="G19" s="135">
        <v>5</v>
      </c>
      <c r="H19" s="164"/>
    </row>
    <row r="20" spans="1:8" ht="12.75">
      <c r="A20" s="123"/>
      <c r="B20" s="124" t="s">
        <v>8</v>
      </c>
      <c r="C20" s="140"/>
      <c r="D20" s="105"/>
      <c r="E20" s="123"/>
      <c r="F20" s="122" t="s">
        <v>4</v>
      </c>
      <c r="G20" s="178">
        <f>SQRT((6378+G18)^2-(6378*COS(PI()/180*G19))^2)-6378*SIN(PI()/180*G19)</f>
        <v>41124.62405055137</v>
      </c>
      <c r="H20" s="166"/>
    </row>
    <row r="21" spans="1:8" ht="12.75">
      <c r="A21" s="123"/>
      <c r="B21" s="68" t="s">
        <v>145</v>
      </c>
      <c r="C21" s="140"/>
      <c r="D21" s="105"/>
      <c r="E21" s="123"/>
      <c r="F21" s="122" t="s">
        <v>5</v>
      </c>
      <c r="G21" s="138">
        <f>-(20*LOG(299.792458/(G8*4*3.141592654))-20*LOG(G20*1000))</f>
        <v>191.62175795678232</v>
      </c>
      <c r="H21" s="164"/>
    </row>
    <row r="22" spans="1:8" ht="12.75">
      <c r="A22" s="123"/>
      <c r="B22" s="124" t="s">
        <v>26</v>
      </c>
      <c r="C22" s="140"/>
      <c r="D22" s="82"/>
      <c r="E22" s="123"/>
      <c r="F22" s="122" t="s">
        <v>20</v>
      </c>
      <c r="G22" s="138">
        <v>2.5</v>
      </c>
      <c r="H22" s="164"/>
    </row>
    <row r="23" spans="1:8" ht="12.75">
      <c r="A23" s="123"/>
      <c r="B23" s="128" t="s">
        <v>27</v>
      </c>
      <c r="C23" s="146">
        <f>+C7-SUM(C13:C18)+C21</f>
        <v>-91.18158653636448</v>
      </c>
      <c r="D23" s="126"/>
      <c r="E23" s="123"/>
      <c r="F23" s="122"/>
      <c r="G23" s="138"/>
      <c r="H23" s="164"/>
    </row>
    <row r="24" spans="1:8" ht="12.75">
      <c r="A24" s="123"/>
      <c r="B24" s="124" t="s">
        <v>28</v>
      </c>
      <c r="C24" s="147"/>
      <c r="D24" s="126"/>
      <c r="E24" s="47" t="s">
        <v>41</v>
      </c>
      <c r="F24" s="122"/>
      <c r="G24" s="138"/>
      <c r="H24" s="168"/>
    </row>
    <row r="25" spans="1:8" ht="12.75">
      <c r="A25" s="123"/>
      <c r="B25" s="124" t="s">
        <v>29</v>
      </c>
      <c r="C25" s="147"/>
      <c r="D25" s="122"/>
      <c r="E25" s="47"/>
      <c r="F25" s="126" t="s">
        <v>6</v>
      </c>
      <c r="G25" s="135">
        <v>4.1</v>
      </c>
      <c r="H25" s="168"/>
    </row>
    <row r="26" spans="1:8" ht="12.75">
      <c r="A26" s="123"/>
      <c r="B26" s="124" t="s">
        <v>121</v>
      </c>
      <c r="C26" s="147"/>
      <c r="D26" s="123"/>
      <c r="E26" s="123"/>
      <c r="F26" s="122" t="s">
        <v>7</v>
      </c>
      <c r="G26" s="135">
        <v>0.5</v>
      </c>
      <c r="H26" s="169"/>
    </row>
    <row r="27" spans="1:8" ht="12.75">
      <c r="A27" s="123"/>
      <c r="B27" s="124" t="s">
        <v>30</v>
      </c>
      <c r="C27" s="147"/>
      <c r="D27" s="126"/>
      <c r="E27" s="123"/>
      <c r="F27" s="128" t="s">
        <v>12</v>
      </c>
      <c r="G27" s="141" t="e">
        <f>G15-SUM(G21:G26)</f>
        <v>#NUM!</v>
      </c>
      <c r="H27" s="168"/>
    </row>
    <row r="28" spans="1:8" ht="12.75">
      <c r="A28" s="123"/>
      <c r="B28" s="124" t="s">
        <v>31</v>
      </c>
      <c r="C28" s="147"/>
      <c r="D28" s="126"/>
      <c r="E28" s="123"/>
      <c r="F28" s="128" t="s">
        <v>86</v>
      </c>
      <c r="G28" s="141" t="e">
        <f>G15-G21+10*LOG(4*3.141592654)+20*LOG(G8/299.792458)+10*LOG(4/C6)-30</f>
        <v>#NUM!</v>
      </c>
      <c r="H28" s="168"/>
    </row>
    <row r="29" spans="1:8" ht="12.75">
      <c r="A29" s="123"/>
      <c r="B29" s="128" t="s">
        <v>32</v>
      </c>
      <c r="C29" s="141"/>
      <c r="D29" s="126"/>
      <c r="E29" s="123"/>
      <c r="F29" s="48" t="s">
        <v>9</v>
      </c>
      <c r="G29" s="138">
        <v>-0.3</v>
      </c>
      <c r="H29" s="164"/>
    </row>
    <row r="30" spans="1:8" ht="12.75">
      <c r="A30" s="123"/>
      <c r="B30" s="92" t="s">
        <v>146</v>
      </c>
      <c r="C30" s="141">
        <v>33</v>
      </c>
      <c r="D30" s="126"/>
      <c r="E30" s="123"/>
      <c r="F30" s="128" t="s">
        <v>35</v>
      </c>
      <c r="G30" s="141" t="e">
        <f>G27+G29+228.6-30</f>
        <v>#NUM!</v>
      </c>
      <c r="H30" s="164"/>
    </row>
    <row r="31" spans="1:8" ht="12.75">
      <c r="A31" s="123"/>
      <c r="B31" s="78" t="s">
        <v>9</v>
      </c>
      <c r="C31" s="141">
        <f>C21-C24-C30</f>
        <v>-33</v>
      </c>
      <c r="D31" s="126"/>
      <c r="E31" s="123"/>
      <c r="F31" s="128" t="s">
        <v>36</v>
      </c>
      <c r="G31" s="141">
        <f>C32</f>
        <v>74.41841346363552</v>
      </c>
      <c r="H31" s="164"/>
    </row>
    <row r="32" spans="1:8" ht="12.75">
      <c r="A32" s="123"/>
      <c r="B32" s="128" t="s">
        <v>10</v>
      </c>
      <c r="C32" s="141">
        <f>C7-C13-C14-C17-C18+C31+198.6</f>
        <v>74.41841346363552</v>
      </c>
      <c r="D32" s="126"/>
      <c r="E32" s="123"/>
      <c r="F32" s="128" t="s">
        <v>37</v>
      </c>
      <c r="G32" s="141" t="e">
        <f>10*LOG(1/(1/(10^(G30/10))+1/(10^(G31/10))))</f>
        <v>#NUM!</v>
      </c>
      <c r="H32" s="164"/>
    </row>
    <row r="33" spans="1:8" ht="12.75">
      <c r="A33" s="120"/>
      <c r="B33" s="120" t="s">
        <v>147</v>
      </c>
      <c r="C33" s="145">
        <v>43</v>
      </c>
      <c r="D33" s="126"/>
      <c r="E33" s="123"/>
      <c r="F33" s="124" t="s">
        <v>49</v>
      </c>
      <c r="G33" s="140"/>
      <c r="H33" s="164"/>
    </row>
    <row r="34" spans="1:8" ht="12.75">
      <c r="A34" s="120"/>
      <c r="B34" s="120"/>
      <c r="C34" s="145"/>
      <c r="D34" s="129"/>
      <c r="E34" s="123"/>
      <c r="F34" s="78" t="s">
        <v>148</v>
      </c>
      <c r="G34" s="142"/>
      <c r="H34" s="164"/>
    </row>
    <row r="35" spans="1:8" ht="12.75">
      <c r="A35" s="93" t="s">
        <v>149</v>
      </c>
      <c r="B35" s="130"/>
      <c r="C35" s="145"/>
      <c r="D35" s="126"/>
      <c r="E35" s="123"/>
      <c r="F35" s="122"/>
      <c r="G35" s="135"/>
      <c r="H35" s="164"/>
    </row>
    <row r="36" spans="1:8" ht="12.75">
      <c r="A36" s="130"/>
      <c r="B36" s="131" t="s">
        <v>150</v>
      </c>
      <c r="C36" s="140"/>
      <c r="D36" s="122"/>
      <c r="E36" s="47" t="s">
        <v>151</v>
      </c>
      <c r="F36" s="48"/>
      <c r="G36" s="143"/>
      <c r="H36" s="164"/>
    </row>
    <row r="37" spans="1:8" ht="12.75">
      <c r="A37" s="130"/>
      <c r="B37" s="131" t="s">
        <v>152</v>
      </c>
      <c r="C37" s="140"/>
      <c r="D37" s="122"/>
      <c r="E37" s="123"/>
      <c r="F37" s="124" t="s">
        <v>150</v>
      </c>
      <c r="G37" s="137"/>
      <c r="H37" s="164"/>
    </row>
    <row r="38" spans="1:8" ht="12.75">
      <c r="A38" s="130"/>
      <c r="B38" s="131" t="s">
        <v>153</v>
      </c>
      <c r="C38" s="140"/>
      <c r="D38" s="122"/>
      <c r="E38" s="122"/>
      <c r="F38" s="124" t="s">
        <v>152</v>
      </c>
      <c r="G38" s="137"/>
      <c r="H38" s="164"/>
    </row>
    <row r="39" spans="1:8" ht="12.75">
      <c r="A39" s="130"/>
      <c r="B39" s="131" t="s">
        <v>154</v>
      </c>
      <c r="C39" s="140"/>
      <c r="D39" s="122"/>
      <c r="E39" s="122"/>
      <c r="F39" s="124" t="s">
        <v>155</v>
      </c>
      <c r="G39" s="137"/>
      <c r="H39" s="164"/>
    </row>
    <row r="40" spans="1:8" ht="12.75">
      <c r="A40" s="130"/>
      <c r="B40" s="130"/>
      <c r="C40" s="145"/>
      <c r="D40" s="122"/>
      <c r="E40" s="122"/>
      <c r="F40" s="124" t="s">
        <v>156</v>
      </c>
      <c r="G40" s="137"/>
      <c r="H40" s="164"/>
    </row>
    <row r="41" spans="1:8" ht="12.75">
      <c r="A41" s="93" t="s">
        <v>157</v>
      </c>
      <c r="B41" s="130"/>
      <c r="C41" s="145"/>
      <c r="D41" s="122"/>
      <c r="E41" s="122"/>
      <c r="F41" s="120" t="s">
        <v>158</v>
      </c>
      <c r="G41" s="134">
        <v>15</v>
      </c>
      <c r="H41" s="164"/>
    </row>
    <row r="42" spans="1:8" ht="12.75">
      <c r="A42" s="93"/>
      <c r="B42" s="131" t="s">
        <v>198</v>
      </c>
      <c r="C42" s="140"/>
      <c r="D42" s="120"/>
      <c r="E42" s="120"/>
      <c r="F42" s="132" t="s">
        <v>160</v>
      </c>
      <c r="G42" s="144">
        <f>G40-G41</f>
        <v>-15</v>
      </c>
      <c r="H42" s="162"/>
    </row>
    <row r="43" spans="1:8" ht="12.75">
      <c r="A43" s="130"/>
      <c r="B43" s="131" t="s">
        <v>159</v>
      </c>
      <c r="C43" s="140"/>
      <c r="D43" s="120"/>
      <c r="E43" s="120"/>
      <c r="F43" s="120"/>
      <c r="G43" s="134"/>
      <c r="H43" s="162"/>
    </row>
    <row r="44" spans="1:8" ht="12.75">
      <c r="A44" s="130"/>
      <c r="B44" s="150" t="s">
        <v>161</v>
      </c>
      <c r="C44" s="138">
        <v>1</v>
      </c>
      <c r="D44" s="120"/>
      <c r="E44" s="93" t="s">
        <v>163</v>
      </c>
      <c r="F44" s="120"/>
      <c r="G44" s="134"/>
      <c r="H44" s="162"/>
    </row>
    <row r="45" spans="1:8" ht="12.75">
      <c r="A45" s="130"/>
      <c r="B45" s="131" t="s">
        <v>162</v>
      </c>
      <c r="C45" s="140"/>
      <c r="D45" s="120"/>
      <c r="E45" s="120"/>
      <c r="F45" s="133" t="s">
        <v>200</v>
      </c>
      <c r="G45" s="137"/>
      <c r="H45" s="162"/>
    </row>
    <row r="46" spans="1:8" ht="12.75">
      <c r="A46" s="130"/>
      <c r="B46" s="131" t="s">
        <v>164</v>
      </c>
      <c r="C46" s="140"/>
      <c r="D46" s="120"/>
      <c r="E46" s="120"/>
      <c r="F46" s="133" t="s">
        <v>165</v>
      </c>
      <c r="G46" s="137"/>
      <c r="H46" s="162"/>
    </row>
    <row r="47" spans="1:8" ht="12.75">
      <c r="A47" s="130"/>
      <c r="B47" s="131" t="s">
        <v>166</v>
      </c>
      <c r="C47" s="140"/>
      <c r="D47" s="120"/>
      <c r="E47" s="120"/>
      <c r="F47" s="120" t="s">
        <v>167</v>
      </c>
      <c r="G47" s="134" t="s">
        <v>168</v>
      </c>
      <c r="H47" s="162"/>
    </row>
    <row r="48" spans="1:8" ht="12.75">
      <c r="A48" s="130"/>
      <c r="B48" s="130"/>
      <c r="C48" s="145"/>
      <c r="D48" s="120"/>
      <c r="E48" s="120"/>
      <c r="F48" s="133" t="s">
        <v>169</v>
      </c>
      <c r="G48" s="137"/>
      <c r="H48" s="162"/>
    </row>
    <row r="49" spans="1:8" ht="12.75">
      <c r="A49" s="93" t="s">
        <v>170</v>
      </c>
      <c r="B49" s="130"/>
      <c r="C49" s="145"/>
      <c r="D49" s="120"/>
      <c r="E49" s="120"/>
      <c r="F49" s="133" t="s">
        <v>171</v>
      </c>
      <c r="G49" s="137"/>
      <c r="H49" s="162"/>
    </row>
    <row r="50" spans="1:8" ht="12.75">
      <c r="A50" s="93"/>
      <c r="B50" s="131" t="s">
        <v>199</v>
      </c>
      <c r="C50" s="140"/>
      <c r="D50" s="120"/>
      <c r="E50" s="120"/>
      <c r="F50" s="132" t="s">
        <v>160</v>
      </c>
      <c r="G50" s="144">
        <f>G48-G49</f>
        <v>0</v>
      </c>
      <c r="H50" s="162"/>
    </row>
    <row r="51" spans="1:8" ht="12.75">
      <c r="A51" s="130"/>
      <c r="B51" s="131" t="s">
        <v>172</v>
      </c>
      <c r="C51" s="140"/>
      <c r="D51" s="120"/>
      <c r="E51" s="120"/>
      <c r="F51" s="120"/>
      <c r="G51" s="134"/>
      <c r="H51" s="162"/>
    </row>
    <row r="52" spans="1:8" ht="12.75">
      <c r="A52" s="130"/>
      <c r="B52" s="131" t="s">
        <v>173</v>
      </c>
      <c r="C52" s="140"/>
      <c r="D52" s="120"/>
      <c r="E52" s="93" t="s">
        <v>174</v>
      </c>
      <c r="F52" s="120"/>
      <c r="G52" s="134"/>
      <c r="H52" s="162"/>
    </row>
    <row r="53" spans="1:8" ht="12.75">
      <c r="A53" s="120"/>
      <c r="B53" s="120"/>
      <c r="C53" s="145"/>
      <c r="D53" s="120"/>
      <c r="E53" s="120"/>
      <c r="F53" s="133" t="s">
        <v>201</v>
      </c>
      <c r="G53" s="137"/>
      <c r="H53" s="162"/>
    </row>
    <row r="54" spans="1:8" ht="12.75">
      <c r="A54" s="120"/>
      <c r="B54" s="133" t="s">
        <v>193</v>
      </c>
      <c r="C54" s="140"/>
      <c r="D54" s="120"/>
      <c r="E54" s="120"/>
      <c r="F54" s="133" t="s">
        <v>172</v>
      </c>
      <c r="G54" s="137"/>
      <c r="H54" s="162"/>
    </row>
    <row r="55" spans="1:8" ht="12.75">
      <c r="A55" s="120"/>
      <c r="B55" s="161" t="s">
        <v>194</v>
      </c>
      <c r="C55" s="138" t="s">
        <v>195</v>
      </c>
      <c r="D55" s="120"/>
      <c r="E55" s="120"/>
      <c r="F55" s="133" t="s">
        <v>175</v>
      </c>
      <c r="G55" s="137"/>
      <c r="H55" s="162"/>
    </row>
    <row r="56" spans="1:8" ht="12.75">
      <c r="A56" s="120"/>
      <c r="B56" s="161" t="s">
        <v>196</v>
      </c>
      <c r="C56" s="138" t="s">
        <v>197</v>
      </c>
      <c r="D56" s="119"/>
      <c r="E56" s="120"/>
      <c r="F56" s="120" t="s">
        <v>176</v>
      </c>
      <c r="G56" s="134">
        <v>30</v>
      </c>
      <c r="H56" s="162"/>
    </row>
    <row r="57" spans="1:8" ht="12.75">
      <c r="A57" s="174"/>
      <c r="B57" s="174"/>
      <c r="C57" s="175"/>
      <c r="D57" s="118"/>
      <c r="E57" s="120"/>
      <c r="F57" s="132" t="s">
        <v>160</v>
      </c>
      <c r="G57" s="144">
        <f>G55-G56</f>
        <v>-30</v>
      </c>
      <c r="H57" s="162"/>
    </row>
    <row r="58" spans="1:8" ht="12.75">
      <c r="A58" s="162"/>
      <c r="B58" s="162"/>
      <c r="C58" s="170"/>
      <c r="D58" s="162"/>
      <c r="E58" s="162"/>
      <c r="F58" s="162"/>
      <c r="G58" s="171"/>
      <c r="H58" s="162"/>
    </row>
    <row r="59" spans="1:8" ht="12.75">
      <c r="A59" s="162"/>
      <c r="B59" s="162"/>
      <c r="C59" s="170"/>
      <c r="D59" s="162"/>
      <c r="E59" s="162"/>
      <c r="F59" s="162"/>
      <c r="G59" s="171"/>
      <c r="H59" s="162"/>
    </row>
    <row r="60" spans="1:8" ht="12.75">
      <c r="A60" s="162"/>
      <c r="B60" s="162"/>
      <c r="C60" s="170"/>
      <c r="D60" s="162"/>
      <c r="E60" s="162"/>
      <c r="F60" s="162"/>
      <c r="G60" s="171"/>
      <c r="H60" s="162"/>
    </row>
    <row r="61" spans="1:8" ht="12.75">
      <c r="A61" s="162"/>
      <c r="B61" s="162"/>
      <c r="C61" s="170"/>
      <c r="D61" s="162"/>
      <c r="E61" s="162"/>
      <c r="F61" s="162"/>
      <c r="G61" s="171"/>
      <c r="H61" s="162"/>
    </row>
    <row r="62" spans="1:8" ht="12.75">
      <c r="A62" s="162"/>
      <c r="B62" s="162"/>
      <c r="C62" s="170"/>
      <c r="D62" s="162"/>
      <c r="E62" s="162"/>
      <c r="F62" s="162"/>
      <c r="G62" s="171"/>
      <c r="H62" s="162"/>
    </row>
    <row r="63" spans="1:8" ht="12.75">
      <c r="A63" s="162"/>
      <c r="B63" s="162"/>
      <c r="C63" s="170"/>
      <c r="D63" s="162"/>
      <c r="E63" s="162"/>
      <c r="F63" s="162"/>
      <c r="G63" s="171"/>
      <c r="H63" s="162"/>
    </row>
    <row r="64" spans="1:8" ht="12.75">
      <c r="A64" s="162"/>
      <c r="B64" s="162"/>
      <c r="C64" s="170"/>
      <c r="D64" s="162"/>
      <c r="E64" s="162"/>
      <c r="F64" s="162"/>
      <c r="G64" s="171"/>
      <c r="H64" s="162"/>
    </row>
    <row r="65" spans="1:8" ht="12.75">
      <c r="A65" s="162"/>
      <c r="B65" s="162"/>
      <c r="C65" s="170"/>
      <c r="D65" s="162"/>
      <c r="E65" s="162"/>
      <c r="F65" s="162"/>
      <c r="G65" s="171"/>
      <c r="H65" s="162"/>
    </row>
    <row r="66" spans="1:8" ht="12.75">
      <c r="A66" s="162"/>
      <c r="B66" s="162"/>
      <c r="C66" s="170"/>
      <c r="D66" s="162"/>
      <c r="E66" s="162"/>
      <c r="F66" s="162"/>
      <c r="G66" s="171"/>
      <c r="H66" s="162"/>
    </row>
    <row r="67" spans="1:8" ht="12.75">
      <c r="A67" s="162"/>
      <c r="B67" s="162"/>
      <c r="C67" s="170"/>
      <c r="D67" s="162"/>
      <c r="E67" s="162"/>
      <c r="F67" s="162"/>
      <c r="G67" s="171"/>
      <c r="H67" s="162"/>
    </row>
    <row r="68" spans="1:8" ht="12.75">
      <c r="A68" s="162"/>
      <c r="B68" s="162"/>
      <c r="C68" s="170"/>
      <c r="D68" s="162"/>
      <c r="E68" s="162"/>
      <c r="F68" s="162"/>
      <c r="G68" s="171"/>
      <c r="H68" s="162"/>
    </row>
    <row r="69" spans="1:8" ht="12.75">
      <c r="A69" s="162"/>
      <c r="B69" s="162"/>
      <c r="C69" s="170"/>
      <c r="D69" s="162"/>
      <c r="E69" s="162"/>
      <c r="F69" s="162"/>
      <c r="G69" s="171"/>
      <c r="H69" s="162"/>
    </row>
    <row r="70" spans="1:8" ht="12.75">
      <c r="A70" s="162"/>
      <c r="B70" s="162"/>
      <c r="C70" s="170"/>
      <c r="D70" s="162"/>
      <c r="E70" s="162"/>
      <c r="F70" s="162"/>
      <c r="G70" s="171"/>
      <c r="H70" s="162"/>
    </row>
    <row r="71" spans="1:8" ht="12.75">
      <c r="A71" s="162"/>
      <c r="B71" s="162"/>
      <c r="C71" s="170"/>
      <c r="D71" s="162"/>
      <c r="E71" s="162"/>
      <c r="F71" s="162"/>
      <c r="G71" s="171"/>
      <c r="H71" s="162"/>
    </row>
    <row r="72" spans="1:8" ht="12.75">
      <c r="A72" s="162"/>
      <c r="B72" s="162"/>
      <c r="C72" s="170"/>
      <c r="D72" s="162"/>
      <c r="E72" s="162"/>
      <c r="F72" s="162"/>
      <c r="G72" s="171"/>
      <c r="H72" s="162"/>
    </row>
    <row r="73" spans="1:8" ht="12.75">
      <c r="A73" s="162"/>
      <c r="B73" s="162"/>
      <c r="C73" s="170"/>
      <c r="D73" s="162"/>
      <c r="E73" s="162"/>
      <c r="F73" s="162"/>
      <c r="G73" s="171"/>
      <c r="H73" s="162"/>
    </row>
    <row r="74" spans="1:8" ht="12.75">
      <c r="A74" s="162"/>
      <c r="B74" s="162"/>
      <c r="C74" s="170"/>
      <c r="D74" s="162"/>
      <c r="E74" s="162"/>
      <c r="F74" s="162"/>
      <c r="G74" s="171"/>
      <c r="H74" s="162"/>
    </row>
    <row r="75" spans="1:8" ht="12.75">
      <c r="A75" s="162"/>
      <c r="B75" s="162"/>
      <c r="C75" s="170"/>
      <c r="D75" s="162"/>
      <c r="E75" s="162"/>
      <c r="F75" s="162"/>
      <c r="G75" s="171"/>
      <c r="H75" s="162"/>
    </row>
    <row r="76" spans="1:8" ht="12.75">
      <c r="A76" s="162"/>
      <c r="B76" s="162"/>
      <c r="C76" s="170"/>
      <c r="D76" s="162"/>
      <c r="E76" s="162"/>
      <c r="F76" s="162"/>
      <c r="G76" s="171"/>
      <c r="H76" s="162"/>
    </row>
    <row r="77" spans="1:8" ht="12.75">
      <c r="A77" s="162"/>
      <c r="B77" s="162"/>
      <c r="C77" s="170"/>
      <c r="D77" s="162"/>
      <c r="E77" s="162"/>
      <c r="F77" s="162"/>
      <c r="G77" s="171"/>
      <c r="H77" s="162"/>
    </row>
    <row r="78" spans="1:8" ht="12.75">
      <c r="A78" s="162"/>
      <c r="B78" s="162"/>
      <c r="C78" s="170"/>
      <c r="D78" s="162"/>
      <c r="E78" s="162"/>
      <c r="F78" s="162"/>
      <c r="G78" s="171"/>
      <c r="H78" s="162"/>
    </row>
    <row r="79" spans="1:8" ht="12.75">
      <c r="A79" s="162"/>
      <c r="B79" s="162"/>
      <c r="C79" s="170"/>
      <c r="D79" s="162"/>
      <c r="E79" s="162"/>
      <c r="F79" s="162"/>
      <c r="G79" s="171"/>
      <c r="H79" s="162"/>
    </row>
    <row r="80" spans="1:8" ht="12.75">
      <c r="A80" s="162"/>
      <c r="B80" s="162"/>
      <c r="C80" s="170"/>
      <c r="D80" s="162"/>
      <c r="E80" s="162"/>
      <c r="F80" s="162"/>
      <c r="G80" s="171"/>
      <c r="H80" s="162"/>
    </row>
    <row r="81" spans="1:8" ht="12.75">
      <c r="A81" s="162"/>
      <c r="B81" s="162"/>
      <c r="C81" s="170"/>
      <c r="D81" s="162"/>
      <c r="E81" s="162"/>
      <c r="F81" s="162"/>
      <c r="G81" s="171"/>
      <c r="H81" s="162"/>
    </row>
    <row r="82" spans="1:8" ht="12.75">
      <c r="A82" s="162"/>
      <c r="B82" s="162"/>
      <c r="C82" s="170"/>
      <c r="D82" s="162"/>
      <c r="E82" s="162"/>
      <c r="F82" s="162"/>
      <c r="G82" s="171"/>
      <c r="H82" s="162"/>
    </row>
    <row r="83" spans="1:8" ht="12.75">
      <c r="A83" s="162"/>
      <c r="B83" s="162"/>
      <c r="C83" s="170"/>
      <c r="D83" s="162"/>
      <c r="E83" s="162"/>
      <c r="F83" s="162"/>
      <c r="G83" s="171"/>
      <c r="H83" s="162"/>
    </row>
    <row r="84" spans="1:8" ht="12.75">
      <c r="A84" s="162"/>
      <c r="B84" s="162"/>
      <c r="C84" s="170"/>
      <c r="D84" s="162"/>
      <c r="E84" s="162"/>
      <c r="F84" s="162"/>
      <c r="G84" s="171"/>
      <c r="H84" s="162"/>
    </row>
    <row r="85" spans="1:8" ht="12.75">
      <c r="A85" s="162"/>
      <c r="B85" s="162"/>
      <c r="C85" s="170"/>
      <c r="D85" s="162"/>
      <c r="E85" s="162"/>
      <c r="F85" s="162"/>
      <c r="G85" s="171"/>
      <c r="H85" s="162"/>
    </row>
    <row r="86" spans="1:8" ht="12.75">
      <c r="A86" s="162"/>
      <c r="B86" s="162"/>
      <c r="C86" s="170"/>
      <c r="D86" s="162"/>
      <c r="E86" s="162"/>
      <c r="F86" s="162"/>
      <c r="G86" s="171"/>
      <c r="H86" s="162"/>
    </row>
    <row r="87" spans="1:8" ht="12.75">
      <c r="A87" s="162"/>
      <c r="B87" s="162"/>
      <c r="C87" s="170"/>
      <c r="D87" s="162"/>
      <c r="E87" s="162"/>
      <c r="F87" s="162"/>
      <c r="G87" s="171"/>
      <c r="H87" s="162"/>
    </row>
    <row r="88" spans="1:8" ht="12.75">
      <c r="A88" s="162"/>
      <c r="B88" s="162"/>
      <c r="C88" s="170"/>
      <c r="D88" s="162"/>
      <c r="E88" s="162"/>
      <c r="F88" s="162"/>
      <c r="G88" s="171"/>
      <c r="H88" s="162"/>
    </row>
    <row r="89" spans="1:8" ht="12.75">
      <c r="A89" s="162"/>
      <c r="B89" s="162"/>
      <c r="C89" s="170"/>
      <c r="D89" s="162"/>
      <c r="E89" s="162"/>
      <c r="F89" s="162"/>
      <c r="G89" s="171"/>
      <c r="H89" s="162"/>
    </row>
    <row r="90" spans="1:8" ht="12.75">
      <c r="A90" s="162"/>
      <c r="B90" s="162"/>
      <c r="C90" s="170"/>
      <c r="D90" s="162"/>
      <c r="E90" s="162"/>
      <c r="F90" s="162"/>
      <c r="G90" s="171"/>
      <c r="H90" s="162"/>
    </row>
    <row r="91" spans="1:8" ht="12.75">
      <c r="A91" s="162"/>
      <c r="B91" s="162"/>
      <c r="C91" s="170"/>
      <c r="D91" s="162"/>
      <c r="E91" s="162"/>
      <c r="F91" s="162"/>
      <c r="G91" s="171"/>
      <c r="H91" s="162"/>
    </row>
    <row r="92" spans="1:8" ht="12.75">
      <c r="A92" s="162"/>
      <c r="B92" s="162"/>
      <c r="C92" s="170"/>
      <c r="D92" s="162"/>
      <c r="E92" s="162"/>
      <c r="F92" s="162"/>
      <c r="G92" s="171"/>
      <c r="H92" s="162"/>
    </row>
    <row r="93" spans="1:8" ht="12.75">
      <c r="A93" s="162"/>
      <c r="B93" s="162"/>
      <c r="C93" s="170"/>
      <c r="D93" s="162"/>
      <c r="E93" s="162"/>
      <c r="F93" s="162"/>
      <c r="G93" s="171"/>
      <c r="H93" s="162"/>
    </row>
    <row r="94" spans="1:8" ht="12.75">
      <c r="A94" s="162"/>
      <c r="B94" s="162"/>
      <c r="C94" s="170"/>
      <c r="D94" s="162"/>
      <c r="E94" s="162"/>
      <c r="F94" s="162"/>
      <c r="G94" s="171"/>
      <c r="H94" s="162"/>
    </row>
    <row r="95" spans="1:8" ht="12.75">
      <c r="A95" s="162"/>
      <c r="B95" s="162"/>
      <c r="C95" s="170"/>
      <c r="D95" s="162"/>
      <c r="E95" s="162"/>
      <c r="F95" s="162"/>
      <c r="G95" s="171"/>
      <c r="H95" s="162"/>
    </row>
    <row r="96" spans="1:8" ht="12.75">
      <c r="A96" s="162"/>
      <c r="B96" s="162"/>
      <c r="C96" s="170"/>
      <c r="D96" s="162"/>
      <c r="E96" s="162"/>
      <c r="F96" s="162"/>
      <c r="G96" s="171"/>
      <c r="H96" s="162"/>
    </row>
    <row r="97" spans="1:8" ht="12.75">
      <c r="A97" s="162"/>
      <c r="B97" s="162"/>
      <c r="C97" s="170"/>
      <c r="D97" s="162"/>
      <c r="E97" s="162"/>
      <c r="F97" s="162"/>
      <c r="G97" s="171"/>
      <c r="H97" s="162"/>
    </row>
    <row r="98" spans="1:8" ht="12.75">
      <c r="A98" s="162"/>
      <c r="B98" s="162"/>
      <c r="C98" s="170"/>
      <c r="D98" s="162"/>
      <c r="E98" s="162"/>
      <c r="F98" s="162"/>
      <c r="G98" s="171"/>
      <c r="H98" s="162"/>
    </row>
    <row r="99" spans="1:8" ht="12.75">
      <c r="A99" s="162"/>
      <c r="B99" s="162"/>
      <c r="C99" s="170"/>
      <c r="D99" s="162"/>
      <c r="E99" s="162"/>
      <c r="F99" s="162"/>
      <c r="G99" s="171"/>
      <c r="H99" s="162"/>
    </row>
    <row r="100" spans="1:8" ht="12.75">
      <c r="A100" s="162"/>
      <c r="B100" s="162"/>
      <c r="C100" s="170"/>
      <c r="D100" s="162"/>
      <c r="E100" s="162"/>
      <c r="F100" s="162"/>
      <c r="G100" s="171"/>
      <c r="H100" s="162"/>
    </row>
    <row r="101" spans="1:8" ht="12.75">
      <c r="A101" s="162"/>
      <c r="B101" s="162"/>
      <c r="C101" s="170"/>
      <c r="D101" s="162"/>
      <c r="E101" s="162"/>
      <c r="F101" s="162"/>
      <c r="G101" s="171"/>
      <c r="H101" s="162"/>
    </row>
    <row r="102" spans="1:8" ht="12.75">
      <c r="A102" s="162"/>
      <c r="B102" s="162"/>
      <c r="C102" s="170"/>
      <c r="D102" s="162"/>
      <c r="E102" s="162"/>
      <c r="F102" s="162"/>
      <c r="G102" s="171"/>
      <c r="H102" s="162"/>
    </row>
    <row r="103" spans="1:8" ht="12.75">
      <c r="A103" s="162"/>
      <c r="B103" s="162"/>
      <c r="C103" s="170"/>
      <c r="D103" s="162"/>
      <c r="E103" s="162"/>
      <c r="F103" s="162"/>
      <c r="G103" s="171"/>
      <c r="H103" s="162"/>
    </row>
    <row r="104" spans="1:8" ht="12.75">
      <c r="A104" s="162"/>
      <c r="B104" s="162"/>
      <c r="C104" s="170"/>
      <c r="D104" s="162"/>
      <c r="E104" s="162"/>
      <c r="F104" s="162"/>
      <c r="G104" s="171"/>
      <c r="H104" s="162"/>
    </row>
    <row r="105" spans="1:8" ht="12.75">
      <c r="A105" s="162"/>
      <c r="B105" s="162"/>
      <c r="C105" s="170"/>
      <c r="D105" s="162"/>
      <c r="E105" s="162"/>
      <c r="F105" s="162"/>
      <c r="G105" s="171"/>
      <c r="H105" s="162"/>
    </row>
    <row r="106" spans="1:8" ht="12.75">
      <c r="A106" s="162"/>
      <c r="B106" s="162"/>
      <c r="C106" s="170"/>
      <c r="D106" s="162"/>
      <c r="E106" s="162"/>
      <c r="F106" s="162"/>
      <c r="G106" s="171"/>
      <c r="H106" s="162"/>
    </row>
    <row r="107" spans="1:8" ht="12.75">
      <c r="A107" s="162"/>
      <c r="B107" s="162"/>
      <c r="C107" s="170"/>
      <c r="D107" s="162"/>
      <c r="E107" s="162"/>
      <c r="F107" s="162"/>
      <c r="G107" s="171"/>
      <c r="H107" s="162"/>
    </row>
    <row r="108" spans="1:8" ht="12.75">
      <c r="A108" s="162"/>
      <c r="B108" s="162"/>
      <c r="C108" s="170"/>
      <c r="D108" s="162"/>
      <c r="E108" s="162"/>
      <c r="F108" s="162"/>
      <c r="G108" s="171"/>
      <c r="H108" s="162"/>
    </row>
    <row r="109" spans="1:8" ht="12.75">
      <c r="A109" s="162"/>
      <c r="B109" s="162"/>
      <c r="C109" s="170"/>
      <c r="D109" s="162"/>
      <c r="E109" s="162"/>
      <c r="F109" s="162"/>
      <c r="G109" s="171"/>
      <c r="H109" s="162"/>
    </row>
    <row r="110" spans="1:8" ht="12.75">
      <c r="A110" s="162"/>
      <c r="B110" s="162"/>
      <c r="C110" s="170"/>
      <c r="D110" s="162"/>
      <c r="E110" s="162"/>
      <c r="F110" s="162"/>
      <c r="G110" s="171"/>
      <c r="H110" s="162"/>
    </row>
    <row r="111" spans="1:8" ht="12.75">
      <c r="A111" s="162"/>
      <c r="B111" s="162"/>
      <c r="C111" s="170"/>
      <c r="D111" s="162"/>
      <c r="E111" s="162"/>
      <c r="F111" s="162"/>
      <c r="G111" s="171"/>
      <c r="H111" s="162"/>
    </row>
    <row r="112" spans="1:8" ht="12.75">
      <c r="A112" s="162"/>
      <c r="B112" s="162"/>
      <c r="C112" s="170"/>
      <c r="D112" s="162"/>
      <c r="E112" s="162"/>
      <c r="F112" s="162"/>
      <c r="G112" s="171"/>
      <c r="H112" s="162"/>
    </row>
    <row r="113" spans="1:8" ht="12.75">
      <c r="A113" s="162"/>
      <c r="B113" s="162"/>
      <c r="C113" s="170"/>
      <c r="D113" s="162"/>
      <c r="E113" s="162"/>
      <c r="F113" s="162"/>
      <c r="G113" s="171"/>
      <c r="H113" s="162"/>
    </row>
    <row r="114" spans="1:8" ht="12.75">
      <c r="A114" s="162"/>
      <c r="B114" s="162"/>
      <c r="C114" s="170"/>
      <c r="D114" s="162"/>
      <c r="E114" s="162"/>
      <c r="F114" s="162"/>
      <c r="G114" s="171"/>
      <c r="H114" s="162"/>
    </row>
    <row r="115" spans="1:8" ht="12.75">
      <c r="A115" s="162"/>
      <c r="B115" s="162"/>
      <c r="C115" s="170"/>
      <c r="D115" s="162"/>
      <c r="E115" s="162"/>
      <c r="F115" s="162"/>
      <c r="G115" s="171"/>
      <c r="H115" s="162"/>
    </row>
    <row r="116" spans="1:8" ht="12.75">
      <c r="A116" s="162"/>
      <c r="B116" s="162"/>
      <c r="C116" s="170"/>
      <c r="D116" s="162"/>
      <c r="E116" s="162"/>
      <c r="F116" s="162"/>
      <c r="G116" s="171"/>
      <c r="H116" s="162"/>
    </row>
  </sheetData>
  <conditionalFormatting sqref="G28">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79" r:id="rId1"/>
  <headerFooter alignWithMargins="0">
    <oddHeader>&amp;L&amp;F     Printed &amp;D &amp;T&amp;C &amp;A&amp;R&amp;P/&amp;N</oddHeader>
  </headerFooter>
</worksheet>
</file>

<file path=xl/worksheets/sheet2.xml><?xml version="1.0" encoding="utf-8"?>
<worksheet xmlns="http://schemas.openxmlformats.org/spreadsheetml/2006/main" xmlns:r="http://schemas.openxmlformats.org/officeDocument/2006/relationships">
  <sheetPr codeName="Sheet3">
    <tabColor indexed="47"/>
    <pageSetUpPr fitToPage="1"/>
  </sheetPr>
  <dimension ref="A1:Q37"/>
  <sheetViews>
    <sheetView zoomScaleSheetLayoutView="75" workbookViewId="0" topLeftCell="A1">
      <selection activeCell="G40" sqref="G40"/>
    </sheetView>
  </sheetViews>
  <sheetFormatPr defaultColWidth="9.140625" defaultRowHeight="12.75"/>
  <cols>
    <col min="1" max="1" width="4.28125" style="2" customWidth="1"/>
    <col min="2" max="2" width="37.7109375" style="2" customWidth="1"/>
    <col min="3" max="3" width="13.8515625" style="6" customWidth="1"/>
    <col min="4" max="4" width="4.7109375" style="2" customWidth="1"/>
    <col min="5" max="5" width="6.140625" style="2" customWidth="1"/>
    <col min="6" max="6" width="30.140625" style="2" customWidth="1"/>
    <col min="7" max="16384" width="19.421875" style="2" customWidth="1"/>
  </cols>
  <sheetData>
    <row r="1" spans="1:7" ht="12.75">
      <c r="A1" s="44" t="s">
        <v>34</v>
      </c>
      <c r="B1" s="45"/>
      <c r="C1" s="53"/>
      <c r="D1" s="45"/>
      <c r="E1" s="45"/>
      <c r="F1" s="45"/>
      <c r="G1" s="45"/>
    </row>
    <row r="2" spans="1:7" ht="12.75">
      <c r="A2" s="44"/>
      <c r="B2" s="46" t="s">
        <v>45</v>
      </c>
      <c r="C2" s="53"/>
      <c r="D2" s="45"/>
      <c r="E2" s="45"/>
      <c r="F2" s="46" t="s">
        <v>46</v>
      </c>
      <c r="G2" s="45"/>
    </row>
    <row r="3" spans="1:7" s="10" customFormat="1" ht="12.75" customHeight="1">
      <c r="A3" s="47" t="s">
        <v>38</v>
      </c>
      <c r="B3" s="45"/>
      <c r="C3" s="87"/>
      <c r="D3" s="48"/>
      <c r="E3" s="47" t="s">
        <v>18</v>
      </c>
      <c r="F3" s="45"/>
      <c r="G3" s="48"/>
    </row>
    <row r="4" spans="1:8" ht="12.75">
      <c r="A4" s="49"/>
      <c r="B4" s="45" t="s">
        <v>120</v>
      </c>
      <c r="C4" s="53">
        <v>2030.7</v>
      </c>
      <c r="D4" s="45"/>
      <c r="E4" s="49"/>
      <c r="F4" s="50" t="s">
        <v>47</v>
      </c>
      <c r="G4" s="50"/>
      <c r="H4" s="4"/>
    </row>
    <row r="5" spans="1:8" ht="12.75">
      <c r="A5" s="49"/>
      <c r="B5" s="45" t="s">
        <v>16</v>
      </c>
      <c r="C5" s="88">
        <v>15.654</v>
      </c>
      <c r="D5" s="45"/>
      <c r="E5" s="49"/>
      <c r="F5" s="50" t="s">
        <v>15</v>
      </c>
      <c r="G5" s="50"/>
      <c r="H5" s="4"/>
    </row>
    <row r="6" spans="1:8" ht="12.75">
      <c r="A6" s="49"/>
      <c r="B6" s="45" t="s">
        <v>83</v>
      </c>
      <c r="C6" s="88">
        <f>35.941/2</f>
        <v>17.9705</v>
      </c>
      <c r="D6" s="53"/>
      <c r="E6" s="49"/>
      <c r="F6" s="75" t="s">
        <v>48</v>
      </c>
      <c r="G6" s="76" t="e">
        <f>10*LOG10(G4)-G5</f>
        <v>#NUM!</v>
      </c>
      <c r="H6" s="4"/>
    </row>
    <row r="7" spans="1:8" ht="12.75">
      <c r="A7" s="48"/>
      <c r="B7" s="48" t="s">
        <v>109</v>
      </c>
      <c r="C7" s="56">
        <v>76.25</v>
      </c>
      <c r="D7" s="55"/>
      <c r="E7" s="49"/>
      <c r="F7" s="50" t="s">
        <v>0</v>
      </c>
      <c r="G7" s="52"/>
      <c r="H7" s="4"/>
    </row>
    <row r="8" spans="1:8" ht="12.75">
      <c r="A8" s="49"/>
      <c r="B8" s="45"/>
      <c r="C8" s="53"/>
      <c r="D8" s="57" t="s">
        <v>1</v>
      </c>
      <c r="E8" s="49"/>
      <c r="F8" s="45" t="s">
        <v>44</v>
      </c>
      <c r="G8" s="45">
        <v>1696.7</v>
      </c>
      <c r="H8" s="31"/>
    </row>
    <row r="9" spans="1:7" ht="12.75">
      <c r="A9" s="47" t="s">
        <v>39</v>
      </c>
      <c r="B9" s="59"/>
      <c r="C9" s="60"/>
      <c r="D9" s="58"/>
      <c r="E9" s="49"/>
      <c r="F9" s="50" t="s">
        <v>14</v>
      </c>
      <c r="G9" s="50"/>
    </row>
    <row r="10" spans="1:8" ht="12.75">
      <c r="A10" s="49"/>
      <c r="B10" s="45" t="s">
        <v>2</v>
      </c>
      <c r="C10" s="53">
        <v>35784</v>
      </c>
      <c r="D10" s="57"/>
      <c r="E10" s="49"/>
      <c r="F10" s="50" t="s">
        <v>8</v>
      </c>
      <c r="G10" s="50"/>
      <c r="H10" s="31"/>
    </row>
    <row r="11" spans="1:10" ht="12.75">
      <c r="A11" s="49"/>
      <c r="B11" s="45" t="s">
        <v>3</v>
      </c>
      <c r="C11" s="53">
        <v>13.8</v>
      </c>
      <c r="D11" s="61"/>
      <c r="E11" s="49"/>
      <c r="F11" s="50" t="s">
        <v>17</v>
      </c>
      <c r="G11" s="54"/>
      <c r="H11" s="4"/>
      <c r="I11" s="6"/>
      <c r="J11" s="7"/>
    </row>
    <row r="12" spans="1:10" ht="12.75">
      <c r="A12" s="49"/>
      <c r="B12" s="45" t="s">
        <v>4</v>
      </c>
      <c r="C12" s="53">
        <f>SQRT((6378+C10)^2-(6378*COS(PI()/180*C11))^2)-6378*SIN(PI()/180*C11)</f>
        <v>40183.18870290123</v>
      </c>
      <c r="D12" s="61"/>
      <c r="E12" s="49"/>
      <c r="F12" s="50" t="s">
        <v>132</v>
      </c>
      <c r="G12" s="54"/>
      <c r="H12" s="4"/>
      <c r="I12" s="6"/>
      <c r="J12" s="7"/>
    </row>
    <row r="13" spans="1:10" ht="12.75">
      <c r="A13" s="49"/>
      <c r="B13" s="45" t="s">
        <v>5</v>
      </c>
      <c r="C13" s="53">
        <f>-(20*LOG(299.792458/(C4*4*3.141592654))-20*LOG(C12*1000))</f>
        <v>190.68158653636448</v>
      </c>
      <c r="D13" s="61"/>
      <c r="E13" s="49"/>
      <c r="F13" s="50" t="s">
        <v>131</v>
      </c>
      <c r="G13" s="54"/>
      <c r="H13" s="4"/>
      <c r="I13" s="6"/>
      <c r="J13" s="7"/>
    </row>
    <row r="14" spans="1:13" ht="12.75">
      <c r="A14" s="49"/>
      <c r="B14" s="45" t="s">
        <v>20</v>
      </c>
      <c r="C14" s="53">
        <v>1</v>
      </c>
      <c r="D14" s="57"/>
      <c r="E14" s="49"/>
      <c r="F14" s="75" t="s">
        <v>42</v>
      </c>
      <c r="G14" s="76">
        <f>G11-G13-G12</f>
        <v>0</v>
      </c>
      <c r="H14" s="4"/>
      <c r="I14" s="6"/>
      <c r="J14" s="7"/>
      <c r="M14" s="8"/>
    </row>
    <row r="15" spans="1:9" ht="12.75">
      <c r="A15" s="49"/>
      <c r="B15" s="45"/>
      <c r="C15" s="53"/>
      <c r="D15" s="45"/>
      <c r="E15" s="49"/>
      <c r="F15" s="78" t="s">
        <v>57</v>
      </c>
      <c r="G15" s="79" t="e">
        <f>+G6-G7+G11-G12-G13+30</f>
        <v>#NUM!</v>
      </c>
      <c r="H15" s="1"/>
      <c r="I15" s="6"/>
    </row>
    <row r="16" spans="1:7" ht="12.75">
      <c r="A16" s="47" t="s">
        <v>40</v>
      </c>
      <c r="B16" s="45"/>
      <c r="C16" s="53"/>
      <c r="D16" s="57"/>
      <c r="E16" s="49"/>
      <c r="F16" s="48"/>
      <c r="G16" s="56"/>
    </row>
    <row r="17" spans="1:7" ht="12.75">
      <c r="A17" s="49"/>
      <c r="B17" s="74" t="s">
        <v>6</v>
      </c>
      <c r="C17" s="54"/>
      <c r="D17" s="57"/>
      <c r="E17" s="47" t="s">
        <v>19</v>
      </c>
      <c r="F17" s="59"/>
      <c r="G17" s="60"/>
    </row>
    <row r="18" spans="1:7" ht="12.75">
      <c r="A18" s="49"/>
      <c r="B18" s="50" t="s">
        <v>43</v>
      </c>
      <c r="C18" s="54"/>
      <c r="D18" s="57"/>
      <c r="E18" s="47"/>
      <c r="F18" s="45" t="s">
        <v>2</v>
      </c>
      <c r="G18" s="45">
        <v>35784</v>
      </c>
    </row>
    <row r="19" spans="1:7" ht="12.75">
      <c r="A19" s="49"/>
      <c r="B19" s="68" t="s">
        <v>24</v>
      </c>
      <c r="C19" s="54"/>
      <c r="D19" s="63"/>
      <c r="E19" s="49"/>
      <c r="F19" s="45" t="s">
        <v>3</v>
      </c>
      <c r="G19" s="45">
        <v>5</v>
      </c>
    </row>
    <row r="20" spans="1:9" ht="12.75">
      <c r="A20" s="49"/>
      <c r="B20" s="50" t="s">
        <v>8</v>
      </c>
      <c r="C20" s="54"/>
      <c r="D20" s="64"/>
      <c r="E20" s="49"/>
      <c r="F20" s="45" t="s">
        <v>4</v>
      </c>
      <c r="G20" s="51">
        <f>SQRT((6378+G18)^2-(6378*COS(PI()/180*G19))^2)-6378*SIN(PI()/180*G19)</f>
        <v>41124.62405055137</v>
      </c>
      <c r="H20" s="4"/>
      <c r="I20" s="6"/>
    </row>
    <row r="21" spans="1:7" ht="12.75">
      <c r="A21" s="49"/>
      <c r="B21" s="50" t="s">
        <v>25</v>
      </c>
      <c r="C21" s="54"/>
      <c r="D21" s="64"/>
      <c r="E21" s="49"/>
      <c r="F21" s="45" t="s">
        <v>5</v>
      </c>
      <c r="G21" s="53">
        <f>-(20*LOG(299.792458/(G8*4*3.141592654))-20*LOG(G20*1000))</f>
        <v>189.3219232354714</v>
      </c>
    </row>
    <row r="22" spans="1:7" ht="12.75">
      <c r="A22" s="49"/>
      <c r="B22" s="50" t="s">
        <v>26</v>
      </c>
      <c r="C22" s="54"/>
      <c r="D22" s="66"/>
      <c r="E22" s="49"/>
      <c r="F22" s="45" t="s">
        <v>20</v>
      </c>
      <c r="G22" s="53">
        <v>2.5</v>
      </c>
    </row>
    <row r="23" spans="1:7" ht="12.75">
      <c r="A23" s="49"/>
      <c r="B23" s="50" t="s">
        <v>28</v>
      </c>
      <c r="C23" s="67"/>
      <c r="D23" s="57"/>
      <c r="E23" s="49"/>
      <c r="F23" s="45"/>
      <c r="G23" s="53"/>
    </row>
    <row r="24" spans="1:16" ht="12.75">
      <c r="A24" s="49"/>
      <c r="B24" s="50" t="s">
        <v>29</v>
      </c>
      <c r="C24" s="67"/>
      <c r="D24" s="57"/>
      <c r="E24" s="47" t="s">
        <v>41</v>
      </c>
      <c r="F24" s="45"/>
      <c r="G24" s="53"/>
      <c r="H24" s="3"/>
      <c r="I24" s="3"/>
      <c r="J24" s="3"/>
      <c r="K24" s="3"/>
      <c r="L24" s="3"/>
      <c r="M24" s="3"/>
      <c r="O24" s="15"/>
      <c r="P24" s="3"/>
    </row>
    <row r="25" spans="1:13" ht="12.75">
      <c r="A25" s="49"/>
      <c r="B25" s="50" t="s">
        <v>121</v>
      </c>
      <c r="C25" s="67"/>
      <c r="D25" s="45"/>
      <c r="E25" s="47"/>
      <c r="F25" s="57" t="s">
        <v>6</v>
      </c>
      <c r="G25" s="45">
        <v>0.25</v>
      </c>
      <c r="H25" s="3"/>
      <c r="I25" s="3"/>
      <c r="J25" s="3"/>
      <c r="K25" s="3"/>
      <c r="L25" s="3"/>
      <c r="M25" s="3"/>
    </row>
    <row r="26" spans="1:17" ht="12.75">
      <c r="A26" s="49"/>
      <c r="B26" s="50" t="s">
        <v>30</v>
      </c>
      <c r="C26" s="67"/>
      <c r="D26" s="49"/>
      <c r="E26" s="49"/>
      <c r="F26" s="45" t="s">
        <v>7</v>
      </c>
      <c r="G26" s="45">
        <v>0.5</v>
      </c>
      <c r="H26" s="15"/>
      <c r="I26" s="3"/>
      <c r="J26" s="3"/>
      <c r="K26" s="3"/>
      <c r="L26" s="3"/>
      <c r="M26" s="16"/>
      <c r="N26" s="1"/>
      <c r="O26" s="6"/>
      <c r="P26" s="7"/>
      <c r="Q26" s="6"/>
    </row>
    <row r="27" spans="1:13" ht="12.75">
      <c r="A27" s="49"/>
      <c r="B27" s="50" t="s">
        <v>31</v>
      </c>
      <c r="C27" s="67"/>
      <c r="D27" s="57"/>
      <c r="E27" s="49"/>
      <c r="F27" s="75" t="s">
        <v>86</v>
      </c>
      <c r="G27" s="79" t="e">
        <f>G15-G21+10*LOG(4*3.141592654)+20*LOG(G8/299.792458)+10*LOG(4/C6)-30+G12</f>
        <v>#NUM!</v>
      </c>
      <c r="H27" s="3"/>
      <c r="I27" s="3"/>
      <c r="J27" s="3"/>
      <c r="K27" s="3"/>
      <c r="L27" s="18"/>
      <c r="M27" s="15"/>
    </row>
    <row r="28" spans="1:17" ht="12.75">
      <c r="A28" s="49"/>
      <c r="B28" s="75" t="s">
        <v>32</v>
      </c>
      <c r="C28" s="76">
        <f>C25*10^(-C23/10)+C26+C27</f>
        <v>0</v>
      </c>
      <c r="D28" s="57"/>
      <c r="E28" s="49"/>
      <c r="F28" s="48" t="s">
        <v>9</v>
      </c>
      <c r="G28" s="53">
        <v>-0.3</v>
      </c>
      <c r="H28" s="3"/>
      <c r="I28" s="3"/>
      <c r="J28" s="3"/>
      <c r="K28" s="3"/>
      <c r="L28" s="3"/>
      <c r="M28" s="15"/>
      <c r="P28" s="19"/>
      <c r="Q28" s="17"/>
    </row>
    <row r="29" spans="1:10" ht="12.75">
      <c r="A29" s="49"/>
      <c r="B29" s="75" t="s">
        <v>58</v>
      </c>
      <c r="C29" s="76" t="e">
        <f>10*LOG(C28)</f>
        <v>#NUM!</v>
      </c>
      <c r="D29" s="57"/>
      <c r="E29" s="49"/>
      <c r="F29" s="75" t="s">
        <v>35</v>
      </c>
      <c r="G29" s="76" t="e">
        <f>G15-SUM(G21:G26)+G28+228.6-30</f>
        <v>#NUM!</v>
      </c>
      <c r="J29" s="13"/>
    </row>
    <row r="30" spans="1:7" ht="12.75">
      <c r="A30" s="49"/>
      <c r="B30" s="78" t="s">
        <v>9</v>
      </c>
      <c r="C30" s="76" t="e">
        <f>C21-C23-C29</f>
        <v>#NUM!</v>
      </c>
      <c r="D30" s="57"/>
      <c r="E30" s="49"/>
      <c r="F30" s="75" t="s">
        <v>36</v>
      </c>
      <c r="G30" s="76" t="e">
        <f>C31</f>
        <v>#NUM!</v>
      </c>
    </row>
    <row r="31" spans="1:7" ht="12.75">
      <c r="A31" s="49"/>
      <c r="B31" s="75" t="s">
        <v>10</v>
      </c>
      <c r="C31" s="76" t="e">
        <f>C7-SUM(C13:C18)+C30+228.6-30</f>
        <v>#NUM!</v>
      </c>
      <c r="D31" s="57"/>
      <c r="E31" s="49"/>
      <c r="F31" s="75" t="s">
        <v>37</v>
      </c>
      <c r="G31" s="76" t="e">
        <f>10*LOG(1/(1/(10^(G29/10))+1/(10^(G30/10))))</f>
        <v>#NUM!</v>
      </c>
    </row>
    <row r="32" spans="1:7" ht="12.75">
      <c r="A32" s="49"/>
      <c r="B32" s="45"/>
      <c r="C32" s="53"/>
      <c r="D32" s="57"/>
      <c r="E32" s="49"/>
      <c r="F32" s="50" t="s">
        <v>82</v>
      </c>
      <c r="G32" s="54"/>
    </row>
    <row r="33" spans="1:7" ht="12.75">
      <c r="A33" s="49"/>
      <c r="B33" s="45"/>
      <c r="C33" s="53"/>
      <c r="D33" s="57"/>
      <c r="E33" s="49"/>
      <c r="F33" s="78" t="s">
        <v>22</v>
      </c>
      <c r="G33" s="80" t="e">
        <f>G31-10*LOG(C5*1000)-G32</f>
        <v>#NUM!</v>
      </c>
    </row>
    <row r="34" spans="1:7" ht="12.75">
      <c r="A34" s="49"/>
      <c r="B34" s="45"/>
      <c r="C34" s="53"/>
      <c r="D34" s="69"/>
      <c r="E34" s="49"/>
      <c r="F34" s="45" t="s">
        <v>85</v>
      </c>
      <c r="G34" s="45">
        <v>2.6</v>
      </c>
    </row>
    <row r="35" spans="4:7" ht="12.75">
      <c r="D35" s="57"/>
      <c r="E35" s="49"/>
      <c r="F35" s="45" t="s">
        <v>11</v>
      </c>
      <c r="G35" s="65">
        <v>4</v>
      </c>
    </row>
    <row r="36" spans="4:7" ht="12.75">
      <c r="D36" s="45"/>
      <c r="E36" s="49"/>
      <c r="F36" s="78" t="s">
        <v>103</v>
      </c>
      <c r="G36" s="80" t="e">
        <f>G33-G34-G35</f>
        <v>#NUM!</v>
      </c>
    </row>
    <row r="37" ht="12.75">
      <c r="E37" s="5"/>
    </row>
  </sheetData>
  <conditionalFormatting sqref="G27">
    <cfRule type="cellIs" priority="1" dxfId="0" operator="greaterThan" stopIfTrue="1">
      <formula>-154</formula>
    </cfRule>
  </conditionalFormatting>
  <printOptions gridLines="1"/>
  <pageMargins left="0.56" right="0.55" top="0.55" bottom="0.5" header="0.33" footer="0.5"/>
  <pageSetup fitToHeight="1" fitToWidth="1" horizontalDpi="300" verticalDpi="300" orientation="landscape" r:id="rId3"/>
  <headerFooter alignWithMargins="0">
    <oddHeader>&amp;L&amp;F     Printed &amp;D &amp;T&amp;C &amp;A&amp;R&amp;P/&amp;N</oddHeader>
  </headerFooter>
  <legacyDrawing r:id="rId2"/>
</worksheet>
</file>

<file path=xl/worksheets/sheet3.xml><?xml version="1.0" encoding="utf-8"?>
<worksheet xmlns="http://schemas.openxmlformats.org/spreadsheetml/2006/main" xmlns:r="http://schemas.openxmlformats.org/officeDocument/2006/relationships">
  <sheetPr codeName="Sheet4">
    <tabColor indexed="47"/>
    <pageSetUpPr fitToPage="1"/>
  </sheetPr>
  <dimension ref="A1:H41"/>
  <sheetViews>
    <sheetView workbookViewId="0" topLeftCell="A1">
      <selection activeCell="G32" sqref="G32"/>
    </sheetView>
  </sheetViews>
  <sheetFormatPr defaultColWidth="9.140625" defaultRowHeight="12.75"/>
  <cols>
    <col min="1" max="1" width="4.28125" style="0" customWidth="1"/>
    <col min="2" max="2" width="37.8515625" style="0" customWidth="1"/>
    <col min="3" max="3" width="13.8515625" style="0" customWidth="1"/>
    <col min="4" max="4" width="4.7109375" style="0" customWidth="1"/>
    <col min="5" max="5" width="6.140625" style="0" customWidth="1"/>
    <col min="6" max="6" width="30.140625" style="0" customWidth="1"/>
    <col min="7" max="7" width="19.421875" style="0" customWidth="1"/>
    <col min="8" max="8" width="5.8515625" style="0" customWidth="1"/>
  </cols>
  <sheetData>
    <row r="1" spans="1:8" ht="12.75">
      <c r="A1" s="44" t="s">
        <v>51</v>
      </c>
      <c r="B1" s="45"/>
      <c r="C1" s="45"/>
      <c r="D1" s="45"/>
      <c r="E1" s="45"/>
      <c r="F1" s="45"/>
      <c r="G1" s="45"/>
      <c r="H1" s="2"/>
    </row>
    <row r="2" spans="1:8" ht="12.75">
      <c r="A2" s="44"/>
      <c r="B2" s="46" t="s">
        <v>45</v>
      </c>
      <c r="C2" s="45"/>
      <c r="D2" s="45"/>
      <c r="E2" s="45"/>
      <c r="F2" s="46" t="s">
        <v>46</v>
      </c>
      <c r="G2" s="45"/>
      <c r="H2" s="2"/>
    </row>
    <row r="3" spans="1:8" ht="12.75">
      <c r="A3" s="47" t="s">
        <v>38</v>
      </c>
      <c r="B3" s="45"/>
      <c r="C3" s="48"/>
      <c r="D3" s="48"/>
      <c r="E3" s="47" t="s">
        <v>18</v>
      </c>
      <c r="F3" s="45"/>
      <c r="G3" s="48"/>
      <c r="H3" s="10"/>
    </row>
    <row r="4" spans="1:8" ht="12.75">
      <c r="A4" s="49"/>
      <c r="B4" s="45" t="s">
        <v>120</v>
      </c>
      <c r="C4" s="45">
        <v>2028.6</v>
      </c>
      <c r="D4" s="45"/>
      <c r="E4" s="49"/>
      <c r="F4" s="50" t="s">
        <v>47</v>
      </c>
      <c r="G4" s="50"/>
      <c r="H4" s="4"/>
    </row>
    <row r="5" spans="1:8" ht="12.75">
      <c r="A5" s="49"/>
      <c r="B5" s="45" t="s">
        <v>16</v>
      </c>
      <c r="C5" s="51">
        <v>256</v>
      </c>
      <c r="D5" s="45"/>
      <c r="E5" s="49"/>
      <c r="F5" s="50" t="s">
        <v>15</v>
      </c>
      <c r="G5" s="50"/>
      <c r="H5" s="4"/>
    </row>
    <row r="6" spans="1:8" ht="12.75">
      <c r="A6" s="49"/>
      <c r="B6" s="45" t="s">
        <v>83</v>
      </c>
      <c r="C6" s="89">
        <f>C5*1024/892</f>
        <v>293.8834080717489</v>
      </c>
      <c r="D6" s="53"/>
      <c r="E6" s="49"/>
      <c r="F6" s="75" t="s">
        <v>48</v>
      </c>
      <c r="G6" s="76" t="e">
        <f>10*LOG10(G4)-G5</f>
        <v>#NUM!</v>
      </c>
      <c r="H6" s="4"/>
    </row>
    <row r="7" spans="1:8" ht="12.75">
      <c r="A7" s="48"/>
      <c r="B7" s="48" t="s">
        <v>109</v>
      </c>
      <c r="C7" s="56">
        <v>86.25</v>
      </c>
      <c r="D7" s="55"/>
      <c r="E7" s="49"/>
      <c r="F7" s="50" t="s">
        <v>0</v>
      </c>
      <c r="G7" s="52"/>
      <c r="H7" s="4"/>
    </row>
    <row r="8" spans="1:8" ht="12.75">
      <c r="A8" s="49"/>
      <c r="B8" s="45"/>
      <c r="C8" s="53"/>
      <c r="D8" s="57" t="s">
        <v>1</v>
      </c>
      <c r="E8" s="49"/>
      <c r="F8" s="45" t="s">
        <v>44</v>
      </c>
      <c r="G8" s="45">
        <v>1697.6</v>
      </c>
      <c r="H8" s="2"/>
    </row>
    <row r="9" spans="1:8" ht="12.75">
      <c r="A9" s="47" t="s">
        <v>39</v>
      </c>
      <c r="B9" s="59"/>
      <c r="C9" s="60"/>
      <c r="D9" s="58"/>
      <c r="E9" s="49"/>
      <c r="F9" s="50" t="s">
        <v>14</v>
      </c>
      <c r="G9" s="50"/>
      <c r="H9" s="2"/>
    </row>
    <row r="10" spans="1:8" ht="12.75">
      <c r="A10" s="49"/>
      <c r="B10" s="45" t="s">
        <v>2</v>
      </c>
      <c r="C10" s="45">
        <v>35784</v>
      </c>
      <c r="D10" s="57"/>
      <c r="E10" s="49"/>
      <c r="F10" s="50" t="s">
        <v>8</v>
      </c>
      <c r="G10" s="50"/>
      <c r="H10" s="2"/>
    </row>
    <row r="11" spans="1:8" ht="12.75">
      <c r="A11" s="49"/>
      <c r="B11" s="45" t="s">
        <v>3</v>
      </c>
      <c r="C11" s="45">
        <v>13.8</v>
      </c>
      <c r="D11" s="61"/>
      <c r="E11" s="49"/>
      <c r="F11" s="50" t="s">
        <v>17</v>
      </c>
      <c r="G11" s="54"/>
      <c r="H11" s="4"/>
    </row>
    <row r="12" spans="1:8" ht="12.75">
      <c r="A12" s="49"/>
      <c r="B12" s="45" t="s">
        <v>4</v>
      </c>
      <c r="C12" s="51">
        <f>SQRT((6378+C10)^2-(6378*COS(PI()/180*C11))^2)-6378*SIN(PI()/180*C11)</f>
        <v>40183.18870290123</v>
      </c>
      <c r="D12" s="61"/>
      <c r="E12" s="49"/>
      <c r="F12" s="50" t="s">
        <v>132</v>
      </c>
      <c r="G12" s="54"/>
      <c r="H12" s="4"/>
    </row>
    <row r="13" spans="1:8" ht="12.75">
      <c r="A13" s="49"/>
      <c r="B13" s="45" t="s">
        <v>5</v>
      </c>
      <c r="C13" s="53">
        <f>-(20*LOG(299.792458/(C4*4*3.141592654))-20*LOG(C12*1000))</f>
        <v>190.67259958301432</v>
      </c>
      <c r="D13" s="61"/>
      <c r="E13" s="49"/>
      <c r="F13" s="50" t="s">
        <v>131</v>
      </c>
      <c r="G13" s="54"/>
      <c r="H13" s="4"/>
    </row>
    <row r="14" spans="1:8" ht="12.75">
      <c r="A14" s="49"/>
      <c r="B14" s="45" t="s">
        <v>20</v>
      </c>
      <c r="C14" s="53">
        <v>1</v>
      </c>
      <c r="D14" s="57"/>
      <c r="E14" s="49"/>
      <c r="F14" s="75" t="s">
        <v>42</v>
      </c>
      <c r="G14" s="76">
        <f>G11-G13</f>
        <v>0</v>
      </c>
      <c r="H14" s="4"/>
    </row>
    <row r="15" spans="1:8" ht="12.75">
      <c r="A15" s="49"/>
      <c r="B15" s="45"/>
      <c r="C15" s="53"/>
      <c r="D15" s="45"/>
      <c r="E15" s="49"/>
      <c r="F15" s="78" t="s">
        <v>57</v>
      </c>
      <c r="G15" s="79" t="e">
        <f>+G6-G7+G11-G13+30</f>
        <v>#NUM!</v>
      </c>
      <c r="H15" s="1"/>
    </row>
    <row r="16" spans="1:8" ht="12.75">
      <c r="A16" s="47" t="s">
        <v>40</v>
      </c>
      <c r="B16" s="45"/>
      <c r="C16" s="53"/>
      <c r="D16" s="57"/>
      <c r="E16" s="49"/>
      <c r="F16" s="48"/>
      <c r="G16" s="56"/>
      <c r="H16" s="2"/>
    </row>
    <row r="17" spans="1:8" ht="12.75">
      <c r="A17" s="49"/>
      <c r="B17" s="74" t="s">
        <v>6</v>
      </c>
      <c r="C17" s="50"/>
      <c r="D17" s="57"/>
      <c r="E17" s="47" t="s">
        <v>19</v>
      </c>
      <c r="F17" s="59"/>
      <c r="G17" s="60"/>
      <c r="H17" s="2"/>
    </row>
    <row r="18" spans="1:8" ht="12.75">
      <c r="A18" s="49"/>
      <c r="B18" s="50" t="s">
        <v>43</v>
      </c>
      <c r="C18" s="50"/>
      <c r="D18" s="57"/>
      <c r="E18" s="47"/>
      <c r="F18" s="45" t="s">
        <v>2</v>
      </c>
      <c r="G18" s="45">
        <v>35784</v>
      </c>
      <c r="H18" s="2"/>
    </row>
    <row r="19" spans="1:8" ht="12.75">
      <c r="A19" s="49"/>
      <c r="B19" s="68" t="s">
        <v>24</v>
      </c>
      <c r="C19" s="50"/>
      <c r="D19" s="63"/>
      <c r="E19" s="49"/>
      <c r="F19" s="45" t="s">
        <v>3</v>
      </c>
      <c r="G19" s="45">
        <v>5</v>
      </c>
      <c r="H19" s="2"/>
    </row>
    <row r="20" spans="1:8" ht="12.75">
      <c r="A20" s="49"/>
      <c r="B20" s="50" t="s">
        <v>8</v>
      </c>
      <c r="C20" s="50"/>
      <c r="D20" s="64"/>
      <c r="E20" s="49"/>
      <c r="F20" s="45" t="s">
        <v>4</v>
      </c>
      <c r="G20" s="51">
        <f>SQRT((6378+G18)^2-(6378*COS(PI()/180*G19))^2)-6378*SIN(PI()/180*G19)</f>
        <v>41124.62405055137</v>
      </c>
      <c r="H20" s="4"/>
    </row>
    <row r="21" spans="1:8" ht="12.75">
      <c r="A21" s="49"/>
      <c r="B21" s="50" t="s">
        <v>25</v>
      </c>
      <c r="C21" s="54"/>
      <c r="D21" s="64"/>
      <c r="E21" s="49"/>
      <c r="F21" s="45" t="s">
        <v>5</v>
      </c>
      <c r="G21" s="53">
        <f>-(20*LOG(299.792458/(G8*4*3.141592654))-20*LOG(G20*1000))</f>
        <v>189.3265293697892</v>
      </c>
      <c r="H21" s="2"/>
    </row>
    <row r="22" spans="1:8" ht="12.75">
      <c r="A22" s="49"/>
      <c r="B22" s="50" t="s">
        <v>26</v>
      </c>
      <c r="C22" s="54"/>
      <c r="D22" s="66"/>
      <c r="E22" s="49"/>
      <c r="F22" s="45" t="s">
        <v>20</v>
      </c>
      <c r="G22" s="53">
        <v>2.5</v>
      </c>
      <c r="H22" s="2"/>
    </row>
    <row r="23" spans="1:8" ht="12.75">
      <c r="A23" s="49"/>
      <c r="B23" s="50" t="s">
        <v>28</v>
      </c>
      <c r="C23" s="67"/>
      <c r="D23" s="57"/>
      <c r="E23" s="49"/>
      <c r="F23" s="45"/>
      <c r="G23" s="53"/>
      <c r="H23" s="2"/>
    </row>
    <row r="24" spans="1:8" ht="12.75">
      <c r="A24" s="49"/>
      <c r="B24" s="50" t="s">
        <v>29</v>
      </c>
      <c r="C24" s="68"/>
      <c r="D24" s="57"/>
      <c r="E24" s="47" t="s">
        <v>41</v>
      </c>
      <c r="F24" s="45"/>
      <c r="G24" s="53"/>
      <c r="H24" s="3"/>
    </row>
    <row r="25" spans="1:8" ht="12.75">
      <c r="A25" s="49"/>
      <c r="B25" s="50" t="s">
        <v>121</v>
      </c>
      <c r="C25" s="68"/>
      <c r="D25" s="45"/>
      <c r="E25" s="47"/>
      <c r="F25" s="57" t="s">
        <v>6</v>
      </c>
      <c r="G25" s="45">
        <v>0.25</v>
      </c>
      <c r="H25" s="3"/>
    </row>
    <row r="26" spans="1:8" ht="12.75">
      <c r="A26" s="49"/>
      <c r="B26" s="50" t="s">
        <v>30</v>
      </c>
      <c r="C26" s="67"/>
      <c r="D26" s="49"/>
      <c r="E26" s="49"/>
      <c r="F26" s="45" t="s">
        <v>7</v>
      </c>
      <c r="G26" s="45">
        <v>0.5</v>
      </c>
      <c r="H26" s="15"/>
    </row>
    <row r="27" spans="1:8" ht="12.75">
      <c r="A27" s="49"/>
      <c r="B27" s="50" t="s">
        <v>31</v>
      </c>
      <c r="C27" s="67"/>
      <c r="D27" s="57"/>
      <c r="E27" s="49"/>
      <c r="F27" s="75" t="s">
        <v>86</v>
      </c>
      <c r="G27" s="79" t="e">
        <f>G15-G21+10*LOG(4*3.141592654)+20*LOG(G8/299.792458)+10*LOG(4/C6)-30+G12</f>
        <v>#NUM!</v>
      </c>
      <c r="H27" s="3"/>
    </row>
    <row r="28" spans="1:8" ht="12.75">
      <c r="A28" s="49"/>
      <c r="B28" s="75" t="s">
        <v>32</v>
      </c>
      <c r="C28" s="76">
        <f>C25*10^(-C23/10)+C26+C27</f>
        <v>0</v>
      </c>
      <c r="D28" s="57"/>
      <c r="E28" s="49"/>
      <c r="F28" s="48" t="s">
        <v>9</v>
      </c>
      <c r="G28" s="53">
        <v>-0.3</v>
      </c>
      <c r="H28" s="3"/>
    </row>
    <row r="29" spans="1:8" ht="12.75">
      <c r="A29" s="49"/>
      <c r="B29" s="75" t="s">
        <v>33</v>
      </c>
      <c r="C29" s="76" t="e">
        <f>10*LOG(C28)</f>
        <v>#NUM!</v>
      </c>
      <c r="D29" s="57"/>
      <c r="E29" s="49"/>
      <c r="F29" s="75" t="s">
        <v>35</v>
      </c>
      <c r="G29" s="76" t="e">
        <f>G15-SUM(G21:G26)+G28+228.6-30</f>
        <v>#NUM!</v>
      </c>
      <c r="H29" s="2"/>
    </row>
    <row r="30" spans="1:8" ht="12.75">
      <c r="A30" s="49"/>
      <c r="B30" s="78" t="s">
        <v>9</v>
      </c>
      <c r="C30" s="76" t="e">
        <f>C21-C23-C29</f>
        <v>#NUM!</v>
      </c>
      <c r="D30" s="57"/>
      <c r="E30" s="49"/>
      <c r="F30" s="75" t="s">
        <v>36</v>
      </c>
      <c r="G30" s="76" t="e">
        <f>C31</f>
        <v>#NUM!</v>
      </c>
      <c r="H30" s="2"/>
    </row>
    <row r="31" spans="1:8" ht="12.75">
      <c r="A31" s="49"/>
      <c r="B31" s="75" t="s">
        <v>10</v>
      </c>
      <c r="C31" s="76" t="e">
        <f>C7-SUM(C13:C18)+C30+228.6-30</f>
        <v>#NUM!</v>
      </c>
      <c r="D31" s="57"/>
      <c r="E31" s="49"/>
      <c r="F31" s="75" t="s">
        <v>37</v>
      </c>
      <c r="G31" s="76" t="e">
        <f>10*LOG(1/(1/(10^(G29/10))+1/(10^(G30/10))))</f>
        <v>#NUM!</v>
      </c>
      <c r="H31" s="2"/>
    </row>
    <row r="32" spans="1:8" ht="12.75">
      <c r="A32" s="70"/>
      <c r="B32" s="70"/>
      <c r="C32" s="70"/>
      <c r="D32" s="57"/>
      <c r="E32" s="49"/>
      <c r="F32" s="50" t="s">
        <v>82</v>
      </c>
      <c r="G32" s="54"/>
      <c r="H32" s="2"/>
    </row>
    <row r="33" spans="1:8" ht="12.75">
      <c r="A33" s="70"/>
      <c r="B33" s="70"/>
      <c r="C33" s="70"/>
      <c r="D33" s="57"/>
      <c r="E33" s="49"/>
      <c r="F33" s="78" t="s">
        <v>22</v>
      </c>
      <c r="G33" s="80" t="e">
        <f>G31-10*LOG(C5*1000)-G32</f>
        <v>#NUM!</v>
      </c>
      <c r="H33" s="2"/>
    </row>
    <row r="34" spans="1:8" ht="12.75">
      <c r="A34" s="70"/>
      <c r="B34" s="70"/>
      <c r="C34" s="70"/>
      <c r="D34" s="69"/>
      <c r="E34" s="49"/>
      <c r="F34" s="45" t="s">
        <v>85</v>
      </c>
      <c r="G34" s="45">
        <v>2.6</v>
      </c>
      <c r="H34" s="2"/>
    </row>
    <row r="35" spans="1:8" ht="12.75">
      <c r="A35" s="70"/>
      <c r="B35" s="70"/>
      <c r="C35" s="70"/>
      <c r="D35" s="57"/>
      <c r="E35" s="49"/>
      <c r="F35" s="45" t="s">
        <v>11</v>
      </c>
      <c r="G35" s="82">
        <v>2.3</v>
      </c>
      <c r="H35" s="2"/>
    </row>
    <row r="36" spans="4:8" ht="12.75">
      <c r="D36" s="45"/>
      <c r="E36" s="49"/>
      <c r="F36" s="78" t="s">
        <v>103</v>
      </c>
      <c r="G36" s="80" t="e">
        <f>G33-G34-G35</f>
        <v>#NUM!</v>
      </c>
      <c r="H36" s="2"/>
    </row>
    <row r="37" spans="4:8" ht="12.75">
      <c r="D37" s="2"/>
      <c r="E37" s="2"/>
      <c r="F37" s="2"/>
      <c r="G37" s="2"/>
      <c r="H37" s="2"/>
    </row>
    <row r="38" spans="4:8" ht="12.75">
      <c r="D38" s="2"/>
      <c r="E38" s="2"/>
      <c r="F38" s="2"/>
      <c r="G38" s="2"/>
      <c r="H38" s="2"/>
    </row>
    <row r="39" spans="4:8" ht="12.75">
      <c r="D39" s="2"/>
      <c r="E39" s="2"/>
      <c r="F39" s="2"/>
      <c r="G39" s="2"/>
      <c r="H39" s="2"/>
    </row>
    <row r="40" spans="4:8" ht="12.75">
      <c r="D40" s="2"/>
      <c r="E40" s="2"/>
      <c r="F40" s="2"/>
      <c r="G40" s="2"/>
      <c r="H40" s="2"/>
    </row>
    <row r="41" spans="4:8" ht="12.75">
      <c r="D41" s="2"/>
      <c r="H41" s="2"/>
    </row>
  </sheetData>
  <conditionalFormatting sqref="G27">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r:id="rId1"/>
  <headerFooter alignWithMargins="0">
    <oddHeader>&amp;L&amp;F     Printed &amp;D &amp;T&amp;C &amp;A&amp;R&amp;P/&amp;N</oddHeader>
  </headerFooter>
</worksheet>
</file>

<file path=xl/worksheets/sheet4.xml><?xml version="1.0" encoding="utf-8"?>
<worksheet xmlns="http://schemas.openxmlformats.org/spreadsheetml/2006/main" xmlns:r="http://schemas.openxmlformats.org/officeDocument/2006/relationships">
  <sheetPr codeName="Sheet5">
    <tabColor indexed="47"/>
    <pageSetUpPr fitToPage="1"/>
  </sheetPr>
  <dimension ref="A1:H44"/>
  <sheetViews>
    <sheetView workbookViewId="0" topLeftCell="A1">
      <selection activeCell="G35" sqref="G35"/>
    </sheetView>
  </sheetViews>
  <sheetFormatPr defaultColWidth="9.140625" defaultRowHeight="12.75"/>
  <cols>
    <col min="1" max="1" width="4.28125" style="0" customWidth="1"/>
    <col min="2" max="2" width="36.7109375" style="0" customWidth="1"/>
    <col min="3" max="3" width="13.8515625" style="0" customWidth="1"/>
    <col min="4" max="4" width="4.7109375" style="0" customWidth="1"/>
    <col min="5" max="5" width="6.140625" style="0" customWidth="1"/>
    <col min="6" max="6" width="30.140625" style="0" customWidth="1"/>
    <col min="7" max="7" width="19.421875" style="0" customWidth="1"/>
    <col min="8" max="8" width="6.7109375" style="0" customWidth="1"/>
  </cols>
  <sheetData>
    <row r="1" spans="1:8" ht="12.75">
      <c r="A1" s="44" t="s">
        <v>52</v>
      </c>
      <c r="B1" s="45"/>
      <c r="C1" s="45"/>
      <c r="D1" s="45"/>
      <c r="E1" s="45"/>
      <c r="F1" s="45"/>
      <c r="G1" s="45"/>
      <c r="H1" s="2"/>
    </row>
    <row r="2" spans="1:8" ht="12.75">
      <c r="A2" s="44"/>
      <c r="B2" s="46" t="s">
        <v>45</v>
      </c>
      <c r="C2" s="45"/>
      <c r="D2" s="45"/>
      <c r="E2" s="45"/>
      <c r="F2" s="46" t="s">
        <v>46</v>
      </c>
      <c r="G2" s="45"/>
      <c r="H2" s="2"/>
    </row>
    <row r="3" spans="1:8" ht="12.75">
      <c r="A3" s="47" t="s">
        <v>38</v>
      </c>
      <c r="B3" s="45"/>
      <c r="C3" s="48"/>
      <c r="D3" s="48"/>
      <c r="E3" s="47" t="s">
        <v>18</v>
      </c>
      <c r="F3" s="45"/>
      <c r="G3" s="48"/>
      <c r="H3" s="10"/>
    </row>
    <row r="4" spans="1:8" ht="12.75">
      <c r="A4" s="49"/>
      <c r="B4" s="45" t="s">
        <v>120</v>
      </c>
      <c r="C4" s="45">
        <v>7219</v>
      </c>
      <c r="D4" s="45"/>
      <c r="E4" s="49"/>
      <c r="F4" s="50" t="s">
        <v>47</v>
      </c>
      <c r="G4" s="50"/>
      <c r="H4" s="4"/>
    </row>
    <row r="5" spans="1:8" ht="12.75">
      <c r="A5" s="49"/>
      <c r="B5" s="45" t="s">
        <v>16</v>
      </c>
      <c r="C5" s="51">
        <v>31000</v>
      </c>
      <c r="D5" s="45"/>
      <c r="E5" s="49"/>
      <c r="F5" s="50" t="s">
        <v>15</v>
      </c>
      <c r="G5" s="50"/>
      <c r="H5" s="4"/>
    </row>
    <row r="6" spans="1:8" ht="12.75">
      <c r="A6" s="49"/>
      <c r="B6" s="50" t="s">
        <v>83</v>
      </c>
      <c r="C6" s="52"/>
      <c r="D6" s="53"/>
      <c r="E6" s="49"/>
      <c r="F6" s="75" t="s">
        <v>48</v>
      </c>
      <c r="G6" s="76" t="e">
        <f>10*LOG10(G4)-G5</f>
        <v>#NUM!</v>
      </c>
      <c r="H6" s="4"/>
    </row>
    <row r="7" spans="1:8" ht="12.75">
      <c r="A7" s="49"/>
      <c r="B7" s="45" t="s">
        <v>106</v>
      </c>
      <c r="C7" s="53">
        <v>27</v>
      </c>
      <c r="D7" s="55"/>
      <c r="E7" s="49"/>
      <c r="F7" s="50" t="s">
        <v>0</v>
      </c>
      <c r="G7" s="52"/>
      <c r="H7" s="4"/>
    </row>
    <row r="8" spans="1:8" ht="12.75">
      <c r="A8" s="48"/>
      <c r="B8" s="48" t="s">
        <v>109</v>
      </c>
      <c r="C8" s="56">
        <v>99.25</v>
      </c>
      <c r="D8" s="57" t="s">
        <v>1</v>
      </c>
      <c r="E8" s="49"/>
      <c r="F8" s="45" t="s">
        <v>44</v>
      </c>
      <c r="G8" s="45">
        <v>1690</v>
      </c>
      <c r="H8" s="2"/>
    </row>
    <row r="9" spans="1:8" ht="12.75">
      <c r="A9" s="49"/>
      <c r="B9" s="45"/>
      <c r="C9" s="53"/>
      <c r="D9" s="58"/>
      <c r="E9" s="49"/>
      <c r="F9" s="50" t="s">
        <v>106</v>
      </c>
      <c r="G9" s="50"/>
      <c r="H9" s="2"/>
    </row>
    <row r="10" spans="1:8" ht="12.75">
      <c r="A10" s="47" t="s">
        <v>39</v>
      </c>
      <c r="B10" s="59"/>
      <c r="C10" s="60"/>
      <c r="D10" s="57"/>
      <c r="E10" s="49"/>
      <c r="F10" s="50" t="s">
        <v>14</v>
      </c>
      <c r="G10" s="50"/>
      <c r="H10" s="2"/>
    </row>
    <row r="11" spans="1:8" ht="12.75">
      <c r="A11" s="49"/>
      <c r="B11" s="45" t="s">
        <v>2</v>
      </c>
      <c r="C11" s="45">
        <v>35784</v>
      </c>
      <c r="D11" s="61"/>
      <c r="E11" s="49"/>
      <c r="F11" s="50" t="s">
        <v>8</v>
      </c>
      <c r="G11" s="50"/>
      <c r="H11" s="4"/>
    </row>
    <row r="12" spans="1:8" ht="12.75">
      <c r="A12" s="49"/>
      <c r="B12" s="45" t="s">
        <v>3</v>
      </c>
      <c r="C12" s="45">
        <v>13.8</v>
      </c>
      <c r="D12" s="61"/>
      <c r="E12" s="49"/>
      <c r="F12" s="50" t="s">
        <v>179</v>
      </c>
      <c r="G12" s="50"/>
      <c r="H12" s="4"/>
    </row>
    <row r="13" spans="1:8" ht="12.75">
      <c r="A13" s="49"/>
      <c r="B13" s="45" t="s">
        <v>4</v>
      </c>
      <c r="C13" s="51">
        <f>SQRT((6378+C11)^2-(6378*COS(PI()/180*C12))^2)-6378*SIN(PI()/180*C12)</f>
        <v>40183.18870290123</v>
      </c>
      <c r="D13" s="61"/>
      <c r="E13" s="49"/>
      <c r="F13" s="50" t="s">
        <v>132</v>
      </c>
      <c r="G13" s="54"/>
      <c r="H13" s="4"/>
    </row>
    <row r="14" spans="1:8" ht="12.75">
      <c r="A14" s="49"/>
      <c r="B14" s="45" t="s">
        <v>5</v>
      </c>
      <c r="C14" s="53">
        <f>-(20*LOG(299.792458/(C4*4*3.141592654))-20*LOG(C13*1000))</f>
        <v>201.69821199629288</v>
      </c>
      <c r="D14" s="57"/>
      <c r="E14" s="49"/>
      <c r="F14" s="50" t="s">
        <v>26</v>
      </c>
      <c r="G14" s="54"/>
      <c r="H14" s="4"/>
    </row>
    <row r="15" spans="1:8" ht="12.75">
      <c r="A15" s="49"/>
      <c r="B15" s="45" t="s">
        <v>20</v>
      </c>
      <c r="C15" s="53">
        <v>4.2</v>
      </c>
      <c r="D15" s="45"/>
      <c r="E15" s="49"/>
      <c r="F15" s="50" t="s">
        <v>131</v>
      </c>
      <c r="G15" s="54"/>
      <c r="H15" s="1"/>
    </row>
    <row r="16" spans="1:8" ht="12.75">
      <c r="A16" s="49"/>
      <c r="B16" s="45" t="s">
        <v>59</v>
      </c>
      <c r="C16" s="53">
        <v>2</v>
      </c>
      <c r="D16" s="57"/>
      <c r="E16" s="49"/>
      <c r="F16" s="75" t="s">
        <v>42</v>
      </c>
      <c r="G16" s="76">
        <f>G12-G13-G15</f>
        <v>0</v>
      </c>
      <c r="H16" s="2"/>
    </row>
    <row r="17" spans="1:8" ht="12.75">
      <c r="A17" s="49"/>
      <c r="B17" s="45"/>
      <c r="C17" s="53"/>
      <c r="D17" s="57"/>
      <c r="E17" s="49"/>
      <c r="F17" s="78" t="s">
        <v>57</v>
      </c>
      <c r="G17" s="79" t="e">
        <f>+G6-G7+G16-G7+30</f>
        <v>#NUM!</v>
      </c>
      <c r="H17" s="2"/>
    </row>
    <row r="18" spans="1:8" ht="12.75">
      <c r="A18" s="47" t="s">
        <v>40</v>
      </c>
      <c r="B18" s="45"/>
      <c r="C18" s="53"/>
      <c r="D18" s="57"/>
      <c r="E18" s="49"/>
      <c r="F18" s="48"/>
      <c r="G18" s="56"/>
      <c r="H18" s="2"/>
    </row>
    <row r="19" spans="1:8" ht="12.75">
      <c r="A19" s="49"/>
      <c r="B19" s="74" t="s">
        <v>6</v>
      </c>
      <c r="C19" s="50"/>
      <c r="D19" s="63"/>
      <c r="E19" s="47" t="s">
        <v>19</v>
      </c>
      <c r="F19" s="59"/>
      <c r="G19" s="60"/>
      <c r="H19" s="2"/>
    </row>
    <row r="20" spans="1:8" ht="12.75">
      <c r="A20" s="49"/>
      <c r="B20" s="50" t="s">
        <v>43</v>
      </c>
      <c r="C20" s="50"/>
      <c r="D20" s="64"/>
      <c r="E20" s="47"/>
      <c r="F20" s="45" t="s">
        <v>2</v>
      </c>
      <c r="G20" s="45">
        <v>35784</v>
      </c>
      <c r="H20" s="4"/>
    </row>
    <row r="21" spans="1:8" ht="12.75">
      <c r="A21" s="49"/>
      <c r="B21" s="68" t="s">
        <v>24</v>
      </c>
      <c r="C21" s="50"/>
      <c r="D21" s="64"/>
      <c r="E21" s="49"/>
      <c r="F21" s="45" t="s">
        <v>3</v>
      </c>
      <c r="G21" s="45">
        <v>5</v>
      </c>
      <c r="H21" s="2"/>
    </row>
    <row r="22" spans="1:8" ht="12.75">
      <c r="A22" s="49"/>
      <c r="B22" s="50" t="s">
        <v>106</v>
      </c>
      <c r="C22" s="50"/>
      <c r="D22" s="66"/>
      <c r="E22" s="49"/>
      <c r="F22" s="45" t="s">
        <v>4</v>
      </c>
      <c r="G22" s="51">
        <f>SQRT((6378+G20)^2-(6378*COS(PI()/180*G21))^2)-6378*SIN(PI()/180*G21)</f>
        <v>41124.62405055137</v>
      </c>
      <c r="H22" s="2"/>
    </row>
    <row r="23" spans="1:8" ht="12.75">
      <c r="A23" s="49"/>
      <c r="B23" s="50" t="s">
        <v>8</v>
      </c>
      <c r="C23" s="50"/>
      <c r="D23" s="57"/>
      <c r="E23" s="49"/>
      <c r="F23" s="45" t="s">
        <v>5</v>
      </c>
      <c r="G23" s="53">
        <f>-(20*LOG(299.792458/(G8*4*3.141592654))-20*LOG(G22*1000))</f>
        <v>189.28755613091738</v>
      </c>
      <c r="H23" s="2"/>
    </row>
    <row r="24" spans="1:8" ht="12.75">
      <c r="A24" s="49"/>
      <c r="B24" s="50" t="s">
        <v>25</v>
      </c>
      <c r="C24" s="54"/>
      <c r="D24" s="57"/>
      <c r="E24" s="49"/>
      <c r="F24" s="45" t="s">
        <v>20</v>
      </c>
      <c r="G24" s="53">
        <v>2.5</v>
      </c>
      <c r="H24" s="3"/>
    </row>
    <row r="25" spans="1:8" ht="12.75">
      <c r="A25" s="49"/>
      <c r="B25" s="50" t="s">
        <v>26</v>
      </c>
      <c r="C25" s="54"/>
      <c r="D25" s="45"/>
      <c r="E25" s="49"/>
      <c r="F25" s="45"/>
      <c r="G25" s="53"/>
      <c r="H25" s="3"/>
    </row>
    <row r="26" spans="1:8" ht="12.75">
      <c r="A26" s="49"/>
      <c r="B26" s="50" t="s">
        <v>28</v>
      </c>
      <c r="C26" s="67"/>
      <c r="D26" s="49"/>
      <c r="E26" s="47" t="s">
        <v>41</v>
      </c>
      <c r="F26" s="45"/>
      <c r="G26" s="53"/>
      <c r="H26" s="15"/>
    </row>
    <row r="27" spans="1:8" ht="12.75">
      <c r="A27" s="49"/>
      <c r="B27" s="50" t="s">
        <v>29</v>
      </c>
      <c r="C27" s="68"/>
      <c r="D27" s="57"/>
      <c r="E27" s="47"/>
      <c r="F27" s="57" t="s">
        <v>6</v>
      </c>
      <c r="G27" s="45">
        <v>0.25</v>
      </c>
      <c r="H27" s="3"/>
    </row>
    <row r="28" spans="1:8" ht="12.75">
      <c r="A28" s="49"/>
      <c r="B28" s="50" t="s">
        <v>121</v>
      </c>
      <c r="C28" s="68"/>
      <c r="D28" s="57"/>
      <c r="E28" s="49"/>
      <c r="F28" s="45" t="s">
        <v>7</v>
      </c>
      <c r="G28" s="45">
        <v>0.5</v>
      </c>
      <c r="H28" s="3"/>
    </row>
    <row r="29" spans="1:8" ht="12.75">
      <c r="A29" s="49"/>
      <c r="B29" s="50" t="s">
        <v>30</v>
      </c>
      <c r="C29" s="67"/>
      <c r="D29" s="57"/>
      <c r="E29" s="49"/>
      <c r="F29" s="45" t="s">
        <v>106</v>
      </c>
      <c r="G29" s="45">
        <v>27</v>
      </c>
      <c r="H29" s="2"/>
    </row>
    <row r="30" spans="1:8" ht="12.75">
      <c r="A30" s="49"/>
      <c r="B30" s="50" t="s">
        <v>31</v>
      </c>
      <c r="C30" s="67"/>
      <c r="D30" s="57"/>
      <c r="E30" s="49"/>
      <c r="F30" s="75" t="s">
        <v>130</v>
      </c>
      <c r="G30" s="79" t="e">
        <f>G17-G23+10*LOG(4*3.141592654)+20*LOG(G8/299.792458)+10*LOG(4/C6)-30-3+G13</f>
        <v>#NUM!</v>
      </c>
      <c r="H30" s="2"/>
    </row>
    <row r="31" spans="1:8" ht="12.75">
      <c r="A31" s="49"/>
      <c r="B31" s="75" t="s">
        <v>32</v>
      </c>
      <c r="C31" s="76">
        <f>C28*10^(-C26/10)+C29+C30</f>
        <v>0</v>
      </c>
      <c r="D31" s="57"/>
      <c r="E31" s="49"/>
      <c r="F31" s="48" t="s">
        <v>9</v>
      </c>
      <c r="G31" s="53">
        <v>15.2</v>
      </c>
      <c r="H31" s="2"/>
    </row>
    <row r="32" spans="1:8" ht="12.75">
      <c r="A32" s="49"/>
      <c r="B32" s="75" t="s">
        <v>33</v>
      </c>
      <c r="C32" s="76" t="e">
        <f>10*LOG(C31)</f>
        <v>#NUM!</v>
      </c>
      <c r="D32" s="57"/>
      <c r="E32" s="49"/>
      <c r="F32" s="75" t="s">
        <v>35</v>
      </c>
      <c r="G32" s="76" t="e">
        <f>G17-SUM(G23:G28)+G31+228.6-30</f>
        <v>#NUM!</v>
      </c>
      <c r="H32" s="2"/>
    </row>
    <row r="33" spans="1:8" ht="12.75">
      <c r="A33" s="49"/>
      <c r="B33" s="78" t="s">
        <v>9</v>
      </c>
      <c r="C33" s="76" t="e">
        <f>C24-C26-C32</f>
        <v>#NUM!</v>
      </c>
      <c r="D33" s="57"/>
      <c r="E33" s="49"/>
      <c r="F33" s="75" t="s">
        <v>36</v>
      </c>
      <c r="G33" s="76" t="e">
        <f>C34</f>
        <v>#NUM!</v>
      </c>
      <c r="H33" s="2"/>
    </row>
    <row r="34" spans="1:8" ht="12.75">
      <c r="A34" s="49"/>
      <c r="B34" s="75" t="s">
        <v>10</v>
      </c>
      <c r="C34" s="76" t="e">
        <f>C8-SUM(C14:C20)+C33+228.6-30</f>
        <v>#NUM!</v>
      </c>
      <c r="D34" s="69"/>
      <c r="E34" s="49"/>
      <c r="F34" s="75" t="s">
        <v>37</v>
      </c>
      <c r="G34" s="76" t="e">
        <f>10*LOG(1/(1/(10^(G32/10))+1/(10^(G33/10))))</f>
        <v>#NUM!</v>
      </c>
      <c r="H34" s="2"/>
    </row>
    <row r="35" spans="1:8" ht="12.75">
      <c r="A35" s="70"/>
      <c r="B35" s="75" t="s">
        <v>104</v>
      </c>
      <c r="C35" s="81" t="e">
        <f>10*LOG(((10^-(C22/10))*C6*1000)+(10^(-C34/10)))^-1</f>
        <v>#NUM!</v>
      </c>
      <c r="D35" s="57"/>
      <c r="E35" s="49"/>
      <c r="F35" s="50" t="s">
        <v>82</v>
      </c>
      <c r="G35" s="54"/>
      <c r="H35" s="2"/>
    </row>
    <row r="36" spans="1:8" ht="12.75">
      <c r="A36" s="70"/>
      <c r="B36" s="70"/>
      <c r="C36" s="70"/>
      <c r="D36" s="45"/>
      <c r="E36" s="49"/>
      <c r="F36" s="78" t="s">
        <v>22</v>
      </c>
      <c r="G36" s="80" t="e">
        <f>G34-10*LOG(C5*1000)-G35</f>
        <v>#NUM!</v>
      </c>
      <c r="H36" s="2"/>
    </row>
    <row r="37" spans="1:8" ht="20.25">
      <c r="A37" s="70"/>
      <c r="B37" s="72"/>
      <c r="C37" s="70"/>
      <c r="D37" s="45"/>
      <c r="E37" s="49"/>
      <c r="F37" s="78" t="s">
        <v>105</v>
      </c>
      <c r="G37" s="80" t="e">
        <f>10*LOG((10^-(G36/10)+10^-(C7/10)+10^-(C22/10)+10^-(G9/10)+10^-(G29/10))^-1)</f>
        <v>#NUM!</v>
      </c>
      <c r="H37" s="2"/>
    </row>
    <row r="38" spans="1:8" ht="12.75">
      <c r="A38" s="70"/>
      <c r="B38" s="70"/>
      <c r="C38" s="70"/>
      <c r="D38" s="45"/>
      <c r="E38" s="49"/>
      <c r="F38" s="148" t="s">
        <v>85</v>
      </c>
      <c r="G38" s="67">
        <v>2.8</v>
      </c>
      <c r="H38" s="2"/>
    </row>
    <row r="39" spans="1:8" ht="12.75">
      <c r="A39" s="70"/>
      <c r="B39" s="73"/>
      <c r="C39" s="70"/>
      <c r="D39" s="45"/>
      <c r="E39" s="49"/>
      <c r="F39" s="71" t="s">
        <v>11</v>
      </c>
      <c r="G39" s="71">
        <v>2.3</v>
      </c>
      <c r="H39" s="2"/>
    </row>
    <row r="40" spans="2:8" ht="12.75">
      <c r="B40" s="42"/>
      <c r="D40" s="45"/>
      <c r="E40" s="49"/>
      <c r="F40" s="78" t="s">
        <v>122</v>
      </c>
      <c r="G40" s="80" t="e">
        <f>G36-G39-G38</f>
        <v>#NUM!</v>
      </c>
      <c r="H40" s="2"/>
    </row>
    <row r="41" spans="2:8" ht="12.75">
      <c r="B41" s="41"/>
      <c r="D41" s="2"/>
      <c r="E41" s="45"/>
      <c r="F41" s="45"/>
      <c r="G41" s="2"/>
      <c r="H41" s="2"/>
    </row>
    <row r="42" spans="5:7" ht="12.75">
      <c r="E42" s="2"/>
      <c r="F42" s="2"/>
      <c r="G42" s="2"/>
    </row>
    <row r="43" spans="5:7" ht="12.75">
      <c r="E43" s="2"/>
      <c r="F43" s="2"/>
      <c r="G43" s="2"/>
    </row>
    <row r="44" spans="5:7" ht="12.75">
      <c r="E44" s="2"/>
      <c r="F44" s="2"/>
      <c r="G44" s="2"/>
    </row>
  </sheetData>
  <conditionalFormatting sqref="G30">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r:id="rId1"/>
  <headerFooter alignWithMargins="0">
    <oddHeader>&amp;L&amp;F     Printed &amp;D &amp;T&amp;C &amp;A&amp;R&amp;P/&amp;N</oddHeader>
  </headerFooter>
</worksheet>
</file>

<file path=xl/worksheets/sheet5.xml><?xml version="1.0" encoding="utf-8"?>
<worksheet xmlns="http://schemas.openxmlformats.org/spreadsheetml/2006/main" xmlns:r="http://schemas.openxmlformats.org/officeDocument/2006/relationships">
  <sheetPr codeName="Sheet6">
    <tabColor indexed="47"/>
    <pageSetUpPr fitToPage="1"/>
  </sheetPr>
  <dimension ref="A1:K43"/>
  <sheetViews>
    <sheetView workbookViewId="0" topLeftCell="A1">
      <selection activeCell="C32" sqref="C32"/>
    </sheetView>
  </sheetViews>
  <sheetFormatPr defaultColWidth="9.140625" defaultRowHeight="12.75"/>
  <cols>
    <col min="1" max="1" width="4.28125" style="0" customWidth="1"/>
    <col min="2" max="2" width="38.140625" style="0" customWidth="1"/>
    <col min="3" max="3" width="13.8515625" style="0" customWidth="1"/>
    <col min="4" max="4" width="4.7109375" style="0" customWidth="1"/>
    <col min="5" max="5" width="6.140625" style="0" customWidth="1"/>
    <col min="6" max="6" width="30.140625" style="0" customWidth="1"/>
    <col min="7" max="7" width="19.421875" style="0" customWidth="1"/>
    <col min="8" max="8" width="5.421875" style="0" customWidth="1"/>
  </cols>
  <sheetData>
    <row r="1" spans="1:8" ht="12.75">
      <c r="A1" s="44" t="s">
        <v>53</v>
      </c>
      <c r="B1" s="45"/>
      <c r="C1" s="45"/>
      <c r="D1" s="2"/>
      <c r="E1" s="2"/>
      <c r="F1" s="2"/>
      <c r="G1" s="2"/>
      <c r="H1" s="2"/>
    </row>
    <row r="2" spans="1:11" ht="12.75">
      <c r="A2" s="44"/>
      <c r="B2" s="46" t="s">
        <v>71</v>
      </c>
      <c r="C2" s="45"/>
      <c r="D2" s="2"/>
      <c r="E2" s="2"/>
      <c r="F2" s="28"/>
      <c r="G2" s="2"/>
      <c r="H2" s="2"/>
      <c r="I2" s="32"/>
      <c r="J2" s="32"/>
      <c r="K2" s="32"/>
    </row>
    <row r="3" spans="1:11" ht="12.75">
      <c r="A3" s="47" t="s">
        <v>72</v>
      </c>
      <c r="B3" s="45"/>
      <c r="C3" s="48"/>
      <c r="D3" s="10"/>
      <c r="E3" s="22"/>
      <c r="F3" s="2"/>
      <c r="G3" s="10"/>
      <c r="H3" s="10"/>
      <c r="I3" s="32"/>
      <c r="J3" s="32"/>
      <c r="K3" s="32"/>
    </row>
    <row r="4" spans="1:11" ht="12.75">
      <c r="A4" s="49"/>
      <c r="B4" s="50" t="s">
        <v>47</v>
      </c>
      <c r="C4" s="50"/>
      <c r="D4" s="10"/>
      <c r="E4" s="22"/>
      <c r="F4" s="2"/>
      <c r="G4" s="10"/>
      <c r="H4" s="10"/>
      <c r="I4" s="32"/>
      <c r="J4" s="32"/>
      <c r="K4" s="32"/>
    </row>
    <row r="5" spans="1:11" ht="12.75">
      <c r="A5" s="49"/>
      <c r="B5" s="50" t="s">
        <v>15</v>
      </c>
      <c r="C5" s="50"/>
      <c r="D5" s="2"/>
      <c r="E5" s="5"/>
      <c r="F5" s="2"/>
      <c r="G5" s="2"/>
      <c r="H5" s="4"/>
      <c r="I5" s="32"/>
      <c r="J5" s="32"/>
      <c r="K5" s="32"/>
    </row>
    <row r="6" spans="1:11" ht="12.75">
      <c r="A6" s="49"/>
      <c r="B6" s="75" t="s">
        <v>48</v>
      </c>
      <c r="C6" s="76" t="e">
        <f>10*LOG(C4)-C5</f>
        <v>#NUM!</v>
      </c>
      <c r="D6" s="2"/>
      <c r="E6" s="5"/>
      <c r="F6" s="2"/>
      <c r="G6" s="2"/>
      <c r="H6" s="4"/>
      <c r="I6" s="32"/>
      <c r="J6" s="32"/>
      <c r="K6" s="32"/>
    </row>
    <row r="7" spans="1:11" ht="12.75">
      <c r="A7" s="49"/>
      <c r="B7" s="50" t="s">
        <v>0</v>
      </c>
      <c r="C7" s="52"/>
      <c r="D7" s="2"/>
      <c r="E7" s="5"/>
      <c r="F7" s="2"/>
      <c r="G7" s="2"/>
      <c r="H7" s="4"/>
      <c r="I7" s="32"/>
      <c r="J7" s="32"/>
      <c r="K7" s="32"/>
    </row>
    <row r="8" spans="1:11" ht="12.75">
      <c r="A8" s="49"/>
      <c r="B8" s="45" t="s">
        <v>120</v>
      </c>
      <c r="C8" s="45">
        <v>8220</v>
      </c>
      <c r="D8" s="6"/>
      <c r="E8" s="5"/>
      <c r="F8" s="2"/>
      <c r="G8" s="6"/>
      <c r="H8" s="4"/>
      <c r="I8" s="32"/>
      <c r="J8" s="32"/>
      <c r="K8" s="32"/>
    </row>
    <row r="9" spans="1:11" ht="12.75">
      <c r="A9" s="49"/>
      <c r="B9" s="45" t="s">
        <v>16</v>
      </c>
      <c r="C9" s="83">
        <v>125000</v>
      </c>
      <c r="D9" s="7"/>
      <c r="E9" s="5"/>
      <c r="F9" s="2"/>
      <c r="G9" s="26"/>
      <c r="H9" s="4"/>
      <c r="I9" s="32"/>
      <c r="J9" s="32"/>
      <c r="K9" s="32"/>
    </row>
    <row r="10" spans="1:11" ht="12.75">
      <c r="A10" s="49"/>
      <c r="B10" s="50" t="s">
        <v>83</v>
      </c>
      <c r="C10" s="84"/>
      <c r="D10" s="1" t="s">
        <v>1</v>
      </c>
      <c r="E10" s="5"/>
      <c r="F10" s="2"/>
      <c r="G10" s="2"/>
      <c r="H10" s="2"/>
      <c r="I10" s="32"/>
      <c r="J10" s="32"/>
      <c r="K10" s="32"/>
    </row>
    <row r="11" spans="1:11" ht="12.75">
      <c r="A11" s="49"/>
      <c r="B11" s="50" t="s">
        <v>14</v>
      </c>
      <c r="C11" s="50"/>
      <c r="D11" s="23"/>
      <c r="E11" s="5"/>
      <c r="F11" s="2"/>
      <c r="G11" s="2"/>
      <c r="H11" s="2"/>
      <c r="I11" s="32"/>
      <c r="J11" s="32"/>
      <c r="K11" s="32"/>
    </row>
    <row r="12" spans="1:11" ht="12.75">
      <c r="A12" s="49"/>
      <c r="B12" s="50" t="s">
        <v>8</v>
      </c>
      <c r="C12" s="50"/>
      <c r="D12" s="1"/>
      <c r="E12" s="5"/>
      <c r="F12" s="2"/>
      <c r="G12" s="2"/>
      <c r="H12" s="2"/>
      <c r="I12" s="32"/>
      <c r="J12" s="32"/>
      <c r="K12" s="32"/>
    </row>
    <row r="13" spans="1:11" ht="12.75">
      <c r="A13" s="49"/>
      <c r="B13" s="50" t="s">
        <v>17</v>
      </c>
      <c r="C13" s="54"/>
      <c r="D13" s="4"/>
      <c r="E13" s="5"/>
      <c r="F13" s="2"/>
      <c r="G13" s="6"/>
      <c r="H13" s="4"/>
      <c r="I13" s="32"/>
      <c r="J13" s="32"/>
      <c r="K13" s="32"/>
    </row>
    <row r="14" spans="1:11" ht="12.75">
      <c r="A14" s="49"/>
      <c r="B14" s="50" t="s">
        <v>126</v>
      </c>
      <c r="C14" s="54"/>
      <c r="D14" s="4"/>
      <c r="E14" s="5"/>
      <c r="F14" s="2"/>
      <c r="G14" s="6"/>
      <c r="H14" s="4"/>
      <c r="I14" s="32"/>
      <c r="J14" s="32"/>
      <c r="K14" s="32"/>
    </row>
    <row r="15" spans="1:11" ht="12.75">
      <c r="A15" s="49"/>
      <c r="B15" s="50" t="s">
        <v>13</v>
      </c>
      <c r="C15" s="54"/>
      <c r="D15" s="4"/>
      <c r="E15" s="5"/>
      <c r="F15" s="2"/>
      <c r="G15" s="6"/>
      <c r="H15" s="4"/>
      <c r="I15" s="32"/>
      <c r="J15" s="32"/>
      <c r="K15" s="32"/>
    </row>
    <row r="16" spans="1:11" ht="12.75">
      <c r="A16" s="48"/>
      <c r="B16" s="78" t="s">
        <v>109</v>
      </c>
      <c r="C16" s="79" t="e">
        <f>+C6-C7+C13-C14+30</f>
        <v>#NUM!</v>
      </c>
      <c r="D16" s="1"/>
      <c r="E16" s="5"/>
      <c r="F16" s="2"/>
      <c r="G16" s="6"/>
      <c r="H16" s="4"/>
      <c r="I16" s="32"/>
      <c r="J16" s="32"/>
      <c r="K16" s="32"/>
    </row>
    <row r="17" spans="1:11" ht="12.75">
      <c r="A17" s="49"/>
      <c r="B17" s="45"/>
      <c r="C17" s="53"/>
      <c r="D17" s="2"/>
      <c r="E17" s="5"/>
      <c r="F17" s="10"/>
      <c r="G17" s="11"/>
      <c r="H17" s="1"/>
      <c r="I17" s="32"/>
      <c r="J17" s="32"/>
      <c r="K17" s="32"/>
    </row>
    <row r="18" spans="1:11" ht="12.75">
      <c r="A18" s="47" t="s">
        <v>19</v>
      </c>
      <c r="B18" s="59"/>
      <c r="C18" s="60"/>
      <c r="D18" s="1"/>
      <c r="E18" s="5"/>
      <c r="F18" s="10"/>
      <c r="G18" s="11"/>
      <c r="H18" s="2"/>
      <c r="I18" s="32"/>
      <c r="J18" s="32"/>
      <c r="K18" s="32"/>
    </row>
    <row r="19" spans="1:11" ht="12.75">
      <c r="A19" s="49"/>
      <c r="B19" s="45" t="s">
        <v>2</v>
      </c>
      <c r="C19" s="45">
        <v>35784</v>
      </c>
      <c r="D19" s="1"/>
      <c r="E19" s="22"/>
      <c r="F19" s="24"/>
      <c r="G19" s="13"/>
      <c r="H19" s="2"/>
      <c r="I19" s="32"/>
      <c r="J19" s="32"/>
      <c r="K19" s="32"/>
    </row>
    <row r="20" spans="1:11" ht="12.75">
      <c r="A20" s="49"/>
      <c r="B20" s="45" t="s">
        <v>3</v>
      </c>
      <c r="C20" s="45">
        <v>13.8</v>
      </c>
      <c r="D20" s="1"/>
      <c r="E20" s="22"/>
      <c r="F20" s="2"/>
      <c r="G20" s="2"/>
      <c r="H20" s="2"/>
      <c r="I20" s="32"/>
      <c r="J20" s="32"/>
      <c r="K20" s="32"/>
    </row>
    <row r="21" spans="1:11" ht="12.75">
      <c r="A21" s="49"/>
      <c r="B21" s="45" t="s">
        <v>4</v>
      </c>
      <c r="C21" s="51">
        <f>SQRT((6378+C19)^2-(6378*COS(PI()/180*C20))^2)-6378*SIN(PI()/180*C20)</f>
        <v>40183.18870290123</v>
      </c>
      <c r="D21" s="14"/>
      <c r="E21" s="5"/>
      <c r="F21" s="2"/>
      <c r="G21" s="2"/>
      <c r="H21" s="2"/>
      <c r="I21" s="32"/>
      <c r="J21" s="32"/>
      <c r="K21" s="32"/>
    </row>
    <row r="22" spans="1:11" ht="12.75">
      <c r="A22" s="49"/>
      <c r="B22" s="45" t="s">
        <v>5</v>
      </c>
      <c r="C22" s="53">
        <f>-(20*LOG(299.792458/(C8*4*3.141592654))-20*LOG(C21*1000))</f>
        <v>202.8261075108271</v>
      </c>
      <c r="D22" s="9"/>
      <c r="E22" s="5"/>
      <c r="F22" s="2"/>
      <c r="G22" s="12"/>
      <c r="H22" s="4"/>
      <c r="I22" s="32"/>
      <c r="J22" s="32"/>
      <c r="K22" s="32"/>
    </row>
    <row r="23" spans="1:11" ht="12.75">
      <c r="A23" s="49"/>
      <c r="B23" s="45" t="s">
        <v>20</v>
      </c>
      <c r="C23" s="53">
        <v>4.5</v>
      </c>
      <c r="D23" s="9"/>
      <c r="E23" s="5"/>
      <c r="F23" s="2"/>
      <c r="G23" s="6"/>
      <c r="H23" s="2"/>
      <c r="I23" s="32"/>
      <c r="J23" s="32"/>
      <c r="K23" s="32"/>
    </row>
    <row r="24" spans="1:11" ht="12.75">
      <c r="A24" s="49"/>
      <c r="B24" s="45"/>
      <c r="C24" s="53"/>
      <c r="D24" s="15"/>
      <c r="E24" s="5"/>
      <c r="F24" s="2"/>
      <c r="G24" s="6"/>
      <c r="H24" s="2"/>
      <c r="I24" s="32"/>
      <c r="J24" s="32"/>
      <c r="K24" s="32"/>
    </row>
    <row r="25" spans="1:11" ht="12.75">
      <c r="A25" s="47" t="s">
        <v>73</v>
      </c>
      <c r="B25" s="45"/>
      <c r="C25" s="53"/>
      <c r="D25" s="1"/>
      <c r="E25" s="5"/>
      <c r="F25" s="2"/>
      <c r="G25" s="6"/>
      <c r="H25" s="2"/>
      <c r="I25" s="32"/>
      <c r="J25" s="32"/>
      <c r="K25" s="32"/>
    </row>
    <row r="26" spans="1:11" ht="12.75">
      <c r="A26" s="49"/>
      <c r="B26" s="57" t="s">
        <v>6</v>
      </c>
      <c r="C26" s="45">
        <v>0.25</v>
      </c>
      <c r="D26" s="1"/>
      <c r="E26" s="22"/>
      <c r="F26" s="2"/>
      <c r="G26" s="6"/>
      <c r="H26" s="3"/>
      <c r="I26" s="32"/>
      <c r="J26" s="32"/>
      <c r="K26" s="32"/>
    </row>
    <row r="27" spans="1:11" ht="12.75">
      <c r="A27" s="49"/>
      <c r="B27" s="45" t="s">
        <v>43</v>
      </c>
      <c r="C27" s="45">
        <v>1</v>
      </c>
      <c r="D27" s="2"/>
      <c r="E27" s="22"/>
      <c r="F27" s="1"/>
      <c r="G27" s="2"/>
      <c r="H27" s="3"/>
      <c r="I27" s="32"/>
      <c r="J27" s="32"/>
      <c r="K27" s="32"/>
    </row>
    <row r="28" spans="1:11" ht="12.75">
      <c r="A28" s="49"/>
      <c r="B28" s="48" t="s">
        <v>9</v>
      </c>
      <c r="C28" s="53">
        <v>35</v>
      </c>
      <c r="D28" s="1"/>
      <c r="E28" s="5"/>
      <c r="F28" s="2"/>
      <c r="G28" s="11"/>
      <c r="H28" s="3"/>
      <c r="I28" s="32"/>
      <c r="J28" s="32"/>
      <c r="K28" s="32"/>
    </row>
    <row r="29" spans="1:11" ht="12.75">
      <c r="A29" s="49"/>
      <c r="B29" s="75" t="s">
        <v>10</v>
      </c>
      <c r="C29" s="76" t="e">
        <f>C16-SUM(C22:C27)+C28+228.6-30</f>
        <v>#NUM!</v>
      </c>
      <c r="D29" s="1"/>
      <c r="E29" s="5"/>
      <c r="F29" s="10"/>
      <c r="G29" s="6"/>
      <c r="H29" s="2"/>
      <c r="I29" s="32"/>
      <c r="J29" s="32"/>
      <c r="K29" s="32"/>
    </row>
    <row r="30" spans="1:11" ht="12.75">
      <c r="A30" s="70"/>
      <c r="B30" s="75" t="s">
        <v>86</v>
      </c>
      <c r="C30" s="79" t="e">
        <f>C16-C22+10*LOG(4*3.141592654)+20*LOG(C8/299.792458)+10*LOG(4/C10)-30+C14</f>
        <v>#NUM!</v>
      </c>
      <c r="D30" s="1"/>
      <c r="E30" s="5"/>
      <c r="F30" s="2"/>
      <c r="G30" s="6"/>
      <c r="H30" s="2"/>
      <c r="I30" s="32"/>
      <c r="J30" s="32"/>
      <c r="K30" s="32"/>
    </row>
    <row r="31" spans="1:11" ht="12.75">
      <c r="A31" s="70"/>
      <c r="B31" s="65" t="s">
        <v>124</v>
      </c>
      <c r="C31" s="56">
        <v>3</v>
      </c>
      <c r="D31" s="1"/>
      <c r="E31" s="5"/>
      <c r="F31" s="2"/>
      <c r="G31" s="6"/>
      <c r="H31" s="2"/>
      <c r="I31" s="32"/>
      <c r="J31" s="32"/>
      <c r="K31" s="32"/>
    </row>
    <row r="32" spans="1:11" ht="12.75">
      <c r="A32" s="70"/>
      <c r="B32" s="68" t="s">
        <v>123</v>
      </c>
      <c r="C32" s="62"/>
      <c r="D32" s="1"/>
      <c r="E32" s="5"/>
      <c r="F32" s="2"/>
      <c r="G32" s="6"/>
      <c r="H32" s="2"/>
      <c r="I32" s="32"/>
      <c r="J32" s="32"/>
      <c r="K32" s="32"/>
    </row>
    <row r="33" spans="1:11" ht="12.75">
      <c r="A33" s="70"/>
      <c r="B33" s="78" t="s">
        <v>74</v>
      </c>
      <c r="C33" s="85" t="e">
        <f>C29-10*LOG(C9*1000)-C31-C32</f>
        <v>#NUM!</v>
      </c>
      <c r="D33" s="1"/>
      <c r="E33" s="5"/>
      <c r="F33" s="2"/>
      <c r="G33" s="6"/>
      <c r="H33" s="2"/>
      <c r="I33" s="32"/>
      <c r="J33" s="32"/>
      <c r="K33" s="32"/>
    </row>
    <row r="34" spans="1:11" ht="12.75">
      <c r="A34" s="70"/>
      <c r="B34" s="45" t="s">
        <v>87</v>
      </c>
      <c r="C34" s="86">
        <v>4.4</v>
      </c>
      <c r="D34" s="1"/>
      <c r="E34" s="5"/>
      <c r="F34" s="2"/>
      <c r="G34" s="6"/>
      <c r="H34" s="2"/>
      <c r="I34" s="32"/>
      <c r="J34" s="32"/>
      <c r="K34" s="32"/>
    </row>
    <row r="35" spans="1:11" ht="12.75">
      <c r="A35" s="70"/>
      <c r="B35" s="71" t="s">
        <v>11</v>
      </c>
      <c r="C35" s="70">
        <v>2.3</v>
      </c>
      <c r="D35" s="21"/>
      <c r="E35" s="5"/>
      <c r="F35" s="10"/>
      <c r="G35" s="20"/>
      <c r="H35" s="2"/>
      <c r="I35" s="32"/>
      <c r="J35" s="32"/>
      <c r="K35" s="32"/>
    </row>
    <row r="36" spans="1:11" ht="12.75">
      <c r="A36" s="70"/>
      <c r="B36" s="78" t="s">
        <v>75</v>
      </c>
      <c r="C36" s="85" t="e">
        <f>C33-C34-C35</f>
        <v>#NUM!</v>
      </c>
      <c r="D36" s="1"/>
      <c r="E36" s="5"/>
      <c r="F36" s="2"/>
      <c r="G36" s="2"/>
      <c r="H36" s="2"/>
      <c r="I36" s="32"/>
      <c r="J36" s="32"/>
      <c r="K36" s="32"/>
    </row>
    <row r="37" spans="4:11" ht="12.75">
      <c r="D37" s="2"/>
      <c r="E37" s="5"/>
      <c r="F37" s="2"/>
      <c r="G37" s="25"/>
      <c r="H37" s="2"/>
      <c r="I37" s="32"/>
      <c r="J37" s="32"/>
      <c r="K37" s="32"/>
    </row>
    <row r="38" spans="4:11" ht="12.75">
      <c r="D38" s="2"/>
      <c r="E38" s="5"/>
      <c r="F38" s="10"/>
      <c r="G38" s="20"/>
      <c r="H38" s="2"/>
      <c r="I38" s="32"/>
      <c r="J38" s="32"/>
      <c r="K38" s="32"/>
    </row>
    <row r="39" spans="4:11" ht="12.75">
      <c r="D39" s="2"/>
      <c r="E39" s="2"/>
      <c r="F39" s="2"/>
      <c r="G39" s="2"/>
      <c r="H39" s="2"/>
      <c r="I39" s="32"/>
      <c r="J39" s="32"/>
      <c r="K39" s="32"/>
    </row>
    <row r="40" spans="4:11" ht="12.75">
      <c r="D40" s="2"/>
      <c r="E40" s="2"/>
      <c r="F40" s="2"/>
      <c r="G40" s="2"/>
      <c r="H40" s="2"/>
      <c r="I40" s="32"/>
      <c r="J40" s="32"/>
      <c r="K40" s="32"/>
    </row>
    <row r="41" spans="4:8" ht="12.75">
      <c r="D41" s="2"/>
      <c r="E41" s="2"/>
      <c r="F41" s="2"/>
      <c r="G41" s="2"/>
      <c r="H41" s="2"/>
    </row>
    <row r="42" spans="4:8" ht="12.75">
      <c r="D42" s="2"/>
      <c r="E42" s="2"/>
      <c r="F42" s="2"/>
      <c r="G42" s="2"/>
      <c r="H42" s="2"/>
    </row>
    <row r="43" spans="4:8" ht="12.75">
      <c r="D43" s="2"/>
      <c r="E43" s="2"/>
      <c r="F43" s="2"/>
      <c r="G43" s="2"/>
      <c r="H43" s="2"/>
    </row>
  </sheetData>
  <conditionalFormatting sqref="C30 G28">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r:id="rId1"/>
  <headerFooter alignWithMargins="0">
    <oddHeader>&amp;L&amp;F     Printed &amp;D &amp;T&amp;C &amp;A&amp;R&amp;P/&amp;N</oddHeader>
  </headerFooter>
</worksheet>
</file>

<file path=xl/worksheets/sheet6.xml><?xml version="1.0" encoding="utf-8"?>
<worksheet xmlns="http://schemas.openxmlformats.org/spreadsheetml/2006/main" xmlns:r="http://schemas.openxmlformats.org/officeDocument/2006/relationships">
  <sheetPr codeName="Sheet7">
    <tabColor indexed="47"/>
    <pageSetUpPr fitToPage="1"/>
  </sheetPr>
  <dimension ref="A1:H45"/>
  <sheetViews>
    <sheetView workbookViewId="0" topLeftCell="A1">
      <selection activeCell="H22" sqref="H22"/>
    </sheetView>
  </sheetViews>
  <sheetFormatPr defaultColWidth="9.140625" defaultRowHeight="12.75"/>
  <cols>
    <col min="1" max="1" width="4.28125" style="0" customWidth="1"/>
    <col min="2" max="2" width="36.00390625" style="0" customWidth="1"/>
    <col min="4" max="4" width="4.7109375" style="0" customWidth="1"/>
    <col min="5" max="5" width="6.140625" style="0" customWidth="1"/>
    <col min="6" max="6" width="30.140625" style="0" customWidth="1"/>
    <col min="7" max="7" width="9.57421875" style="0" customWidth="1"/>
    <col min="8" max="8" width="26.7109375" style="0" customWidth="1"/>
  </cols>
  <sheetData>
    <row r="1" spans="1:8" ht="12.75">
      <c r="A1" s="44" t="s">
        <v>54</v>
      </c>
      <c r="B1" s="45"/>
      <c r="C1" s="45"/>
      <c r="D1" s="45"/>
      <c r="E1" s="45"/>
      <c r="F1" s="45"/>
      <c r="G1" s="45"/>
      <c r="H1" s="2"/>
    </row>
    <row r="2" spans="1:8" ht="12.75">
      <c r="A2" s="44"/>
      <c r="B2" s="46" t="s">
        <v>45</v>
      </c>
      <c r="C2" s="45"/>
      <c r="D2" s="45"/>
      <c r="E2" s="45"/>
      <c r="F2" s="46" t="s">
        <v>46</v>
      </c>
      <c r="G2" s="45"/>
      <c r="H2" s="2"/>
    </row>
    <row r="3" spans="1:8" ht="12.75">
      <c r="A3" s="47" t="s">
        <v>68</v>
      </c>
      <c r="B3" s="45"/>
      <c r="C3" s="48"/>
      <c r="D3" s="48"/>
      <c r="E3" s="47" t="s">
        <v>18</v>
      </c>
      <c r="F3" s="45"/>
      <c r="G3" s="48"/>
      <c r="H3" s="10"/>
    </row>
    <row r="4" spans="1:8" ht="12.75">
      <c r="A4" s="49"/>
      <c r="B4" s="45" t="s">
        <v>120</v>
      </c>
      <c r="C4" s="45">
        <v>406.05</v>
      </c>
      <c r="D4" s="45"/>
      <c r="E4" s="49"/>
      <c r="F4" s="50" t="s">
        <v>47</v>
      </c>
      <c r="G4" s="50"/>
      <c r="H4" s="4"/>
    </row>
    <row r="5" spans="1:8" ht="12.75">
      <c r="A5" s="49"/>
      <c r="B5" s="45" t="s">
        <v>16</v>
      </c>
      <c r="C5" s="53">
        <v>0.4</v>
      </c>
      <c r="D5" s="45"/>
      <c r="E5" s="49"/>
      <c r="F5" s="50" t="s">
        <v>15</v>
      </c>
      <c r="G5" s="50"/>
      <c r="H5" s="4"/>
    </row>
    <row r="6" spans="1:8" ht="12.75">
      <c r="A6" s="49"/>
      <c r="B6" s="45" t="s">
        <v>83</v>
      </c>
      <c r="C6" s="89">
        <f>1.2*C5</f>
        <v>0.48</v>
      </c>
      <c r="D6" s="53"/>
      <c r="E6" s="49"/>
      <c r="F6" s="75" t="s">
        <v>48</v>
      </c>
      <c r="G6" s="76" t="e">
        <f>10*LOG10(G4)-G5</f>
        <v>#NUM!</v>
      </c>
      <c r="H6" s="4"/>
    </row>
    <row r="7" spans="1:8" ht="12.75">
      <c r="A7" s="49"/>
      <c r="B7" s="45" t="s">
        <v>14</v>
      </c>
      <c r="C7" s="45">
        <v>0.75</v>
      </c>
      <c r="D7" s="55"/>
      <c r="E7" s="49"/>
      <c r="F7" s="50" t="s">
        <v>0</v>
      </c>
      <c r="G7" s="52"/>
      <c r="H7" s="4"/>
    </row>
    <row r="8" spans="1:8" ht="12.75">
      <c r="A8" s="49"/>
      <c r="B8" s="45" t="s">
        <v>69</v>
      </c>
      <c r="C8" s="45">
        <v>1</v>
      </c>
      <c r="D8" s="57" t="s">
        <v>1</v>
      </c>
      <c r="E8" s="49"/>
      <c r="F8" s="45" t="s">
        <v>44</v>
      </c>
      <c r="G8" s="45">
        <v>1544.5</v>
      </c>
      <c r="H8" s="2"/>
    </row>
    <row r="9" spans="1:8" ht="12.75">
      <c r="A9" s="48"/>
      <c r="B9" s="48" t="s">
        <v>109</v>
      </c>
      <c r="C9" s="56">
        <v>32</v>
      </c>
      <c r="D9" s="58"/>
      <c r="E9" s="49"/>
      <c r="F9" s="50" t="s">
        <v>14</v>
      </c>
      <c r="G9" s="50"/>
      <c r="H9" s="2"/>
    </row>
    <row r="10" spans="1:8" ht="12.75">
      <c r="A10" s="49"/>
      <c r="B10" s="45"/>
      <c r="C10" s="53"/>
      <c r="D10" s="57"/>
      <c r="E10" s="49"/>
      <c r="F10" s="50" t="s">
        <v>8</v>
      </c>
      <c r="G10" s="50"/>
      <c r="H10" s="2"/>
    </row>
    <row r="11" spans="1:8" ht="12.75">
      <c r="A11" s="47" t="s">
        <v>39</v>
      </c>
      <c r="B11" s="59"/>
      <c r="C11" s="60"/>
      <c r="D11" s="61"/>
      <c r="E11" s="49"/>
      <c r="F11" s="50" t="s">
        <v>17</v>
      </c>
      <c r="G11" s="54"/>
      <c r="H11" s="4"/>
    </row>
    <row r="12" spans="1:8" ht="12.75">
      <c r="A12" s="49"/>
      <c r="B12" s="45" t="s">
        <v>2</v>
      </c>
      <c r="C12" s="45">
        <v>35784</v>
      </c>
      <c r="D12" s="61"/>
      <c r="E12" s="49"/>
      <c r="F12" s="50" t="s">
        <v>132</v>
      </c>
      <c r="G12" s="54"/>
      <c r="H12" s="4"/>
    </row>
    <row r="13" spans="1:8" ht="12.75">
      <c r="A13" s="49"/>
      <c r="B13" s="45" t="s">
        <v>3</v>
      </c>
      <c r="C13" s="45">
        <v>5</v>
      </c>
      <c r="D13" s="61"/>
      <c r="E13" s="49"/>
      <c r="F13" s="50" t="s">
        <v>131</v>
      </c>
      <c r="G13" s="54"/>
      <c r="H13" s="4"/>
    </row>
    <row r="14" spans="1:8" ht="12.75">
      <c r="A14" s="49"/>
      <c r="B14" s="45" t="s">
        <v>4</v>
      </c>
      <c r="C14" s="51">
        <f>SQRT((6378+C12)^2-(6378*COS(PI()/180*C13))^2)-6378*SIN(PI()/180*C13)</f>
        <v>41124.62405055137</v>
      </c>
      <c r="D14" s="57"/>
      <c r="E14" s="49"/>
      <c r="F14" s="50" t="s">
        <v>42</v>
      </c>
      <c r="G14" s="54"/>
      <c r="H14" s="4"/>
    </row>
    <row r="15" spans="1:8" ht="12.75">
      <c r="A15" s="49"/>
      <c r="B15" s="45" t="s">
        <v>5</v>
      </c>
      <c r="C15" s="53">
        <f>-(20*LOG(299.792458/(C4*4*3.141592654))-20*LOG(C14*1000))</f>
        <v>176.90141233516766</v>
      </c>
      <c r="D15" s="45"/>
      <c r="E15" s="49"/>
      <c r="F15" s="50" t="s">
        <v>183</v>
      </c>
      <c r="G15" s="54"/>
      <c r="H15" s="30"/>
    </row>
    <row r="16" spans="1:8" ht="12.75">
      <c r="A16" s="49"/>
      <c r="B16" s="45" t="s">
        <v>20</v>
      </c>
      <c r="C16" s="53">
        <v>0.7</v>
      </c>
      <c r="D16" s="57"/>
      <c r="E16" s="49"/>
      <c r="F16" s="75" t="s">
        <v>97</v>
      </c>
      <c r="G16" s="76" t="e">
        <f>10*LOG((1-1/(1+(10^(C34/10))*C8)))</f>
        <v>#NUM!</v>
      </c>
      <c r="H16" s="2"/>
    </row>
    <row r="17" spans="1:8" ht="12.75">
      <c r="A17" s="49"/>
      <c r="B17" s="45"/>
      <c r="C17" s="53"/>
      <c r="D17" s="57"/>
      <c r="E17" s="49"/>
      <c r="F17" s="75" t="s">
        <v>98</v>
      </c>
      <c r="G17" s="76">
        <f>-10*LOG(C8)</f>
        <v>0</v>
      </c>
      <c r="H17" s="2"/>
    </row>
    <row r="18" spans="1:8" ht="12.75">
      <c r="A18" s="47" t="s">
        <v>40</v>
      </c>
      <c r="B18" s="45"/>
      <c r="C18" s="53"/>
      <c r="D18" s="57"/>
      <c r="E18" s="49"/>
      <c r="F18" s="78" t="s">
        <v>182</v>
      </c>
      <c r="G18" s="79" t="e">
        <f>G15+G16+G17</f>
        <v>#NUM!</v>
      </c>
      <c r="H18" s="2"/>
    </row>
    <row r="19" spans="1:8" ht="12.75">
      <c r="A19" s="49"/>
      <c r="B19" s="74" t="s">
        <v>6</v>
      </c>
      <c r="C19" s="50"/>
      <c r="D19" s="63"/>
      <c r="E19" s="49"/>
      <c r="F19" s="48"/>
      <c r="G19" s="56"/>
      <c r="H19" s="2"/>
    </row>
    <row r="20" spans="1:8" ht="12.75">
      <c r="A20" s="49"/>
      <c r="B20" s="50" t="s">
        <v>7</v>
      </c>
      <c r="C20" s="50"/>
      <c r="D20" s="64"/>
      <c r="E20" s="47" t="s">
        <v>19</v>
      </c>
      <c r="F20" s="59"/>
      <c r="G20" s="60"/>
      <c r="H20" s="4"/>
    </row>
    <row r="21" spans="1:8" ht="12.75">
      <c r="A21" s="49"/>
      <c r="B21" s="68" t="s">
        <v>24</v>
      </c>
      <c r="C21" s="50"/>
      <c r="D21" s="64"/>
      <c r="E21" s="47"/>
      <c r="F21" s="45" t="s">
        <v>2</v>
      </c>
      <c r="G21" s="45">
        <v>35784</v>
      </c>
      <c r="H21" s="2"/>
    </row>
    <row r="22" spans="1:8" ht="12.75">
      <c r="A22" s="49"/>
      <c r="B22" s="50" t="s">
        <v>8</v>
      </c>
      <c r="C22" s="50"/>
      <c r="D22" s="66"/>
      <c r="E22" s="49"/>
      <c r="F22" s="45" t="s">
        <v>3</v>
      </c>
      <c r="G22" s="45">
        <v>5</v>
      </c>
      <c r="H22" s="2"/>
    </row>
    <row r="23" spans="1:8" ht="12.75">
      <c r="A23" s="49"/>
      <c r="B23" s="50" t="s">
        <v>25</v>
      </c>
      <c r="C23" s="54"/>
      <c r="D23" s="57"/>
      <c r="E23" s="49"/>
      <c r="F23" s="45" t="s">
        <v>4</v>
      </c>
      <c r="G23" s="51">
        <f>SQRT((6378+G21)^2-(6378*COS(PI()/180*G22))^2)-6378*SIN(PI()/180*G22)</f>
        <v>41124.62405055137</v>
      </c>
      <c r="H23" s="2"/>
    </row>
    <row r="24" spans="1:8" ht="12.75">
      <c r="A24" s="49"/>
      <c r="B24" s="50" t="s">
        <v>26</v>
      </c>
      <c r="C24" s="54"/>
      <c r="D24" s="57"/>
      <c r="E24" s="49"/>
      <c r="F24" s="45" t="s">
        <v>5</v>
      </c>
      <c r="G24" s="53">
        <f>-(20*LOG(299.792458/(G8*4*3.141592654))-20*LOG(G23*1000))</f>
        <v>188.5055802913933</v>
      </c>
      <c r="H24" s="3"/>
    </row>
    <row r="25" spans="1:8" ht="12.75">
      <c r="A25" s="49"/>
      <c r="B25" s="50" t="s">
        <v>28</v>
      </c>
      <c r="C25" s="67"/>
      <c r="D25" s="45"/>
      <c r="E25" s="49"/>
      <c r="F25" s="45" t="s">
        <v>20</v>
      </c>
      <c r="G25" s="53">
        <v>2</v>
      </c>
      <c r="H25" s="3"/>
    </row>
    <row r="26" spans="1:8" ht="12.75">
      <c r="A26" s="49"/>
      <c r="B26" s="50" t="s">
        <v>29</v>
      </c>
      <c r="C26" s="68"/>
      <c r="D26" s="49"/>
      <c r="E26" s="49"/>
      <c r="F26" s="45"/>
      <c r="G26" s="53"/>
      <c r="H26" s="15"/>
    </row>
    <row r="27" spans="1:8" ht="12.75">
      <c r="A27" s="49"/>
      <c r="B27" s="50" t="s">
        <v>121</v>
      </c>
      <c r="C27" s="68"/>
      <c r="D27" s="57"/>
      <c r="E27" s="47" t="s">
        <v>41</v>
      </c>
      <c r="F27" s="45"/>
      <c r="G27" s="53"/>
      <c r="H27" s="3"/>
    </row>
    <row r="28" spans="1:8" ht="12.75">
      <c r="A28" s="49"/>
      <c r="B28" s="50" t="s">
        <v>30</v>
      </c>
      <c r="C28" s="67"/>
      <c r="D28" s="57"/>
      <c r="E28" s="47"/>
      <c r="F28" s="57" t="s">
        <v>6</v>
      </c>
      <c r="G28" s="45">
        <v>0.6</v>
      </c>
      <c r="H28" s="3"/>
    </row>
    <row r="29" spans="1:8" ht="12.75">
      <c r="A29" s="49"/>
      <c r="B29" s="50" t="s">
        <v>31</v>
      </c>
      <c r="C29" s="67"/>
      <c r="D29" s="57"/>
      <c r="E29" s="49"/>
      <c r="F29" s="45" t="s">
        <v>7</v>
      </c>
      <c r="G29" s="45">
        <v>0.5</v>
      </c>
      <c r="H29" s="2"/>
    </row>
    <row r="30" spans="1:8" ht="12.75">
      <c r="A30" s="49"/>
      <c r="B30" s="75" t="s">
        <v>32</v>
      </c>
      <c r="C30" s="76">
        <f>C27*10^(-C25/10)+C28+C29</f>
        <v>0</v>
      </c>
      <c r="D30" s="57"/>
      <c r="E30" s="49"/>
      <c r="F30" s="75" t="s">
        <v>86</v>
      </c>
      <c r="G30" s="151" t="e">
        <f>G18-G24+10*LOG(4*3.141592654)+20*LOG(G8/299.792458)+G12-30</f>
        <v>#NUM!</v>
      </c>
      <c r="H30" s="2"/>
    </row>
    <row r="31" spans="1:8" ht="12.75">
      <c r="A31" s="49"/>
      <c r="B31" s="75" t="s">
        <v>33</v>
      </c>
      <c r="C31" s="76" t="e">
        <f>10*LOG(C30)</f>
        <v>#NUM!</v>
      </c>
      <c r="D31" s="57"/>
      <c r="E31" s="49"/>
      <c r="F31" s="75" t="s">
        <v>184</v>
      </c>
      <c r="G31" s="151" t="e">
        <f>G30+10*LOG(1+(4/100)*10^(-G16/10))</f>
        <v>#NUM!</v>
      </c>
      <c r="H31" s="2"/>
    </row>
    <row r="32" spans="1:8" ht="12.75">
      <c r="A32" s="49"/>
      <c r="B32" s="78" t="s">
        <v>9</v>
      </c>
      <c r="C32" s="76" t="e">
        <f>C23-C25-C31</f>
        <v>#NUM!</v>
      </c>
      <c r="D32" s="57"/>
      <c r="E32" s="49"/>
      <c r="F32" s="48" t="s">
        <v>9</v>
      </c>
      <c r="G32" s="53">
        <v>6</v>
      </c>
      <c r="H32" s="2"/>
    </row>
    <row r="33" spans="1:8" ht="12.75">
      <c r="A33" s="49"/>
      <c r="B33" s="75" t="s">
        <v>10</v>
      </c>
      <c r="C33" s="76" t="e">
        <f>C9-SUM(C15:C20)+C32+228.6-30</f>
        <v>#NUM!</v>
      </c>
      <c r="D33" s="57"/>
      <c r="E33" s="49"/>
      <c r="F33" s="75" t="s">
        <v>35</v>
      </c>
      <c r="G33" s="76" t="e">
        <f>G18-SUM(G24:G29)+G32+228.6-30</f>
        <v>#NUM!</v>
      </c>
      <c r="H33" s="2"/>
    </row>
    <row r="34" spans="1:8" ht="12.75">
      <c r="A34" s="70"/>
      <c r="B34" s="75" t="s">
        <v>61</v>
      </c>
      <c r="C34" s="90" t="e">
        <f>C33-10*LOG(100000)</f>
        <v>#NUM!</v>
      </c>
      <c r="D34" s="69"/>
      <c r="E34" s="49"/>
      <c r="F34" s="75" t="s">
        <v>36</v>
      </c>
      <c r="G34" s="76" t="e">
        <f>C33</f>
        <v>#NUM!</v>
      </c>
      <c r="H34" s="2"/>
    </row>
    <row r="35" spans="1:8" ht="12.75">
      <c r="A35" s="70"/>
      <c r="B35" s="45"/>
      <c r="C35" s="70"/>
      <c r="D35" s="57"/>
      <c r="E35" s="49"/>
      <c r="F35" s="75" t="s">
        <v>37</v>
      </c>
      <c r="G35" s="76" t="e">
        <f>10*LOG(1/(1/(10^(G33/10))+1/(10^(G34/10))))</f>
        <v>#NUM!</v>
      </c>
      <c r="H35" s="2"/>
    </row>
    <row r="36" spans="1:8" ht="12.75">
      <c r="A36" s="70"/>
      <c r="B36" s="70"/>
      <c r="C36" s="70"/>
      <c r="D36" s="45"/>
      <c r="E36" s="49"/>
      <c r="F36" s="50" t="s">
        <v>82</v>
      </c>
      <c r="G36" s="54"/>
      <c r="H36" s="2"/>
    </row>
    <row r="37" spans="1:8" ht="12.75">
      <c r="A37" s="70"/>
      <c r="B37" s="70"/>
      <c r="C37" s="70"/>
      <c r="D37" s="45"/>
      <c r="E37" s="49"/>
      <c r="F37" s="75" t="s">
        <v>74</v>
      </c>
      <c r="G37" s="76" t="e">
        <f>G35-G36-10*LOG(C5*1000)</f>
        <v>#NUM!</v>
      </c>
      <c r="H37" s="2"/>
    </row>
    <row r="38" spans="4:8" ht="25.5">
      <c r="D38" s="45"/>
      <c r="E38" s="49"/>
      <c r="F38" s="112" t="s">
        <v>127</v>
      </c>
      <c r="G38" s="87">
        <v>2.6</v>
      </c>
      <c r="H38" s="2"/>
    </row>
    <row r="39" spans="4:8" ht="12.75">
      <c r="D39" s="2"/>
      <c r="E39" s="49"/>
      <c r="F39" s="45" t="s">
        <v>178</v>
      </c>
      <c r="G39" s="45">
        <v>2.3</v>
      </c>
      <c r="H39" s="2"/>
    </row>
    <row r="40" spans="4:8" ht="12.75">
      <c r="D40" s="2"/>
      <c r="E40" s="49"/>
      <c r="F40" s="75" t="s">
        <v>103</v>
      </c>
      <c r="G40" s="91" t="e">
        <f>G37-G38-G39</f>
        <v>#NUM!</v>
      </c>
      <c r="H40" s="2"/>
    </row>
    <row r="41" spans="4:8" ht="12.75">
      <c r="D41" s="2"/>
      <c r="E41" s="5"/>
      <c r="F41" s="10"/>
      <c r="G41" s="20"/>
      <c r="H41" s="2"/>
    </row>
    <row r="42" spans="5:7" ht="12.75">
      <c r="E42" s="2"/>
      <c r="F42" s="2"/>
      <c r="G42" s="2"/>
    </row>
    <row r="43" spans="5:7" ht="12.75">
      <c r="E43" s="2"/>
      <c r="F43" s="2"/>
      <c r="G43" s="2"/>
    </row>
    <row r="44" spans="5:7" ht="12.75">
      <c r="E44" s="2"/>
      <c r="F44" s="2"/>
      <c r="G44" s="2"/>
    </row>
    <row r="45" spans="5:7" ht="12.75">
      <c r="E45" s="2"/>
      <c r="F45" s="2"/>
      <c r="G45" s="2"/>
    </row>
  </sheetData>
  <conditionalFormatting sqref="G30:G31">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scale="98" r:id="rId3"/>
  <headerFooter alignWithMargins="0">
    <oddHeader>&amp;L&amp;F     Printed &amp;D &amp;T&amp;C &amp;A&amp;R&amp;P/&amp;N</oddHeader>
  </headerFooter>
  <legacyDrawing r:id="rId2"/>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A1:J46"/>
  <sheetViews>
    <sheetView workbookViewId="0" topLeftCell="A1">
      <selection activeCell="B42" sqref="B42"/>
    </sheetView>
  </sheetViews>
  <sheetFormatPr defaultColWidth="9.140625" defaultRowHeight="12.75"/>
  <cols>
    <col min="1" max="1" width="4.28125" style="0" customWidth="1"/>
    <col min="2" max="2" width="34.57421875" style="0" customWidth="1"/>
    <col min="3" max="3" width="13.8515625" style="0" customWidth="1"/>
    <col min="4" max="4" width="4.7109375" style="0" customWidth="1"/>
    <col min="5" max="5" width="6.140625" style="0" customWidth="1"/>
    <col min="6" max="6" width="35.00390625" style="0" customWidth="1"/>
    <col min="7" max="7" width="19.421875" style="0" customWidth="1"/>
    <col min="8" max="8" width="8.140625" style="0" customWidth="1"/>
    <col min="10" max="10" width="22.00390625" style="0" customWidth="1"/>
  </cols>
  <sheetData>
    <row r="1" spans="1:7" ht="12.75">
      <c r="A1" s="93" t="s">
        <v>138</v>
      </c>
      <c r="B1" s="70"/>
      <c r="C1" s="70"/>
      <c r="D1" s="70"/>
      <c r="E1" s="70"/>
      <c r="F1" s="70"/>
      <c r="G1" s="70"/>
    </row>
    <row r="2" spans="1:8" ht="12.75">
      <c r="A2" s="44"/>
      <c r="B2" s="46" t="s">
        <v>45</v>
      </c>
      <c r="C2" s="45"/>
      <c r="D2" s="45"/>
      <c r="E2" s="45"/>
      <c r="F2" s="46" t="s">
        <v>46</v>
      </c>
      <c r="G2" s="45"/>
      <c r="H2" s="2"/>
    </row>
    <row r="3" spans="1:8" ht="12.75">
      <c r="A3" s="47" t="s">
        <v>67</v>
      </c>
      <c r="B3" s="45"/>
      <c r="C3" s="48"/>
      <c r="D3" s="48"/>
      <c r="E3" s="47" t="s">
        <v>18</v>
      </c>
      <c r="F3" s="45"/>
      <c r="G3" s="48"/>
      <c r="H3" s="10"/>
    </row>
    <row r="4" spans="1:8" ht="12.75">
      <c r="A4" s="49"/>
      <c r="B4" s="45" t="s">
        <v>120</v>
      </c>
      <c r="C4" s="45">
        <v>401.9</v>
      </c>
      <c r="D4" s="45"/>
      <c r="E4" s="49"/>
      <c r="F4" s="50" t="s">
        <v>64</v>
      </c>
      <c r="G4" s="50"/>
      <c r="H4" s="4"/>
    </row>
    <row r="5" spans="1:8" ht="12.75">
      <c r="A5" s="49"/>
      <c r="B5" s="45" t="s">
        <v>62</v>
      </c>
      <c r="C5" s="88">
        <v>0.3</v>
      </c>
      <c r="D5" s="45"/>
      <c r="E5" s="49"/>
      <c r="F5" s="50" t="s">
        <v>15</v>
      </c>
      <c r="G5" s="50"/>
      <c r="H5" s="4"/>
    </row>
    <row r="6" spans="1:8" ht="12.75">
      <c r="A6" s="49"/>
      <c r="B6" s="45" t="s">
        <v>50</v>
      </c>
      <c r="C6" s="88">
        <v>0.15</v>
      </c>
      <c r="D6" s="53"/>
      <c r="E6" s="49"/>
      <c r="F6" s="75" t="s">
        <v>48</v>
      </c>
      <c r="G6" s="76">
        <v>6.78</v>
      </c>
      <c r="H6" s="4"/>
    </row>
    <row r="7" spans="1:8" ht="12.75">
      <c r="A7" s="49"/>
      <c r="B7" s="45" t="s">
        <v>88</v>
      </c>
      <c r="C7" s="51">
        <v>249</v>
      </c>
      <c r="D7" s="55"/>
      <c r="E7" s="49"/>
      <c r="F7" s="50" t="s">
        <v>0</v>
      </c>
      <c r="G7" s="52"/>
      <c r="H7" s="4"/>
    </row>
    <row r="8" spans="1:8" ht="12.75">
      <c r="A8" s="49"/>
      <c r="B8" s="45" t="s">
        <v>66</v>
      </c>
      <c r="C8" s="51">
        <v>1</v>
      </c>
      <c r="D8" s="57" t="s">
        <v>1</v>
      </c>
      <c r="E8" s="49"/>
      <c r="F8" s="45" t="s">
        <v>44</v>
      </c>
      <c r="G8" s="45">
        <v>1683.3</v>
      </c>
      <c r="H8" s="2"/>
    </row>
    <row r="9" spans="1:8" ht="12.75">
      <c r="A9" s="48"/>
      <c r="B9" s="48" t="s">
        <v>110</v>
      </c>
      <c r="C9" s="56">
        <v>37</v>
      </c>
      <c r="D9" s="58"/>
      <c r="E9" s="49"/>
      <c r="F9" s="50" t="s">
        <v>14</v>
      </c>
      <c r="G9" s="50"/>
      <c r="H9" s="2"/>
    </row>
    <row r="10" spans="1:8" ht="12.75">
      <c r="A10" s="49"/>
      <c r="B10" s="45" t="s">
        <v>207</v>
      </c>
      <c r="C10" s="53">
        <f>10*LOG(249.4)+41</f>
        <v>64.96896449142524</v>
      </c>
      <c r="D10" s="57"/>
      <c r="E10" s="49"/>
      <c r="F10" s="50" t="s">
        <v>8</v>
      </c>
      <c r="G10" s="50"/>
      <c r="H10" s="2"/>
    </row>
    <row r="11" spans="1:8" ht="12.75">
      <c r="A11" s="49"/>
      <c r="B11" s="45"/>
      <c r="C11" s="53"/>
      <c r="D11" s="61"/>
      <c r="E11" s="49"/>
      <c r="F11" s="50" t="s">
        <v>17</v>
      </c>
      <c r="G11" s="54"/>
      <c r="H11" s="4"/>
    </row>
    <row r="12" spans="1:8" ht="12.75">
      <c r="A12" s="47" t="s">
        <v>39</v>
      </c>
      <c r="B12" s="59"/>
      <c r="C12" s="60"/>
      <c r="D12" s="61"/>
      <c r="E12" s="49"/>
      <c r="F12" s="50" t="s">
        <v>132</v>
      </c>
      <c r="G12" s="54"/>
      <c r="H12" s="4"/>
    </row>
    <row r="13" spans="1:8" ht="12.75">
      <c r="A13" s="49"/>
      <c r="B13" s="45" t="s">
        <v>2</v>
      </c>
      <c r="C13" s="45">
        <v>35784</v>
      </c>
      <c r="D13" s="61"/>
      <c r="E13" s="49"/>
      <c r="F13" s="50" t="s">
        <v>131</v>
      </c>
      <c r="G13" s="54"/>
      <c r="H13" s="4"/>
    </row>
    <row r="14" spans="1:8" ht="12.75">
      <c r="A14" s="49"/>
      <c r="B14" s="45" t="s">
        <v>3</v>
      </c>
      <c r="C14" s="45">
        <v>5</v>
      </c>
      <c r="D14" s="57"/>
      <c r="E14" s="49"/>
      <c r="F14" s="75" t="s">
        <v>42</v>
      </c>
      <c r="G14" s="76">
        <f>G11-G13-G12</f>
        <v>0</v>
      </c>
      <c r="H14" s="4"/>
    </row>
    <row r="15" spans="1:8" ht="12.75">
      <c r="A15" s="49"/>
      <c r="B15" s="45" t="s">
        <v>4</v>
      </c>
      <c r="C15" s="51">
        <f>SQRT((6378+C13)^2-(6378*COS(PI()/180*C14))^2)-6378*SIN(PI()/180*C14)</f>
        <v>41124.62405055137</v>
      </c>
      <c r="D15" s="45"/>
      <c r="E15" s="49"/>
      <c r="F15" s="78" t="s">
        <v>204</v>
      </c>
      <c r="G15" s="79">
        <f>G6-G7+G14+30</f>
        <v>36.78</v>
      </c>
      <c r="H15" s="1"/>
    </row>
    <row r="16" spans="1:8" ht="12.75">
      <c r="A16" s="49"/>
      <c r="B16" s="45" t="s">
        <v>5</v>
      </c>
      <c r="C16" s="53">
        <f>-(20*LOG(299.792458/(C4*4*3.141592654))-20*LOG(C15*1000))</f>
        <v>176.8121821624846</v>
      </c>
      <c r="D16" s="57"/>
      <c r="E16" s="49"/>
      <c r="F16" s="75" t="s">
        <v>89</v>
      </c>
      <c r="G16" s="76">
        <f>-(C10-C9)</f>
        <v>-27.96896449142524</v>
      </c>
      <c r="H16" s="2"/>
    </row>
    <row r="17" spans="1:8" ht="12.75">
      <c r="A17" s="49"/>
      <c r="B17" s="45" t="s">
        <v>20</v>
      </c>
      <c r="C17" s="53">
        <v>0.7</v>
      </c>
      <c r="D17" s="57"/>
      <c r="E17" s="49"/>
      <c r="F17" s="75" t="s">
        <v>96</v>
      </c>
      <c r="G17" s="76" t="e">
        <f>10*LOG((1-1/(1+(10^(C37/10))*(C7*2.5+C8))))</f>
        <v>#NUM!</v>
      </c>
      <c r="H17" s="2"/>
    </row>
    <row r="18" spans="1:8" ht="12.75">
      <c r="A18" s="49"/>
      <c r="B18" s="45"/>
      <c r="C18" s="53"/>
      <c r="D18" s="57"/>
      <c r="E18" s="49"/>
      <c r="F18" s="176" t="s">
        <v>185</v>
      </c>
      <c r="G18" s="177" t="e">
        <f>G15+G16+G17</f>
        <v>#NUM!</v>
      </c>
      <c r="H18" s="2"/>
    </row>
    <row r="19" spans="1:8" ht="12.75">
      <c r="A19" s="47" t="s">
        <v>40</v>
      </c>
      <c r="B19" s="45"/>
      <c r="C19" s="53"/>
      <c r="D19" s="63"/>
      <c r="E19" s="49"/>
      <c r="F19" s="68" t="s">
        <v>100</v>
      </c>
      <c r="G19" s="62"/>
      <c r="H19" s="2"/>
    </row>
    <row r="20" spans="1:8" ht="12.75">
      <c r="A20" s="49"/>
      <c r="B20" s="74" t="s">
        <v>6</v>
      </c>
      <c r="C20" s="50"/>
      <c r="D20" s="64"/>
      <c r="E20" s="49"/>
      <c r="F20" s="92" t="s">
        <v>90</v>
      </c>
      <c r="G20" s="79">
        <f>G19+10*LOG(750)</f>
        <v>28.750612633917</v>
      </c>
      <c r="H20" s="2"/>
    </row>
    <row r="21" spans="1:10" ht="12.75">
      <c r="A21" s="49"/>
      <c r="B21" s="50" t="s">
        <v>43</v>
      </c>
      <c r="C21" s="50"/>
      <c r="D21" s="64"/>
      <c r="E21" s="49"/>
      <c r="F21" s="65"/>
      <c r="G21" s="56"/>
      <c r="H21" s="4"/>
      <c r="J21" s="29"/>
    </row>
    <row r="22" spans="1:8" ht="12.75">
      <c r="A22" s="49"/>
      <c r="B22" s="68" t="s">
        <v>65</v>
      </c>
      <c r="C22" s="50"/>
      <c r="D22" s="66"/>
      <c r="E22" s="47" t="s">
        <v>19</v>
      </c>
      <c r="F22" s="59"/>
      <c r="G22" s="60"/>
      <c r="H22" s="2"/>
    </row>
    <row r="23" spans="1:8" ht="12.75">
      <c r="A23" s="49"/>
      <c r="B23" s="50" t="s">
        <v>8</v>
      </c>
      <c r="C23" s="50"/>
      <c r="D23" s="57"/>
      <c r="E23" s="47"/>
      <c r="F23" s="45" t="s">
        <v>2</v>
      </c>
      <c r="G23" s="45">
        <v>35784</v>
      </c>
      <c r="H23" s="2"/>
    </row>
    <row r="24" spans="1:8" ht="12.75">
      <c r="A24" s="49"/>
      <c r="B24" s="50" t="s">
        <v>25</v>
      </c>
      <c r="C24" s="54"/>
      <c r="D24" s="57"/>
      <c r="E24" s="49"/>
      <c r="F24" s="45" t="s">
        <v>3</v>
      </c>
      <c r="G24" s="45">
        <v>5</v>
      </c>
      <c r="H24" s="2"/>
    </row>
    <row r="25" spans="1:8" ht="12.75">
      <c r="A25" s="49"/>
      <c r="B25" s="50" t="s">
        <v>26</v>
      </c>
      <c r="C25" s="54"/>
      <c r="D25" s="45"/>
      <c r="E25" s="49"/>
      <c r="F25" s="45" t="s">
        <v>4</v>
      </c>
      <c r="G25" s="51">
        <f>SQRT((6378+G23)^2-(6378*COS(PI()/180*G24))^2)-6378*SIN(PI()/180*G24)</f>
        <v>41124.62405055137</v>
      </c>
      <c r="H25" s="3"/>
    </row>
    <row r="26" spans="1:8" ht="12.75">
      <c r="A26" s="49"/>
      <c r="B26" s="50" t="s">
        <v>28</v>
      </c>
      <c r="C26" s="67"/>
      <c r="D26" s="49"/>
      <c r="E26" s="49"/>
      <c r="F26" s="45" t="s">
        <v>5</v>
      </c>
      <c r="G26" s="53">
        <f>-(20*LOG(299.792458/(G8*4*3.141592654))-20*LOG(G25*1000))</f>
        <v>189.2530525071063</v>
      </c>
      <c r="H26" s="3"/>
    </row>
    <row r="27" spans="1:9" ht="12.75">
      <c r="A27" s="49"/>
      <c r="B27" s="50" t="s">
        <v>29</v>
      </c>
      <c r="C27" s="68"/>
      <c r="D27" s="57"/>
      <c r="E27" s="49"/>
      <c r="F27" s="45" t="s">
        <v>20</v>
      </c>
      <c r="G27" s="53">
        <v>2.5</v>
      </c>
      <c r="H27" s="15"/>
      <c r="I27" s="32"/>
    </row>
    <row r="28" spans="1:9" ht="12.75">
      <c r="A28" s="49"/>
      <c r="B28" s="50" t="s">
        <v>121</v>
      </c>
      <c r="C28" s="68"/>
      <c r="D28" s="57"/>
      <c r="E28" s="49"/>
      <c r="F28" s="45"/>
      <c r="G28" s="53"/>
      <c r="H28" s="3"/>
      <c r="I28" s="32"/>
    </row>
    <row r="29" spans="1:9" ht="12.75">
      <c r="A29" s="49"/>
      <c r="B29" s="50" t="s">
        <v>30</v>
      </c>
      <c r="C29" s="67"/>
      <c r="D29" s="57"/>
      <c r="E29" s="47" t="s">
        <v>41</v>
      </c>
      <c r="F29" s="45"/>
      <c r="G29" s="53"/>
      <c r="H29" s="3"/>
      <c r="I29" s="32"/>
    </row>
    <row r="30" spans="1:9" ht="12.75">
      <c r="A30" s="49"/>
      <c r="B30" s="50" t="s">
        <v>31</v>
      </c>
      <c r="C30" s="67"/>
      <c r="D30" s="57"/>
      <c r="E30" s="47"/>
      <c r="F30" s="57" t="s">
        <v>6</v>
      </c>
      <c r="G30" s="45">
        <v>1</v>
      </c>
      <c r="H30" s="3"/>
      <c r="I30" s="32"/>
    </row>
    <row r="31" spans="1:9" ht="12.75">
      <c r="A31" s="49"/>
      <c r="B31" s="75" t="s">
        <v>32</v>
      </c>
      <c r="C31" s="76">
        <f>C28*10^(-C26/10)+C29+C30</f>
        <v>0</v>
      </c>
      <c r="D31" s="57"/>
      <c r="E31" s="49"/>
      <c r="F31" s="45" t="s">
        <v>7</v>
      </c>
      <c r="G31" s="45">
        <v>0.5</v>
      </c>
      <c r="H31" s="2"/>
      <c r="I31" s="32"/>
    </row>
    <row r="32" spans="1:9" ht="12.75">
      <c r="A32" s="49"/>
      <c r="B32" s="75" t="s">
        <v>33</v>
      </c>
      <c r="C32" s="76" t="e">
        <f>10*LOG(C31)</f>
        <v>#NUM!</v>
      </c>
      <c r="D32" s="57"/>
      <c r="E32" s="49"/>
      <c r="F32" s="48" t="s">
        <v>9</v>
      </c>
      <c r="G32" s="53">
        <v>15</v>
      </c>
      <c r="H32" s="2"/>
      <c r="I32" s="32"/>
    </row>
    <row r="33" spans="1:9" ht="12.75">
      <c r="A33" s="49"/>
      <c r="B33" s="78" t="s">
        <v>9</v>
      </c>
      <c r="C33" s="76" t="e">
        <f>C24-C26-C32</f>
        <v>#NUM!</v>
      </c>
      <c r="D33" s="57"/>
      <c r="E33" s="49"/>
      <c r="F33" s="75" t="s">
        <v>99</v>
      </c>
      <c r="G33" s="76">
        <f>10*LOG(1/(1/(10^((G15-SUM(G26:G31)+G32+228.6-30)/10))+1/10^(G20/10)))</f>
        <v>28.74430545097422</v>
      </c>
      <c r="H33" s="2"/>
      <c r="I33" s="32"/>
    </row>
    <row r="34" spans="1:9" ht="12.75">
      <c r="A34" s="49"/>
      <c r="B34" s="75" t="s">
        <v>188</v>
      </c>
      <c r="C34" s="76" t="e">
        <f>C10-SUM(C16:C21)+C33+228.6-30</f>
        <v>#NUM!</v>
      </c>
      <c r="D34" s="69"/>
      <c r="E34" s="49"/>
      <c r="F34" s="75" t="s">
        <v>36</v>
      </c>
      <c r="G34" s="76" t="e">
        <f>C36</f>
        <v>#NUM!</v>
      </c>
      <c r="H34" s="2"/>
      <c r="I34" s="32"/>
    </row>
    <row r="35" spans="1:9" ht="12.75">
      <c r="A35" s="70"/>
      <c r="B35" s="75" t="s">
        <v>91</v>
      </c>
      <c r="C35" s="90" t="e">
        <f>C34-10*LOG(400000)</f>
        <v>#NUM!</v>
      </c>
      <c r="D35" s="57"/>
      <c r="E35" s="49"/>
      <c r="F35" s="75" t="s">
        <v>37</v>
      </c>
      <c r="G35" s="76" t="e">
        <f>10*LOG(1/(1/(10^(G33/10))+1/(10^(G34/10))))</f>
        <v>#NUM!</v>
      </c>
      <c r="H35" s="2"/>
      <c r="I35" s="32"/>
    </row>
    <row r="36" spans="1:9" ht="12.75">
      <c r="A36" s="70"/>
      <c r="B36" s="75" t="s">
        <v>186</v>
      </c>
      <c r="C36" s="90" t="e">
        <f>C9-SUM(C16:C21)+C33+228.6-30</f>
        <v>#NUM!</v>
      </c>
      <c r="D36" s="45"/>
      <c r="E36" s="49"/>
      <c r="F36" s="50" t="s">
        <v>82</v>
      </c>
      <c r="G36" s="54"/>
      <c r="H36" s="2"/>
      <c r="I36" s="32"/>
    </row>
    <row r="37" spans="1:9" ht="12.75">
      <c r="A37" s="70"/>
      <c r="B37" s="75" t="s">
        <v>187</v>
      </c>
      <c r="C37" s="90" t="e">
        <f>C36-10*LOG(400000)</f>
        <v>#NUM!</v>
      </c>
      <c r="D37" s="45"/>
      <c r="E37" s="49"/>
      <c r="F37" s="78" t="s">
        <v>22</v>
      </c>
      <c r="G37" s="80" t="e">
        <f>G35-10*LOG(C5*1000)-G36</f>
        <v>#NUM!</v>
      </c>
      <c r="H37" s="2"/>
      <c r="I37" s="32"/>
    </row>
    <row r="38" spans="1:9" ht="25.5">
      <c r="A38" s="152"/>
      <c r="B38" s="153"/>
      <c r="C38" s="152"/>
      <c r="D38" s="45"/>
      <c r="E38" s="49"/>
      <c r="F38" s="149" t="s">
        <v>177</v>
      </c>
      <c r="G38" s="89">
        <v>12</v>
      </c>
      <c r="H38" s="2"/>
      <c r="I38" s="32"/>
    </row>
    <row r="39" spans="1:9" ht="12.75">
      <c r="A39" s="156"/>
      <c r="B39" s="156"/>
      <c r="C39" s="156"/>
      <c r="D39" s="154"/>
      <c r="E39" s="155"/>
      <c r="F39" s="78" t="s">
        <v>23</v>
      </c>
      <c r="G39" s="80" t="e">
        <f>G37-G38</f>
        <v>#NUM!</v>
      </c>
      <c r="H39" s="2"/>
      <c r="I39" s="32"/>
    </row>
    <row r="40" spans="1:9" ht="12.75">
      <c r="A40" s="156"/>
      <c r="B40" s="156"/>
      <c r="C40" s="156"/>
      <c r="D40" s="157"/>
      <c r="E40" s="158"/>
      <c r="F40" s="2"/>
      <c r="G40" s="2"/>
      <c r="H40" s="2"/>
      <c r="I40" s="32"/>
    </row>
    <row r="41" spans="1:9" ht="12.75">
      <c r="A41" s="156"/>
      <c r="B41" s="156" t="s">
        <v>210</v>
      </c>
      <c r="C41" s="156"/>
      <c r="D41" s="157"/>
      <c r="E41" s="158"/>
      <c r="F41" s="2"/>
      <c r="G41" s="2"/>
      <c r="H41" s="2"/>
      <c r="I41" s="32"/>
    </row>
    <row r="42" spans="1:9" ht="12.75">
      <c r="A42" s="156"/>
      <c r="B42" s="156"/>
      <c r="C42" s="156"/>
      <c r="D42" s="159"/>
      <c r="E42" s="157"/>
      <c r="F42" s="2"/>
      <c r="G42" s="2"/>
      <c r="H42" s="2"/>
      <c r="I42" s="32"/>
    </row>
    <row r="43" spans="4:9" ht="12.75">
      <c r="D43" s="159"/>
      <c r="E43" s="157"/>
      <c r="F43" s="2"/>
      <c r="G43" s="2"/>
      <c r="H43" s="32"/>
      <c r="I43" s="32"/>
    </row>
    <row r="44" spans="4:9" ht="12.75">
      <c r="D44" s="32"/>
      <c r="E44" s="2"/>
      <c r="H44" s="32"/>
      <c r="I44" s="32"/>
    </row>
    <row r="45" spans="4:9" ht="12.75">
      <c r="D45" s="32"/>
      <c r="E45" s="2"/>
      <c r="H45" s="32"/>
      <c r="I45" s="32"/>
    </row>
    <row r="46" spans="4:9" ht="12.75">
      <c r="D46" s="32"/>
      <c r="H46" s="32"/>
      <c r="I46" s="32"/>
    </row>
  </sheetData>
  <printOptions/>
  <pageMargins left="0.75" right="0.75" top="1" bottom="1" header="0.5" footer="0.5"/>
  <pageSetup fitToWidth="2" fitToHeight="1" horizontalDpi="600" verticalDpi="600" orientation="landscape" scale="87" r:id="rId3"/>
  <headerFooter alignWithMargins="0">
    <oddHeader>&amp;L&amp;F&amp;C&amp;A&amp;R&amp;P</oddHeader>
  </headerFooter>
  <legacyDrawing r:id="rId2"/>
</worksheet>
</file>

<file path=xl/worksheets/sheet8.xml><?xml version="1.0" encoding="utf-8"?>
<worksheet xmlns="http://schemas.openxmlformats.org/spreadsheetml/2006/main" xmlns:r="http://schemas.openxmlformats.org/officeDocument/2006/relationships">
  <sheetPr codeName="Sheet9">
    <tabColor indexed="47"/>
    <pageSetUpPr fitToPage="1"/>
  </sheetPr>
  <dimension ref="A1:H46"/>
  <sheetViews>
    <sheetView workbookViewId="0" topLeftCell="A1">
      <selection activeCell="G32" sqref="G32"/>
    </sheetView>
  </sheetViews>
  <sheetFormatPr defaultColWidth="9.140625" defaultRowHeight="12.75"/>
  <cols>
    <col min="1" max="1" width="4.28125" style="32" customWidth="1"/>
    <col min="2" max="2" width="37.140625" style="32" customWidth="1"/>
    <col min="3" max="3" width="13.8515625" style="32" customWidth="1"/>
    <col min="4" max="4" width="4.7109375" style="32" customWidth="1"/>
    <col min="5" max="5" width="6.140625" style="32" customWidth="1"/>
    <col min="6" max="6" width="35.28125" style="32" customWidth="1"/>
    <col min="7" max="7" width="19.421875" style="32" customWidth="1"/>
    <col min="8" max="8" width="8.140625" style="32" customWidth="1"/>
    <col min="9" max="16384" width="9.140625" style="32" customWidth="1"/>
  </cols>
  <sheetData>
    <row r="1" spans="1:7" ht="12.75">
      <c r="A1" s="113" t="s">
        <v>63</v>
      </c>
      <c r="B1" s="86"/>
      <c r="C1" s="86"/>
      <c r="D1" s="86"/>
      <c r="E1" s="86"/>
      <c r="F1" s="86"/>
      <c r="G1" s="86"/>
    </row>
    <row r="2" spans="1:8" ht="12.75">
      <c r="A2" s="44"/>
      <c r="B2" s="46" t="s">
        <v>45</v>
      </c>
      <c r="C2" s="45"/>
      <c r="D2" s="45"/>
      <c r="E2" s="45"/>
      <c r="F2" s="46" t="s">
        <v>46</v>
      </c>
      <c r="G2" s="45"/>
      <c r="H2" s="2"/>
    </row>
    <row r="3" spans="1:8" ht="12.75">
      <c r="A3" s="47" t="s">
        <v>67</v>
      </c>
      <c r="B3" s="45"/>
      <c r="C3" s="48"/>
      <c r="D3" s="48"/>
      <c r="E3" s="47" t="s">
        <v>18</v>
      </c>
      <c r="F3" s="45"/>
      <c r="G3" s="48"/>
      <c r="H3" s="10"/>
    </row>
    <row r="4" spans="1:8" ht="12.75">
      <c r="A4" s="49"/>
      <c r="B4" s="45" t="s">
        <v>120</v>
      </c>
      <c r="C4" s="45">
        <v>401.9</v>
      </c>
      <c r="D4" s="45"/>
      <c r="E4" s="49"/>
      <c r="F4" s="50" t="s">
        <v>64</v>
      </c>
      <c r="G4" s="50"/>
      <c r="H4" s="4"/>
    </row>
    <row r="5" spans="1:8" ht="12.75">
      <c r="A5" s="49"/>
      <c r="B5" s="45" t="s">
        <v>62</v>
      </c>
      <c r="C5" s="88">
        <v>1.2</v>
      </c>
      <c r="D5" s="45"/>
      <c r="E5" s="49"/>
      <c r="F5" s="50" t="s">
        <v>15</v>
      </c>
      <c r="G5" s="50"/>
      <c r="H5" s="4"/>
    </row>
    <row r="6" spans="1:8" ht="12.75">
      <c r="A6" s="49"/>
      <c r="B6" s="45" t="s">
        <v>50</v>
      </c>
      <c r="C6" s="88">
        <v>0.6</v>
      </c>
      <c r="D6" s="53"/>
      <c r="E6" s="49"/>
      <c r="F6" s="75" t="s">
        <v>48</v>
      </c>
      <c r="G6" s="76" t="e">
        <f>10*LOG10(G4)-G5</f>
        <v>#NUM!</v>
      </c>
      <c r="H6" s="4"/>
    </row>
    <row r="7" spans="1:8" ht="12.75">
      <c r="A7" s="49"/>
      <c r="B7" s="45" t="s">
        <v>202</v>
      </c>
      <c r="C7" s="51">
        <v>1</v>
      </c>
      <c r="D7" s="55"/>
      <c r="E7" s="49"/>
      <c r="F7" s="50" t="s">
        <v>0</v>
      </c>
      <c r="G7" s="52"/>
      <c r="H7" s="4"/>
    </row>
    <row r="8" spans="1:8" ht="12.75">
      <c r="A8" s="49"/>
      <c r="B8" s="45" t="s">
        <v>211</v>
      </c>
      <c r="C8" s="51">
        <v>249</v>
      </c>
      <c r="D8" s="57" t="s">
        <v>1</v>
      </c>
      <c r="E8" s="49"/>
      <c r="F8" s="45" t="s">
        <v>44</v>
      </c>
      <c r="G8" s="45">
        <v>1683.3</v>
      </c>
      <c r="H8" s="2"/>
    </row>
    <row r="9" spans="1:8" ht="12.75">
      <c r="A9" s="48"/>
      <c r="B9" s="48" t="s">
        <v>109</v>
      </c>
      <c r="C9" s="56">
        <v>43</v>
      </c>
      <c r="D9" s="58"/>
      <c r="E9" s="49"/>
      <c r="F9" s="50" t="s">
        <v>14</v>
      </c>
      <c r="G9" s="50"/>
      <c r="H9" s="2"/>
    </row>
    <row r="10" spans="1:8" ht="12.75">
      <c r="A10" s="49"/>
      <c r="B10" s="45"/>
      <c r="C10" s="53"/>
      <c r="D10" s="57"/>
      <c r="E10" s="49"/>
      <c r="F10" s="50" t="s">
        <v>8</v>
      </c>
      <c r="G10" s="50"/>
      <c r="H10" s="2"/>
    </row>
    <row r="11" spans="1:8" ht="12.75">
      <c r="A11" s="47" t="s">
        <v>39</v>
      </c>
      <c r="B11" s="59"/>
      <c r="C11" s="60"/>
      <c r="D11" s="61"/>
      <c r="E11" s="49"/>
      <c r="F11" s="50" t="s">
        <v>17</v>
      </c>
      <c r="G11" s="54"/>
      <c r="H11" s="4"/>
    </row>
    <row r="12" spans="1:8" ht="12.75">
      <c r="A12" s="49"/>
      <c r="B12" s="45" t="s">
        <v>2</v>
      </c>
      <c r="C12" s="45">
        <v>35784</v>
      </c>
      <c r="D12" s="61"/>
      <c r="E12" s="49"/>
      <c r="F12" s="50" t="s">
        <v>132</v>
      </c>
      <c r="G12" s="54"/>
      <c r="H12" s="4"/>
    </row>
    <row r="13" spans="1:8" ht="12.75">
      <c r="A13" s="49"/>
      <c r="B13" s="45" t="s">
        <v>3</v>
      </c>
      <c r="C13" s="45">
        <v>5</v>
      </c>
      <c r="D13" s="61"/>
      <c r="E13" s="49"/>
      <c r="F13" s="50" t="s">
        <v>131</v>
      </c>
      <c r="G13" s="54"/>
      <c r="H13" s="4"/>
    </row>
    <row r="14" spans="1:8" ht="12.75">
      <c r="A14" s="49"/>
      <c r="B14" s="45" t="s">
        <v>4</v>
      </c>
      <c r="C14" s="51">
        <f>SQRT((6378+C12)^2-(6378*COS(PI()/180*C13))^2)-6378*SIN(PI()/180*C13)</f>
        <v>41124.62405055137</v>
      </c>
      <c r="D14" s="57"/>
      <c r="E14" s="49"/>
      <c r="F14" s="75" t="s">
        <v>42</v>
      </c>
      <c r="G14" s="76">
        <f>G11-G12-G13</f>
        <v>0</v>
      </c>
      <c r="H14" s="4"/>
    </row>
    <row r="15" spans="1:8" ht="12.75">
      <c r="A15" s="49"/>
      <c r="B15" s="45" t="s">
        <v>5</v>
      </c>
      <c r="C15" s="53">
        <f>-(20*LOG(299.792458/(C4*4*3.141592654))-20*LOG(C14*1000))</f>
        <v>176.8121821624846</v>
      </c>
      <c r="D15" s="45"/>
      <c r="E15" s="48"/>
      <c r="F15" s="78" t="s">
        <v>57</v>
      </c>
      <c r="G15" s="80" t="e">
        <f>G6-G7+G14+30</f>
        <v>#NUM!</v>
      </c>
      <c r="H15" s="1"/>
    </row>
    <row r="16" spans="1:8" ht="12.75">
      <c r="A16" s="49"/>
      <c r="B16" s="45" t="s">
        <v>20</v>
      </c>
      <c r="C16" s="53">
        <v>0.2</v>
      </c>
      <c r="D16" s="57"/>
      <c r="E16" s="49"/>
      <c r="F16" s="75" t="s">
        <v>98</v>
      </c>
      <c r="G16" s="76">
        <f>10*LOG((1.585*C7)/(C8+C7*1.585))</f>
        <v>-21.989258040460967</v>
      </c>
      <c r="H16" s="2"/>
    </row>
    <row r="17" spans="1:8" ht="12.75">
      <c r="A17" s="49"/>
      <c r="B17" s="45"/>
      <c r="C17" s="53"/>
      <c r="D17" s="57"/>
      <c r="E17" s="49"/>
      <c r="F17" s="75" t="s">
        <v>97</v>
      </c>
      <c r="G17" s="76" t="e">
        <f>10*LOG((1-1/(1+(10^(C35/10))*(C8+5*C7))))</f>
        <v>#NUM!</v>
      </c>
      <c r="H17" s="2"/>
    </row>
    <row r="18" spans="1:8" ht="12.75">
      <c r="A18" s="47" t="s">
        <v>40</v>
      </c>
      <c r="B18" s="45"/>
      <c r="C18" s="53"/>
      <c r="D18" s="57"/>
      <c r="E18" s="49"/>
      <c r="F18" s="78" t="s">
        <v>206</v>
      </c>
      <c r="G18" s="79" t="e">
        <f>G15+G16+G17</f>
        <v>#NUM!</v>
      </c>
      <c r="H18" s="2"/>
    </row>
    <row r="19" spans="1:8" ht="12.75">
      <c r="A19" s="49"/>
      <c r="B19" s="74" t="s">
        <v>6</v>
      </c>
      <c r="C19" s="50"/>
      <c r="D19" s="63"/>
      <c r="E19" s="49"/>
      <c r="F19" s="68" t="s">
        <v>100</v>
      </c>
      <c r="G19" s="62"/>
      <c r="H19" s="2"/>
    </row>
    <row r="20" spans="1:8" ht="12.75">
      <c r="A20" s="49"/>
      <c r="B20" s="50" t="s">
        <v>43</v>
      </c>
      <c r="C20" s="50"/>
      <c r="D20" s="64"/>
      <c r="E20" s="49"/>
      <c r="F20" s="92" t="s">
        <v>90</v>
      </c>
      <c r="G20" s="79">
        <f>G19+10*LOG(3000)</f>
        <v>34.771212547196626</v>
      </c>
      <c r="H20" s="4"/>
    </row>
    <row r="21" spans="1:8" ht="12.75">
      <c r="A21" s="49"/>
      <c r="B21" s="68" t="s">
        <v>65</v>
      </c>
      <c r="C21" s="50"/>
      <c r="D21" s="64"/>
      <c r="E21" s="49"/>
      <c r="F21" s="48"/>
      <c r="G21" s="56"/>
      <c r="H21" s="2"/>
    </row>
    <row r="22" spans="1:8" ht="12.75">
      <c r="A22" s="49"/>
      <c r="B22" s="50" t="s">
        <v>8</v>
      </c>
      <c r="C22" s="50"/>
      <c r="D22" s="66"/>
      <c r="E22" s="47" t="s">
        <v>19</v>
      </c>
      <c r="F22" s="59"/>
      <c r="G22" s="60"/>
      <c r="H22" s="2"/>
    </row>
    <row r="23" spans="1:8" ht="12.75">
      <c r="A23" s="49"/>
      <c r="B23" s="50" t="s">
        <v>25</v>
      </c>
      <c r="C23" s="54"/>
      <c r="D23" s="57"/>
      <c r="E23" s="47"/>
      <c r="F23" s="45" t="s">
        <v>2</v>
      </c>
      <c r="G23" s="45">
        <v>35784</v>
      </c>
      <c r="H23" s="2"/>
    </row>
    <row r="24" spans="1:8" ht="12.75">
      <c r="A24" s="49"/>
      <c r="B24" s="50" t="s">
        <v>26</v>
      </c>
      <c r="C24" s="54"/>
      <c r="D24" s="57"/>
      <c r="E24" s="49"/>
      <c r="F24" s="45" t="s">
        <v>3</v>
      </c>
      <c r="G24" s="45">
        <v>5</v>
      </c>
      <c r="H24" s="3"/>
    </row>
    <row r="25" spans="1:8" ht="12.75">
      <c r="A25" s="49"/>
      <c r="B25" s="50" t="s">
        <v>84</v>
      </c>
      <c r="C25" s="67"/>
      <c r="D25" s="45"/>
      <c r="E25" s="49"/>
      <c r="F25" s="45" t="s">
        <v>4</v>
      </c>
      <c r="G25" s="51">
        <f>SQRT((6378+G23)^2-(6378*COS(PI()/180*G24))^2)-6378*SIN(PI()/180*G24)</f>
        <v>41124.62405055137</v>
      </c>
      <c r="H25" s="3"/>
    </row>
    <row r="26" spans="1:8" ht="12.75">
      <c r="A26" s="49"/>
      <c r="B26" s="50" t="s">
        <v>28</v>
      </c>
      <c r="C26" s="67"/>
      <c r="D26" s="49"/>
      <c r="E26" s="49"/>
      <c r="F26" s="45" t="s">
        <v>5</v>
      </c>
      <c r="G26" s="53">
        <f>-(20*LOG(299.792458/(G8*4*3.141592654))-20*LOG(G25*1000))</f>
        <v>189.2530525071063</v>
      </c>
      <c r="H26" s="15"/>
    </row>
    <row r="27" spans="1:8" ht="12.75">
      <c r="A27" s="49"/>
      <c r="B27" s="50" t="s">
        <v>29</v>
      </c>
      <c r="C27" s="68"/>
      <c r="D27" s="57"/>
      <c r="E27" s="49"/>
      <c r="F27" s="45" t="s">
        <v>20</v>
      </c>
      <c r="G27" s="53">
        <v>2.5</v>
      </c>
      <c r="H27" s="3"/>
    </row>
    <row r="28" spans="1:8" ht="12.75">
      <c r="A28" s="49"/>
      <c r="B28" s="50" t="s">
        <v>121</v>
      </c>
      <c r="C28" s="68"/>
      <c r="D28" s="57"/>
      <c r="E28" s="49"/>
      <c r="F28" s="45"/>
      <c r="G28" s="53"/>
      <c r="H28" s="3"/>
    </row>
    <row r="29" spans="1:7" ht="12.75">
      <c r="A29" s="49"/>
      <c r="B29" s="50" t="s">
        <v>30</v>
      </c>
      <c r="C29" s="67"/>
      <c r="D29" s="57"/>
      <c r="E29" s="47" t="s">
        <v>41</v>
      </c>
      <c r="F29" s="45"/>
      <c r="G29" s="53"/>
    </row>
    <row r="30" spans="1:8" ht="12.75">
      <c r="A30" s="49"/>
      <c r="B30" s="50" t="s">
        <v>31</v>
      </c>
      <c r="C30" s="67"/>
      <c r="D30" s="57"/>
      <c r="E30" s="47"/>
      <c r="F30" s="57" t="s">
        <v>6</v>
      </c>
      <c r="G30" s="45">
        <v>2.5</v>
      </c>
      <c r="H30" s="2"/>
    </row>
    <row r="31" spans="1:8" ht="12.75">
      <c r="A31" s="49"/>
      <c r="B31" s="75" t="s">
        <v>32</v>
      </c>
      <c r="C31" s="76">
        <f>C28*10^(-C26/10)+C29+C30</f>
        <v>0</v>
      </c>
      <c r="D31" s="57"/>
      <c r="E31" s="49"/>
      <c r="F31" s="45" t="s">
        <v>7</v>
      </c>
      <c r="G31" s="45">
        <v>0.5</v>
      </c>
      <c r="H31" s="3"/>
    </row>
    <row r="32" spans="1:8" ht="12.75">
      <c r="A32" s="49"/>
      <c r="B32" s="75" t="s">
        <v>33</v>
      </c>
      <c r="C32" s="76" t="e">
        <f>10*LOG(C31)</f>
        <v>#NUM!</v>
      </c>
      <c r="D32" s="57"/>
      <c r="E32" s="49"/>
      <c r="F32" s="75" t="s">
        <v>86</v>
      </c>
      <c r="G32" s="79" t="e">
        <f>G18-G26+10*LOG(4*3.141592654)+20*LOG(G8/299.792458)+-30+10*LOG(2)+G12</f>
        <v>#NUM!</v>
      </c>
      <c r="H32" s="2"/>
    </row>
    <row r="33" spans="1:8" ht="12.75">
      <c r="A33" s="49"/>
      <c r="B33" s="78" t="s">
        <v>9</v>
      </c>
      <c r="C33" s="76" t="e">
        <f>C23-C26-C32</f>
        <v>#NUM!</v>
      </c>
      <c r="D33" s="57"/>
      <c r="E33" s="49"/>
      <c r="F33" s="48" t="s">
        <v>9</v>
      </c>
      <c r="G33" s="53">
        <v>15</v>
      </c>
      <c r="H33" s="2"/>
    </row>
    <row r="34" spans="1:8" ht="12.75">
      <c r="A34" s="49"/>
      <c r="B34" s="75" t="s">
        <v>205</v>
      </c>
      <c r="C34" s="76" t="e">
        <f>C9-SUM(C15:C20)+C33+228.6-30</f>
        <v>#NUM!</v>
      </c>
      <c r="D34" s="69"/>
      <c r="E34" s="49"/>
      <c r="F34" s="75" t="s">
        <v>35</v>
      </c>
      <c r="G34" s="76" t="e">
        <f>G18-SUM(G26:G31)+G33+228.6-30</f>
        <v>#NUM!</v>
      </c>
      <c r="H34" s="2"/>
    </row>
    <row r="35" spans="1:8" ht="12.75">
      <c r="A35" s="86"/>
      <c r="B35" s="75" t="s">
        <v>203</v>
      </c>
      <c r="C35" s="90" t="e">
        <f>C34-10*LOG(400000)</f>
        <v>#NUM!</v>
      </c>
      <c r="D35" s="57"/>
      <c r="E35" s="49"/>
      <c r="F35" s="75" t="s">
        <v>36</v>
      </c>
      <c r="G35" s="76" t="e">
        <f>C34</f>
        <v>#NUM!</v>
      </c>
      <c r="H35" s="2"/>
    </row>
    <row r="36" spans="1:8" ht="12.75">
      <c r="A36" s="86"/>
      <c r="B36" s="86"/>
      <c r="C36" s="86"/>
      <c r="D36" s="45"/>
      <c r="E36" s="49"/>
      <c r="F36" s="75" t="s">
        <v>37</v>
      </c>
      <c r="G36" s="76" t="e">
        <f>10*LOG(1/(1/(10^(G34/10))+1/(10^(G35/10))))</f>
        <v>#NUM!</v>
      </c>
      <c r="H36" s="2"/>
    </row>
    <row r="37" spans="1:8" ht="12.75">
      <c r="A37" s="86"/>
      <c r="B37" s="86"/>
      <c r="C37" s="86"/>
      <c r="D37" s="45"/>
      <c r="E37" s="49"/>
      <c r="F37" s="50" t="s">
        <v>82</v>
      </c>
      <c r="G37" s="54"/>
      <c r="H37" s="2"/>
    </row>
    <row r="38" spans="1:8" ht="12.75">
      <c r="A38" s="86"/>
      <c r="B38" s="86"/>
      <c r="C38" s="86"/>
      <c r="D38" s="45"/>
      <c r="E38" s="49"/>
      <c r="F38" s="78" t="s">
        <v>22</v>
      </c>
      <c r="G38" s="80" t="e">
        <f>G36-10*LOG(C5*1000)-G37</f>
        <v>#NUM!</v>
      </c>
      <c r="H38" s="2"/>
    </row>
    <row r="39" spans="1:8" ht="25.5">
      <c r="A39" s="86"/>
      <c r="B39" s="86"/>
      <c r="C39" s="86"/>
      <c r="D39" s="45"/>
      <c r="E39" s="49"/>
      <c r="F39" s="149" t="s">
        <v>177</v>
      </c>
      <c r="G39" s="89">
        <v>12</v>
      </c>
      <c r="H39" s="2"/>
    </row>
    <row r="40" spans="1:8" ht="12.75">
      <c r="A40" s="86"/>
      <c r="B40" s="86"/>
      <c r="C40" s="86"/>
      <c r="D40" s="45"/>
      <c r="E40" s="49"/>
      <c r="F40" s="78" t="s">
        <v>23</v>
      </c>
      <c r="G40" s="80" t="e">
        <f>G38-G39</f>
        <v>#NUM!</v>
      </c>
      <c r="H40" s="2"/>
    </row>
    <row r="41" spans="4:8" ht="12.75">
      <c r="D41" s="2"/>
      <c r="E41" s="49"/>
      <c r="F41" s="2"/>
      <c r="G41" s="2"/>
      <c r="H41" s="2"/>
    </row>
    <row r="42" spans="4:8" ht="12.75">
      <c r="D42" s="2"/>
      <c r="E42" s="5"/>
      <c r="F42" s="2"/>
      <c r="G42" s="2"/>
      <c r="H42" s="2"/>
    </row>
    <row r="43" spans="2:7" ht="12.75">
      <c r="B43" s="32" t="s">
        <v>209</v>
      </c>
      <c r="E43" s="2"/>
      <c r="F43" s="2"/>
      <c r="G43" s="2"/>
    </row>
    <row r="44" spans="5:7" ht="12.75">
      <c r="E44" s="2"/>
      <c r="F44" s="2"/>
      <c r="G44" s="2"/>
    </row>
    <row r="45" ht="12.75">
      <c r="E45" s="2"/>
    </row>
    <row r="46" ht="12.75">
      <c r="E46" s="2"/>
    </row>
  </sheetData>
  <conditionalFormatting sqref="G32">
    <cfRule type="cellIs" priority="1" dxfId="0" operator="greaterThan" stopIfTrue="1">
      <formula>-154</formula>
    </cfRule>
  </conditionalFormatting>
  <printOptions gridLines="1"/>
  <pageMargins left="0.56" right="0.55" top="0.55" bottom="0.5" header="0.33" footer="0.5"/>
  <pageSetup fitToHeight="1" fitToWidth="1" horizontalDpi="600" verticalDpi="600" orientation="landscape" r:id="rId3"/>
  <headerFooter alignWithMargins="0">
    <oddHeader>&amp;L&amp;F     Printed &amp;D &amp;T&amp;C &amp;A&amp;R&amp;P/&amp;N</oddHeader>
  </headerFooter>
  <legacyDrawing r:id="rId2"/>
</worksheet>
</file>

<file path=xl/worksheets/sheet9.xml><?xml version="1.0" encoding="utf-8"?>
<worksheet xmlns="http://schemas.openxmlformats.org/spreadsheetml/2006/main" xmlns:r="http://schemas.openxmlformats.org/officeDocument/2006/relationships">
  <sheetPr codeName="Sheet10">
    <tabColor indexed="47"/>
    <pageSetUpPr fitToPage="1"/>
  </sheetPr>
  <dimension ref="A1:H43"/>
  <sheetViews>
    <sheetView workbookViewId="0" topLeftCell="A1">
      <selection activeCell="G43" sqref="G43"/>
    </sheetView>
  </sheetViews>
  <sheetFormatPr defaultColWidth="9.140625" defaultRowHeight="12.75"/>
  <cols>
    <col min="1" max="1" width="4.28125" style="0" customWidth="1"/>
    <col min="2" max="2" width="34.57421875" style="0" customWidth="1"/>
    <col min="3" max="3" width="13.8515625" style="0" customWidth="1"/>
    <col min="4" max="4" width="4.7109375" style="0" customWidth="1"/>
    <col min="5" max="5" width="6.140625" style="0" customWidth="1"/>
    <col min="6" max="6" width="30.140625" style="0" customWidth="1"/>
    <col min="7" max="7" width="19.421875" style="0" customWidth="1"/>
    <col min="8" max="8" width="5.140625" style="0" customWidth="1"/>
  </cols>
  <sheetData>
    <row r="1" spans="1:7" ht="12.75">
      <c r="A1" s="44" t="s">
        <v>55</v>
      </c>
      <c r="B1" s="45"/>
      <c r="C1" s="45"/>
      <c r="D1" s="45"/>
      <c r="E1" s="45"/>
      <c r="F1" s="45"/>
      <c r="G1" s="45"/>
    </row>
    <row r="2" spans="1:7" ht="12.75">
      <c r="A2" s="44"/>
      <c r="B2" s="46" t="s">
        <v>76</v>
      </c>
      <c r="C2" s="45"/>
      <c r="D2" s="45"/>
      <c r="E2" s="45"/>
      <c r="F2" s="46" t="s">
        <v>46</v>
      </c>
      <c r="G2" s="45"/>
    </row>
    <row r="3" spans="1:7" ht="12.75">
      <c r="A3" s="47" t="s">
        <v>38</v>
      </c>
      <c r="B3" s="45"/>
      <c r="C3" s="48"/>
      <c r="D3" s="48"/>
      <c r="E3" s="47" t="s">
        <v>18</v>
      </c>
      <c r="F3" s="45"/>
      <c r="G3" s="48"/>
    </row>
    <row r="4" spans="1:7" ht="12.75">
      <c r="A4" s="49"/>
      <c r="B4" s="45" t="s">
        <v>120</v>
      </c>
      <c r="C4" s="45">
        <v>2032.825</v>
      </c>
      <c r="D4" s="45"/>
      <c r="E4" s="49"/>
      <c r="F4" s="50" t="s">
        <v>47</v>
      </c>
      <c r="G4" s="50"/>
    </row>
    <row r="5" spans="1:7" ht="12.75">
      <c r="A5" s="49"/>
      <c r="B5" s="45" t="s">
        <v>62</v>
      </c>
      <c r="C5" s="88">
        <v>0.306</v>
      </c>
      <c r="D5" s="45"/>
      <c r="E5" s="49"/>
      <c r="F5" s="50" t="s">
        <v>15</v>
      </c>
      <c r="G5" s="50"/>
    </row>
    <row r="6" spans="1:7" ht="12.75">
      <c r="A6" s="49"/>
      <c r="B6" s="45" t="s">
        <v>70</v>
      </c>
      <c r="C6" s="88">
        <v>22.225</v>
      </c>
      <c r="D6" s="53"/>
      <c r="E6" s="49"/>
      <c r="F6" s="75" t="s">
        <v>48</v>
      </c>
      <c r="G6" s="76" t="e">
        <f>10*LOG10(G4)-G5</f>
        <v>#NUM!</v>
      </c>
    </row>
    <row r="7" spans="1:7" ht="12.75">
      <c r="A7" s="49"/>
      <c r="B7" s="45" t="s">
        <v>94</v>
      </c>
      <c r="C7" s="88">
        <f>255/223</f>
        <v>1.1434977578475336</v>
      </c>
      <c r="D7" s="55"/>
      <c r="E7" s="49"/>
      <c r="F7" s="50" t="s">
        <v>0</v>
      </c>
      <c r="G7" s="52"/>
    </row>
    <row r="8" spans="1:7" ht="12.75">
      <c r="A8" s="49"/>
      <c r="B8" s="45" t="s">
        <v>95</v>
      </c>
      <c r="C8" s="88">
        <v>44.5</v>
      </c>
      <c r="D8" s="57"/>
      <c r="E8" s="49"/>
      <c r="F8" s="45" t="s">
        <v>44</v>
      </c>
      <c r="G8" s="45">
        <v>468.825</v>
      </c>
    </row>
    <row r="9" spans="1:7" ht="12.75">
      <c r="A9" s="49"/>
      <c r="B9" s="45" t="s">
        <v>60</v>
      </c>
      <c r="C9" s="51">
        <v>4</v>
      </c>
      <c r="D9" s="58"/>
      <c r="E9" s="49"/>
      <c r="F9" s="50" t="s">
        <v>14</v>
      </c>
      <c r="G9" s="50"/>
    </row>
    <row r="10" spans="1:7" ht="25.5">
      <c r="A10" s="48"/>
      <c r="B10" s="112" t="s">
        <v>111</v>
      </c>
      <c r="C10" s="56">
        <v>71.5</v>
      </c>
      <c r="D10" s="57"/>
      <c r="E10" s="49"/>
      <c r="F10" s="50" t="s">
        <v>8</v>
      </c>
      <c r="G10" s="50"/>
    </row>
    <row r="11" spans="1:7" ht="12.75">
      <c r="A11" s="49"/>
      <c r="B11" s="45"/>
      <c r="C11" s="53"/>
      <c r="D11" s="61"/>
      <c r="E11" s="49"/>
      <c r="F11" s="50" t="s">
        <v>17</v>
      </c>
      <c r="G11" s="54"/>
    </row>
    <row r="12" spans="1:7" ht="12.75">
      <c r="A12" s="47" t="s">
        <v>39</v>
      </c>
      <c r="B12" s="59"/>
      <c r="C12" s="60"/>
      <c r="D12" s="61"/>
      <c r="E12" s="49"/>
      <c r="F12" s="50" t="s">
        <v>132</v>
      </c>
      <c r="G12" s="54"/>
    </row>
    <row r="13" spans="1:7" ht="12.75">
      <c r="A13" s="49"/>
      <c r="B13" s="45" t="s">
        <v>2</v>
      </c>
      <c r="C13" s="45">
        <v>35784</v>
      </c>
      <c r="D13" s="61"/>
      <c r="E13" s="49"/>
      <c r="F13" s="50" t="s">
        <v>131</v>
      </c>
      <c r="G13" s="54"/>
    </row>
    <row r="14" spans="1:7" ht="12.75">
      <c r="A14" s="49"/>
      <c r="B14" s="45" t="s">
        <v>3</v>
      </c>
      <c r="C14" s="45">
        <v>13.8</v>
      </c>
      <c r="D14" s="57"/>
      <c r="E14" s="49"/>
      <c r="F14" s="75" t="s">
        <v>42</v>
      </c>
      <c r="G14" s="76">
        <f>G11-G13-G12</f>
        <v>0</v>
      </c>
    </row>
    <row r="15" spans="1:7" ht="12.75">
      <c r="A15" s="49"/>
      <c r="B15" s="45" t="s">
        <v>4</v>
      </c>
      <c r="C15" s="51">
        <f>SQRT((6378+C13)^2-(6378*COS(PI()/180*C14))^2)-6378*SIN(PI()/180*C14)</f>
        <v>40183.18870290123</v>
      </c>
      <c r="D15" s="45"/>
      <c r="E15" s="49"/>
      <c r="F15" s="78" t="s">
        <v>57</v>
      </c>
      <c r="G15" s="79" t="e">
        <f>G6-G7+G14+30</f>
        <v>#NUM!</v>
      </c>
    </row>
    <row r="16" spans="1:7" ht="12.75">
      <c r="A16" s="49"/>
      <c r="B16" s="45" t="s">
        <v>5</v>
      </c>
      <c r="C16" s="53">
        <f>-(20*LOG(299.792458/(C4*4*3.141592654))-20*LOG(C15*1000))</f>
        <v>190.69067102195936</v>
      </c>
      <c r="D16" s="57"/>
      <c r="E16" s="49"/>
      <c r="F16" s="75" t="s">
        <v>98</v>
      </c>
      <c r="G16" s="76">
        <f>-10*LOG(C9)</f>
        <v>-6.020599913279624</v>
      </c>
    </row>
    <row r="17" spans="1:7" ht="12.75">
      <c r="A17" s="49"/>
      <c r="B17" s="45" t="s">
        <v>20</v>
      </c>
      <c r="C17" s="53">
        <v>1</v>
      </c>
      <c r="D17" s="57"/>
      <c r="E17" s="49"/>
      <c r="F17" s="75" t="s">
        <v>97</v>
      </c>
      <c r="G17" s="76" t="e">
        <f>10*LOG((1-1/(1+(10^(C35/10))*C9)))</f>
        <v>#NUM!</v>
      </c>
    </row>
    <row r="18" spans="1:7" ht="12.75">
      <c r="A18" s="49"/>
      <c r="B18" s="45"/>
      <c r="C18" s="53"/>
      <c r="D18" s="57"/>
      <c r="E18" s="49"/>
      <c r="F18" s="78" t="s">
        <v>189</v>
      </c>
      <c r="G18" s="79" t="e">
        <f>G15+G16+G17</f>
        <v>#NUM!</v>
      </c>
    </row>
    <row r="19" spans="1:7" ht="12.75">
      <c r="A19" s="47" t="s">
        <v>40</v>
      </c>
      <c r="B19" s="45"/>
      <c r="C19" s="53"/>
      <c r="D19" s="63"/>
      <c r="E19" s="49"/>
      <c r="F19" s="48"/>
      <c r="G19" s="56"/>
    </row>
    <row r="20" spans="1:7" ht="12.75">
      <c r="A20" s="49"/>
      <c r="B20" s="74" t="s">
        <v>6</v>
      </c>
      <c r="C20" s="50"/>
      <c r="D20" s="64"/>
      <c r="E20" s="47" t="s">
        <v>19</v>
      </c>
      <c r="F20" s="59"/>
      <c r="G20" s="60"/>
    </row>
    <row r="21" spans="1:7" ht="12.75">
      <c r="A21" s="49"/>
      <c r="B21" s="50" t="s">
        <v>43</v>
      </c>
      <c r="C21" s="50"/>
      <c r="D21" s="64"/>
      <c r="E21" s="70"/>
      <c r="F21" s="45" t="s">
        <v>2</v>
      </c>
      <c r="G21" s="45">
        <v>35784</v>
      </c>
    </row>
    <row r="22" spans="1:7" ht="12.75">
      <c r="A22" s="49"/>
      <c r="B22" s="68" t="s">
        <v>24</v>
      </c>
      <c r="C22" s="50"/>
      <c r="D22" s="66"/>
      <c r="E22" s="47"/>
      <c r="F22" s="45" t="s">
        <v>3</v>
      </c>
      <c r="G22" s="45">
        <v>5</v>
      </c>
    </row>
    <row r="23" spans="1:7" ht="12.75">
      <c r="A23" s="49"/>
      <c r="B23" s="50" t="s">
        <v>8</v>
      </c>
      <c r="C23" s="50"/>
      <c r="D23" s="57"/>
      <c r="E23" s="49"/>
      <c r="F23" s="45" t="s">
        <v>4</v>
      </c>
      <c r="G23" s="51">
        <f>SQRT((6378+G21)^2-(6378*COS(PI()/180*G22))^2)-6378*SIN(PI()/180*G22)</f>
        <v>41124.62405055137</v>
      </c>
    </row>
    <row r="24" spans="1:8" ht="12.75">
      <c r="A24" s="49"/>
      <c r="B24" s="50" t="s">
        <v>25</v>
      </c>
      <c r="C24" s="54"/>
      <c r="D24" s="57"/>
      <c r="E24" s="49"/>
      <c r="F24" s="45" t="s">
        <v>5</v>
      </c>
      <c r="G24" s="53">
        <f>-(20*LOG(299.792458/(G8*4*3.141592654))-20*LOG(G23*1000))</f>
        <v>178.15003728453397</v>
      </c>
      <c r="H24" s="29"/>
    </row>
    <row r="25" spans="1:7" ht="12.75">
      <c r="A25" s="49"/>
      <c r="B25" s="50" t="s">
        <v>26</v>
      </c>
      <c r="C25" s="54"/>
      <c r="D25" s="45"/>
      <c r="E25" s="49"/>
      <c r="F25" s="45" t="s">
        <v>20</v>
      </c>
      <c r="G25" s="53">
        <v>0.7</v>
      </c>
    </row>
    <row r="26" spans="1:7" ht="12.75">
      <c r="A26" s="49"/>
      <c r="B26" s="50" t="s">
        <v>28</v>
      </c>
      <c r="C26" s="67"/>
      <c r="D26" s="49"/>
      <c r="E26" s="49"/>
      <c r="F26" s="45"/>
      <c r="G26" s="53"/>
    </row>
    <row r="27" spans="1:7" ht="12.75">
      <c r="A27" s="49"/>
      <c r="B27" s="50" t="s">
        <v>29</v>
      </c>
      <c r="C27" s="68"/>
      <c r="D27" s="57"/>
      <c r="E27" s="47" t="s">
        <v>41</v>
      </c>
      <c r="F27" s="45"/>
      <c r="G27" s="53"/>
    </row>
    <row r="28" spans="1:8" ht="12.75">
      <c r="A28" s="49"/>
      <c r="B28" s="50" t="s">
        <v>121</v>
      </c>
      <c r="C28" s="68"/>
      <c r="D28" s="57"/>
      <c r="E28" s="70"/>
      <c r="F28" s="57" t="s">
        <v>6</v>
      </c>
      <c r="G28" s="45">
        <v>1</v>
      </c>
      <c r="H28" s="32"/>
    </row>
    <row r="29" spans="1:8" ht="12.75">
      <c r="A29" s="49"/>
      <c r="B29" s="50" t="s">
        <v>30</v>
      </c>
      <c r="C29" s="67"/>
      <c r="D29" s="57"/>
      <c r="E29" s="47"/>
      <c r="F29" s="45" t="s">
        <v>7</v>
      </c>
      <c r="G29" s="45">
        <v>0</v>
      </c>
      <c r="H29" s="32"/>
    </row>
    <row r="30" spans="1:8" ht="12.75">
      <c r="A30" s="49"/>
      <c r="B30" s="50" t="s">
        <v>31</v>
      </c>
      <c r="C30" s="67"/>
      <c r="D30" s="57"/>
      <c r="E30" s="49"/>
      <c r="F30" s="75" t="s">
        <v>86</v>
      </c>
      <c r="G30" s="79" t="e">
        <f>G15-G24+10*LOG(4*3.141592654)+20*LOG(G8/299.792458)-30+G12+10*LOG(4/89)</f>
        <v>#NUM!</v>
      </c>
      <c r="H30" s="32"/>
    </row>
    <row r="31" spans="1:8" ht="12.75">
      <c r="A31" s="49"/>
      <c r="B31" s="75" t="s">
        <v>32</v>
      </c>
      <c r="C31" s="76">
        <f>C28*10^(-C26/10)+C29+C30</f>
        <v>0</v>
      </c>
      <c r="D31" s="57"/>
      <c r="E31" s="49"/>
      <c r="F31" s="48" t="s">
        <v>9</v>
      </c>
      <c r="G31" s="53">
        <v>-29</v>
      </c>
      <c r="H31" s="32"/>
    </row>
    <row r="32" spans="1:8" ht="12.75">
      <c r="A32" s="49"/>
      <c r="B32" s="75" t="s">
        <v>33</v>
      </c>
      <c r="C32" s="76" t="e">
        <f>10*LOG(C31)</f>
        <v>#NUM!</v>
      </c>
      <c r="D32" s="57"/>
      <c r="E32" s="49"/>
      <c r="F32" s="75" t="s">
        <v>35</v>
      </c>
      <c r="G32" s="76" t="e">
        <f>G18-SUM(G24:G29)+G31+228.6-30</f>
        <v>#NUM!</v>
      </c>
      <c r="H32" s="32"/>
    </row>
    <row r="33" spans="1:8" ht="12.75">
      <c r="A33" s="49"/>
      <c r="B33" s="78" t="s">
        <v>9</v>
      </c>
      <c r="C33" s="76" t="e">
        <f>C24-C26-C32</f>
        <v>#NUM!</v>
      </c>
      <c r="D33" s="57"/>
      <c r="E33" s="49"/>
      <c r="F33" s="75" t="s">
        <v>36</v>
      </c>
      <c r="G33" s="76" t="e">
        <f>C34</f>
        <v>#NUM!</v>
      </c>
      <c r="H33" s="32"/>
    </row>
    <row r="34" spans="1:8" ht="12.75">
      <c r="A34" s="49"/>
      <c r="B34" s="75" t="s">
        <v>92</v>
      </c>
      <c r="C34" s="76" t="e">
        <f>C10-SUM(C16:C21)+C33+228.6-30</f>
        <v>#NUM!</v>
      </c>
      <c r="D34" s="69"/>
      <c r="E34" s="49"/>
      <c r="F34" s="75" t="s">
        <v>37</v>
      </c>
      <c r="G34" s="76" t="e">
        <f>10*LOG(1/(1/(10^(G32/10))+1/(10^(G33/10))))</f>
        <v>#NUM!</v>
      </c>
      <c r="H34" s="32"/>
    </row>
    <row r="35" spans="1:8" ht="12.75">
      <c r="A35" s="70"/>
      <c r="B35" s="75" t="s">
        <v>93</v>
      </c>
      <c r="C35" s="90" t="e">
        <f>C34-10*LOG(44450)</f>
        <v>#NUM!</v>
      </c>
      <c r="D35" s="57"/>
      <c r="E35" s="49"/>
      <c r="F35" s="50" t="s">
        <v>82</v>
      </c>
      <c r="G35" s="54"/>
      <c r="H35" s="32"/>
    </row>
    <row r="36" spans="1:8" ht="12.75">
      <c r="A36" s="70"/>
      <c r="B36" s="70"/>
      <c r="C36" s="70"/>
      <c r="D36" s="45"/>
      <c r="E36" s="49"/>
      <c r="F36" s="78" t="s">
        <v>22</v>
      </c>
      <c r="G36" s="80" t="e">
        <f>G34-10*LOG(C5*1000)-G35</f>
        <v>#NUM!</v>
      </c>
      <c r="H36" s="32"/>
    </row>
    <row r="37" spans="1:8" ht="12.75">
      <c r="A37" s="70"/>
      <c r="B37" s="70"/>
      <c r="C37" s="70"/>
      <c r="D37" s="45"/>
      <c r="E37" s="49"/>
      <c r="F37" s="45" t="s">
        <v>85</v>
      </c>
      <c r="G37" s="82">
        <v>7</v>
      </c>
      <c r="H37" s="32"/>
    </row>
    <row r="38" spans="1:8" ht="12.75">
      <c r="A38" s="70"/>
      <c r="B38" s="70"/>
      <c r="C38" s="70"/>
      <c r="D38" s="45"/>
      <c r="E38" s="49"/>
      <c r="F38" s="45" t="s">
        <v>11</v>
      </c>
      <c r="G38" s="82">
        <v>2</v>
      </c>
      <c r="H38" s="32"/>
    </row>
    <row r="39" spans="4:8" ht="12.75">
      <c r="D39" s="45"/>
      <c r="E39" s="49"/>
      <c r="F39" s="78" t="s">
        <v>23</v>
      </c>
      <c r="G39" s="80" t="e">
        <f>G36-G37-G38</f>
        <v>#NUM!</v>
      </c>
      <c r="H39" s="32"/>
    </row>
    <row r="40" spans="4:8" ht="12.75">
      <c r="D40" s="2"/>
      <c r="E40" s="32"/>
      <c r="F40" s="32"/>
      <c r="G40" s="32"/>
      <c r="H40" s="32"/>
    </row>
    <row r="41" spans="4:8" ht="12.75">
      <c r="D41" s="2"/>
      <c r="E41" s="32"/>
      <c r="F41" s="32"/>
      <c r="G41" s="32"/>
      <c r="H41" s="32"/>
    </row>
    <row r="42" spans="4:8" ht="12.75">
      <c r="D42" s="32"/>
      <c r="E42" s="32"/>
      <c r="F42" s="32"/>
      <c r="G42" s="32"/>
      <c r="H42" s="32"/>
    </row>
    <row r="43" spans="5:7" ht="12.75">
      <c r="E43" s="32"/>
      <c r="F43" s="32"/>
      <c r="G43" s="32"/>
    </row>
  </sheetData>
  <conditionalFormatting sqref="G30">
    <cfRule type="cellIs" priority="1" dxfId="0" operator="greaterThan" stopIfTrue="1">
      <formula>-152</formula>
    </cfRule>
  </conditionalFormatting>
  <printOptions gridLines="1"/>
  <pageMargins left="0.56" right="0.55" top="0.55" bottom="0.5" header="0.33" footer="0.5"/>
  <pageSetup fitToHeight="1" fitToWidth="1" horizontalDpi="600" verticalDpi="600" orientation="landscape" r:id="rId1"/>
  <headerFooter alignWithMargins="0">
    <oddHeader>&amp;L&amp;F     Printed &amp;D &amp;T&amp;C &amp;A&amp;R&amp;P/&amp;N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Goes R</dc:creator>
  <cp:keywords/>
  <dc:description/>
  <cp:lastModifiedBy> </cp:lastModifiedBy>
  <cp:lastPrinted>2007-07-17T14:47:50Z</cp:lastPrinted>
  <dcterms:created xsi:type="dcterms:W3CDTF">1999-11-07T20:23:29Z</dcterms:created>
  <dcterms:modified xsi:type="dcterms:W3CDTF">2007-08-16T16:53:04Z</dcterms:modified>
  <cp:category/>
  <cp:version/>
  <cp:contentType/>
  <cp:contentStatus/>
</cp:coreProperties>
</file>