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70" windowWidth="11355" windowHeight="5550" tabRatio="839" activeTab="0"/>
  </bookViews>
  <sheets>
    <sheet name="TV Calculator" sheetId="1" r:id="rId1"/>
    <sheet name="Assumptions" sheetId="2" r:id="rId2"/>
  </sheets>
  <definedNames>
    <definedName name="_xlnm.Print_Area" localSheetId="1">'Assumptions'!$B$1:$E$82</definedName>
    <definedName name="_xlnm.Print_Area" localSheetId="0">'TV Calculator'!$A$1:$M$58</definedName>
  </definedNames>
  <calcPr fullCalcOnLoad="1"/>
</workbook>
</file>

<file path=xl/sharedStrings.xml><?xml version="1.0" encoding="utf-8"?>
<sst xmlns="http://schemas.openxmlformats.org/spreadsheetml/2006/main" count="241" uniqueCount="94">
  <si>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</si>
  <si>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</si>
  <si>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</si>
  <si>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</si>
  <si>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</si>
  <si>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</si>
  <si>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</si>
  <si>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</si>
  <si>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</si>
  <si>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</si>
  <si>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</si>
  <si>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</si>
  <si>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</si>
  <si>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</si>
  <si>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</si>
  <si>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</si>
  <si>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</si>
  <si>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</si>
  <si>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</si>
  <si>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</si>
  <si>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</si>
  <si>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</si>
  <si>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</si>
  <si>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</si>
  <si>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</si>
  <si>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</si>
  <si>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</si>
  <si>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</si>
  <si>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</si>
  <si>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</si>
  <si>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</si>
  <si>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</si>
  <si>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</si>
  <si>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</si>
  <si>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</si>
  <si>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</si>
  <si>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</si>
  <si>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</si>
  <si>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</si>
  <si>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</si>
  <si>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</si>
  <si>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</si>
  <si>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Energy costs</t>
  </si>
  <si>
    <t>Initial Cost per Unit (estimated retail price)</t>
  </si>
  <si>
    <r>
      <t>lbs CO</t>
    </r>
    <r>
      <rPr>
        <vertAlign val="subscript"/>
        <sz val="10"/>
        <rFont val="Univers"/>
        <family val="2"/>
      </rPr>
      <t>2</t>
    </r>
    <r>
      <rPr>
        <sz val="10"/>
        <rFont val="Univers"/>
        <family val="2"/>
      </rPr>
      <t>/year</t>
    </r>
  </si>
  <si>
    <t>Electric Rate ($/kWh)</t>
  </si>
  <si>
    <t>Energy and Water Prices</t>
  </si>
  <si>
    <t>Life cycle energy saved (kWh)</t>
  </si>
  <si>
    <t>Initial Cost Per Unit</t>
  </si>
  <si>
    <t xml:space="preserve">For more information, please contact </t>
  </si>
  <si>
    <t>Escalcs@cadmusgroup.com</t>
  </si>
  <si>
    <t>Maintenance cost</t>
  </si>
  <si>
    <t>Maintenance</t>
  </si>
  <si>
    <t>Labor cost (per hour)</t>
  </si>
  <si>
    <t>Labor time (hours)</t>
  </si>
  <si>
    <t>Assumption</t>
  </si>
  <si>
    <t>.</t>
  </si>
  <si>
    <t>Maintenance costs</t>
  </si>
  <si>
    <t>EIA 2007</t>
  </si>
  <si>
    <t>EIA 2008</t>
  </si>
  <si>
    <t>EPA 2008</t>
  </si>
  <si>
    <t>Screen Size (Diagonal Inches)</t>
  </si>
  <si>
    <t>0"-20"</t>
  </si>
  <si>
    <t>&gt;60"</t>
  </si>
  <si>
    <t>Watts</t>
  </si>
  <si>
    <t>Internal Notes/References</t>
  </si>
  <si>
    <t>Standby Power</t>
  </si>
  <si>
    <t>Active Broadcast Hours per Day</t>
  </si>
  <si>
    <t>Standby Hours per Day</t>
  </si>
  <si>
    <t>hrs/day</t>
  </si>
  <si>
    <t>Active Broadcast Power (Selected)</t>
  </si>
  <si>
    <t>Selection</t>
  </si>
  <si>
    <t>Cadmus analysis of spec data: TV Calculator Backup Data and Analysis.xls</t>
  </si>
  <si>
    <t>Average Hours TV is On per Day</t>
  </si>
  <si>
    <t>Average Hours TV is Off (standby) per Day</t>
  </si>
  <si>
    <t>Assumptions for Televisions</t>
  </si>
  <si>
    <t>TBD</t>
  </si>
  <si>
    <t>CCAP, identify orig source and cite</t>
  </si>
  <si>
    <t>Appliance Magazine, 9/2006</t>
  </si>
  <si>
    <t>LCD lifetime, 29th Annual Portrait of the US Appliance Industry, Sept 2006, Dana Chase</t>
  </si>
  <si>
    <t>Calculated</t>
  </si>
  <si>
    <t>2008 Commercial Electricity Price</t>
  </si>
  <si>
    <t>2008 Residential Electricity Price</t>
  </si>
  <si>
    <t>21"-30"</t>
  </si>
  <si>
    <t>31"-40"</t>
  </si>
  <si>
    <t>41"-50"</t>
  </si>
  <si>
    <t>51"-60"</t>
  </si>
  <si>
    <t>Last updated 10/08</t>
  </si>
  <si>
    <t>Industry Data, 2008</t>
  </si>
  <si>
    <t>TV_RESEARCH_SS_RSB_OCT_08_v2.xlsx]</t>
  </si>
  <si>
    <t>EPA 2008*</t>
  </si>
  <si>
    <t>**Residential Miscellaneous Electric Loads: Energy Consumption Characterization and Savings Potententila in 2006 and Scenario-based Projections for 2020", U.S. Department of Building Technologies Program, April 2008.</t>
  </si>
  <si>
    <t>*EPA, 2008: refers to analysis of Cadmus analysis of spec data located at 
http://www.energystar.gov/ia/partners/prod_development/revisions/downloads/tv_vcr/Dataset.xls</t>
  </si>
  <si>
    <t>DOE Report on Miscellaneous Electric Loads, April 2008**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</si>
</sst>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_);[Red]\(#,##0.000\)"/>
    <numFmt numFmtId="181" formatCode="&quot;$&quot;#,##0.0000"/>
    <numFmt numFmtId="182" formatCode="0.000"/>
    <numFmt numFmtId="183" formatCode="[$-409]dddd\,\ mmmm\ dd\,\ yyyy"/>
    <numFmt numFmtId="184" formatCode="[$-409]h:mm:ss\ AM/PM"/>
    <numFmt numFmtId="185" formatCode="#,##0.0_);[Red]\(#,##0.0\)"/>
    <numFmt numFmtId="186" formatCode="&quot;Yes&quot;;&quot;Yes&quot;;&quot;No&quot;"/>
    <numFmt numFmtId="187" formatCode="&quot;True&quot;;&quot;True&quot;;&quot;False&quot;"/>
    <numFmt numFmtId="188" formatCode="&quot;On&quot;;&quot;On&quot;;&quot;Off&quot;"/>
    <numFmt numFmtId="189" formatCode="[$€-2]\ #,##0.00_);[Red]\([$€-2]\ #,##0.00\)"/>
    <numFmt numFmtId="190" formatCode="_(&quot;$&quot;* #,##0.0_);_(&quot;$&quot;* \(#,##0.0\);_(&quot;$&quot;* &quot;-&quot;??_);_(@_)"/>
    <numFmt numFmtId="191" formatCode="_(&quot;$&quot;* #,##0_);_(&quot;$&quot;* \(#,##0\);_(&quot;$&quot;* &quot;-&quot;??_);_(@_)"/>
  </numFmts>
  <fonts count="4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1"/>
      <name val="Univers"/>
      <family val="2"/>
    </font>
    <font>
      <u val="single"/>
      <sz val="10"/>
      <color indexed="12"/>
      <name val="Univers"/>
      <family val="2"/>
    </font>
    <font>
      <sz val="10"/>
      <color indexed="9"/>
      <name val="Univers"/>
      <family val="2"/>
    </font>
    <font>
      <sz val="11"/>
      <color indexed="10"/>
      <name val="Univers"/>
      <family val="2"/>
    </font>
    <font>
      <sz val="10"/>
      <color indexed="10"/>
      <name val="Univers"/>
      <family val="2"/>
    </font>
    <font>
      <u val="single"/>
      <sz val="10"/>
      <color indexed="36"/>
      <name val="Arial"/>
      <family val="2"/>
    </font>
    <font>
      <b/>
      <sz val="12"/>
      <color indexed="10"/>
      <name val="Univers"/>
      <family val="2"/>
    </font>
    <font>
      <b/>
      <sz val="12"/>
      <color indexed="9"/>
      <name val="Univers"/>
      <family val="2"/>
    </font>
    <font>
      <i/>
      <sz val="10"/>
      <color indexed="10"/>
      <name val="Univers"/>
      <family val="2"/>
    </font>
    <font>
      <sz val="11"/>
      <color indexed="9"/>
      <name val="Univers"/>
      <family val="2"/>
    </font>
    <font>
      <b/>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20" borderId="21" xfId="0" applyNumberFormat="1" applyFont="1" applyFill="1" applyBorder="1" applyAlignment="1" applyProtection="1">
      <alignment horizontal="right"/>
      <protection locked="0"/>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7" borderId="0" xfId="0" applyNumberFormat="1" applyFont="1" applyFill="1" applyBorder="1" applyAlignment="1" applyProtection="1">
      <alignmen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0" fontId="1" fillId="0" borderId="0" xfId="0" applyFont="1" applyAlignment="1" applyProtection="1">
      <alignment/>
      <protection/>
    </xf>
    <xf numFmtId="177" fontId="1" fillId="20" borderId="21" xfId="0" applyNumberFormat="1" applyFont="1" applyFill="1" applyBorder="1" applyAlignment="1" applyProtection="1">
      <alignment/>
      <protection locked="0"/>
    </xf>
    <xf numFmtId="0" fontId="1" fillId="4" borderId="11" xfId="0" applyFont="1" applyFill="1" applyBorder="1" applyAlignment="1" applyProtection="1">
      <alignment horizontal="left"/>
      <protection/>
    </xf>
    <xf numFmtId="167"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168" fontId="10" fillId="22" borderId="0" xfId="0" applyNumberFormat="1" applyFont="1" applyFill="1" applyBorder="1" applyAlignment="1" applyProtection="1">
      <alignment/>
      <protection/>
    </xf>
    <xf numFmtId="0" fontId="10" fillId="0" borderId="15" xfId="0" applyFont="1" applyFill="1" applyBorder="1" applyAlignment="1" applyProtection="1">
      <alignment/>
      <protection/>
    </xf>
    <xf numFmtId="0" fontId="20" fillId="0" borderId="0" xfId="0" applyFont="1" applyBorder="1" applyAlignment="1" applyProtection="1">
      <alignment/>
      <protection/>
    </xf>
    <xf numFmtId="0" fontId="20" fillId="0" borderId="0" xfId="0" applyFont="1" applyAlignment="1" applyProtection="1">
      <alignment/>
      <protection/>
    </xf>
    <xf numFmtId="0" fontId="0" fillId="0" borderId="0" xfId="0" applyAlignment="1">
      <alignment/>
    </xf>
    <xf numFmtId="0" fontId="21" fillId="0" borderId="0" xfId="53" applyFont="1" applyAlignment="1" applyProtection="1">
      <alignment/>
      <protection/>
    </xf>
    <xf numFmtId="171" fontId="8" fillId="4" borderId="11" xfId="0" applyNumberFormat="1" applyFont="1" applyFill="1" applyBorder="1" applyAlignment="1" applyProtection="1">
      <alignment/>
      <protection/>
    </xf>
    <xf numFmtId="169" fontId="10" fillId="22" borderId="0" xfId="0" applyNumberFormat="1" applyFont="1" applyFill="1" applyBorder="1" applyAlignment="1" applyProtection="1">
      <alignment horizontal="right"/>
      <protection/>
    </xf>
    <xf numFmtId="0" fontId="22" fillId="0" borderId="0" xfId="0" applyFont="1" applyBorder="1" applyAlignment="1" applyProtection="1">
      <alignment/>
      <protection/>
    </xf>
    <xf numFmtId="1" fontId="2" fillId="0" borderId="11" xfId="0" applyNumberFormat="1" applyFont="1" applyFill="1" applyBorder="1" applyAlignment="1" applyProtection="1">
      <alignment/>
      <protection locked="0"/>
    </xf>
    <xf numFmtId="0" fontId="23" fillId="0" borderId="0" xfId="0" applyFont="1" applyBorder="1" applyAlignment="1" applyProtection="1">
      <alignment/>
      <protection/>
    </xf>
    <xf numFmtId="0" fontId="24" fillId="0" borderId="0" xfId="0" applyFont="1" applyBorder="1" applyAlignment="1" applyProtection="1">
      <alignment/>
      <protection/>
    </xf>
    <xf numFmtId="168" fontId="10" fillId="4" borderId="0" xfId="0" applyNumberFormat="1" applyFont="1" applyFill="1" applyBorder="1" applyAlignment="1" applyProtection="1">
      <alignment horizontal="right"/>
      <protection/>
    </xf>
    <xf numFmtId="0" fontId="1" fillId="4" borderId="11" xfId="0"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3" fontId="1" fillId="4" borderId="0" xfId="0" applyNumberFormat="1" applyFont="1" applyFill="1" applyBorder="1" applyAlignment="1" applyProtection="1">
      <alignment horizontal="right" indent="1"/>
      <protection/>
    </xf>
    <xf numFmtId="3" fontId="1" fillId="4" borderId="0" xfId="0" applyNumberFormat="1" applyFont="1" applyFill="1" applyBorder="1" applyAlignment="1" applyProtection="1">
      <alignment/>
      <protection/>
    </xf>
    <xf numFmtId="0" fontId="26" fillId="0" borderId="0" xfId="0" applyFont="1" applyBorder="1" applyAlignment="1" applyProtection="1">
      <alignment/>
      <protection/>
    </xf>
    <xf numFmtId="0" fontId="1"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0" fontId="27" fillId="0" borderId="0" xfId="0" applyFont="1" applyBorder="1" applyAlignment="1" applyProtection="1">
      <alignment/>
      <protection/>
    </xf>
    <xf numFmtId="0" fontId="22" fillId="0" borderId="0" xfId="0" applyFont="1" applyBorder="1" applyAlignment="1" applyProtection="1">
      <alignment horizontal="center"/>
      <protection/>
    </xf>
    <xf numFmtId="181" fontId="1" fillId="0" borderId="0" xfId="0" applyNumberFormat="1" applyFont="1" applyFill="1" applyBorder="1" applyAlignment="1" applyProtection="1">
      <alignment horizontal="right"/>
      <protection/>
    </xf>
    <xf numFmtId="178" fontId="24" fillId="0" borderId="0" xfId="0" applyNumberFormat="1" applyFont="1" applyFill="1" applyBorder="1" applyAlignment="1" applyProtection="1">
      <alignment horizontal="left"/>
      <protection/>
    </xf>
    <xf numFmtId="0" fontId="28" fillId="0" borderId="0" xfId="0" applyFont="1" applyAlignment="1" applyProtection="1">
      <alignment/>
      <protection/>
    </xf>
    <xf numFmtId="0" fontId="23" fillId="0" borderId="0" xfId="0" applyFont="1" applyBorder="1" applyAlignment="1" applyProtection="1">
      <alignment horizontal="center"/>
      <protection/>
    </xf>
    <xf numFmtId="0" fontId="1" fillId="0" borderId="0" xfId="0" applyFont="1" applyBorder="1" applyAlignment="1" applyProtection="1">
      <alignment/>
      <protection/>
    </xf>
    <xf numFmtId="0" fontId="29" fillId="0" borderId="0" xfId="0" applyFont="1" applyBorder="1" applyAlignment="1" applyProtection="1">
      <alignment horizontal="center"/>
      <protection/>
    </xf>
    <xf numFmtId="0" fontId="22" fillId="0" borderId="0" xfId="0" applyFont="1" applyBorder="1" applyAlignment="1" applyProtection="1">
      <alignment/>
      <protection/>
    </xf>
    <xf numFmtId="0" fontId="22" fillId="0" borderId="0"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0" fontId="22" fillId="0" borderId="0" xfId="0" applyNumberFormat="1" applyFont="1" applyBorder="1" applyAlignment="1" applyProtection="1">
      <alignment horizontal="center"/>
      <protection/>
    </xf>
    <xf numFmtId="49" fontId="22" fillId="0" borderId="0" xfId="0" applyNumberFormat="1" applyFont="1" applyBorder="1" applyAlignment="1" applyProtection="1">
      <alignment horizontal="center"/>
      <protection/>
    </xf>
    <xf numFmtId="0" fontId="22" fillId="0" borderId="0" xfId="0" applyNumberFormat="1" applyFont="1" applyFill="1" applyBorder="1" applyAlignment="1" applyProtection="1">
      <alignment horizontal="center"/>
      <protection/>
    </xf>
    <xf numFmtId="49" fontId="22" fillId="0" borderId="0" xfId="0" applyNumberFormat="1" applyFont="1" applyFill="1" applyBorder="1" applyAlignment="1" applyProtection="1">
      <alignment horizontal="center"/>
      <protection/>
    </xf>
    <xf numFmtId="0" fontId="22" fillId="0" borderId="0" xfId="0" applyFont="1" applyBorder="1" applyAlignment="1" applyProtection="1">
      <alignment horizontal="center"/>
      <protection/>
    </xf>
    <xf numFmtId="0" fontId="1"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 fillId="0" borderId="0" xfId="0" applyFont="1" applyFill="1" applyAlignment="1" applyProtection="1">
      <alignment horizontal="left"/>
      <protection/>
    </xf>
    <xf numFmtId="0" fontId="10" fillId="0" borderId="0"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38" fontId="1" fillId="0" borderId="12" xfId="0" applyNumberFormat="1" applyFont="1" applyFill="1" applyBorder="1" applyAlignment="1" applyProtection="1">
      <alignment horizontal="left"/>
      <protection/>
    </xf>
    <xf numFmtId="1" fontId="0" fillId="0" borderId="11" xfId="0" applyNumberFormat="1" applyBorder="1" applyAlignment="1">
      <alignment/>
    </xf>
    <xf numFmtId="1" fontId="1" fillId="20" borderId="21" xfId="0" applyNumberFormat="1" applyFont="1" applyFill="1" applyBorder="1" applyAlignment="1" applyProtection="1">
      <alignment/>
      <protection locked="0"/>
    </xf>
    <xf numFmtId="38" fontId="1" fillId="0" borderId="11" xfId="0" applyNumberFormat="1" applyFont="1" applyFill="1" applyBorder="1" applyAlignment="1" applyProtection="1">
      <alignment horizontal="right"/>
      <protection/>
    </xf>
    <xf numFmtId="3" fontId="30" fillId="7" borderId="0" xfId="0" applyNumberFormat="1" applyFont="1" applyFill="1" applyBorder="1" applyAlignment="1" applyProtection="1">
      <alignment/>
      <protection/>
    </xf>
    <xf numFmtId="0" fontId="1" fillId="0" borderId="18" xfId="0" applyFont="1" applyFill="1" applyBorder="1" applyAlignment="1" applyProtection="1">
      <alignment horizontal="left" indent="1"/>
      <protection/>
    </xf>
    <xf numFmtId="191" fontId="2" fillId="0" borderId="11" xfId="44" applyNumberFormat="1" applyFont="1" applyFill="1" applyBorder="1" applyAlignment="1" applyProtection="1">
      <alignment/>
      <protection locked="0"/>
    </xf>
    <xf numFmtId="191" fontId="1" fillId="0" borderId="11" xfId="44" applyNumberFormat="1" applyFont="1" applyFill="1" applyBorder="1" applyAlignment="1" applyProtection="1">
      <alignment horizontal="right"/>
      <protection/>
    </xf>
    <xf numFmtId="0" fontId="1" fillId="0" borderId="0" xfId="0" applyFont="1" applyFill="1" applyBorder="1" applyAlignment="1">
      <alignment/>
    </xf>
    <xf numFmtId="1" fontId="0" fillId="0" borderId="11" xfId="0" applyNumberFormat="1" applyFill="1" applyBorder="1" applyAlignment="1">
      <alignment/>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7" fillId="0" borderId="0" xfId="0" applyFont="1" applyAlignment="1" applyProtection="1">
      <alignment horizontal="left"/>
      <protection/>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59"/>
  <sheetViews>
    <sheetView tabSelected="1" zoomScale="85" zoomScaleNormal="85" zoomScalePageLayoutView="0" workbookViewId="0" topLeftCell="A1">
      <selection activeCell="C15" sqref="C1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1" t="s">
        <v>0</v>
      </c>
      <c r="B7" s="181"/>
      <c r="C7" s="181"/>
      <c r="D7" s="181"/>
      <c r="E7" s="181"/>
      <c r="F7" s="181"/>
      <c r="G7" s="181"/>
      <c r="H7" s="181"/>
      <c r="I7" s="181"/>
      <c r="J7" s="181"/>
      <c r="K7" s="181"/>
      <c r="L7" s="181"/>
      <c r="M7" s="181"/>
    </row>
    <row r="8" spans="1:13" ht="15.75" customHeight="1">
      <c r="A8" s="181" t="str">
        <f>""&amp;C15&amp;" ENERGY STAR Qualified Television(s)"</f>
        <v>100 ENERGY STAR Qualified Television(s)</v>
      </c>
      <c r="B8" s="181"/>
      <c r="C8" s="181"/>
      <c r="D8" s="181"/>
      <c r="E8" s="181"/>
      <c r="F8" s="181"/>
      <c r="G8" s="181"/>
      <c r="H8" s="181"/>
      <c r="I8" s="181"/>
      <c r="J8" s="181"/>
      <c r="K8" s="181"/>
      <c r="L8" s="181"/>
      <c r="M8" s="181"/>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82" t="s">
        <v>37</v>
      </c>
      <c r="B11" s="182"/>
      <c r="C11" s="182"/>
      <c r="D11" s="182"/>
      <c r="E11" s="182"/>
      <c r="F11" s="182"/>
      <c r="G11" s="182"/>
      <c r="H11" s="182"/>
      <c r="I11" s="182"/>
      <c r="J11" s="182"/>
      <c r="K11" s="182"/>
      <c r="L11" s="182"/>
      <c r="M11" s="182"/>
    </row>
    <row r="12" ht="24.75" customHeight="1">
      <c r="A12" s="24"/>
    </row>
    <row r="13" spans="1:13" ht="15.75">
      <c r="A13" s="183" t="s">
        <v>1</v>
      </c>
      <c r="B13" s="183"/>
      <c r="C13" s="183"/>
      <c r="D13" s="183"/>
      <c r="E13" s="183"/>
      <c r="F13" s="183"/>
      <c r="G13" s="183"/>
      <c r="H13" s="183"/>
      <c r="I13" s="183"/>
      <c r="J13" s="183"/>
      <c r="K13" s="183"/>
      <c r="L13" s="183"/>
      <c r="M13" s="183"/>
    </row>
    <row r="14" spans="1:13" ht="4.5" customHeight="1" thickBot="1">
      <c r="A14" s="38"/>
      <c r="B14" s="39"/>
      <c r="C14" s="39"/>
      <c r="D14" s="39">
        <v>4</v>
      </c>
      <c r="E14" s="39"/>
      <c r="F14" s="39"/>
      <c r="G14" s="39"/>
      <c r="H14" s="39"/>
      <c r="I14" s="39"/>
      <c r="J14" s="39"/>
      <c r="K14" s="39"/>
      <c r="L14" s="39"/>
      <c r="M14" s="4"/>
    </row>
    <row r="15" spans="1:14" ht="15.75" customHeight="1" thickBot="1">
      <c r="A15" s="5" t="s">
        <v>2</v>
      </c>
      <c r="B15" s="6"/>
      <c r="C15" s="88">
        <v>100</v>
      </c>
      <c r="D15" s="7"/>
      <c r="E15" s="7"/>
      <c r="F15" s="7"/>
      <c r="G15" s="7"/>
      <c r="H15" s="7"/>
      <c r="I15" s="7"/>
      <c r="J15" s="7"/>
      <c r="K15" s="7"/>
      <c r="L15" s="7"/>
      <c r="M15" s="8"/>
      <c r="N15" s="9"/>
    </row>
    <row r="16" spans="1:13" ht="15.75" customHeight="1" thickBot="1">
      <c r="A16" s="10" t="s">
        <v>45</v>
      </c>
      <c r="B16" s="6"/>
      <c r="C16" s="122">
        <f>+Assumptions!C67</f>
        <v>0.0952</v>
      </c>
      <c r="D16" s="7"/>
      <c r="E16" s="7"/>
      <c r="F16" s="7"/>
      <c r="G16" s="7"/>
      <c r="H16" s="7"/>
      <c r="I16" s="7"/>
      <c r="J16" s="7"/>
      <c r="K16" s="7"/>
      <c r="L16" s="7"/>
      <c r="M16" s="8"/>
    </row>
    <row r="17" spans="1:13" ht="17.25" customHeight="1">
      <c r="A17" s="5" t="s">
        <v>61</v>
      </c>
      <c r="B17" s="7"/>
      <c r="C17" s="119"/>
      <c r="D17" s="98"/>
      <c r="E17" s="98"/>
      <c r="F17" s="98"/>
      <c r="G17" s="118"/>
      <c r="H17" s="11"/>
      <c r="I17" s="11"/>
      <c r="J17" s="12"/>
      <c r="K17" s="7"/>
      <c r="L17" s="11"/>
      <c r="M17" s="8"/>
    </row>
    <row r="18" spans="1:13" ht="17.25" customHeight="1" thickBot="1">
      <c r="A18" s="5"/>
      <c r="B18" s="7"/>
      <c r="C18" s="119"/>
      <c r="D18" s="98"/>
      <c r="E18" s="98"/>
      <c r="F18" s="98"/>
      <c r="G18" s="118"/>
      <c r="H18" s="11"/>
      <c r="I18" s="11"/>
      <c r="J18" s="12"/>
      <c r="K18" s="7"/>
      <c r="L18" s="11"/>
      <c r="M18" s="8"/>
    </row>
    <row r="19" spans="1:13" ht="17.25" customHeight="1" thickBot="1">
      <c r="A19" s="5" t="s">
        <v>73</v>
      </c>
      <c r="B19" s="7"/>
      <c r="C19" s="88">
        <f>+Assumptions!C56</f>
        <v>5</v>
      </c>
      <c r="D19" s="98"/>
      <c r="E19" s="175">
        <f>IF(SUM(C19:C20)&gt;24,"Warning: Hours Total &gt;24, Results  Not Valid","")</f>
      </c>
      <c r="F19" s="98"/>
      <c r="G19" s="118"/>
      <c r="H19" s="11"/>
      <c r="I19" s="11"/>
      <c r="J19" s="12"/>
      <c r="K19" s="7"/>
      <c r="L19" s="11"/>
      <c r="M19" s="8"/>
    </row>
    <row r="20" spans="1:13" ht="17.25" customHeight="1" thickBot="1">
      <c r="A20" s="5" t="s">
        <v>74</v>
      </c>
      <c r="B20" s="7"/>
      <c r="C20" s="173">
        <f>24-C19</f>
        <v>19</v>
      </c>
      <c r="D20" s="98"/>
      <c r="E20" s="98"/>
      <c r="F20" s="98"/>
      <c r="G20" s="118"/>
      <c r="H20" s="11"/>
      <c r="I20" s="11"/>
      <c r="J20" s="12"/>
      <c r="K20" s="7"/>
      <c r="L20" s="11"/>
      <c r="M20" s="8"/>
    </row>
    <row r="21" spans="1:13" ht="12" customHeight="1">
      <c r="A21" s="5"/>
      <c r="B21" s="7"/>
      <c r="C21" s="120"/>
      <c r="D21" s="36"/>
      <c r="E21" s="36"/>
      <c r="F21" s="36"/>
      <c r="G21" s="7"/>
      <c r="H21" s="7"/>
      <c r="I21" s="7"/>
      <c r="J21" s="7"/>
      <c r="K21" s="7"/>
      <c r="L21" s="7"/>
      <c r="M21" s="8"/>
    </row>
    <row r="22" spans="1:13" ht="27.75" customHeight="1">
      <c r="A22" s="48"/>
      <c r="B22" s="184" t="s">
        <v>3</v>
      </c>
      <c r="C22" s="184"/>
      <c r="D22" s="184"/>
      <c r="E22" s="41"/>
      <c r="F22" s="184" t="s">
        <v>4</v>
      </c>
      <c r="G22" s="184"/>
      <c r="H22" s="184"/>
      <c r="I22" s="41"/>
      <c r="J22" s="185"/>
      <c r="K22" s="185"/>
      <c r="L22" s="185"/>
      <c r="M22" s="8"/>
    </row>
    <row r="23" spans="1:13" ht="9.75" customHeight="1" thickBot="1">
      <c r="A23" s="40"/>
      <c r="B23" s="41"/>
      <c r="C23" s="41"/>
      <c r="D23" s="41"/>
      <c r="E23" s="41"/>
      <c r="F23" s="41"/>
      <c r="G23" s="91"/>
      <c r="H23" s="41"/>
      <c r="I23" s="41"/>
      <c r="J23" s="185"/>
      <c r="K23" s="185"/>
      <c r="L23" s="185"/>
      <c r="M23" s="8"/>
    </row>
    <row r="24" spans="1:13" ht="15.75" customHeight="1" thickBot="1">
      <c r="A24" s="5" t="s">
        <v>43</v>
      </c>
      <c r="B24" s="7"/>
      <c r="C24" s="94">
        <f>+Assumptions!C21</f>
        <v>269.080909090909</v>
      </c>
      <c r="D24" s="11"/>
      <c r="E24" s="11"/>
      <c r="F24" s="11"/>
      <c r="G24" s="94">
        <f>+Assumptions!C46</f>
        <v>269.080909090909</v>
      </c>
      <c r="H24" s="11"/>
      <c r="I24" s="41"/>
      <c r="J24" s="185"/>
      <c r="K24" s="185"/>
      <c r="L24" s="185"/>
      <c r="M24" s="8"/>
    </row>
    <row r="25" spans="1:13" ht="4.5" customHeight="1">
      <c r="A25" s="13"/>
      <c r="B25" s="14"/>
      <c r="C25" s="86"/>
      <c r="D25" s="14"/>
      <c r="E25" s="14"/>
      <c r="F25" s="14"/>
      <c r="G25" s="87"/>
      <c r="H25" s="14"/>
      <c r="I25" s="14"/>
      <c r="J25" s="14"/>
      <c r="K25" s="14"/>
      <c r="L25" s="14"/>
      <c r="M25" s="15"/>
    </row>
    <row r="26" spans="1:17" ht="24.75" customHeight="1">
      <c r="A26" s="186"/>
      <c r="B26" s="187"/>
      <c r="C26" s="187"/>
      <c r="D26" s="187"/>
      <c r="E26" s="187"/>
      <c r="F26" s="187"/>
      <c r="G26" s="187"/>
      <c r="H26" s="187"/>
      <c r="I26" s="187"/>
      <c r="J26" s="187"/>
      <c r="K26" s="187"/>
      <c r="L26" s="187"/>
      <c r="M26" s="187"/>
      <c r="Q26" s="1" t="s">
        <v>56</v>
      </c>
    </row>
    <row r="27" spans="1:13" ht="15.75">
      <c r="A27" s="183" t="str">
        <f>"Annual and Life Cycle Costs and Savings for "&amp;C15&amp;" Television(s)"</f>
        <v>Annual and Life Cycle Costs and Savings for 100 Television(s)</v>
      </c>
      <c r="B27" s="183"/>
      <c r="C27" s="183"/>
      <c r="D27" s="183"/>
      <c r="E27" s="183"/>
      <c r="F27" s="183"/>
      <c r="G27" s="183"/>
      <c r="H27" s="183"/>
      <c r="I27" s="183"/>
      <c r="J27" s="183"/>
      <c r="K27" s="183"/>
      <c r="L27" s="183"/>
      <c r="M27" s="183"/>
    </row>
    <row r="28" spans="1:13" ht="31.5" customHeight="1">
      <c r="A28" s="16"/>
      <c r="B28" s="189" t="str">
        <f>""&amp;C15&amp;" ENERGY STAR Qualified Unit(s)"</f>
        <v>100 ENERGY STAR Qualified Unit(s)</v>
      </c>
      <c r="C28" s="189"/>
      <c r="D28" s="189"/>
      <c r="E28" s="42"/>
      <c r="F28" s="189" t="str">
        <f>""&amp;C15&amp;" Conventional Unit(s)"</f>
        <v>100 Conventional Unit(s)</v>
      </c>
      <c r="G28" s="189"/>
      <c r="H28" s="189"/>
      <c r="I28" s="42"/>
      <c r="J28" s="189" t="s">
        <v>5</v>
      </c>
      <c r="K28" s="189"/>
      <c r="L28" s="189"/>
      <c r="M28" s="17"/>
    </row>
    <row r="29" spans="1:13" ht="15.75" customHeight="1">
      <c r="A29" s="84" t="s">
        <v>30</v>
      </c>
      <c r="B29" s="18"/>
      <c r="C29" s="18"/>
      <c r="D29" s="18"/>
      <c r="E29" s="18"/>
      <c r="F29" s="18"/>
      <c r="G29" s="18"/>
      <c r="H29" s="18"/>
      <c r="I29" s="18"/>
      <c r="J29" s="18"/>
      <c r="K29" s="18"/>
      <c r="L29" s="18"/>
      <c r="M29" s="19"/>
    </row>
    <row r="30" spans="1:13" ht="15.75" customHeight="1">
      <c r="A30" s="20" t="s">
        <v>6</v>
      </c>
      <c r="B30" s="18"/>
      <c r="C30" s="111">
        <f>C31*C16</f>
        <v>839.1642</v>
      </c>
      <c r="D30" s="18"/>
      <c r="E30" s="18"/>
      <c r="F30" s="18"/>
      <c r="G30" s="111">
        <f>G31*C16</f>
        <v>1017.7732635</v>
      </c>
      <c r="H30" s="18"/>
      <c r="I30" s="18"/>
      <c r="J30" s="18"/>
      <c r="K30" s="21">
        <f>G30-C30</f>
        <v>178.60906349999993</v>
      </c>
      <c r="L30" s="18"/>
      <c r="M30" s="19"/>
    </row>
    <row r="31" spans="1:13" s="3" customFormat="1" ht="15.75" customHeight="1" hidden="1" outlineLevel="1">
      <c r="A31" s="112" t="s">
        <v>41</v>
      </c>
      <c r="B31" s="113"/>
      <c r="C31" s="114">
        <f>$C$15*(C19*Assumptions!C7+'TV Calculator'!C20*Assumptions!C14)*365/1000</f>
        <v>8814.75</v>
      </c>
      <c r="D31" s="114"/>
      <c r="E31" s="114"/>
      <c r="F31" s="114"/>
      <c r="G31" s="114">
        <f>C15*(Assumptions!C32*C19+Assumptions!C39*C20)*365/1000</f>
        <v>10690.895625</v>
      </c>
      <c r="H31" s="115"/>
      <c r="I31" s="115"/>
      <c r="J31" s="115"/>
      <c r="K31" s="114">
        <f>G31-C31</f>
        <v>1876.1456249999992</v>
      </c>
      <c r="L31" s="115"/>
      <c r="M31" s="116"/>
    </row>
    <row r="32" spans="1:13" ht="15.75" customHeight="1" hidden="1" outlineLevel="1">
      <c r="A32" s="140" t="s">
        <v>51</v>
      </c>
      <c r="B32" s="18"/>
      <c r="C32" s="143">
        <f>C15*(Assumptions!C60*Assumptions!C61)</f>
        <v>0</v>
      </c>
      <c r="D32" s="143"/>
      <c r="E32" s="143"/>
      <c r="F32" s="143"/>
      <c r="G32" s="143">
        <f>C15*(Assumptions!C60*Assumptions!C61)</f>
        <v>0</v>
      </c>
      <c r="H32" s="144"/>
      <c r="I32" s="144"/>
      <c r="J32" s="144"/>
      <c r="K32" s="21">
        <f>G32-C32</f>
        <v>0</v>
      </c>
      <c r="L32" s="144"/>
      <c r="M32" s="19"/>
    </row>
    <row r="33" spans="1:13" s="24" customFormat="1" ht="15.75" customHeight="1" collapsed="1">
      <c r="A33" s="85" t="s">
        <v>7</v>
      </c>
      <c r="B33" s="22"/>
      <c r="C33" s="44">
        <f>C30+C32</f>
        <v>839.1642</v>
      </c>
      <c r="D33" s="22"/>
      <c r="E33" s="22"/>
      <c r="F33" s="22"/>
      <c r="G33" s="44">
        <f>G30+G32</f>
        <v>1017.7732635</v>
      </c>
      <c r="H33" s="22"/>
      <c r="I33" s="22"/>
      <c r="J33" s="22"/>
      <c r="K33" s="44">
        <f>K30+K32</f>
        <v>178.60906349999993</v>
      </c>
      <c r="L33" s="22"/>
      <c r="M33" s="23"/>
    </row>
    <row r="34" spans="1:13" ht="15.75" customHeight="1">
      <c r="A34" s="20"/>
      <c r="B34" s="18"/>
      <c r="C34" s="18"/>
      <c r="D34" s="18"/>
      <c r="E34" s="18"/>
      <c r="F34" s="18"/>
      <c r="G34" s="18"/>
      <c r="H34" s="18"/>
      <c r="I34" s="18"/>
      <c r="J34" s="18"/>
      <c r="K34" s="18"/>
      <c r="L34" s="18"/>
      <c r="M34" s="19"/>
    </row>
    <row r="35" spans="1:13" ht="15.75" customHeight="1">
      <c r="A35" s="84" t="s">
        <v>31</v>
      </c>
      <c r="B35" s="18"/>
      <c r="C35" s="18"/>
      <c r="D35" s="18"/>
      <c r="E35" s="18"/>
      <c r="F35" s="18"/>
      <c r="G35" s="18"/>
      <c r="H35" s="18"/>
      <c r="I35" s="18"/>
      <c r="J35" s="18"/>
      <c r="K35" s="18"/>
      <c r="L35" s="18"/>
      <c r="M35" s="19"/>
    </row>
    <row r="36" spans="1:13" ht="15.75" customHeight="1">
      <c r="A36" s="123" t="s">
        <v>42</v>
      </c>
      <c r="B36" s="18"/>
      <c r="C36" s="21">
        <f>PV(Assumptions!C64,Assumptions!C28,-C30,,0)</f>
        <v>4399.013581682072</v>
      </c>
      <c r="D36" s="18"/>
      <c r="E36" s="18"/>
      <c r="F36" s="18"/>
      <c r="G36" s="21">
        <f>PV(Assumptions!C64,Assumptions!C53,-G30,,0)</f>
        <v>5335.306736404372</v>
      </c>
      <c r="H36" s="18"/>
      <c r="I36" s="18"/>
      <c r="J36" s="18"/>
      <c r="K36" s="21">
        <f>G36-C36</f>
        <v>936.2931547222997</v>
      </c>
      <c r="L36" s="18"/>
      <c r="M36" s="19"/>
    </row>
    <row r="37" spans="1:13" s="3" customFormat="1" ht="15.75" customHeight="1" hidden="1" outlineLevel="1">
      <c r="A37" s="112" t="s">
        <v>41</v>
      </c>
      <c r="B37" s="113"/>
      <c r="C37" s="114">
        <f>C31*Assumptions!C28</f>
        <v>52888.5</v>
      </c>
      <c r="D37" s="115"/>
      <c r="E37" s="115"/>
      <c r="F37" s="115"/>
      <c r="G37" s="114">
        <f>G31*Assumptions!C53</f>
        <v>64145.37375</v>
      </c>
      <c r="H37" s="115"/>
      <c r="I37" s="115"/>
      <c r="J37" s="115"/>
      <c r="K37" s="114">
        <f>G37-C37</f>
        <v>11256.873749999999</v>
      </c>
      <c r="L37" s="117"/>
      <c r="M37" s="116"/>
    </row>
    <row r="38" spans="1:13" ht="15.75" customHeight="1" collapsed="1">
      <c r="A38" s="140" t="s">
        <v>57</v>
      </c>
      <c r="B38" s="18"/>
      <c r="C38" s="21">
        <f>PV(Assumptions!C64,Assumptions!C28,-C32,,0)</f>
        <v>0</v>
      </c>
      <c r="D38" s="18"/>
      <c r="E38" s="18"/>
      <c r="F38" s="18"/>
      <c r="G38" s="21">
        <f>PV(Assumptions!C64,Assumptions!C28,-G32,,0)</f>
        <v>0</v>
      </c>
      <c r="H38" s="18"/>
      <c r="I38" s="18"/>
      <c r="J38" s="18"/>
      <c r="K38" s="21">
        <f>G38-C38</f>
        <v>0</v>
      </c>
      <c r="L38" s="18"/>
      <c r="M38" s="19"/>
    </row>
    <row r="39" spans="1:13" ht="15.75" customHeight="1">
      <c r="A39" s="20" t="str">
        <f>"Purchase price for "&amp;C15&amp;" unit(s)"</f>
        <v>Purchase price for 100 unit(s)</v>
      </c>
      <c r="B39" s="18"/>
      <c r="C39" s="99">
        <f>C15*C24</f>
        <v>26908.0909090909</v>
      </c>
      <c r="D39" s="18"/>
      <c r="E39" s="18"/>
      <c r="F39" s="18"/>
      <c r="G39" s="21">
        <f>C15*G24</f>
        <v>26908.0909090909</v>
      </c>
      <c r="H39" s="18"/>
      <c r="I39" s="18"/>
      <c r="J39" s="18"/>
      <c r="K39" s="21">
        <f>G39-C39</f>
        <v>0</v>
      </c>
      <c r="L39" s="18"/>
      <c r="M39" s="19"/>
    </row>
    <row r="40" spans="1:13" s="24" customFormat="1" ht="15.75" customHeight="1">
      <c r="A40" s="85" t="s">
        <v>7</v>
      </c>
      <c r="B40" s="18"/>
      <c r="C40" s="100">
        <f>C36+C39+C38</f>
        <v>31307.104490772974</v>
      </c>
      <c r="D40" s="22"/>
      <c r="E40" s="22"/>
      <c r="F40" s="22"/>
      <c r="G40" s="44">
        <f>G36+G39+G38</f>
        <v>32243.39764549527</v>
      </c>
      <c r="H40" s="22"/>
      <c r="I40" s="22"/>
      <c r="J40" s="22"/>
      <c r="K40" s="44">
        <f>K36+K39+K38</f>
        <v>936.2931547222997</v>
      </c>
      <c r="L40" s="22"/>
      <c r="M40" s="23"/>
    </row>
    <row r="41" spans="1:13" s="24" customFormat="1" ht="15.75" customHeight="1">
      <c r="A41" s="43"/>
      <c r="B41" s="22"/>
      <c r="C41" s="45"/>
      <c r="D41" s="22"/>
      <c r="E41" s="22"/>
      <c r="F41" s="22"/>
      <c r="G41" s="45"/>
      <c r="H41" s="22"/>
      <c r="I41" s="22"/>
      <c r="J41" s="22"/>
      <c r="K41" s="45"/>
      <c r="L41" s="22"/>
      <c r="M41" s="23"/>
    </row>
    <row r="42" spans="1:18" ht="15.75" customHeight="1">
      <c r="A42" s="133"/>
      <c r="B42" s="18"/>
      <c r="C42" s="18"/>
      <c r="D42" s="18"/>
      <c r="E42" s="18"/>
      <c r="F42" s="18"/>
      <c r="G42" s="18"/>
      <c r="H42" s="18"/>
      <c r="I42" s="18"/>
      <c r="J42" s="25" t="s">
        <v>8</v>
      </c>
      <c r="K42" s="139">
        <f>IF(K49&lt;=0,0,IF(K33&lt;0,"N/A",IF(K33=0,"&gt;"&amp;Assumptions!C28&amp;"",IF(K49/K33&gt;Assumptions!C28,"&gt;"&amp;Assumptions!C28&amp;"",K49/K33))))</f>
        <v>0</v>
      </c>
      <c r="L42" s="18"/>
      <c r="M42" s="19"/>
      <c r="N42" s="68"/>
      <c r="O42" s="68"/>
      <c r="P42" s="68"/>
      <c r="Q42" s="68"/>
      <c r="R42" s="68"/>
    </row>
    <row r="43" spans="1:13" ht="4.5" customHeight="1">
      <c r="A43" s="26"/>
      <c r="B43" s="27"/>
      <c r="C43" s="27"/>
      <c r="D43" s="27"/>
      <c r="E43" s="27"/>
      <c r="F43" s="27"/>
      <c r="G43" s="27"/>
      <c r="H43" s="27"/>
      <c r="I43" s="27"/>
      <c r="J43" s="27"/>
      <c r="K43" s="27"/>
      <c r="L43" s="27"/>
      <c r="M43" s="28"/>
    </row>
    <row r="44" spans="1:13" ht="24" customHeight="1">
      <c r="A44" s="190" t="s">
        <v>32</v>
      </c>
      <c r="B44" s="191"/>
      <c r="C44" s="191"/>
      <c r="D44" s="191"/>
      <c r="E44" s="191"/>
      <c r="F44" s="191"/>
      <c r="G44" s="191"/>
      <c r="H44" s="191"/>
      <c r="I44" s="191"/>
      <c r="J44" s="191"/>
      <c r="K44" s="191"/>
      <c r="L44" s="191"/>
      <c r="M44" s="191"/>
    </row>
    <row r="45" spans="1:13" ht="13.5">
      <c r="A45" s="188" t="s">
        <v>33</v>
      </c>
      <c r="B45" s="188"/>
      <c r="C45" s="188"/>
      <c r="D45" s="188"/>
      <c r="E45" s="188"/>
      <c r="F45" s="188"/>
      <c r="G45" s="188"/>
      <c r="H45" s="188"/>
      <c r="I45" s="188"/>
      <c r="J45" s="188"/>
      <c r="K45" s="188"/>
      <c r="L45" s="188"/>
      <c r="M45" s="188"/>
    </row>
    <row r="46" spans="1:13" ht="24.75" customHeight="1">
      <c r="A46" s="121"/>
      <c r="B46" s="121"/>
      <c r="C46" s="121"/>
      <c r="D46" s="121"/>
      <c r="E46" s="121"/>
      <c r="F46" s="121"/>
      <c r="G46" s="121"/>
      <c r="H46" s="121"/>
      <c r="I46" s="121"/>
      <c r="J46" s="121"/>
      <c r="K46" s="121"/>
      <c r="L46" s="121"/>
      <c r="M46" s="121"/>
    </row>
    <row r="47" spans="1:13" ht="15.75" customHeight="1">
      <c r="A47" s="183" t="str">
        <f>"Summary of Benefits for "&amp;C15&amp;" Television(s)"</f>
        <v>Summary of Benefits for 100 Television(s)</v>
      </c>
      <c r="B47" s="183"/>
      <c r="C47" s="183"/>
      <c r="D47" s="183"/>
      <c r="E47" s="183"/>
      <c r="F47" s="183"/>
      <c r="G47" s="183"/>
      <c r="H47" s="183"/>
      <c r="I47" s="183"/>
      <c r="J47" s="183"/>
      <c r="K47" s="183"/>
      <c r="L47" s="183"/>
      <c r="M47" s="183"/>
    </row>
    <row r="48" spans="1:13" ht="4.5" customHeight="1">
      <c r="A48" s="29" t="s">
        <v>9</v>
      </c>
      <c r="B48" s="30"/>
      <c r="C48" s="30"/>
      <c r="D48" s="30"/>
      <c r="E48" s="30"/>
      <c r="F48" s="30"/>
      <c r="G48" s="30"/>
      <c r="H48" s="30"/>
      <c r="I48" s="30"/>
      <c r="J48" s="30"/>
      <c r="K48" s="30"/>
      <c r="L48" s="30"/>
      <c r="M48" s="31"/>
    </row>
    <row r="49" spans="1:13" ht="15.75" customHeight="1">
      <c r="A49" s="32" t="s">
        <v>10</v>
      </c>
      <c r="B49" s="47"/>
      <c r="C49" s="47"/>
      <c r="D49" s="47"/>
      <c r="E49" s="47"/>
      <c r="F49" s="47"/>
      <c r="G49" s="47"/>
      <c r="H49" s="47"/>
      <c r="I49" s="47"/>
      <c r="J49" s="47"/>
      <c r="K49" s="124">
        <f>(C24-G24)*C15</f>
        <v>0</v>
      </c>
      <c r="L49" s="101"/>
      <c r="M49" s="106"/>
    </row>
    <row r="50" spans="1:13" ht="15.75" customHeight="1">
      <c r="A50" s="32" t="s">
        <v>11</v>
      </c>
      <c r="B50" s="47"/>
      <c r="C50" s="47"/>
      <c r="D50" s="47"/>
      <c r="E50" s="47"/>
      <c r="F50" s="47"/>
      <c r="G50" s="47"/>
      <c r="H50" s="47"/>
      <c r="I50" s="47"/>
      <c r="J50" s="47"/>
      <c r="K50" s="124">
        <f>K36</f>
        <v>936.2931547222997</v>
      </c>
      <c r="L50" s="101"/>
      <c r="M50" s="106"/>
    </row>
    <row r="51" spans="1:13" ht="15.75" customHeight="1">
      <c r="A51" s="32" t="s">
        <v>12</v>
      </c>
      <c r="B51" s="47"/>
      <c r="C51" s="47"/>
      <c r="D51" s="47"/>
      <c r="E51" s="47"/>
      <c r="F51" s="47"/>
      <c r="G51" s="47"/>
      <c r="H51" s="47"/>
      <c r="I51" s="47"/>
      <c r="J51" s="47"/>
      <c r="K51" s="124">
        <f>K40</f>
        <v>936.2931547222997</v>
      </c>
      <c r="L51" s="101"/>
      <c r="M51" s="106"/>
    </row>
    <row r="52" spans="1:13" ht="15.75" customHeight="1">
      <c r="A52" s="32" t="s">
        <v>13</v>
      </c>
      <c r="B52" s="47"/>
      <c r="C52" s="47"/>
      <c r="D52" s="47"/>
      <c r="E52" s="47"/>
      <c r="F52" s="47"/>
      <c r="G52" s="47"/>
      <c r="H52" s="47"/>
      <c r="I52" s="47"/>
      <c r="J52" s="47"/>
      <c r="K52" s="134">
        <f>K42</f>
        <v>0</v>
      </c>
      <c r="L52" s="102"/>
      <c r="M52" s="107"/>
    </row>
    <row r="53" spans="1:13" ht="15.75" customHeight="1">
      <c r="A53" s="32" t="s">
        <v>47</v>
      </c>
      <c r="B53" s="47"/>
      <c r="C53" s="47"/>
      <c r="D53" s="47"/>
      <c r="E53" s="47"/>
      <c r="F53" s="47"/>
      <c r="G53" s="47"/>
      <c r="H53" s="47"/>
      <c r="I53" s="47"/>
      <c r="J53" s="47"/>
      <c r="K53" s="125">
        <f>K37</f>
        <v>11256.873749999999</v>
      </c>
      <c r="L53" s="103"/>
      <c r="M53" s="108"/>
    </row>
    <row r="54" spans="1:13" ht="15.75" customHeight="1">
      <c r="A54" s="32" t="s">
        <v>14</v>
      </c>
      <c r="B54" s="47"/>
      <c r="C54" s="47"/>
      <c r="D54" s="47"/>
      <c r="E54" s="47"/>
      <c r="F54" s="47"/>
      <c r="G54" s="47"/>
      <c r="H54" s="47"/>
      <c r="I54" s="47"/>
      <c r="J54" s="47"/>
      <c r="K54" s="125">
        <f>K37*Assumptions!C71</f>
        <v>17335.585574999997</v>
      </c>
      <c r="L54" s="103"/>
      <c r="M54" s="108"/>
    </row>
    <row r="55" spans="1:13" ht="15.75" customHeight="1">
      <c r="A55" s="32" t="s">
        <v>15</v>
      </c>
      <c r="B55" s="47"/>
      <c r="C55" s="47"/>
      <c r="D55" s="47"/>
      <c r="E55" s="47"/>
      <c r="F55" s="47"/>
      <c r="G55" s="47"/>
      <c r="H55" s="47"/>
      <c r="I55" s="47"/>
      <c r="J55" s="47"/>
      <c r="K55" s="127">
        <f>K37*Assumptions!C71/Assumptions!C75</f>
        <v>1.4401915406662789</v>
      </c>
      <c r="L55" s="104"/>
      <c r="M55" s="109"/>
    </row>
    <row r="56" spans="1:13" ht="15.75" customHeight="1">
      <c r="A56" s="32" t="s">
        <v>16</v>
      </c>
      <c r="B56" s="47"/>
      <c r="C56" s="47"/>
      <c r="D56" s="47"/>
      <c r="E56" s="47"/>
      <c r="F56" s="47"/>
      <c r="G56" s="47"/>
      <c r="H56" s="47"/>
      <c r="I56" s="47"/>
      <c r="J56" s="47"/>
      <c r="K56" s="127">
        <f>K37*Assumptions!C71/Assumptions!C74</f>
        <v>1.7871737706185564</v>
      </c>
      <c r="L56" s="104"/>
      <c r="M56" s="109"/>
    </row>
    <row r="57" spans="1:13" ht="15.75" customHeight="1">
      <c r="A57" s="89" t="s">
        <v>17</v>
      </c>
      <c r="B57" s="47"/>
      <c r="C57" s="47"/>
      <c r="D57" s="47"/>
      <c r="E57" s="47"/>
      <c r="F57" s="47"/>
      <c r="G57" s="47"/>
      <c r="H57" s="47"/>
      <c r="I57" s="47"/>
      <c r="J57" s="47"/>
      <c r="K57" s="126">
        <f>K40/(C24*C15)</f>
        <v>0.03479597114063462</v>
      </c>
      <c r="L57" s="105"/>
      <c r="M57" s="110"/>
    </row>
    <row r="58" spans="1:13" s="35" customFormat="1" ht="4.5" customHeight="1">
      <c r="A58" s="90"/>
      <c r="B58" s="33"/>
      <c r="C58" s="33"/>
      <c r="D58" s="33"/>
      <c r="E58" s="33"/>
      <c r="F58" s="33"/>
      <c r="G58" s="33"/>
      <c r="H58" s="33"/>
      <c r="I58" s="33"/>
      <c r="J58" s="33"/>
      <c r="K58" s="33"/>
      <c r="L58" s="33"/>
      <c r="M58" s="34"/>
    </row>
    <row r="59" s="35" customFormat="1" ht="15.75" customHeight="1">
      <c r="A59" s="4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17">
    <mergeCell ref="A45:M45"/>
    <mergeCell ref="A47:M47"/>
    <mergeCell ref="B28:D28"/>
    <mergeCell ref="F28:H28"/>
    <mergeCell ref="J28:L28"/>
    <mergeCell ref="A44:M44"/>
    <mergeCell ref="B22:D22"/>
    <mergeCell ref="F22:H22"/>
    <mergeCell ref="J22:L22"/>
    <mergeCell ref="A27:M27"/>
    <mergeCell ref="J23:L23"/>
    <mergeCell ref="J24:L24"/>
    <mergeCell ref="A26:M26"/>
    <mergeCell ref="A7:M7"/>
    <mergeCell ref="A8:M8"/>
    <mergeCell ref="A11:M11"/>
    <mergeCell ref="A13:M13"/>
  </mergeCells>
  <dataValidations count="1">
    <dataValidation type="decimal" operator="greaterThan" showInputMessage="1" showErrorMessage="1" error="Please enter a positive value.&#10;&#10;Thank you." sqref="C15:C16 G24 C24">
      <formula1>0</formula1>
    </dataValidation>
  </dataValidations>
  <printOptions horizontalCentered="1"/>
  <pageMargins left="1" right="1" top="1" bottom="1" header="0.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X184"/>
  <sheetViews>
    <sheetView zoomScale="85" zoomScaleNormal="85" zoomScaleSheetLayoutView="100" zoomScalePageLayoutView="0" workbookViewId="0" topLeftCell="B40">
      <selection activeCell="F1" sqref="F1:F16384"/>
    </sheetView>
  </sheetViews>
  <sheetFormatPr defaultColWidth="9.140625" defaultRowHeight="12.75"/>
  <cols>
    <col min="1" max="1" width="0" style="52" hidden="1" customWidth="1"/>
    <col min="2" max="2" width="45.7109375" style="51" bestFit="1" customWidth="1"/>
    <col min="3" max="3" width="12.7109375" style="73" bestFit="1" customWidth="1"/>
    <col min="4" max="4" width="11.8515625" style="74" bestFit="1" customWidth="1"/>
    <col min="5" max="5" width="32.57421875" style="68" customWidth="1"/>
    <col min="6" max="6" width="0" style="154" hidden="1" customWidth="1"/>
    <col min="7" max="9" width="9.140625" style="51" customWidth="1"/>
    <col min="10" max="10" width="15.421875" style="51" bestFit="1" customWidth="1"/>
    <col min="11" max="11" width="19.00390625" style="51" bestFit="1" customWidth="1"/>
    <col min="12" max="24" width="9.140625" style="51" customWidth="1"/>
    <col min="25" max="16384" width="9.140625" style="52" customWidth="1"/>
  </cols>
  <sheetData>
    <row r="1" spans="2:14" ht="15.75">
      <c r="B1" s="192" t="s">
        <v>75</v>
      </c>
      <c r="C1" s="193"/>
      <c r="D1" s="193"/>
      <c r="E1" s="194"/>
      <c r="F1" s="168"/>
      <c r="G1" s="145"/>
      <c r="H1" s="145"/>
      <c r="I1" s="145"/>
      <c r="J1" s="145"/>
      <c r="K1" s="145"/>
      <c r="L1" s="145"/>
      <c r="M1" s="138"/>
      <c r="N1" s="138"/>
    </row>
    <row r="2" spans="2:14" ht="15.75">
      <c r="B2" s="95"/>
      <c r="C2" s="53"/>
      <c r="D2" s="53"/>
      <c r="E2" s="96"/>
      <c r="F2" s="168"/>
      <c r="G2" s="148"/>
      <c r="H2" s="148"/>
      <c r="I2" s="148"/>
      <c r="J2" s="148"/>
      <c r="K2" s="148"/>
      <c r="L2" s="145"/>
      <c r="M2" s="138"/>
      <c r="N2" s="138"/>
    </row>
    <row r="3" spans="2:24" s="130" customFormat="1" ht="15">
      <c r="B3" s="76" t="s">
        <v>18</v>
      </c>
      <c r="C3" s="195" t="s">
        <v>19</v>
      </c>
      <c r="D3" s="195"/>
      <c r="E3" s="128" t="s">
        <v>20</v>
      </c>
      <c r="F3" s="167" t="s">
        <v>65</v>
      </c>
      <c r="G3" s="155"/>
      <c r="H3" s="155"/>
      <c r="I3" s="155"/>
      <c r="J3" s="153"/>
      <c r="K3" s="153"/>
      <c r="L3" s="137"/>
      <c r="M3" s="137"/>
      <c r="N3" s="137"/>
      <c r="O3" s="129"/>
      <c r="P3" s="129"/>
      <c r="Q3" s="129"/>
      <c r="R3" s="129"/>
      <c r="S3" s="129"/>
      <c r="T3" s="129"/>
      <c r="U3" s="129"/>
      <c r="V3" s="129"/>
      <c r="W3" s="129"/>
      <c r="X3" s="129"/>
    </row>
    <row r="4" spans="2:14" ht="15">
      <c r="B4" s="81" t="s">
        <v>21</v>
      </c>
      <c r="C4" s="54"/>
      <c r="D4" s="55"/>
      <c r="E4" s="56"/>
      <c r="G4" s="157"/>
      <c r="H4" s="157"/>
      <c r="I4" s="158"/>
      <c r="J4" s="151"/>
      <c r="K4" s="151"/>
      <c r="L4" s="138"/>
      <c r="M4" s="138"/>
      <c r="N4" s="138"/>
    </row>
    <row r="5" spans="2:14" ht="12.75">
      <c r="B5" s="57" t="s">
        <v>3</v>
      </c>
      <c r="C5" s="58"/>
      <c r="D5" s="49"/>
      <c r="E5" s="50"/>
      <c r="G5" s="157"/>
      <c r="H5" s="157"/>
      <c r="I5" s="158"/>
      <c r="J5" s="151"/>
      <c r="K5" s="151"/>
      <c r="L5" s="138"/>
      <c r="M5" s="138"/>
      <c r="N5" s="138"/>
    </row>
    <row r="6" spans="2:14" ht="12.75">
      <c r="B6" s="92"/>
      <c r="C6" s="61"/>
      <c r="D6" s="49"/>
      <c r="E6" s="50"/>
      <c r="F6" s="154" t="s">
        <v>76</v>
      </c>
      <c r="G6" s="157"/>
      <c r="H6" s="159"/>
      <c r="I6" s="160"/>
      <c r="J6" s="151"/>
      <c r="K6" s="151"/>
      <c r="L6" s="138"/>
      <c r="M6" s="138"/>
      <c r="N6" s="138"/>
    </row>
    <row r="7" spans="1:14" ht="14.25" customHeight="1">
      <c r="A7" s="52">
        <v>1</v>
      </c>
      <c r="B7" s="164" t="s">
        <v>70</v>
      </c>
      <c r="C7" s="136">
        <f>VLOOKUP(A7,A8:C13,3)</f>
        <v>44.5</v>
      </c>
      <c r="D7" s="166" t="s">
        <v>64</v>
      </c>
      <c r="E7" s="97" t="s">
        <v>71</v>
      </c>
      <c r="G7" s="157"/>
      <c r="H7" s="159"/>
      <c r="I7" s="160"/>
      <c r="J7" s="151"/>
      <c r="K7" s="151"/>
      <c r="L7" s="138"/>
      <c r="M7" s="138"/>
      <c r="N7" s="138"/>
    </row>
    <row r="8" spans="1:14" ht="14.25" customHeight="1">
      <c r="A8" s="52">
        <v>1</v>
      </c>
      <c r="B8" s="165" t="s">
        <v>62</v>
      </c>
      <c r="C8" s="172">
        <v>44.5</v>
      </c>
      <c r="D8" s="166" t="s">
        <v>64</v>
      </c>
      <c r="E8" s="97" t="s">
        <v>90</v>
      </c>
      <c r="F8" s="154" t="s">
        <v>72</v>
      </c>
      <c r="G8" s="157"/>
      <c r="H8" s="161"/>
      <c r="I8" s="162"/>
      <c r="J8" s="151"/>
      <c r="K8" s="151"/>
      <c r="L8" s="138"/>
      <c r="M8" s="138"/>
      <c r="N8" s="138"/>
    </row>
    <row r="9" spans="1:14" ht="14.25" customHeight="1">
      <c r="A9" s="52">
        <v>2</v>
      </c>
      <c r="B9" s="165" t="s">
        <v>83</v>
      </c>
      <c r="C9" s="172">
        <v>90.30699383702353</v>
      </c>
      <c r="D9" s="166" t="s">
        <v>64</v>
      </c>
      <c r="E9" s="97" t="s">
        <v>60</v>
      </c>
      <c r="F9" s="154" t="s">
        <v>72</v>
      </c>
      <c r="G9" s="157"/>
      <c r="H9" s="159"/>
      <c r="I9" s="160"/>
      <c r="J9" s="151"/>
      <c r="K9" s="151"/>
      <c r="L9" s="138"/>
      <c r="M9" s="138"/>
      <c r="N9" s="138"/>
    </row>
    <row r="10" spans="1:14" ht="14.25" customHeight="1">
      <c r="A10" s="52">
        <v>3</v>
      </c>
      <c r="B10" s="165" t="s">
        <v>84</v>
      </c>
      <c r="C10" s="172">
        <v>138.83229038713688</v>
      </c>
      <c r="D10" s="166" t="s">
        <v>64</v>
      </c>
      <c r="E10" s="97" t="s">
        <v>60</v>
      </c>
      <c r="F10" s="154" t="s">
        <v>72</v>
      </c>
      <c r="G10" s="156"/>
      <c r="H10" s="163"/>
      <c r="I10" s="163"/>
      <c r="J10" s="138"/>
      <c r="K10" s="152"/>
      <c r="L10" s="138"/>
      <c r="M10" s="138"/>
      <c r="N10" s="138"/>
    </row>
    <row r="11" spans="1:14" ht="14.25" customHeight="1">
      <c r="A11" s="52">
        <v>4</v>
      </c>
      <c r="B11" s="165" t="s">
        <v>85</v>
      </c>
      <c r="C11" s="172">
        <v>237.99011009507646</v>
      </c>
      <c r="D11" s="166" t="s">
        <v>64</v>
      </c>
      <c r="E11" s="97" t="s">
        <v>60</v>
      </c>
      <c r="F11" s="154" t="s">
        <v>72</v>
      </c>
      <c r="G11" s="135"/>
      <c r="H11" s="149"/>
      <c r="I11" s="149"/>
      <c r="J11" s="135"/>
      <c r="K11" s="135"/>
      <c r="L11" s="138"/>
      <c r="M11" s="138"/>
      <c r="N11" s="138"/>
    </row>
    <row r="12" spans="1:14" ht="14.25" customHeight="1">
      <c r="A12" s="52">
        <v>5</v>
      </c>
      <c r="B12" s="165" t="s">
        <v>86</v>
      </c>
      <c r="C12" s="172">
        <v>372.4937577448071</v>
      </c>
      <c r="D12" s="166" t="s">
        <v>64</v>
      </c>
      <c r="E12" s="97" t="s">
        <v>60</v>
      </c>
      <c r="F12" s="154" t="s">
        <v>72</v>
      </c>
      <c r="G12" s="135"/>
      <c r="H12" s="135"/>
      <c r="I12" s="135"/>
      <c r="J12" s="135"/>
      <c r="K12" s="135"/>
      <c r="L12" s="138"/>
      <c r="M12" s="138"/>
      <c r="N12" s="138"/>
    </row>
    <row r="13" spans="1:14" ht="14.25" customHeight="1">
      <c r="A13" s="52">
        <v>6</v>
      </c>
      <c r="B13" s="165" t="s">
        <v>63</v>
      </c>
      <c r="C13" s="180">
        <v>421.6132462908012</v>
      </c>
      <c r="D13" s="166" t="s">
        <v>64</v>
      </c>
      <c r="E13" s="97" t="s">
        <v>60</v>
      </c>
      <c r="F13" s="154" t="s">
        <v>72</v>
      </c>
      <c r="G13" s="135"/>
      <c r="H13" s="135"/>
      <c r="I13" s="135"/>
      <c r="J13" s="135"/>
      <c r="K13" s="135"/>
      <c r="L13" s="138"/>
      <c r="M13" s="138"/>
      <c r="N13" s="138"/>
    </row>
    <row r="14" spans="1:14" ht="14.25" customHeight="1">
      <c r="A14" s="52">
        <f>A7</f>
        <v>1</v>
      </c>
      <c r="B14" s="164" t="s">
        <v>66</v>
      </c>
      <c r="C14" s="136">
        <f>VLOOKUP(A14,A15:C20,3)</f>
        <v>1</v>
      </c>
      <c r="D14" s="166" t="s">
        <v>64</v>
      </c>
      <c r="E14" s="97" t="s">
        <v>71</v>
      </c>
      <c r="G14" s="135"/>
      <c r="H14" s="135"/>
      <c r="I14" s="135"/>
      <c r="J14" s="135"/>
      <c r="K14" s="135"/>
      <c r="L14" s="138"/>
      <c r="M14" s="138"/>
      <c r="N14" s="138"/>
    </row>
    <row r="15" spans="1:14" ht="14.25" customHeight="1">
      <c r="A15" s="52">
        <v>1</v>
      </c>
      <c r="B15" s="165" t="s">
        <v>62</v>
      </c>
      <c r="C15" s="147">
        <v>1</v>
      </c>
      <c r="D15" s="166" t="s">
        <v>64</v>
      </c>
      <c r="E15" s="97" t="s">
        <v>60</v>
      </c>
      <c r="F15" s="154" t="s">
        <v>72</v>
      </c>
      <c r="G15" s="135"/>
      <c r="H15" s="135"/>
      <c r="I15" s="135"/>
      <c r="J15" s="135"/>
      <c r="K15" s="135"/>
      <c r="L15" s="138"/>
      <c r="M15" s="138"/>
      <c r="N15" s="138"/>
    </row>
    <row r="16" spans="1:14" ht="14.25" customHeight="1">
      <c r="A16" s="52">
        <v>2</v>
      </c>
      <c r="B16" s="165" t="s">
        <v>83</v>
      </c>
      <c r="C16" s="147">
        <v>1</v>
      </c>
      <c r="D16" s="166" t="s">
        <v>64</v>
      </c>
      <c r="E16" s="97" t="s">
        <v>60</v>
      </c>
      <c r="F16" s="154" t="s">
        <v>72</v>
      </c>
      <c r="G16" s="135"/>
      <c r="H16" s="135"/>
      <c r="I16" s="135"/>
      <c r="J16" s="135"/>
      <c r="K16" s="135"/>
      <c r="L16" s="138"/>
      <c r="M16" s="138"/>
      <c r="N16" s="138"/>
    </row>
    <row r="17" spans="1:14" ht="14.25" customHeight="1">
      <c r="A17" s="52">
        <v>3</v>
      </c>
      <c r="B17" s="165" t="s">
        <v>84</v>
      </c>
      <c r="C17" s="147">
        <v>1</v>
      </c>
      <c r="D17" s="166" t="s">
        <v>64</v>
      </c>
      <c r="E17" s="97" t="s">
        <v>60</v>
      </c>
      <c r="F17" s="154" t="s">
        <v>72</v>
      </c>
      <c r="G17" s="135"/>
      <c r="H17" s="135"/>
      <c r="I17" s="135"/>
      <c r="J17" s="135"/>
      <c r="K17" s="135"/>
      <c r="L17" s="138"/>
      <c r="M17" s="138"/>
      <c r="N17" s="138"/>
    </row>
    <row r="18" spans="1:14" ht="14.25" customHeight="1">
      <c r="A18" s="52">
        <v>4</v>
      </c>
      <c r="B18" s="165" t="s">
        <v>85</v>
      </c>
      <c r="C18" s="147">
        <v>1</v>
      </c>
      <c r="D18" s="166" t="s">
        <v>64</v>
      </c>
      <c r="E18" s="97" t="s">
        <v>60</v>
      </c>
      <c r="F18" s="154" t="s">
        <v>72</v>
      </c>
      <c r="G18" s="135"/>
      <c r="H18" s="135"/>
      <c r="I18" s="135"/>
      <c r="J18" s="135"/>
      <c r="K18" s="135"/>
      <c r="L18" s="138"/>
      <c r="M18" s="138"/>
      <c r="N18" s="138"/>
    </row>
    <row r="19" spans="1:14" ht="14.25" customHeight="1">
      <c r="A19" s="52">
        <v>5</v>
      </c>
      <c r="B19" s="165" t="s">
        <v>86</v>
      </c>
      <c r="C19" s="147">
        <v>1</v>
      </c>
      <c r="D19" s="166" t="s">
        <v>64</v>
      </c>
      <c r="E19" s="97" t="s">
        <v>60</v>
      </c>
      <c r="F19" s="154" t="s">
        <v>72</v>
      </c>
      <c r="G19" s="135"/>
      <c r="H19" s="135"/>
      <c r="I19" s="135"/>
      <c r="J19" s="135"/>
      <c r="K19" s="135"/>
      <c r="L19" s="138"/>
      <c r="M19" s="138"/>
      <c r="N19" s="138"/>
    </row>
    <row r="20" spans="1:14" ht="14.25" customHeight="1">
      <c r="A20" s="52">
        <v>6</v>
      </c>
      <c r="B20" s="165" t="s">
        <v>63</v>
      </c>
      <c r="C20" s="147">
        <v>1</v>
      </c>
      <c r="D20" s="166" t="s">
        <v>64</v>
      </c>
      <c r="E20" s="97" t="s">
        <v>60</v>
      </c>
      <c r="F20" s="154" t="s">
        <v>72</v>
      </c>
      <c r="G20" s="135"/>
      <c r="H20" s="135"/>
      <c r="I20" s="135"/>
      <c r="J20" s="135"/>
      <c r="K20" s="135"/>
      <c r="L20" s="138"/>
      <c r="M20" s="138"/>
      <c r="N20" s="138"/>
    </row>
    <row r="21" spans="1:14" ht="14.25" customHeight="1">
      <c r="A21" s="52">
        <f>A7</f>
        <v>1</v>
      </c>
      <c r="B21" s="92" t="s">
        <v>48</v>
      </c>
      <c r="C21" s="177">
        <f>VLOOKUP(A21,A22:C27,3)</f>
        <v>269.080909090909</v>
      </c>
      <c r="D21" s="166"/>
      <c r="E21" s="97"/>
      <c r="G21" s="135"/>
      <c r="H21" s="135"/>
      <c r="I21" s="135"/>
      <c r="J21" s="135"/>
      <c r="K21" s="135"/>
      <c r="L21" s="138"/>
      <c r="M21" s="138"/>
      <c r="N21" s="138"/>
    </row>
    <row r="22" spans="1:14" ht="14.25" customHeight="1">
      <c r="A22" s="52">
        <v>1</v>
      </c>
      <c r="B22" s="165" t="s">
        <v>62</v>
      </c>
      <c r="C22" s="178">
        <v>269.080909090909</v>
      </c>
      <c r="D22" s="166"/>
      <c r="E22" s="97" t="s">
        <v>88</v>
      </c>
      <c r="F22" s="154" t="s">
        <v>89</v>
      </c>
      <c r="G22" s="135"/>
      <c r="H22" s="135"/>
      <c r="I22" s="135"/>
      <c r="J22" s="135"/>
      <c r="K22" s="135"/>
      <c r="L22" s="138"/>
      <c r="M22" s="138"/>
      <c r="N22" s="138"/>
    </row>
    <row r="23" spans="1:14" ht="14.25" customHeight="1">
      <c r="A23" s="52">
        <v>2</v>
      </c>
      <c r="B23" s="165" t="s">
        <v>83</v>
      </c>
      <c r="C23" s="178">
        <v>353.7661538461538</v>
      </c>
      <c r="D23" s="166"/>
      <c r="E23" s="97" t="s">
        <v>88</v>
      </c>
      <c r="F23" s="154" t="s">
        <v>89</v>
      </c>
      <c r="G23" s="135"/>
      <c r="H23" s="135"/>
      <c r="I23" s="135"/>
      <c r="J23" s="135"/>
      <c r="K23" s="135"/>
      <c r="L23" s="138"/>
      <c r="M23" s="138"/>
      <c r="N23" s="138"/>
    </row>
    <row r="24" spans="1:14" ht="14.25" customHeight="1">
      <c r="A24" s="52">
        <v>3</v>
      </c>
      <c r="B24" s="165" t="s">
        <v>84</v>
      </c>
      <c r="C24" s="178">
        <v>597.9116666666666</v>
      </c>
      <c r="D24" s="166"/>
      <c r="E24" s="97" t="s">
        <v>88</v>
      </c>
      <c r="F24" s="154" t="s">
        <v>89</v>
      </c>
      <c r="G24" s="135"/>
      <c r="H24" s="135"/>
      <c r="I24" s="135"/>
      <c r="J24" s="135"/>
      <c r="K24" s="135"/>
      <c r="L24" s="138"/>
      <c r="M24" s="138"/>
      <c r="N24" s="138"/>
    </row>
    <row r="25" spans="1:14" ht="14.25" customHeight="1">
      <c r="A25" s="52">
        <v>4</v>
      </c>
      <c r="B25" s="165" t="s">
        <v>85</v>
      </c>
      <c r="C25" s="178">
        <v>1313.5614285714287</v>
      </c>
      <c r="D25" s="166"/>
      <c r="E25" s="97" t="s">
        <v>88</v>
      </c>
      <c r="F25" s="154" t="s">
        <v>89</v>
      </c>
      <c r="G25" s="135"/>
      <c r="H25" s="135"/>
      <c r="I25" s="135"/>
      <c r="J25" s="135"/>
      <c r="K25" s="135"/>
      <c r="L25" s="138"/>
      <c r="M25" s="138"/>
      <c r="N25" s="138"/>
    </row>
    <row r="26" spans="1:14" ht="14.25" customHeight="1">
      <c r="A26" s="52">
        <v>5</v>
      </c>
      <c r="B26" s="165" t="s">
        <v>86</v>
      </c>
      <c r="C26" s="178">
        <v>2390.1636363636358</v>
      </c>
      <c r="D26" s="166"/>
      <c r="E26" s="97" t="s">
        <v>88</v>
      </c>
      <c r="F26" s="154" t="s">
        <v>89</v>
      </c>
      <c r="G26" s="135"/>
      <c r="H26" s="135"/>
      <c r="I26" s="135"/>
      <c r="J26" s="135"/>
      <c r="K26" s="135"/>
      <c r="L26" s="138"/>
      <c r="M26" s="138"/>
      <c r="N26" s="138"/>
    </row>
    <row r="27" spans="1:14" ht="14.25" customHeight="1">
      <c r="A27" s="52">
        <v>6</v>
      </c>
      <c r="B27" s="165" t="s">
        <v>63</v>
      </c>
      <c r="C27" s="178">
        <v>4354.876666666667</v>
      </c>
      <c r="D27" s="166"/>
      <c r="E27" s="97" t="s">
        <v>88</v>
      </c>
      <c r="F27" s="154" t="s">
        <v>89</v>
      </c>
      <c r="G27" s="135"/>
      <c r="H27" s="135"/>
      <c r="I27" s="135"/>
      <c r="J27" s="135"/>
      <c r="K27" s="135"/>
      <c r="L27" s="138"/>
      <c r="M27" s="138"/>
      <c r="N27" s="138"/>
    </row>
    <row r="28" spans="2:14" ht="12.75">
      <c r="B28" s="83" t="s">
        <v>34</v>
      </c>
      <c r="C28" s="58">
        <v>6</v>
      </c>
      <c r="D28" s="49" t="s">
        <v>22</v>
      </c>
      <c r="E28" s="97" t="s">
        <v>78</v>
      </c>
      <c r="F28" s="154" t="s">
        <v>79</v>
      </c>
      <c r="G28" s="135"/>
      <c r="H28" s="135"/>
      <c r="I28" s="135"/>
      <c r="J28" s="135"/>
      <c r="K28" s="135"/>
      <c r="L28" s="138"/>
      <c r="M28" s="138"/>
      <c r="N28" s="138"/>
    </row>
    <row r="29" spans="2:11" ht="12.75">
      <c r="B29" s="83"/>
      <c r="C29" s="58"/>
      <c r="D29" s="49"/>
      <c r="E29" s="50"/>
      <c r="G29" s="135"/>
      <c r="H29" s="135"/>
      <c r="I29" s="135"/>
      <c r="J29" s="135"/>
      <c r="K29" s="135"/>
    </row>
    <row r="30" spans="2:9" ht="12.75">
      <c r="B30" s="75" t="s">
        <v>4</v>
      </c>
      <c r="C30" s="58"/>
      <c r="D30" s="49"/>
      <c r="E30" s="50"/>
      <c r="I30" s="51" t="s">
        <v>9</v>
      </c>
    </row>
    <row r="31" spans="2:6" ht="12.75">
      <c r="B31" s="92"/>
      <c r="C31" s="61"/>
      <c r="D31" s="49"/>
      <c r="E31" s="50"/>
      <c r="F31" s="154" t="s">
        <v>76</v>
      </c>
    </row>
    <row r="32" spans="1:5" ht="12.75">
      <c r="A32" s="52">
        <f>A7</f>
        <v>1</v>
      </c>
      <c r="B32" s="164" t="s">
        <v>70</v>
      </c>
      <c r="C32" s="136">
        <f>VLOOKUP(A32,A33:C38,3)</f>
        <v>54.7375</v>
      </c>
      <c r="D32" s="166" t="s">
        <v>64</v>
      </c>
      <c r="E32" s="97" t="s">
        <v>71</v>
      </c>
    </row>
    <row r="33" spans="1:6" ht="12.75">
      <c r="A33" s="52">
        <v>1</v>
      </c>
      <c r="B33" s="165" t="s">
        <v>62</v>
      </c>
      <c r="C33" s="172">
        <v>54.7375</v>
      </c>
      <c r="D33" s="166" t="s">
        <v>64</v>
      </c>
      <c r="E33" s="97" t="s">
        <v>60</v>
      </c>
      <c r="F33" s="154" t="s">
        <v>72</v>
      </c>
    </row>
    <row r="34" spans="1:6" ht="12.75">
      <c r="A34" s="52">
        <v>2</v>
      </c>
      <c r="B34" s="165" t="s">
        <v>83</v>
      </c>
      <c r="C34" s="172">
        <v>94.97153846153846</v>
      </c>
      <c r="D34" s="166" t="s">
        <v>64</v>
      </c>
      <c r="E34" s="97" t="s">
        <v>60</v>
      </c>
      <c r="F34" s="154" t="s">
        <v>72</v>
      </c>
    </row>
    <row r="35" spans="1:6" ht="12.75">
      <c r="A35" s="52">
        <v>3</v>
      </c>
      <c r="B35" s="165" t="s">
        <v>84</v>
      </c>
      <c r="C35" s="172">
        <v>162.15105529031268</v>
      </c>
      <c r="D35" s="166" t="s">
        <v>64</v>
      </c>
      <c r="E35" s="97" t="s">
        <v>60</v>
      </c>
      <c r="F35" s="154" t="s">
        <v>72</v>
      </c>
    </row>
    <row r="36" spans="1:6" ht="12.75">
      <c r="A36" s="52">
        <v>4</v>
      </c>
      <c r="B36" s="165" t="s">
        <v>85</v>
      </c>
      <c r="C36" s="172">
        <v>297.93274929044463</v>
      </c>
      <c r="D36" s="166" t="s">
        <v>64</v>
      </c>
      <c r="E36" s="97" t="s">
        <v>60</v>
      </c>
      <c r="F36" s="154" t="s">
        <v>72</v>
      </c>
    </row>
    <row r="37" spans="1:6" ht="12.75">
      <c r="A37" s="52">
        <v>5</v>
      </c>
      <c r="B37" s="165" t="s">
        <v>86</v>
      </c>
      <c r="C37" s="172">
        <v>400.3187143993636</v>
      </c>
      <c r="D37" s="166" t="s">
        <v>64</v>
      </c>
      <c r="E37" s="97" t="s">
        <v>60</v>
      </c>
      <c r="F37" s="154" t="s">
        <v>72</v>
      </c>
    </row>
    <row r="38" spans="1:6" ht="12.75">
      <c r="A38" s="52">
        <v>6</v>
      </c>
      <c r="B38" s="165" t="s">
        <v>63</v>
      </c>
      <c r="C38" s="180">
        <v>474.26666666666665</v>
      </c>
      <c r="D38" s="166" t="s">
        <v>64</v>
      </c>
      <c r="E38" s="97" t="s">
        <v>60</v>
      </c>
      <c r="F38" s="154" t="s">
        <v>72</v>
      </c>
    </row>
    <row r="39" spans="1:5" ht="12.75">
      <c r="A39" s="52">
        <f>A7</f>
        <v>1</v>
      </c>
      <c r="B39" s="164" t="s">
        <v>66</v>
      </c>
      <c r="C39" s="136">
        <f>VLOOKUP(A39,A40:C45,3)</f>
        <v>1.0112500000000002</v>
      </c>
      <c r="D39" s="166" t="s">
        <v>64</v>
      </c>
      <c r="E39" s="97" t="s">
        <v>71</v>
      </c>
    </row>
    <row r="40" spans="1:6" ht="12.75">
      <c r="A40" s="52">
        <v>1</v>
      </c>
      <c r="B40" s="165" t="s">
        <v>62</v>
      </c>
      <c r="C40" s="174">
        <v>1.0112500000000002</v>
      </c>
      <c r="D40" s="166" t="s">
        <v>64</v>
      </c>
      <c r="E40" s="97" t="s">
        <v>60</v>
      </c>
      <c r="F40" s="154" t="s">
        <v>72</v>
      </c>
    </row>
    <row r="41" spans="1:6" ht="12.75">
      <c r="A41" s="52">
        <v>2</v>
      </c>
      <c r="B41" s="165" t="s">
        <v>83</v>
      </c>
      <c r="C41" s="174">
        <v>2.0384615384615383</v>
      </c>
      <c r="D41" s="166" t="s">
        <v>64</v>
      </c>
      <c r="E41" s="97" t="s">
        <v>60</v>
      </c>
      <c r="F41" s="154" t="s">
        <v>72</v>
      </c>
    </row>
    <row r="42" spans="1:6" ht="12.75">
      <c r="A42" s="52">
        <v>3</v>
      </c>
      <c r="B42" s="165" t="s">
        <v>84</v>
      </c>
      <c r="C42" s="174">
        <v>1.981860465116279</v>
      </c>
      <c r="D42" s="166" t="s">
        <v>64</v>
      </c>
      <c r="E42" s="97" t="s">
        <v>60</v>
      </c>
      <c r="F42" s="154" t="s">
        <v>72</v>
      </c>
    </row>
    <row r="43" spans="1:6" ht="12.75">
      <c r="A43" s="52">
        <v>4</v>
      </c>
      <c r="B43" s="165" t="s">
        <v>85</v>
      </c>
      <c r="C43" s="174">
        <v>4.276938775510203</v>
      </c>
      <c r="D43" s="166" t="s">
        <v>64</v>
      </c>
      <c r="E43" s="97" t="s">
        <v>60</v>
      </c>
      <c r="F43" s="154" t="s">
        <v>72</v>
      </c>
    </row>
    <row r="44" spans="1:6" ht="12.75">
      <c r="A44" s="52">
        <v>5</v>
      </c>
      <c r="B44" s="165" t="s">
        <v>86</v>
      </c>
      <c r="C44" s="174">
        <v>8.010000000000002</v>
      </c>
      <c r="D44" s="166" t="s">
        <v>64</v>
      </c>
      <c r="E44" s="97" t="s">
        <v>60</v>
      </c>
      <c r="F44" s="154" t="s">
        <v>72</v>
      </c>
    </row>
    <row r="45" spans="1:6" ht="12.75">
      <c r="A45" s="52">
        <v>6</v>
      </c>
      <c r="B45" s="165" t="s">
        <v>63</v>
      </c>
      <c r="C45" s="174">
        <v>17.2</v>
      </c>
      <c r="D45" s="166" t="s">
        <v>64</v>
      </c>
      <c r="E45" s="97" t="s">
        <v>60</v>
      </c>
      <c r="F45" s="154" t="s">
        <v>72</v>
      </c>
    </row>
    <row r="46" spans="1:5" ht="12.75">
      <c r="A46" s="52">
        <f>A7</f>
        <v>1</v>
      </c>
      <c r="B46" s="92" t="s">
        <v>48</v>
      </c>
      <c r="C46" s="177">
        <f>VLOOKUP(A46,A47:C52,3)</f>
        <v>269.080909090909</v>
      </c>
      <c r="D46" s="166"/>
      <c r="E46" s="97"/>
    </row>
    <row r="47" spans="1:6" ht="12.75">
      <c r="A47" s="52">
        <v>1</v>
      </c>
      <c r="B47" s="165" t="s">
        <v>62</v>
      </c>
      <c r="C47" s="178">
        <v>269.080909090909</v>
      </c>
      <c r="D47" s="166"/>
      <c r="E47" s="97" t="s">
        <v>88</v>
      </c>
      <c r="F47" s="154" t="s">
        <v>89</v>
      </c>
    </row>
    <row r="48" spans="1:6" ht="12.75">
      <c r="A48" s="52">
        <v>2</v>
      </c>
      <c r="B48" s="165" t="s">
        <v>83</v>
      </c>
      <c r="C48" s="178">
        <v>353.7661538461538</v>
      </c>
      <c r="D48" s="166"/>
      <c r="E48" s="97" t="s">
        <v>88</v>
      </c>
      <c r="F48" s="154" t="s">
        <v>89</v>
      </c>
    </row>
    <row r="49" spans="1:6" ht="12.75">
      <c r="A49" s="52">
        <v>3</v>
      </c>
      <c r="B49" s="165" t="s">
        <v>84</v>
      </c>
      <c r="C49" s="178">
        <v>597.9116666666666</v>
      </c>
      <c r="D49" s="166"/>
      <c r="E49" s="97" t="s">
        <v>88</v>
      </c>
      <c r="F49" s="154" t="s">
        <v>89</v>
      </c>
    </row>
    <row r="50" spans="1:6" ht="12.75">
      <c r="A50" s="52">
        <v>4</v>
      </c>
      <c r="B50" s="165" t="s">
        <v>85</v>
      </c>
      <c r="C50" s="178">
        <v>1313.5614285714287</v>
      </c>
      <c r="D50" s="166"/>
      <c r="E50" s="97" t="s">
        <v>88</v>
      </c>
      <c r="F50" s="154" t="s">
        <v>89</v>
      </c>
    </row>
    <row r="51" spans="1:6" ht="12.75">
      <c r="A51" s="52">
        <v>5</v>
      </c>
      <c r="B51" s="165" t="s">
        <v>86</v>
      </c>
      <c r="C51" s="178">
        <v>2390.1636363636358</v>
      </c>
      <c r="D51" s="166"/>
      <c r="E51" s="97" t="s">
        <v>88</v>
      </c>
      <c r="F51" s="154" t="s">
        <v>89</v>
      </c>
    </row>
    <row r="52" spans="1:6" ht="12.75">
      <c r="A52" s="52">
        <v>6</v>
      </c>
      <c r="B52" s="165" t="s">
        <v>63</v>
      </c>
      <c r="C52" s="178">
        <v>4354.876666666667</v>
      </c>
      <c r="D52" s="166"/>
      <c r="E52" s="97" t="s">
        <v>88</v>
      </c>
      <c r="F52" s="154" t="s">
        <v>89</v>
      </c>
    </row>
    <row r="53" spans="2:6" ht="12.75">
      <c r="B53" s="83" t="s">
        <v>34</v>
      </c>
      <c r="C53" s="58">
        <v>6</v>
      </c>
      <c r="D53" s="49" t="s">
        <v>22</v>
      </c>
      <c r="E53" s="97" t="s">
        <v>78</v>
      </c>
      <c r="F53" s="154" t="s">
        <v>79</v>
      </c>
    </row>
    <row r="54" spans="2:24" s="68" customFormat="1" ht="12.75">
      <c r="B54" s="83"/>
      <c r="C54" s="60"/>
      <c r="D54" s="59"/>
      <c r="E54" s="50"/>
      <c r="F54" s="169"/>
      <c r="G54" s="51"/>
      <c r="H54" s="51"/>
      <c r="I54" s="51"/>
      <c r="J54" s="51"/>
      <c r="K54" s="51"/>
      <c r="L54" s="67"/>
      <c r="M54" s="67"/>
      <c r="N54" s="67"/>
      <c r="O54" s="67"/>
      <c r="P54" s="67"/>
      <c r="Q54" s="67"/>
      <c r="R54" s="67"/>
      <c r="S54" s="67"/>
      <c r="T54" s="67"/>
      <c r="U54" s="67"/>
      <c r="V54" s="67"/>
      <c r="W54" s="67"/>
      <c r="X54" s="67"/>
    </row>
    <row r="55" spans="2:5" ht="15">
      <c r="B55" s="77" t="s">
        <v>23</v>
      </c>
      <c r="C55" s="58"/>
      <c r="D55" s="49"/>
      <c r="E55" s="50"/>
    </row>
    <row r="56" spans="2:6" ht="12.75">
      <c r="B56" s="93" t="s">
        <v>67</v>
      </c>
      <c r="C56" s="146">
        <v>5</v>
      </c>
      <c r="D56" s="171" t="s">
        <v>69</v>
      </c>
      <c r="E56" s="179" t="s">
        <v>93</v>
      </c>
      <c r="F56" s="154" t="s">
        <v>77</v>
      </c>
    </row>
    <row r="57" spans="2:6" ht="12.75">
      <c r="B57" s="93" t="s">
        <v>68</v>
      </c>
      <c r="C57" s="146">
        <f>24-C56</f>
        <v>19</v>
      </c>
      <c r="D57" s="171" t="s">
        <v>69</v>
      </c>
      <c r="E57" s="97" t="s">
        <v>80</v>
      </c>
      <c r="F57" s="154" t="s">
        <v>77</v>
      </c>
    </row>
    <row r="58" spans="2:5" ht="12.75">
      <c r="B58" s="83"/>
      <c r="C58" s="58"/>
      <c r="D58" s="49"/>
      <c r="E58" s="97"/>
    </row>
    <row r="59" spans="2:5" ht="15">
      <c r="B59" s="77" t="s">
        <v>52</v>
      </c>
      <c r="C59" s="141"/>
      <c r="D59" s="142"/>
      <c r="E59" s="50"/>
    </row>
    <row r="60" spans="2:5" ht="12.75">
      <c r="B60" s="92" t="s">
        <v>53</v>
      </c>
      <c r="C60" s="61">
        <v>20</v>
      </c>
      <c r="D60" s="49"/>
      <c r="E60" s="50" t="s">
        <v>36</v>
      </c>
    </row>
    <row r="61" spans="2:5" ht="12.75">
      <c r="B61" s="92" t="s">
        <v>54</v>
      </c>
      <c r="C61" s="58">
        <v>0</v>
      </c>
      <c r="D61" s="49"/>
      <c r="E61" s="50" t="s">
        <v>55</v>
      </c>
    </row>
    <row r="62" spans="2:5" ht="12.75">
      <c r="B62" s="83"/>
      <c r="C62" s="58"/>
      <c r="D62" s="49"/>
      <c r="E62" s="97"/>
    </row>
    <row r="63" spans="2:5" ht="15">
      <c r="B63" s="76" t="s">
        <v>24</v>
      </c>
      <c r="C63" s="58"/>
      <c r="D63" s="49"/>
      <c r="E63" s="50"/>
    </row>
    <row r="64" spans="2:5" ht="63.75">
      <c r="B64" s="82" t="s">
        <v>25</v>
      </c>
      <c r="C64" s="63">
        <v>0.04</v>
      </c>
      <c r="D64" s="49"/>
      <c r="E64" s="64" t="s">
        <v>26</v>
      </c>
    </row>
    <row r="65" spans="2:5" ht="12.75">
      <c r="B65" s="65"/>
      <c r="C65" s="66"/>
      <c r="D65" s="49"/>
      <c r="E65" s="50"/>
    </row>
    <row r="66" spans="2:5" ht="15">
      <c r="B66" s="78" t="s">
        <v>46</v>
      </c>
      <c r="C66" s="66"/>
      <c r="D66" s="49"/>
      <c r="E66" s="50"/>
    </row>
    <row r="67" spans="2:5" ht="12.75">
      <c r="B67" s="176" t="s">
        <v>81</v>
      </c>
      <c r="C67" s="150">
        <v>0.0952</v>
      </c>
      <c r="D67" s="49" t="s">
        <v>38</v>
      </c>
      <c r="E67" s="97" t="s">
        <v>59</v>
      </c>
    </row>
    <row r="68" spans="2:5" ht="12.75">
      <c r="B68" s="176" t="s">
        <v>82</v>
      </c>
      <c r="C68" s="150">
        <v>0.1059</v>
      </c>
      <c r="D68" s="49" t="s">
        <v>38</v>
      </c>
      <c r="E68" s="97" t="s">
        <v>59</v>
      </c>
    </row>
    <row r="69" spans="2:5" ht="12.75">
      <c r="B69" s="79"/>
      <c r="C69" s="66"/>
      <c r="D69" s="49"/>
      <c r="E69" s="50"/>
    </row>
    <row r="70" spans="2:5" ht="15">
      <c r="B70" s="78" t="s">
        <v>35</v>
      </c>
      <c r="C70" s="66"/>
      <c r="D70" s="49"/>
      <c r="E70" s="50"/>
    </row>
    <row r="71" spans="2:5" ht="15.75">
      <c r="B71" s="79" t="s">
        <v>39</v>
      </c>
      <c r="C71" s="66">
        <v>1.54</v>
      </c>
      <c r="D71" s="49" t="s">
        <v>40</v>
      </c>
      <c r="E71" s="50" t="s">
        <v>60</v>
      </c>
    </row>
    <row r="72" spans="2:5" ht="12.75">
      <c r="B72" s="50"/>
      <c r="C72" s="66"/>
      <c r="D72" s="49"/>
      <c r="E72" s="50"/>
    </row>
    <row r="73" spans="2:5" ht="16.5">
      <c r="B73" s="78" t="s">
        <v>29</v>
      </c>
      <c r="C73" s="69"/>
      <c r="D73" s="49"/>
      <c r="E73" s="50"/>
    </row>
    <row r="74" spans="2:5" ht="15.75">
      <c r="B74" s="79" t="s">
        <v>27</v>
      </c>
      <c r="C74" s="69">
        <v>9700</v>
      </c>
      <c r="D74" s="49" t="s">
        <v>44</v>
      </c>
      <c r="E74" s="50" t="s">
        <v>58</v>
      </c>
    </row>
    <row r="75" spans="2:5" ht="15.75">
      <c r="B75" s="80" t="s">
        <v>28</v>
      </c>
      <c r="C75" s="71">
        <v>12037</v>
      </c>
      <c r="D75" s="72" t="s">
        <v>44</v>
      </c>
      <c r="E75" s="70" t="s">
        <v>58</v>
      </c>
    </row>
    <row r="77" spans="2:5" ht="12.75">
      <c r="B77" s="62" t="s">
        <v>49</v>
      </c>
      <c r="C77" s="132" t="s">
        <v>50</v>
      </c>
      <c r="D77" s="131"/>
      <c r="E77" s="131"/>
    </row>
    <row r="79" ht="12.75">
      <c r="B79" s="154" t="s">
        <v>87</v>
      </c>
    </row>
    <row r="81" spans="2:5" ht="27" customHeight="1">
      <c r="B81" s="196" t="s">
        <v>92</v>
      </c>
      <c r="C81" s="196"/>
      <c r="D81" s="196"/>
      <c r="E81" s="196"/>
    </row>
    <row r="82" spans="2:5" ht="29.25" customHeight="1">
      <c r="B82" s="196" t="s">
        <v>91</v>
      </c>
      <c r="C82" s="196"/>
      <c r="D82" s="196"/>
      <c r="E82" s="196"/>
    </row>
    <row r="162" spans="7:11" ht="12.75">
      <c r="G162" s="62"/>
      <c r="H162" s="62"/>
      <c r="I162" s="62"/>
      <c r="J162" s="62"/>
      <c r="K162" s="62"/>
    </row>
    <row r="163" spans="6:12" ht="12.75">
      <c r="F163" s="170"/>
      <c r="L163" s="62"/>
    </row>
    <row r="167" ht="12.75" customHeight="1"/>
    <row r="171" ht="12.75" customHeight="1"/>
    <row r="173" ht="24.75" customHeight="1"/>
    <row r="174" spans="7:11" ht="12.75">
      <c r="G174" s="67"/>
      <c r="H174" s="67"/>
      <c r="I174" s="67"/>
      <c r="J174" s="67"/>
      <c r="K174" s="67"/>
    </row>
    <row r="175" spans="2:24" s="68" customFormat="1" ht="12.75">
      <c r="B175" s="51"/>
      <c r="C175" s="73"/>
      <c r="D175" s="74"/>
      <c r="F175" s="169"/>
      <c r="G175" s="67"/>
      <c r="H175" s="67"/>
      <c r="I175" s="67"/>
      <c r="J175" s="67"/>
      <c r="K175" s="67"/>
      <c r="L175" s="67"/>
      <c r="M175" s="67"/>
      <c r="N175" s="67"/>
      <c r="O175" s="67"/>
      <c r="P175" s="67"/>
      <c r="Q175" s="67"/>
      <c r="R175" s="67"/>
      <c r="S175" s="67"/>
      <c r="T175" s="67"/>
      <c r="U175" s="67"/>
      <c r="V175" s="67"/>
      <c r="W175" s="67"/>
      <c r="X175" s="67"/>
    </row>
    <row r="176" spans="2:24" s="68" customFormat="1" ht="12.75">
      <c r="B176" s="51"/>
      <c r="C176" s="73"/>
      <c r="D176" s="74"/>
      <c r="F176" s="169"/>
      <c r="G176" s="67"/>
      <c r="H176" s="67"/>
      <c r="I176" s="67"/>
      <c r="J176" s="67"/>
      <c r="K176" s="67"/>
      <c r="L176" s="67"/>
      <c r="M176" s="67"/>
      <c r="N176" s="67"/>
      <c r="O176" s="67"/>
      <c r="P176" s="67"/>
      <c r="Q176" s="67"/>
      <c r="R176" s="67"/>
      <c r="S176" s="67"/>
      <c r="T176" s="67"/>
      <c r="U176" s="67"/>
      <c r="V176" s="67"/>
      <c r="W176" s="67"/>
      <c r="X176" s="67"/>
    </row>
    <row r="177" spans="2:24" s="68" customFormat="1" ht="12.75">
      <c r="B177" s="51"/>
      <c r="C177" s="73"/>
      <c r="D177" s="74"/>
      <c r="F177" s="169"/>
      <c r="G177" s="67"/>
      <c r="H177" s="67"/>
      <c r="I177" s="67"/>
      <c r="J177" s="67"/>
      <c r="K177" s="67"/>
      <c r="L177" s="67"/>
      <c r="M177" s="67"/>
      <c r="N177" s="67"/>
      <c r="O177" s="67"/>
      <c r="P177" s="67"/>
      <c r="Q177" s="67"/>
      <c r="R177" s="67"/>
      <c r="S177" s="67"/>
      <c r="T177" s="67"/>
      <c r="U177" s="67"/>
      <c r="V177" s="67"/>
      <c r="W177" s="67"/>
      <c r="X177" s="67"/>
    </row>
    <row r="178" spans="2:24" s="68" customFormat="1" ht="12.75">
      <c r="B178" s="51"/>
      <c r="C178" s="73"/>
      <c r="D178" s="74"/>
      <c r="F178" s="169"/>
      <c r="G178" s="67"/>
      <c r="H178" s="67"/>
      <c r="I178" s="67"/>
      <c r="J178" s="67"/>
      <c r="K178" s="67"/>
      <c r="L178" s="67"/>
      <c r="M178" s="67"/>
      <c r="N178" s="67"/>
      <c r="O178" s="67"/>
      <c r="P178" s="67"/>
      <c r="Q178" s="67"/>
      <c r="R178" s="67"/>
      <c r="S178" s="67"/>
      <c r="T178" s="67"/>
      <c r="U178" s="67"/>
      <c r="V178" s="67"/>
      <c r="W178" s="67"/>
      <c r="X178" s="67"/>
    </row>
    <row r="179" spans="2:24" s="68" customFormat="1" ht="12.75">
      <c r="B179" s="51"/>
      <c r="C179" s="73"/>
      <c r="D179" s="74"/>
      <c r="F179" s="169"/>
      <c r="G179" s="67"/>
      <c r="H179" s="67"/>
      <c r="I179" s="67"/>
      <c r="J179" s="67"/>
      <c r="K179" s="67"/>
      <c r="L179" s="67"/>
      <c r="M179" s="67"/>
      <c r="N179" s="67"/>
      <c r="O179" s="67"/>
      <c r="P179" s="67"/>
      <c r="Q179" s="67"/>
      <c r="R179" s="67"/>
      <c r="S179" s="67"/>
      <c r="T179" s="67"/>
      <c r="U179" s="67"/>
      <c r="V179" s="67"/>
      <c r="W179" s="67"/>
      <c r="X179" s="67"/>
    </row>
    <row r="180" spans="2:24" s="68" customFormat="1" ht="12.75">
      <c r="B180" s="51"/>
      <c r="C180" s="73"/>
      <c r="D180" s="74"/>
      <c r="F180" s="169"/>
      <c r="G180" s="67"/>
      <c r="H180" s="67"/>
      <c r="I180" s="67"/>
      <c r="J180" s="67"/>
      <c r="K180" s="67"/>
      <c r="L180" s="67"/>
      <c r="M180" s="67"/>
      <c r="N180" s="67"/>
      <c r="O180" s="67"/>
      <c r="P180" s="67"/>
      <c r="Q180" s="67"/>
      <c r="R180" s="67"/>
      <c r="S180" s="67"/>
      <c r="T180" s="67"/>
      <c r="U180" s="67"/>
      <c r="V180" s="67"/>
      <c r="W180" s="67"/>
      <c r="X180" s="67"/>
    </row>
    <row r="181" spans="2:24" s="68" customFormat="1" ht="12.75">
      <c r="B181" s="51"/>
      <c r="C181" s="73"/>
      <c r="D181" s="74"/>
      <c r="F181" s="169"/>
      <c r="G181" s="67"/>
      <c r="H181" s="67"/>
      <c r="I181" s="67"/>
      <c r="J181" s="67"/>
      <c r="K181" s="67"/>
      <c r="L181" s="67"/>
      <c r="M181" s="67"/>
      <c r="N181" s="67"/>
      <c r="O181" s="67"/>
      <c r="P181" s="67"/>
      <c r="Q181" s="67"/>
      <c r="R181" s="67"/>
      <c r="S181" s="67"/>
      <c r="T181" s="67"/>
      <c r="U181" s="67"/>
      <c r="V181" s="67"/>
      <c r="W181" s="67"/>
      <c r="X181" s="67"/>
    </row>
    <row r="182" spans="2:24" s="68" customFormat="1" ht="12.75">
      <c r="B182" s="51"/>
      <c r="C182" s="73"/>
      <c r="D182" s="74"/>
      <c r="F182" s="169"/>
      <c r="G182" s="67"/>
      <c r="H182" s="67"/>
      <c r="I182" s="67"/>
      <c r="J182" s="67"/>
      <c r="K182" s="67"/>
      <c r="L182" s="67"/>
      <c r="M182" s="67"/>
      <c r="N182" s="67"/>
      <c r="O182" s="67"/>
      <c r="P182" s="67"/>
      <c r="Q182" s="67"/>
      <c r="R182" s="67"/>
      <c r="S182" s="67"/>
      <c r="T182" s="67"/>
      <c r="U182" s="67"/>
      <c r="V182" s="67"/>
      <c r="W182" s="67"/>
      <c r="X182" s="67"/>
    </row>
    <row r="183" spans="2:24" s="68" customFormat="1" ht="12.75">
      <c r="B183" s="51"/>
      <c r="C183" s="73"/>
      <c r="D183" s="74"/>
      <c r="F183" s="169"/>
      <c r="G183" s="67"/>
      <c r="H183" s="67"/>
      <c r="I183" s="67"/>
      <c r="J183" s="67"/>
      <c r="K183" s="67"/>
      <c r="L183" s="67"/>
      <c r="M183" s="67"/>
      <c r="N183" s="67"/>
      <c r="O183" s="67"/>
      <c r="P183" s="67"/>
      <c r="Q183" s="67"/>
      <c r="R183" s="67"/>
      <c r="S183" s="67"/>
      <c r="T183" s="67"/>
      <c r="U183" s="67"/>
      <c r="V183" s="67"/>
      <c r="W183" s="67"/>
      <c r="X183" s="67"/>
    </row>
    <row r="184" spans="2:24" s="68" customFormat="1" ht="12.75">
      <c r="B184" s="51"/>
      <c r="C184" s="73"/>
      <c r="D184" s="74"/>
      <c r="F184" s="169"/>
      <c r="G184" s="51"/>
      <c r="H184" s="51"/>
      <c r="I184" s="51"/>
      <c r="J184" s="51"/>
      <c r="K184" s="51"/>
      <c r="L184" s="67"/>
      <c r="M184" s="67"/>
      <c r="N184" s="67"/>
      <c r="O184" s="67"/>
      <c r="P184" s="67"/>
      <c r="Q184" s="67"/>
      <c r="R184" s="67"/>
      <c r="S184" s="67"/>
      <c r="T184" s="67"/>
      <c r="U184" s="67"/>
      <c r="V184" s="67"/>
      <c r="W184" s="67"/>
      <c r="X184" s="67"/>
    </row>
  </sheetData>
  <sheetProtection/>
  <mergeCells count="4">
    <mergeCell ref="B1:E1"/>
    <mergeCell ref="C3:D3"/>
    <mergeCell ref="B81:E81"/>
    <mergeCell ref="B82:E82"/>
  </mergeCells>
  <hyperlinks>
    <hyperlink ref="C77" r:id="rId1" display="Escalcs@cadmusgroup.com"/>
  </hyperlinks>
  <printOptions horizontalCentered="1"/>
  <pageMargins left="0.25" right="0.25" top="1" bottom="1" header="0.5" footer="0.5"/>
  <pageSetup fitToHeight="1" fitToWidth="1" horizontalDpi="600" verticalDpi="600" orientation="portrait" scale="5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2008-10-31T16:58:52Z</cp:lastPrinted>
  <dcterms:created xsi:type="dcterms:W3CDTF">2004-07-12T13:20:55Z</dcterms:created>
  <dcterms:modified xsi:type="dcterms:W3CDTF">2008-11-03T14:15:50Z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